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price (16)" sheetId="1" r:id="rId1"/>
  </sheets>
  <calcPr calcId="0"/>
</workbook>
</file>

<file path=xl/calcChain.xml><?xml version="1.0" encoding="utf-8"?>
<calcChain xmlns="http://schemas.openxmlformats.org/spreadsheetml/2006/main">
  <c r="A2" i="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C233"/>
  <c r="H233"/>
  <c r="A234"/>
  <c r="C234"/>
  <c r="H234"/>
  <c r="A235"/>
  <c r="C235"/>
  <c r="H235"/>
  <c r="A236"/>
  <c r="C236"/>
  <c r="H236"/>
  <c r="A237"/>
  <c r="C237"/>
  <c r="H237"/>
  <c r="A238"/>
  <c r="C238"/>
  <c r="H238"/>
  <c r="A239"/>
  <c r="C239"/>
  <c r="H239"/>
  <c r="A240"/>
  <c r="C240"/>
  <c r="H240"/>
  <c r="A241"/>
  <c r="C241"/>
  <c r="H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I1417"/>
  <c r="A1418"/>
  <c r="A1419"/>
  <c r="A1420"/>
  <c r="A1421"/>
  <c r="A1422"/>
  <c r="A1423"/>
  <c r="A1424"/>
  <c r="A1425"/>
  <c r="A1426"/>
  <c r="A1427"/>
  <c r="A1428"/>
  <c r="A1429"/>
  <c r="A1430"/>
  <c r="A1431"/>
  <c r="A1432"/>
  <c r="I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C1496"/>
  <c r="D1496"/>
  <c r="H1496"/>
  <c r="A1497"/>
  <c r="C1497"/>
  <c r="D1497"/>
  <c r="H1497"/>
  <c r="A1498"/>
  <c r="C1498"/>
  <c r="D1498"/>
  <c r="H1498"/>
  <c r="A1499"/>
  <c r="C1499"/>
  <c r="D1499"/>
  <c r="H1499"/>
  <c r="A1500"/>
  <c r="C1500"/>
  <c r="D1500"/>
  <c r="H1500"/>
  <c r="A1501"/>
  <c r="C1501"/>
  <c r="D1501"/>
  <c r="H1501"/>
  <c r="A1502"/>
  <c r="C1502"/>
  <c r="D1502"/>
  <c r="H1502"/>
  <c r="A1503"/>
  <c r="C1503"/>
  <c r="D1503"/>
  <c r="H1503"/>
  <c r="A1504"/>
  <c r="C1504"/>
  <c r="D1504"/>
  <c r="H1504"/>
  <c r="A1505"/>
  <c r="C1505"/>
  <c r="D1505"/>
  <c r="H1505"/>
  <c r="A1506"/>
  <c r="C1506"/>
  <c r="D1506"/>
  <c r="H1506"/>
  <c r="A1507"/>
  <c r="C1507"/>
  <c r="D1507"/>
  <c r="H1507"/>
  <c r="A1508"/>
  <c r="C1508"/>
  <c r="D1508"/>
  <c r="H1508"/>
  <c r="A1509"/>
  <c r="C1509"/>
  <c r="D1509"/>
  <c r="H1509"/>
  <c r="A1510"/>
  <c r="C1510"/>
  <c r="D1510"/>
  <c r="H1510"/>
  <c r="A1511"/>
  <c r="C1511"/>
  <c r="D1511"/>
  <c r="H1511"/>
  <c r="A1512"/>
  <c r="C1512"/>
  <c r="D1512"/>
  <c r="H1512"/>
  <c r="A1513"/>
  <c r="C1513"/>
  <c r="D1513"/>
  <c r="H1513"/>
  <c r="A1514"/>
  <c r="C1514"/>
  <c r="D1514"/>
  <c r="H1514"/>
  <c r="A1515"/>
  <c r="C1515"/>
  <c r="D1515"/>
  <c r="H1515"/>
  <c r="A1516"/>
  <c r="C1516"/>
  <c r="D1516"/>
  <c r="H1516"/>
  <c r="A1517"/>
  <c r="C1517"/>
  <c r="D1517"/>
  <c r="H1517"/>
  <c r="A1518"/>
  <c r="C1518"/>
  <c r="D1518"/>
  <c r="H1518"/>
  <c r="A1519"/>
  <c r="C1519"/>
  <c r="D1519"/>
  <c r="H1519"/>
  <c r="A1520"/>
  <c r="C1520"/>
  <c r="D1520"/>
  <c r="H1520"/>
  <c r="A1521"/>
  <c r="C1521"/>
  <c r="D1521"/>
  <c r="H1521"/>
  <c r="A1522"/>
  <c r="C1522"/>
  <c r="D1522"/>
  <c r="H1522"/>
  <c r="A1523"/>
  <c r="C1523"/>
  <c r="D1523"/>
  <c r="H1523"/>
  <c r="A1524"/>
  <c r="C1524"/>
  <c r="D1524"/>
  <c r="H1524"/>
  <c r="A1525"/>
  <c r="C1525"/>
  <c r="D1525"/>
  <c r="H1525"/>
  <c r="A1526"/>
  <c r="C1526"/>
  <c r="D1526"/>
  <c r="H1526"/>
  <c r="A1527"/>
  <c r="C1527"/>
  <c r="D1527"/>
  <c r="H1527"/>
  <c r="A1528"/>
  <c r="C1528"/>
  <c r="D1528"/>
  <c r="H1528"/>
  <c r="A1529"/>
  <c r="C1529"/>
  <c r="D1529"/>
  <c r="H1529"/>
  <c r="A1530"/>
  <c r="C1530"/>
  <c r="D1530"/>
  <c r="H1530"/>
  <c r="A1531"/>
  <c r="C1531"/>
  <c r="D1531"/>
  <c r="H1531"/>
  <c r="A1532"/>
  <c r="C1532"/>
  <c r="D1532"/>
  <c r="H1532"/>
  <c r="A1533"/>
  <c r="C1533"/>
  <c r="D1533"/>
  <c r="H1533"/>
  <c r="A1534"/>
  <c r="C1534"/>
  <c r="D1534"/>
  <c r="H1534"/>
  <c r="A1535"/>
  <c r="C1535"/>
  <c r="D1535"/>
  <c r="H1535"/>
  <c r="A1536"/>
  <c r="C1536"/>
  <c r="D1536"/>
  <c r="H1536"/>
  <c r="A1537"/>
  <c r="C1537"/>
  <c r="D1537"/>
  <c r="H1537"/>
  <c r="A1538"/>
  <c r="C1538"/>
  <c r="D1538"/>
  <c r="H1538"/>
  <c r="A1539"/>
  <c r="C1539"/>
  <c r="D1539"/>
  <c r="H1539"/>
  <c r="A1540"/>
  <c r="C1540"/>
  <c r="D1540"/>
  <c r="H1540"/>
  <c r="A1541"/>
  <c r="C1541"/>
  <c r="D1541"/>
  <c r="H1541"/>
  <c r="A1542"/>
  <c r="C1542"/>
  <c r="D1542"/>
  <c r="H1542"/>
  <c r="A1543"/>
  <c r="C1543"/>
  <c r="D1543"/>
  <c r="H1543"/>
  <c r="A1544"/>
  <c r="C1544"/>
  <c r="D1544"/>
  <c r="H1544"/>
  <c r="A1545"/>
  <c r="C1545"/>
  <c r="D1545"/>
  <c r="H1545"/>
  <c r="A1546"/>
  <c r="C1546"/>
  <c r="D1546"/>
  <c r="H1546"/>
  <c r="A1547"/>
  <c r="C1547"/>
  <c r="D1547"/>
  <c r="H1547"/>
  <c r="A1548"/>
  <c r="C1548"/>
  <c r="D1548"/>
  <c r="H1548"/>
  <c r="A1549"/>
  <c r="C1549"/>
  <c r="D1549"/>
  <c r="H1549"/>
  <c r="A1550"/>
  <c r="C1550"/>
  <c r="D1550"/>
  <c r="H1550"/>
  <c r="A1551"/>
  <c r="C1551"/>
  <c r="D1551"/>
  <c r="H1551"/>
  <c r="A1552"/>
  <c r="C1552"/>
  <c r="D1552"/>
  <c r="H1552"/>
  <c r="A1553"/>
  <c r="C1553"/>
  <c r="D1553"/>
  <c r="H1553"/>
  <c r="A1554"/>
  <c r="C1554"/>
  <c r="D1554"/>
  <c r="H1554"/>
  <c r="A1555"/>
  <c r="C1555"/>
  <c r="D1555"/>
  <c r="H1555"/>
  <c r="A1556"/>
  <c r="C1556"/>
  <c r="D1556"/>
  <c r="H1556"/>
  <c r="A1557"/>
  <c r="C1557"/>
  <c r="D1557"/>
  <c r="H1557"/>
  <c r="A1558"/>
  <c r="C1558"/>
  <c r="D1558"/>
  <c r="H1558"/>
  <c r="A1559"/>
  <c r="C1559"/>
  <c r="D1559"/>
  <c r="H1559"/>
  <c r="A1560"/>
  <c r="C1560"/>
  <c r="D1560"/>
  <c r="H1560"/>
  <c r="A1561"/>
  <c r="C1561"/>
  <c r="D1561"/>
  <c r="H1561"/>
  <c r="A1562"/>
  <c r="C1562"/>
  <c r="D1562"/>
  <c r="H1562"/>
  <c r="A1563"/>
  <c r="C1563"/>
  <c r="D1563"/>
  <c r="H1563"/>
  <c r="A1564"/>
  <c r="C1564"/>
  <c r="D1564"/>
  <c r="H1564"/>
  <c r="A1565"/>
  <c r="C1565"/>
  <c r="D1565"/>
  <c r="H1565"/>
  <c r="A1566"/>
  <c r="C1566"/>
  <c r="D1566"/>
  <c r="H1566"/>
  <c r="A1567"/>
  <c r="C1567"/>
  <c r="D1567"/>
  <c r="H1567"/>
  <c r="A1568"/>
  <c r="C1568"/>
  <c r="D1568"/>
  <c r="H1568"/>
  <c r="A1569"/>
  <c r="C1569"/>
  <c r="D1569"/>
  <c r="H1569"/>
  <c r="A1570"/>
  <c r="C1570"/>
  <c r="D1570"/>
  <c r="H1570"/>
  <c r="A1571"/>
  <c r="C1571"/>
  <c r="D1571"/>
  <c r="H1571"/>
  <c r="A1572"/>
  <c r="C1572"/>
  <c r="D1572"/>
  <c r="H1572"/>
  <c r="A1573"/>
  <c r="C1573"/>
  <c r="D1573"/>
  <c r="H1573"/>
  <c r="A1574"/>
  <c r="C1574"/>
  <c r="D1574"/>
  <c r="H1574"/>
  <c r="A1575"/>
  <c r="C1575"/>
  <c r="D1575"/>
  <c r="H1575"/>
  <c r="A1576"/>
  <c r="C1576"/>
  <c r="D1576"/>
  <c r="H1576"/>
  <c r="A1577"/>
  <c r="C1577"/>
  <c r="D1577"/>
  <c r="H1577"/>
  <c r="A1578"/>
  <c r="C1578"/>
  <c r="D1578"/>
  <c r="H1578"/>
  <c r="A1579"/>
  <c r="C1579"/>
  <c r="D1579"/>
  <c r="H1579"/>
  <c r="A1580"/>
  <c r="C1580"/>
  <c r="D1580"/>
  <c r="H1580"/>
  <c r="A1581"/>
  <c r="C1581"/>
  <c r="D1581"/>
  <c r="H1581"/>
  <c r="A1582"/>
  <c r="C1582"/>
  <c r="D1582"/>
  <c r="H1582"/>
  <c r="A1583"/>
  <c r="C1583"/>
  <c r="D1583"/>
  <c r="H1583"/>
  <c r="A1584"/>
  <c r="C1584"/>
  <c r="D1584"/>
  <c r="H1584"/>
  <c r="A1585"/>
  <c r="C1585"/>
  <c r="D1585"/>
  <c r="H1585"/>
  <c r="A1586"/>
  <c r="C1586"/>
  <c r="D1586"/>
  <c r="H1586"/>
  <c r="A1587"/>
  <c r="C1587"/>
  <c r="D1587"/>
  <c r="H1587"/>
  <c r="A1588"/>
  <c r="C1588"/>
  <c r="D1588"/>
  <c r="H1588"/>
  <c r="A1589"/>
  <c r="C1589"/>
  <c r="D1589"/>
  <c r="H1589"/>
  <c r="A1590"/>
  <c r="C1590"/>
  <c r="D1590"/>
  <c r="H1590"/>
  <c r="A1591"/>
  <c r="C1591"/>
  <c r="D1591"/>
  <c r="H1591"/>
  <c r="A1592"/>
  <c r="C1592"/>
  <c r="D1592"/>
  <c r="H1592"/>
  <c r="A1593"/>
  <c r="C1593"/>
  <c r="D1593"/>
  <c r="H1593"/>
  <c r="A1594"/>
  <c r="C1594"/>
  <c r="D1594"/>
  <c r="H1594"/>
  <c r="A1595"/>
  <c r="C1595"/>
  <c r="D1595"/>
  <c r="H1595"/>
  <c r="A1596"/>
  <c r="C1596"/>
  <c r="D1596"/>
  <c r="H1596"/>
  <c r="A1597"/>
  <c r="C1597"/>
  <c r="D1597"/>
  <c r="H1597"/>
  <c r="A1598"/>
  <c r="C1598"/>
  <c r="D1598"/>
  <c r="H1598"/>
  <c r="A1599"/>
  <c r="C1599"/>
  <c r="D1599"/>
  <c r="H1599"/>
  <c r="A1600"/>
  <c r="C1600"/>
  <c r="D1600"/>
  <c r="H1600"/>
  <c r="A1601"/>
  <c r="C1601"/>
  <c r="D1601"/>
  <c r="H1601"/>
  <c r="A1602"/>
  <c r="C1602"/>
  <c r="D1602"/>
  <c r="H1602"/>
  <c r="A1603"/>
  <c r="C1603"/>
  <c r="D1603"/>
  <c r="H1603"/>
  <c r="A1604"/>
  <c r="C1604"/>
  <c r="D1604"/>
  <c r="H1604"/>
  <c r="A1605"/>
  <c r="C1605"/>
  <c r="D1605"/>
  <c r="H1605"/>
  <c r="A1606"/>
  <c r="C1606"/>
  <c r="D1606"/>
  <c r="H1606"/>
  <c r="A1607"/>
  <c r="C1607"/>
  <c r="D1607"/>
  <c r="H1607"/>
  <c r="A1608"/>
  <c r="C1608"/>
  <c r="D1608"/>
  <c r="H1608"/>
  <c r="A1609"/>
  <c r="C1609"/>
  <c r="D1609"/>
  <c r="H1609"/>
  <c r="A1610"/>
  <c r="C1610"/>
  <c r="D1610"/>
  <c r="H1610"/>
  <c r="A1611"/>
  <c r="C1611"/>
  <c r="D1611"/>
  <c r="H1611"/>
  <c r="A1612"/>
  <c r="C1612"/>
  <c r="D1612"/>
  <c r="H1612"/>
  <c r="A1613"/>
  <c r="C1613"/>
  <c r="D1613"/>
  <c r="H1613"/>
  <c r="A1614"/>
  <c r="C1614"/>
  <c r="D1614"/>
  <c r="H1614"/>
  <c r="A1615"/>
  <c r="C1615"/>
  <c r="D1615"/>
  <c r="H1615"/>
  <c r="A1616"/>
  <c r="C1616"/>
  <c r="D1616"/>
  <c r="H1616"/>
  <c r="A1617"/>
  <c r="C1617"/>
  <c r="D1617"/>
  <c r="H1617"/>
  <c r="A1618"/>
  <c r="C1618"/>
  <c r="D1618"/>
  <c r="H1618"/>
  <c r="A1619"/>
  <c r="C1619"/>
  <c r="D1619"/>
  <c r="H1619"/>
  <c r="A1620"/>
  <c r="C1620"/>
  <c r="D1620"/>
  <c r="H1620"/>
  <c r="A1621"/>
  <c r="C1621"/>
  <c r="D1621"/>
  <c r="H1621"/>
  <c r="A1622"/>
  <c r="C1622"/>
  <c r="D1622"/>
  <c r="H1622"/>
  <c r="A1623"/>
  <c r="C1623"/>
  <c r="D1623"/>
  <c r="H1623"/>
  <c r="A1624"/>
  <c r="C1624"/>
  <c r="D1624"/>
  <c r="H1624"/>
  <c r="A1625"/>
  <c r="C1625"/>
  <c r="D1625"/>
  <c r="H1625"/>
  <c r="A1626"/>
  <c r="C1626"/>
  <c r="D1626"/>
  <c r="H1626"/>
  <c r="A1627"/>
  <c r="C1627"/>
  <c r="D1627"/>
  <c r="H1627"/>
  <c r="A1628"/>
  <c r="C1628"/>
  <c r="D1628"/>
  <c r="H1628"/>
  <c r="A1629"/>
  <c r="C1629"/>
  <c r="D1629"/>
  <c r="H1629"/>
  <c r="A1630"/>
  <c r="C1630"/>
  <c r="D1630"/>
  <c r="H1630"/>
  <c r="A1631"/>
  <c r="C1631"/>
  <c r="D1631"/>
  <c r="H1631"/>
  <c r="A1632"/>
  <c r="C1632"/>
  <c r="D1632"/>
  <c r="H1632"/>
  <c r="A1633"/>
  <c r="C1633"/>
  <c r="D1633"/>
  <c r="H1633"/>
  <c r="A1634"/>
  <c r="C1634"/>
  <c r="D1634"/>
  <c r="H1634"/>
  <c r="A1635"/>
  <c r="C1635"/>
  <c r="D1635"/>
  <c r="H1635"/>
  <c r="A1636"/>
  <c r="C1636"/>
  <c r="D1636"/>
  <c r="H1636"/>
  <c r="A1637"/>
  <c r="C1637"/>
  <c r="D1637"/>
  <c r="H1637"/>
  <c r="A1638"/>
  <c r="C1638"/>
  <c r="D1638"/>
  <c r="H1638"/>
  <c r="A1639"/>
  <c r="C1639"/>
  <c r="D1639"/>
  <c r="H1639"/>
  <c r="A1640"/>
  <c r="C1640"/>
  <c r="D1640"/>
  <c r="H1640"/>
  <c r="A1641"/>
  <c r="C1641"/>
  <c r="D1641"/>
  <c r="H1641"/>
  <c r="A1642"/>
  <c r="C1642"/>
  <c r="D1642"/>
  <c r="H1642"/>
  <c r="A1643"/>
  <c r="C1643"/>
  <c r="D1643"/>
  <c r="H1643"/>
  <c r="A1644"/>
  <c r="C1644"/>
  <c r="D1644"/>
  <c r="H1644"/>
  <c r="A1645"/>
  <c r="C1645"/>
  <c r="D1645"/>
  <c r="H1645"/>
  <c r="A1646"/>
  <c r="C1646"/>
  <c r="D1646"/>
  <c r="H1646"/>
  <c r="A1647"/>
  <c r="C1647"/>
  <c r="D1647"/>
  <c r="H1647"/>
  <c r="A1648"/>
  <c r="C1648"/>
  <c r="D1648"/>
  <c r="H1648"/>
  <c r="A1649"/>
  <c r="C1649"/>
  <c r="D1649"/>
  <c r="H1649"/>
  <c r="A1650"/>
  <c r="C1650"/>
  <c r="D1650"/>
  <c r="H1650"/>
  <c r="A1651"/>
  <c r="C1651"/>
  <c r="D1651"/>
  <c r="H1651"/>
  <c r="A1652"/>
  <c r="C1652"/>
  <c r="D1652"/>
  <c r="H1652"/>
  <c r="A1653"/>
  <c r="C1653"/>
  <c r="D1653"/>
  <c r="H1653"/>
  <c r="A1654"/>
  <c r="C1654"/>
  <c r="D1654"/>
  <c r="H1654"/>
  <c r="A1655"/>
  <c r="C1655"/>
  <c r="D1655"/>
  <c r="H1655"/>
  <c r="A1656"/>
  <c r="C1656"/>
  <c r="D1656"/>
  <c r="H1656"/>
  <c r="A1657"/>
  <c r="C1657"/>
  <c r="D1657"/>
  <c r="H1657"/>
  <c r="A1658"/>
  <c r="C1658"/>
  <c r="D1658"/>
  <c r="H1658"/>
  <c r="A1659"/>
  <c r="C1659"/>
  <c r="D1659"/>
  <c r="H1659"/>
  <c r="A1660"/>
  <c r="C1660"/>
  <c r="D1660"/>
  <c r="H1660"/>
  <c r="A1661"/>
  <c r="C1661"/>
  <c r="D1661"/>
  <c r="H1661"/>
  <c r="A1662"/>
  <c r="C1662"/>
  <c r="D1662"/>
  <c r="H1662"/>
  <c r="A1663"/>
  <c r="C1663"/>
  <c r="D1663"/>
  <c r="H1663"/>
  <c r="A1664"/>
  <c r="C1664"/>
  <c r="D1664"/>
  <c r="H1664"/>
  <c r="A1665"/>
  <c r="C1665"/>
  <c r="D1665"/>
  <c r="H1665"/>
  <c r="A1666"/>
  <c r="C1666"/>
  <c r="D1666"/>
  <c r="H1666"/>
  <c r="A1667"/>
  <c r="C1667"/>
  <c r="D1667"/>
  <c r="H1667"/>
  <c r="A1668"/>
  <c r="C1668"/>
  <c r="D1668"/>
  <c r="H1668"/>
  <c r="A1669"/>
  <c r="C1669"/>
  <c r="D1669"/>
  <c r="H1669"/>
  <c r="A1670"/>
  <c r="C1670"/>
  <c r="D1670"/>
  <c r="H1670"/>
  <c r="A1671"/>
  <c r="C1671"/>
  <c r="D1671"/>
  <c r="H1671"/>
  <c r="A1672"/>
  <c r="C1672"/>
  <c r="D1672"/>
  <c r="H1672"/>
  <c r="A1673"/>
  <c r="C1673"/>
  <c r="D1673"/>
  <c r="H1673"/>
  <c r="A1674"/>
  <c r="C1674"/>
  <c r="D1674"/>
  <c r="H1674"/>
  <c r="A1675"/>
  <c r="C1675"/>
  <c r="D1675"/>
  <c r="H1675"/>
  <c r="A1676"/>
  <c r="C1676"/>
  <c r="D1676"/>
  <c r="H1676"/>
  <c r="A1677"/>
  <c r="C1677"/>
  <c r="D1677"/>
  <c r="H1677"/>
  <c r="A1678"/>
  <c r="C1678"/>
  <c r="D1678"/>
  <c r="H1678"/>
  <c r="A1679"/>
  <c r="C1679"/>
  <c r="D1679"/>
  <c r="H1679"/>
  <c r="A1680"/>
  <c r="C1680"/>
  <c r="D1680"/>
  <c r="H1680"/>
  <c r="A1681"/>
  <c r="C1681"/>
  <c r="D1681"/>
  <c r="H1681"/>
  <c r="A1682"/>
  <c r="C1682"/>
  <c r="D1682"/>
  <c r="H1682"/>
  <c r="A1683"/>
  <c r="C1683"/>
  <c r="D1683"/>
  <c r="H1683"/>
  <c r="A1684"/>
  <c r="C1684"/>
  <c r="D1684"/>
  <c r="H1684"/>
  <c r="A1685"/>
  <c r="C1685"/>
  <c r="D1685"/>
  <c r="H1685"/>
  <c r="A1686"/>
  <c r="C1686"/>
  <c r="D1686"/>
  <c r="H1686"/>
  <c r="A1687"/>
  <c r="C1687"/>
  <c r="D1687"/>
  <c r="H1687"/>
  <c r="A1688"/>
  <c r="C1688"/>
  <c r="D1688"/>
  <c r="H1688"/>
  <c r="A1689"/>
  <c r="C1689"/>
  <c r="D1689"/>
  <c r="H1689"/>
  <c r="A1690"/>
  <c r="C1690"/>
  <c r="D1690"/>
  <c r="H1690"/>
  <c r="A1691"/>
  <c r="C1691"/>
  <c r="D1691"/>
  <c r="H1691"/>
  <c r="A1692"/>
  <c r="C1692"/>
  <c r="D1692"/>
  <c r="H1692"/>
  <c r="A1693"/>
  <c r="C1693"/>
  <c r="D1693"/>
  <c r="H1693"/>
  <c r="A1694"/>
  <c r="C1694"/>
  <c r="D1694"/>
  <c r="H1694"/>
  <c r="A1695"/>
  <c r="C1695"/>
  <c r="D1695"/>
  <c r="H1695"/>
  <c r="A1696"/>
  <c r="C1696"/>
  <c r="D1696"/>
  <c r="H1696"/>
  <c r="A1697"/>
  <c r="C1697"/>
  <c r="D1697"/>
  <c r="H1697"/>
  <c r="A1698"/>
  <c r="C1698"/>
  <c r="D1698"/>
  <c r="H1698"/>
  <c r="A1699"/>
  <c r="C1699"/>
  <c r="D1699"/>
  <c r="H1699"/>
  <c r="A1700"/>
  <c r="C1700"/>
  <c r="D1700"/>
  <c r="H1700"/>
  <c r="A1701"/>
  <c r="C1701"/>
  <c r="D1701"/>
  <c r="H1701"/>
  <c r="A1702"/>
  <c r="C1702"/>
  <c r="D1702"/>
  <c r="H1702"/>
  <c r="A1703"/>
  <c r="C1703"/>
  <c r="D1703"/>
  <c r="H1703"/>
  <c r="A1704"/>
  <c r="C1704"/>
  <c r="D1704"/>
  <c r="H1704"/>
  <c r="A1705"/>
  <c r="C1705"/>
  <c r="D1705"/>
  <c r="H1705"/>
  <c r="A1706"/>
  <c r="C1706"/>
  <c r="D1706"/>
  <c r="H1706"/>
  <c r="A1707"/>
  <c r="C1707"/>
  <c r="D1707"/>
  <c r="H1707"/>
  <c r="A1708"/>
  <c r="C1708"/>
  <c r="D1708"/>
  <c r="H1708"/>
  <c r="A1709"/>
  <c r="C1709"/>
  <c r="D1709"/>
  <c r="H1709"/>
  <c r="A1710"/>
  <c r="C1710"/>
  <c r="D1710"/>
  <c r="H1710"/>
  <c r="A1711"/>
  <c r="C1711"/>
  <c r="D1711"/>
  <c r="H1711"/>
  <c r="A1712"/>
  <c r="C1712"/>
  <c r="D1712"/>
  <c r="H1712"/>
  <c r="A1713"/>
  <c r="C1713"/>
  <c r="D1713"/>
  <c r="H1713"/>
  <c r="A1714"/>
  <c r="C1714"/>
  <c r="D1714"/>
  <c r="H1714"/>
  <c r="A1715"/>
  <c r="C1715"/>
  <c r="D1715"/>
  <c r="H1715"/>
  <c r="A1716"/>
  <c r="C1716"/>
  <c r="D1716"/>
  <c r="H1716"/>
  <c r="A1717"/>
  <c r="C1717"/>
  <c r="D1717"/>
  <c r="H1717"/>
  <c r="A1718"/>
  <c r="C1718"/>
  <c r="D1718"/>
  <c r="H1718"/>
  <c r="A1719"/>
  <c r="C1719"/>
  <c r="D1719"/>
  <c r="H1719"/>
  <c r="A1720"/>
  <c r="C1720"/>
  <c r="D1720"/>
  <c r="H1720"/>
  <c r="A1721"/>
  <c r="C1721"/>
  <c r="D1721"/>
  <c r="H1721"/>
  <c r="A1722"/>
  <c r="C1722"/>
  <c r="D1722"/>
  <c r="H1722"/>
  <c r="A1723"/>
  <c r="C1723"/>
  <c r="D1723"/>
  <c r="H1723"/>
  <c r="A1724"/>
  <c r="C1724"/>
  <c r="D1724"/>
  <c r="H1724"/>
  <c r="A1725"/>
  <c r="C1725"/>
  <c r="D1725"/>
  <c r="H1725"/>
  <c r="A1726"/>
  <c r="C1726"/>
  <c r="D1726"/>
  <c r="H1726"/>
  <c r="A1727"/>
  <c r="C1727"/>
  <c r="D1727"/>
  <c r="H1727"/>
  <c r="A1728"/>
  <c r="C1728"/>
  <c r="D1728"/>
  <c r="H1728"/>
  <c r="A1729"/>
  <c r="C1729"/>
  <c r="D1729"/>
  <c r="H1729"/>
  <c r="A1730"/>
  <c r="C1730"/>
  <c r="D1730"/>
  <c r="H1730"/>
  <c r="A1731"/>
  <c r="C1731"/>
  <c r="D1731"/>
  <c r="H1731"/>
  <c r="A1732"/>
  <c r="C1732"/>
  <c r="D1732"/>
  <c r="H1732"/>
  <c r="A1733"/>
  <c r="C1733"/>
  <c r="D1733"/>
  <c r="H1733"/>
  <c r="A1734"/>
  <c r="C1734"/>
  <c r="D1734"/>
  <c r="H1734"/>
  <c r="A1735"/>
  <c r="C1735"/>
  <c r="D1735"/>
  <c r="H1735"/>
  <c r="A1736"/>
  <c r="C1736"/>
  <c r="D1736"/>
  <c r="H1736"/>
  <c r="A1737"/>
  <c r="C1737"/>
  <c r="D1737"/>
  <c r="H1737"/>
  <c r="A1738"/>
  <c r="C1738"/>
  <c r="D1738"/>
  <c r="H1738"/>
  <c r="A1739"/>
  <c r="C1739"/>
  <c r="D1739"/>
  <c r="H1739"/>
  <c r="A1740"/>
  <c r="C1740"/>
  <c r="D1740"/>
  <c r="H1740"/>
  <c r="A1741"/>
  <c r="C1741"/>
  <c r="D1741"/>
  <c r="H1741"/>
  <c r="A1742"/>
  <c r="C1742"/>
  <c r="D1742"/>
  <c r="H1742"/>
  <c r="A1743"/>
  <c r="C1743"/>
  <c r="D1743"/>
  <c r="H1743"/>
  <c r="A1744"/>
  <c r="C1744"/>
  <c r="D1744"/>
  <c r="H1744"/>
  <c r="A1745"/>
  <c r="C1745"/>
  <c r="D1745"/>
  <c r="H1745"/>
  <c r="A1746"/>
  <c r="C1746"/>
  <c r="D1746"/>
  <c r="H1746"/>
  <c r="A1747"/>
  <c r="C1747"/>
  <c r="D1747"/>
  <c r="H1747"/>
  <c r="A1748"/>
  <c r="C1748"/>
  <c r="D1748"/>
  <c r="H1748"/>
  <c r="A1749"/>
  <c r="C1749"/>
  <c r="D1749"/>
  <c r="H1749"/>
  <c r="A1750"/>
  <c r="C1750"/>
  <c r="D1750"/>
  <c r="H1750"/>
  <c r="A1751"/>
  <c r="C1751"/>
  <c r="D1751"/>
  <c r="H1751"/>
  <c r="A1752"/>
  <c r="C1752"/>
  <c r="D1752"/>
  <c r="H1752"/>
  <c r="A1753"/>
  <c r="C1753"/>
  <c r="D1753"/>
  <c r="H1753"/>
  <c r="A1754"/>
  <c r="C1754"/>
  <c r="D1754"/>
  <c r="H1754"/>
  <c r="A1755"/>
  <c r="C1755"/>
  <c r="D1755"/>
  <c r="H1755"/>
  <c r="A1756"/>
  <c r="C1756"/>
  <c r="D1756"/>
  <c r="H1756"/>
  <c r="A1757"/>
  <c r="C1757"/>
  <c r="D1757"/>
  <c r="H1757"/>
  <c r="A1758"/>
  <c r="C1758"/>
  <c r="D1758"/>
  <c r="H1758"/>
  <c r="A1759"/>
  <c r="C1759"/>
  <c r="D1759"/>
  <c r="H1759"/>
  <c r="A1760"/>
  <c r="C1760"/>
  <c r="D1760"/>
  <c r="H1760"/>
  <c r="A1761"/>
  <c r="C1761"/>
  <c r="D1761"/>
  <c r="H1761"/>
  <c r="A1762"/>
  <c r="C1762"/>
  <c r="D1762"/>
  <c r="H1762"/>
  <c r="A1763"/>
  <c r="C1763"/>
  <c r="D1763"/>
  <c r="H1763"/>
  <c r="A1764"/>
  <c r="C1764"/>
  <c r="D1764"/>
  <c r="H1764"/>
  <c r="A1765"/>
  <c r="C1765"/>
  <c r="D1765"/>
  <c r="H1765"/>
  <c r="A1766"/>
  <c r="C1766"/>
  <c r="D1766"/>
  <c r="H1766"/>
  <c r="A1767"/>
  <c r="C1767"/>
  <c r="D1767"/>
  <c r="H1767"/>
  <c r="A1768"/>
  <c r="C1768"/>
  <c r="D1768"/>
  <c r="H1768"/>
  <c r="A1769"/>
  <c r="C1769"/>
  <c r="D1769"/>
  <c r="H1769"/>
  <c r="A1770"/>
  <c r="C1770"/>
  <c r="D1770"/>
  <c r="H1770"/>
  <c r="A1771"/>
  <c r="C1771"/>
  <c r="D1771"/>
  <c r="H1771"/>
  <c r="A1772"/>
  <c r="C1772"/>
  <c r="D1772"/>
  <c r="H1772"/>
  <c r="A1773"/>
  <c r="C1773"/>
  <c r="D1773"/>
  <c r="H1773"/>
  <c r="A1774"/>
  <c r="C1774"/>
  <c r="D1774"/>
  <c r="H1774"/>
  <c r="A1775"/>
  <c r="C1775"/>
  <c r="D1775"/>
  <c r="H1775"/>
  <c r="A1776"/>
  <c r="C1776"/>
  <c r="D1776"/>
  <c r="H1776"/>
  <c r="A1777"/>
  <c r="C1777"/>
  <c r="D1777"/>
  <c r="H1777"/>
  <c r="A1778"/>
  <c r="C1778"/>
  <c r="D1778"/>
  <c r="H1778"/>
  <c r="A1779"/>
  <c r="C1779"/>
  <c r="D1779"/>
  <c r="H1779"/>
  <c r="A1780"/>
  <c r="C1780"/>
  <c r="D1780"/>
  <c r="H1780"/>
  <c r="A1781"/>
  <c r="C1781"/>
  <c r="D1781"/>
  <c r="H1781"/>
  <c r="A1782"/>
  <c r="C1782"/>
  <c r="D1782"/>
  <c r="H1782"/>
  <c r="A1783"/>
  <c r="C1783"/>
  <c r="D1783"/>
  <c r="H1783"/>
  <c r="A1784"/>
  <c r="C1784"/>
  <c r="D1784"/>
  <c r="H1784"/>
  <c r="A1785"/>
  <c r="C1785"/>
  <c r="D1785"/>
  <c r="H1785"/>
  <c r="A1786"/>
  <c r="C1786"/>
  <c r="D1786"/>
  <c r="H1786"/>
  <c r="A1787"/>
  <c r="C1787"/>
  <c r="D1787"/>
  <c r="H1787"/>
  <c r="A1788"/>
  <c r="C1788"/>
  <c r="D1788"/>
  <c r="H1788"/>
  <c r="A1789"/>
  <c r="C1789"/>
  <c r="D1789"/>
  <c r="H1789"/>
  <c r="A1790"/>
  <c r="C1790"/>
  <c r="D1790"/>
  <c r="H1790"/>
  <c r="A1791"/>
  <c r="C1791"/>
  <c r="D1791"/>
  <c r="H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C2314"/>
  <c r="D2314"/>
  <c r="H2314"/>
  <c r="A2315"/>
  <c r="C2315"/>
  <c r="D2315"/>
  <c r="H2315"/>
  <c r="A2316"/>
  <c r="C2316"/>
  <c r="D2316"/>
  <c r="H2316"/>
  <c r="A2317"/>
  <c r="C2317"/>
  <c r="D2317"/>
  <c r="H2317"/>
  <c r="A2318"/>
  <c r="C2318"/>
  <c r="D2318"/>
  <c r="H2318"/>
  <c r="A2319"/>
  <c r="C2319"/>
  <c r="D2319"/>
  <c r="H2319"/>
  <c r="A2320"/>
  <c r="C2320"/>
  <c r="D2320"/>
  <c r="H2320"/>
  <c r="A2321"/>
  <c r="A2322"/>
  <c r="A2323"/>
  <c r="A2324"/>
  <c r="A2325"/>
  <c r="A2326"/>
  <c r="A2327"/>
  <c r="A2328"/>
  <c r="A2329"/>
  <c r="A2330"/>
  <c r="A2331"/>
  <c r="A2332"/>
  <c r="A2333"/>
  <c r="A2334"/>
  <c r="A2335"/>
  <c r="C2335"/>
  <c r="H2335"/>
  <c r="A2336"/>
  <c r="A2337"/>
  <c r="H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H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H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I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D4627"/>
  <c r="H4627"/>
  <c r="A4628"/>
  <c r="D4628"/>
  <c r="H4628"/>
  <c r="A4629"/>
  <c r="D4629"/>
  <c r="H4629"/>
  <c r="A4630"/>
  <c r="D4630"/>
  <c r="H4630"/>
  <c r="A4631"/>
  <c r="D4631"/>
  <c r="H4631"/>
  <c r="A4632"/>
  <c r="D4632"/>
  <c r="H4632"/>
  <c r="A4633"/>
  <c r="D4633"/>
  <c r="H4633"/>
  <c r="A4634"/>
  <c r="D4634"/>
  <c r="H4634"/>
  <c r="A4635"/>
  <c r="D4635"/>
  <c r="H4635"/>
  <c r="A4636"/>
  <c r="D4636"/>
  <c r="H4636"/>
  <c r="A4637"/>
  <c r="D4637"/>
  <c r="H4637"/>
  <c r="A4638"/>
  <c r="D4638"/>
  <c r="H4638"/>
  <c r="A4639"/>
  <c r="D4639"/>
  <c r="H4639"/>
  <c r="A4640"/>
  <c r="D4640"/>
  <c r="H4640"/>
  <c r="A4641"/>
  <c r="D4641"/>
  <c r="H4641"/>
  <c r="A4642"/>
  <c r="D4642"/>
  <c r="H4642"/>
  <c r="A4643"/>
  <c r="D4643"/>
  <c r="H4643"/>
  <c r="A4644"/>
  <c r="D4644"/>
  <c r="H4644"/>
  <c r="A4645"/>
  <c r="D4645"/>
  <c r="H4645"/>
  <c r="A4646"/>
  <c r="D4646"/>
  <c r="H4646"/>
  <c r="A4647"/>
  <c r="D4647"/>
  <c r="H4647"/>
  <c r="A4648"/>
  <c r="D4648"/>
  <c r="H4648"/>
  <c r="A4649"/>
  <c r="D4649"/>
  <c r="H4649"/>
  <c r="A4650"/>
  <c r="D4650"/>
  <c r="H4650"/>
  <c r="A4651"/>
  <c r="D4651"/>
  <c r="H4651"/>
  <c r="A4652"/>
  <c r="D4652"/>
  <c r="H4652"/>
  <c r="A4653"/>
  <c r="D4653"/>
  <c r="H4653"/>
  <c r="A4654"/>
  <c r="D4654"/>
  <c r="H4654"/>
  <c r="A4655"/>
  <c r="D4655"/>
  <c r="H4655"/>
  <c r="A4656"/>
  <c r="D4656"/>
  <c r="H4656"/>
  <c r="A4657"/>
  <c r="D4657"/>
  <c r="H4657"/>
  <c r="A4658"/>
  <c r="D4658"/>
  <c r="H4658"/>
  <c r="A4659"/>
  <c r="D4659"/>
  <c r="H4659"/>
  <c r="A4660"/>
  <c r="D4660"/>
  <c r="H4660"/>
  <c r="A4661"/>
  <c r="D4661"/>
  <c r="H4661"/>
  <c r="A4662"/>
  <c r="D4662"/>
  <c r="H4662"/>
  <c r="A4663"/>
  <c r="D4663"/>
  <c r="H4663"/>
  <c r="A4664"/>
  <c r="D4664"/>
  <c r="H4664"/>
  <c r="A4665"/>
  <c r="D4665"/>
  <c r="H4665"/>
  <c r="A4666"/>
  <c r="D4666"/>
  <c r="H4666"/>
  <c r="A4667"/>
  <c r="D4667"/>
  <c r="H4667"/>
  <c r="A4668"/>
  <c r="D4668"/>
  <c r="H4668"/>
  <c r="A4669"/>
  <c r="D4669"/>
  <c r="H4669"/>
  <c r="A4670"/>
  <c r="D4670"/>
  <c r="H4670"/>
  <c r="A4671"/>
  <c r="D4671"/>
  <c r="H4671"/>
  <c r="A4672"/>
  <c r="D4672"/>
  <c r="H4672"/>
  <c r="A4673"/>
  <c r="D4673"/>
  <c r="H4673"/>
  <c r="A4674"/>
  <c r="D4674"/>
  <c r="H4674"/>
  <c r="A4675"/>
  <c r="D4675"/>
  <c r="H4675"/>
  <c r="A4676"/>
  <c r="D4676"/>
  <c r="H4676"/>
  <c r="A4677"/>
  <c r="D4677"/>
  <c r="H4677"/>
  <c r="A4678"/>
  <c r="D4678"/>
  <c r="H4678"/>
  <c r="A4679"/>
  <c r="D4679"/>
  <c r="H4679"/>
  <c r="A4680"/>
  <c r="D4680"/>
  <c r="H4680"/>
  <c r="A4681"/>
  <c r="D4681"/>
  <c r="H4681"/>
  <c r="A4682"/>
  <c r="D4682"/>
  <c r="H4682"/>
  <c r="A4683"/>
  <c r="D4683"/>
  <c r="H4683"/>
  <c r="A4684"/>
  <c r="D4684"/>
  <c r="H4684"/>
  <c r="A4685"/>
  <c r="D4685"/>
  <c r="H4685"/>
  <c r="A4686"/>
  <c r="D4686"/>
  <c r="H4686"/>
  <c r="A4687"/>
  <c r="D4687"/>
  <c r="H4687"/>
  <c r="A4688"/>
  <c r="D4688"/>
  <c r="H4688"/>
  <c r="A4689"/>
  <c r="D4689"/>
  <c r="H4689"/>
  <c r="A4690"/>
  <c r="D4690"/>
  <c r="H4690"/>
  <c r="A4691"/>
  <c r="D4691"/>
  <c r="H4691"/>
  <c r="A4692"/>
  <c r="D4692"/>
  <c r="H4692"/>
  <c r="A4693"/>
  <c r="D4693"/>
  <c r="H4693"/>
  <c r="A4694"/>
  <c r="D4694"/>
  <c r="H4694"/>
  <c r="A4695"/>
  <c r="D4695"/>
  <c r="H4695"/>
  <c r="A4696"/>
  <c r="D4696"/>
  <c r="H4696"/>
  <c r="A4697"/>
  <c r="D4697"/>
  <c r="H4697"/>
  <c r="A4698"/>
  <c r="D4698"/>
  <c r="H4698"/>
  <c r="A4699"/>
  <c r="D4699"/>
  <c r="H4699"/>
  <c r="A4700"/>
  <c r="D4700"/>
  <c r="H4700"/>
  <c r="A4701"/>
  <c r="D4701"/>
  <c r="H4701"/>
  <c r="A4702"/>
  <c r="D4702"/>
  <c r="H4702"/>
  <c r="A4703"/>
  <c r="D4703"/>
  <c r="H4703"/>
  <c r="A4704"/>
  <c r="D4704"/>
  <c r="H4704"/>
  <c r="A4705"/>
  <c r="D4705"/>
  <c r="H4705"/>
  <c r="A4706"/>
  <c r="D4706"/>
  <c r="H4706"/>
  <c r="A4707"/>
  <c r="D4707"/>
  <c r="H4707"/>
  <c r="A4708"/>
  <c r="D4708"/>
  <c r="H4708"/>
  <c r="A4709"/>
  <c r="D4709"/>
  <c r="H4709"/>
  <c r="A4710"/>
  <c r="D4710"/>
  <c r="H4710"/>
  <c r="A4711"/>
  <c r="D4711"/>
  <c r="H4711"/>
  <c r="A4712"/>
  <c r="D4712"/>
  <c r="H4712"/>
  <c r="A4713"/>
  <c r="D4713"/>
  <c r="H4713"/>
  <c r="A4714"/>
  <c r="D4714"/>
  <c r="H4714"/>
  <c r="A4715"/>
  <c r="D4715"/>
  <c r="H4715"/>
  <c r="A4716"/>
  <c r="D4716"/>
  <c r="H4716"/>
  <c r="A4717"/>
  <c r="D4717"/>
  <c r="H4717"/>
  <c r="A4718"/>
  <c r="D4718"/>
  <c r="H4718"/>
  <c r="A4719"/>
  <c r="D4719"/>
  <c r="H4719"/>
  <c r="A4720"/>
  <c r="D4720"/>
  <c r="H4720"/>
  <c r="A4721"/>
  <c r="D4721"/>
  <c r="H4721"/>
  <c r="A4722"/>
  <c r="D4722"/>
  <c r="H4722"/>
  <c r="A4723"/>
  <c r="D4723"/>
  <c r="H4723"/>
  <c r="A4724"/>
  <c r="D4724"/>
  <c r="H4724"/>
  <c r="A4725"/>
  <c r="D4725"/>
  <c r="H4725"/>
  <c r="A4726"/>
  <c r="D4726"/>
  <c r="H4726"/>
  <c r="A4727"/>
  <c r="D4727"/>
  <c r="H4727"/>
  <c r="A4728"/>
  <c r="D4728"/>
  <c r="H4728"/>
  <c r="A4729"/>
  <c r="D4729"/>
  <c r="H4729"/>
  <c r="A4730"/>
  <c r="D4730"/>
  <c r="H4730"/>
  <c r="A4731"/>
  <c r="D4731"/>
  <c r="H4731"/>
  <c r="A4732"/>
  <c r="D4732"/>
  <c r="H4732"/>
  <c r="A4733"/>
  <c r="D4733"/>
  <c r="H4733"/>
  <c r="A4734"/>
  <c r="D4734"/>
  <c r="H4734"/>
  <c r="A4735"/>
  <c r="D4735"/>
  <c r="H4735"/>
  <c r="A4736"/>
  <c r="D4736"/>
  <c r="H4736"/>
  <c r="A4737"/>
  <c r="D4737"/>
  <c r="H4737"/>
  <c r="A4738"/>
  <c r="D4738"/>
  <c r="H4738"/>
  <c r="A4739"/>
  <c r="D4739"/>
  <c r="H4739"/>
  <c r="A4740"/>
  <c r="D4740"/>
  <c r="H4740"/>
  <c r="A4741"/>
  <c r="D4741"/>
  <c r="H4741"/>
  <c r="A4742"/>
  <c r="D4742"/>
  <c r="H4742"/>
  <c r="A4743"/>
  <c r="D4743"/>
  <c r="H4743"/>
  <c r="A4744"/>
  <c r="D4744"/>
  <c r="H4744"/>
  <c r="A4745"/>
  <c r="D4745"/>
  <c r="H4745"/>
  <c r="A4746"/>
  <c r="D4746"/>
  <c r="H4746"/>
  <c r="A4747"/>
  <c r="D4747"/>
  <c r="H4747"/>
  <c r="A4748"/>
  <c r="D4748"/>
  <c r="H4748"/>
  <c r="A4749"/>
  <c r="D4749"/>
  <c r="H4749"/>
  <c r="A4750"/>
  <c r="D4750"/>
  <c r="H4750"/>
  <c r="A4751"/>
  <c r="D4751"/>
  <c r="H4751"/>
  <c r="A4752"/>
  <c r="D4752"/>
  <c r="H4752"/>
  <c r="A4753"/>
  <c r="D4753"/>
  <c r="H4753"/>
  <c r="A4754"/>
  <c r="D4754"/>
  <c r="H4754"/>
  <c r="A4755"/>
  <c r="D4755"/>
  <c r="H4755"/>
  <c r="A4756"/>
  <c r="D4756"/>
  <c r="H4756"/>
  <c r="A4757"/>
  <c r="D4757"/>
  <c r="H4757"/>
  <c r="A4758"/>
  <c r="D4758"/>
  <c r="H4758"/>
  <c r="A4759"/>
  <c r="D4759"/>
  <c r="H4759"/>
  <c r="A4760"/>
  <c r="D4760"/>
  <c r="H4760"/>
  <c r="A4761"/>
  <c r="D4761"/>
  <c r="H4761"/>
  <c r="A4762"/>
  <c r="D4762"/>
  <c r="H4762"/>
  <c r="A4763"/>
  <c r="D4763"/>
  <c r="H4763"/>
  <c r="A4764"/>
  <c r="D4764"/>
  <c r="H4764"/>
  <c r="A4765"/>
  <c r="D4765"/>
  <c r="H4765"/>
  <c r="A4766"/>
  <c r="D4766"/>
  <c r="H4766"/>
  <c r="A4767"/>
  <c r="D4767"/>
  <c r="H4767"/>
  <c r="A4768"/>
  <c r="D4768"/>
  <c r="H4768"/>
  <c r="A4769"/>
  <c r="D4769"/>
  <c r="H4769"/>
  <c r="A4770"/>
  <c r="D4770"/>
  <c r="H4770"/>
  <c r="A4771"/>
  <c r="D4771"/>
  <c r="H4771"/>
  <c r="A4772"/>
  <c r="D4772"/>
  <c r="H4772"/>
  <c r="A4773"/>
  <c r="D4773"/>
  <c r="H4773"/>
  <c r="A4774"/>
  <c r="D4774"/>
  <c r="H4774"/>
  <c r="A4775"/>
  <c r="D4775"/>
  <c r="H4775"/>
  <c r="A4776"/>
  <c r="D4776"/>
  <c r="H4776"/>
  <c r="A4777"/>
  <c r="D4777"/>
  <c r="H4777"/>
  <c r="A4778"/>
  <c r="D4778"/>
  <c r="H4778"/>
  <c r="A4779"/>
  <c r="D4779"/>
  <c r="H4779"/>
  <c r="A4780"/>
  <c r="D4780"/>
  <c r="H4780"/>
  <c r="A4781"/>
  <c r="D4781"/>
  <c r="H4781"/>
  <c r="A4782"/>
  <c r="D4782"/>
  <c r="H4782"/>
  <c r="A4783"/>
  <c r="D4783"/>
  <c r="H4783"/>
  <c r="A4784"/>
  <c r="D4784"/>
  <c r="H4784"/>
  <c r="A4785"/>
  <c r="D4785"/>
  <c r="H4785"/>
  <c r="A4786"/>
  <c r="D4786"/>
  <c r="H4786"/>
  <c r="A4787"/>
  <c r="D4787"/>
  <c r="H4787"/>
  <c r="A4788"/>
  <c r="D4788"/>
  <c r="H4788"/>
  <c r="A4789"/>
  <c r="D4789"/>
  <c r="H4789"/>
  <c r="A4790"/>
  <c r="D4790"/>
  <c r="H4790"/>
  <c r="A4791"/>
  <c r="D4791"/>
  <c r="H4791"/>
  <c r="A4792"/>
  <c r="D4792"/>
  <c r="H4792"/>
  <c r="A4793"/>
  <c r="D4793"/>
  <c r="H4793"/>
  <c r="A4794"/>
  <c r="D4794"/>
  <c r="H4794"/>
  <c r="A4795"/>
  <c r="D4795"/>
  <c r="H4795"/>
  <c r="A4796"/>
  <c r="D4796"/>
  <c r="H4796"/>
  <c r="A4797"/>
  <c r="D4797"/>
  <c r="H4797"/>
  <c r="A4798"/>
  <c r="D4798"/>
  <c r="H4798"/>
  <c r="A4799"/>
  <c r="D4799"/>
  <c r="H4799"/>
  <c r="A4800"/>
  <c r="D4800"/>
  <c r="H4800"/>
  <c r="A4801"/>
  <c r="D4801"/>
  <c r="H4801"/>
  <c r="A4802"/>
  <c r="D4802"/>
  <c r="H4802"/>
  <c r="A4803"/>
  <c r="D4803"/>
  <c r="H4803"/>
  <c r="A4804"/>
  <c r="D4804"/>
  <c r="H4804"/>
  <c r="A4805"/>
  <c r="D4805"/>
  <c r="H4805"/>
  <c r="A4806"/>
  <c r="D4806"/>
  <c r="H4806"/>
  <c r="A4807"/>
  <c r="D4807"/>
  <c r="H4807"/>
  <c r="A4808"/>
  <c r="D4808"/>
  <c r="H4808"/>
  <c r="A4809"/>
  <c r="D4809"/>
  <c r="H4809"/>
  <c r="A4810"/>
  <c r="D4810"/>
  <c r="H4810"/>
  <c r="A4811"/>
  <c r="D4811"/>
  <c r="H4811"/>
  <c r="A4812"/>
  <c r="D4812"/>
  <c r="H4812"/>
  <c r="A4813"/>
  <c r="D4813"/>
  <c r="H4813"/>
  <c r="A4814"/>
  <c r="D4814"/>
  <c r="H4814"/>
  <c r="A4815"/>
  <c r="D4815"/>
  <c r="H4815"/>
  <c r="A4816"/>
  <c r="D4816"/>
  <c r="H4816"/>
  <c r="A4817"/>
  <c r="D4817"/>
  <c r="H4817"/>
  <c r="A4818"/>
  <c r="D4818"/>
  <c r="H4818"/>
  <c r="A4819"/>
  <c r="D4819"/>
  <c r="H4819"/>
  <c r="A4820"/>
  <c r="D4820"/>
  <c r="H4820"/>
  <c r="A4821"/>
  <c r="D4821"/>
  <c r="H4821"/>
  <c r="A4822"/>
  <c r="D4822"/>
  <c r="H4822"/>
  <c r="A4823"/>
  <c r="D4823"/>
  <c r="H4823"/>
  <c r="A4824"/>
  <c r="D4824"/>
  <c r="H4824"/>
  <c r="A4825"/>
  <c r="D4825"/>
  <c r="H4825"/>
  <c r="A4826"/>
  <c r="D4826"/>
  <c r="H4826"/>
  <c r="A4827"/>
  <c r="D4827"/>
  <c r="H4827"/>
  <c r="A4828"/>
  <c r="D4828"/>
  <c r="H4828"/>
  <c r="A4829"/>
  <c r="D4829"/>
  <c r="H4829"/>
  <c r="A4830"/>
  <c r="D4830"/>
  <c r="H4830"/>
  <c r="A4831"/>
  <c r="D4831"/>
  <c r="H4831"/>
  <c r="A4832"/>
  <c r="D4832"/>
  <c r="H4832"/>
  <c r="A4833"/>
  <c r="D4833"/>
  <c r="H4833"/>
  <c r="A4834"/>
  <c r="D4834"/>
  <c r="H4834"/>
  <c r="A4835"/>
  <c r="D4835"/>
  <c r="H4835"/>
  <c r="A4836"/>
  <c r="D4836"/>
  <c r="H4836"/>
  <c r="A4837"/>
  <c r="D4837"/>
  <c r="H4837"/>
  <c r="A4838"/>
  <c r="D4838"/>
  <c r="H4838"/>
  <c r="A4839"/>
  <c r="D4839"/>
  <c r="H4839"/>
  <c r="A4840"/>
  <c r="D4840"/>
  <c r="H4840"/>
  <c r="A4841"/>
  <c r="D4841"/>
  <c r="H4841"/>
  <c r="A4842"/>
  <c r="D4842"/>
  <c r="H4842"/>
  <c r="A4843"/>
  <c r="D4843"/>
  <c r="H4843"/>
  <c r="A4844"/>
  <c r="D4844"/>
  <c r="H4844"/>
  <c r="A4845"/>
  <c r="D4845"/>
  <c r="H4845"/>
  <c r="A4846"/>
  <c r="D4846"/>
  <c r="H4846"/>
  <c r="A4847"/>
  <c r="D4847"/>
  <c r="H4847"/>
  <c r="A4848"/>
  <c r="D4848"/>
  <c r="H4848"/>
  <c r="A4849"/>
  <c r="D4849"/>
  <c r="H4849"/>
  <c r="A4850"/>
  <c r="D4850"/>
  <c r="H4850"/>
  <c r="A4851"/>
  <c r="D4851"/>
  <c r="H4851"/>
  <c r="A4852"/>
  <c r="D4852"/>
  <c r="H4852"/>
  <c r="A4853"/>
  <c r="D4853"/>
  <c r="H4853"/>
  <c r="A4854"/>
  <c r="D4854"/>
  <c r="H4854"/>
  <c r="A4855"/>
  <c r="D4855"/>
  <c r="H4855"/>
  <c r="A4856"/>
  <c r="D4856"/>
  <c r="H4856"/>
  <c r="A4857"/>
  <c r="D4857"/>
  <c r="H4857"/>
  <c r="A4858"/>
  <c r="D4858"/>
  <c r="H4858"/>
  <c r="A4859"/>
  <c r="D4859"/>
  <c r="H4859"/>
  <c r="A4860"/>
  <c r="D4860"/>
  <c r="H4860"/>
  <c r="A4861"/>
  <c r="D4861"/>
  <c r="H4861"/>
  <c r="A4862"/>
  <c r="D4862"/>
  <c r="H4862"/>
  <c r="A4863"/>
  <c r="D4863"/>
  <c r="H4863"/>
  <c r="A4864"/>
  <c r="D4864"/>
  <c r="H4864"/>
  <c r="A4865"/>
  <c r="D4865"/>
  <c r="H4865"/>
  <c r="A4866"/>
  <c r="D4866"/>
  <c r="H4866"/>
  <c r="A4867"/>
  <c r="D4867"/>
  <c r="H4867"/>
  <c r="A4868"/>
  <c r="D4868"/>
  <c r="H4868"/>
  <c r="A4869"/>
  <c r="D4869"/>
  <c r="H4869"/>
  <c r="A4870"/>
  <c r="D4870"/>
  <c r="H4870"/>
  <c r="A4871"/>
  <c r="D4871"/>
  <c r="H4871"/>
  <c r="A4872"/>
  <c r="D4872"/>
  <c r="H4872"/>
  <c r="A4873"/>
  <c r="D4873"/>
  <c r="H4873"/>
  <c r="A4874"/>
  <c r="D4874"/>
  <c r="H4874"/>
  <c r="A4875"/>
  <c r="D4875"/>
  <c r="H4875"/>
  <c r="A4876"/>
  <c r="D4876"/>
  <c r="H4876"/>
  <c r="A4877"/>
  <c r="D4877"/>
  <c r="H4877"/>
  <c r="A4878"/>
  <c r="D4878"/>
  <c r="H4878"/>
  <c r="A4879"/>
  <c r="D4879"/>
  <c r="H4879"/>
  <c r="A4880"/>
  <c r="D4880"/>
  <c r="H4880"/>
  <c r="A4881"/>
  <c r="D4881"/>
  <c r="H4881"/>
  <c r="A4882"/>
  <c r="D4882"/>
  <c r="H4882"/>
  <c r="A4883"/>
  <c r="D4883"/>
  <c r="H4883"/>
  <c r="A4884"/>
  <c r="D4884"/>
  <c r="H4884"/>
  <c r="A4885"/>
  <c r="D4885"/>
  <c r="H4885"/>
  <c r="A4886"/>
  <c r="D4886"/>
  <c r="H4886"/>
  <c r="A4887"/>
  <c r="D4887"/>
  <c r="H4887"/>
  <c r="A4888"/>
  <c r="D4888"/>
  <c r="H4888"/>
  <c r="A4889"/>
  <c r="D4889"/>
  <c r="H4889"/>
  <c r="A4890"/>
  <c r="D4890"/>
  <c r="H4890"/>
  <c r="A4891"/>
  <c r="D4891"/>
  <c r="H4891"/>
  <c r="A4892"/>
  <c r="D4892"/>
  <c r="H4892"/>
  <c r="A4893"/>
  <c r="D4893"/>
  <c r="H4893"/>
  <c r="A4894"/>
  <c r="D4894"/>
  <c r="H4894"/>
  <c r="A4895"/>
  <c r="D4895"/>
  <c r="H4895"/>
  <c r="A4896"/>
  <c r="D4896"/>
  <c r="H4896"/>
  <c r="A4897"/>
  <c r="D4897"/>
  <c r="H4897"/>
  <c r="A4898"/>
  <c r="D4898"/>
  <c r="H4898"/>
  <c r="A4899"/>
  <c r="D4899"/>
  <c r="H4899"/>
  <c r="A4900"/>
  <c r="D4900"/>
  <c r="H4900"/>
  <c r="A4901"/>
  <c r="D4901"/>
  <c r="H4901"/>
  <c r="A4902"/>
  <c r="D4902"/>
  <c r="H4902"/>
  <c r="A4903"/>
  <c r="D4903"/>
  <c r="H4903"/>
  <c r="A4904"/>
  <c r="D4904"/>
  <c r="H4904"/>
  <c r="A4905"/>
  <c r="D4905"/>
  <c r="H4905"/>
  <c r="A4906"/>
  <c r="D4906"/>
  <c r="H4906"/>
  <c r="A4907"/>
  <c r="D4907"/>
  <c r="H4907"/>
  <c r="A4908"/>
  <c r="D4908"/>
  <c r="H4908"/>
  <c r="A4909"/>
  <c r="D4909"/>
  <c r="H4909"/>
  <c r="A4910"/>
  <c r="D4910"/>
  <c r="H4910"/>
  <c r="A4911"/>
  <c r="D4911"/>
  <c r="H4911"/>
  <c r="A4912"/>
  <c r="D4912"/>
  <c r="H4912"/>
  <c r="A4913"/>
  <c r="D4913"/>
  <c r="H4913"/>
  <c r="A4914"/>
  <c r="D4914"/>
  <c r="H4914"/>
  <c r="A4915"/>
  <c r="D4915"/>
  <c r="H4915"/>
  <c r="A4916"/>
  <c r="D4916"/>
  <c r="H4916"/>
  <c r="A4917"/>
  <c r="D4917"/>
  <c r="H4917"/>
  <c r="A4918"/>
  <c r="D4918"/>
  <c r="H4918"/>
  <c r="A4919"/>
  <c r="D4919"/>
  <c r="H4919"/>
  <c r="A4920"/>
  <c r="D4920"/>
  <c r="H4920"/>
  <c r="A4921"/>
  <c r="D4921"/>
  <c r="H4921"/>
  <c r="A4922"/>
  <c r="D4922"/>
  <c r="H4922"/>
  <c r="A4923"/>
  <c r="D4923"/>
  <c r="H4923"/>
  <c r="A4924"/>
  <c r="D4924"/>
  <c r="H4924"/>
  <c r="A4925"/>
  <c r="D4925"/>
  <c r="H4925"/>
  <c r="A4926"/>
  <c r="D4926"/>
  <c r="H4926"/>
  <c r="A4927"/>
  <c r="D4927"/>
  <c r="H4927"/>
  <c r="A4928"/>
  <c r="D4928"/>
  <c r="H4928"/>
  <c r="A4929"/>
  <c r="D4929"/>
  <c r="H4929"/>
  <c r="A4930"/>
  <c r="D4930"/>
  <c r="H4930"/>
  <c r="A4931"/>
  <c r="D4931"/>
  <c r="H4931"/>
  <c r="A4932"/>
  <c r="D4932"/>
  <c r="H4932"/>
  <c r="A4933"/>
  <c r="D4933"/>
  <c r="H4933"/>
  <c r="A4934"/>
  <c r="D4934"/>
  <c r="H4934"/>
  <c r="A4935"/>
  <c r="D4935"/>
  <c r="H4935"/>
  <c r="A4936"/>
  <c r="D4936"/>
  <c r="H4936"/>
  <c r="A4937"/>
  <c r="D4937"/>
  <c r="H4937"/>
  <c r="A4938"/>
  <c r="D4938"/>
  <c r="H4938"/>
  <c r="A4939"/>
  <c r="D4939"/>
  <c r="H4939"/>
  <c r="A4940"/>
  <c r="D4940"/>
  <c r="H4940"/>
  <c r="A4941"/>
  <c r="D4941"/>
  <c r="H4941"/>
  <c r="A4942"/>
  <c r="D4942"/>
  <c r="H4942"/>
  <c r="A4943"/>
  <c r="D4943"/>
  <c r="H4943"/>
  <c r="A4944"/>
  <c r="D4944"/>
  <c r="H4944"/>
  <c r="A4945"/>
  <c r="D4945"/>
  <c r="H4945"/>
  <c r="A4946"/>
  <c r="D4946"/>
  <c r="H4946"/>
  <c r="A4947"/>
  <c r="D4947"/>
  <c r="H4947"/>
  <c r="A4948"/>
  <c r="D4948"/>
  <c r="H4948"/>
  <c r="A4949"/>
  <c r="D4949"/>
  <c r="H4949"/>
  <c r="A4950"/>
  <c r="D4950"/>
  <c r="H4950"/>
  <c r="A4951"/>
  <c r="D4951"/>
  <c r="H4951"/>
  <c r="A4952"/>
  <c r="D4952"/>
  <c r="H4952"/>
  <c r="A4953"/>
  <c r="D4953"/>
  <c r="H4953"/>
  <c r="A4954"/>
  <c r="D4954"/>
  <c r="H4954"/>
  <c r="A4955"/>
  <c r="D4955"/>
  <c r="H4955"/>
  <c r="A4956"/>
  <c r="D4956"/>
  <c r="H4956"/>
  <c r="A4957"/>
  <c r="D4957"/>
  <c r="H4957"/>
  <c r="A4958"/>
  <c r="D4958"/>
  <c r="H4958"/>
  <c r="A4959"/>
  <c r="D4959"/>
  <c r="H4959"/>
  <c r="A4960"/>
  <c r="D4960"/>
  <c r="H4960"/>
  <c r="A4961"/>
  <c r="D4961"/>
  <c r="H4961"/>
  <c r="A4962"/>
  <c r="D4962"/>
  <c r="H4962"/>
  <c r="A4963"/>
  <c r="D4963"/>
  <c r="H4963"/>
  <c r="A4964"/>
  <c r="D4964"/>
  <c r="H4964"/>
  <c r="A4965"/>
  <c r="D4965"/>
  <c r="H4965"/>
  <c r="A4966"/>
  <c r="D4966"/>
  <c r="H4966"/>
  <c r="A4967"/>
  <c r="D4967"/>
  <c r="H4967"/>
  <c r="A4968"/>
  <c r="D4968"/>
  <c r="H4968"/>
  <c r="A4969"/>
  <c r="D4969"/>
  <c r="H4969"/>
  <c r="A4970"/>
  <c r="D4970"/>
  <c r="H4970"/>
  <c r="A4971"/>
  <c r="D4971"/>
  <c r="H4971"/>
  <c r="A4972"/>
  <c r="D4972"/>
  <c r="H4972"/>
  <c r="A4973"/>
  <c r="D4973"/>
  <c r="H4973"/>
  <c r="A4974"/>
  <c r="D4974"/>
  <c r="H4974"/>
  <c r="A4975"/>
  <c r="D4975"/>
  <c r="H4975"/>
  <c r="A4976"/>
  <c r="D4976"/>
  <c r="H4976"/>
  <c r="A4977"/>
  <c r="D4977"/>
  <c r="H4977"/>
  <c r="A4978"/>
  <c r="D4978"/>
  <c r="H4978"/>
  <c r="A4979"/>
  <c r="D4979"/>
  <c r="H4979"/>
  <c r="A4980"/>
  <c r="D4980"/>
  <c r="H4980"/>
  <c r="A4981"/>
  <c r="D4981"/>
  <c r="H4981"/>
  <c r="A4982"/>
  <c r="D4982"/>
  <c r="H4982"/>
  <c r="A4983"/>
  <c r="D4983"/>
  <c r="H4983"/>
  <c r="A4984"/>
  <c r="D4984"/>
  <c r="H4984"/>
  <c r="A4985"/>
  <c r="D4985"/>
  <c r="H4985"/>
  <c r="A4986"/>
  <c r="D4986"/>
  <c r="H4986"/>
  <c r="A4987"/>
  <c r="D4987"/>
  <c r="H4987"/>
  <c r="A4988"/>
  <c r="D4988"/>
  <c r="H4988"/>
  <c r="A4989"/>
  <c r="D4989"/>
  <c r="H4989"/>
  <c r="A4990"/>
  <c r="D4990"/>
  <c r="H4990"/>
  <c r="A4991"/>
  <c r="D4991"/>
  <c r="H4991"/>
  <c r="A4992"/>
  <c r="D4992"/>
  <c r="H4992"/>
  <c r="A4993"/>
  <c r="D4993"/>
  <c r="H4993"/>
  <c r="A4994"/>
  <c r="D4994"/>
  <c r="H4994"/>
  <c r="A4995"/>
  <c r="D4995"/>
  <c r="H4995"/>
  <c r="A4996"/>
  <c r="D4996"/>
  <c r="H4996"/>
  <c r="A4997"/>
  <c r="D4997"/>
  <c r="H4997"/>
  <c r="A4998"/>
  <c r="D4998"/>
  <c r="H4998"/>
  <c r="A4999"/>
  <c r="D4999"/>
  <c r="H4999"/>
  <c r="A5000"/>
  <c r="D5000"/>
  <c r="H5000"/>
  <c r="A5001"/>
  <c r="D5001"/>
  <c r="H5001"/>
  <c r="A5002"/>
  <c r="D5002"/>
  <c r="H5002"/>
  <c r="A5003"/>
  <c r="D5003"/>
  <c r="H5003"/>
  <c r="A5004"/>
  <c r="D5004"/>
  <c r="H5004"/>
  <c r="A5005"/>
  <c r="D5005"/>
  <c r="H5005"/>
  <c r="A5006"/>
  <c r="D5006"/>
  <c r="H5006"/>
  <c r="A5007"/>
  <c r="D5007"/>
  <c r="H5007"/>
  <c r="A5008"/>
  <c r="D5008"/>
  <c r="H5008"/>
  <c r="A5009"/>
  <c r="D5009"/>
  <c r="H5009"/>
  <c r="A5010"/>
  <c r="D5010"/>
  <c r="H5010"/>
  <c r="A5011"/>
  <c r="D5011"/>
  <c r="H5011"/>
  <c r="A5012"/>
  <c r="D5012"/>
  <c r="H5012"/>
  <c r="A5013"/>
  <c r="D5013"/>
  <c r="H5013"/>
  <c r="A5014"/>
  <c r="D5014"/>
  <c r="H5014"/>
  <c r="A5015"/>
  <c r="D5015"/>
  <c r="H5015"/>
  <c r="A5016"/>
  <c r="D5016"/>
  <c r="H5016"/>
  <c r="A5017"/>
  <c r="D5017"/>
  <c r="H5017"/>
  <c r="A5018"/>
  <c r="D5018"/>
  <c r="H5018"/>
  <c r="A5019"/>
  <c r="D5019"/>
  <c r="H5019"/>
  <c r="A5020"/>
  <c r="D5020"/>
  <c r="H5020"/>
  <c r="A5021"/>
  <c r="D5021"/>
  <c r="H5021"/>
  <c r="A5022"/>
  <c r="D5022"/>
  <c r="H5022"/>
  <c r="A5023"/>
  <c r="D5023"/>
  <c r="H5023"/>
  <c r="A5024"/>
  <c r="D5024"/>
  <c r="H5024"/>
  <c r="A5025"/>
  <c r="D5025"/>
  <c r="H5025"/>
  <c r="A5026"/>
  <c r="D5026"/>
  <c r="H5026"/>
  <c r="A5027"/>
  <c r="D5027"/>
  <c r="H5027"/>
  <c r="A5028"/>
  <c r="D5028"/>
  <c r="H5028"/>
  <c r="A5029"/>
  <c r="D5029"/>
  <c r="H5029"/>
  <c r="A5030"/>
  <c r="D5030"/>
  <c r="H5030"/>
  <c r="A5031"/>
  <c r="D5031"/>
  <c r="H5031"/>
  <c r="A5032"/>
  <c r="D5032"/>
  <c r="H5032"/>
  <c r="A5033"/>
  <c r="D5033"/>
  <c r="H5033"/>
  <c r="A5034"/>
  <c r="D5034"/>
  <c r="H5034"/>
  <c r="A5035"/>
  <c r="D5035"/>
  <c r="H5035"/>
  <c r="A5036"/>
  <c r="D5036"/>
  <c r="H5036"/>
  <c r="A5037"/>
  <c r="D5037"/>
  <c r="H5037"/>
  <c r="A5038"/>
  <c r="D5038"/>
  <c r="H5038"/>
  <c r="A5039"/>
  <c r="D5039"/>
  <c r="H5039"/>
  <c r="A5040"/>
  <c r="D5040"/>
  <c r="H5040"/>
  <c r="A5041"/>
  <c r="D5041"/>
  <c r="H5041"/>
  <c r="A5042"/>
  <c r="D5042"/>
  <c r="H5042"/>
  <c r="A5043"/>
  <c r="D5043"/>
  <c r="H5043"/>
  <c r="A5044"/>
  <c r="D5044"/>
  <c r="H5044"/>
  <c r="A5045"/>
  <c r="D5045"/>
  <c r="H5045"/>
  <c r="A5046"/>
  <c r="D5046"/>
  <c r="H5046"/>
  <c r="A5047"/>
  <c r="D5047"/>
  <c r="H5047"/>
  <c r="A5048"/>
  <c r="D5048"/>
  <c r="H5048"/>
  <c r="A5049"/>
  <c r="D5049"/>
  <c r="H5049"/>
  <c r="A5050"/>
  <c r="D5050"/>
  <c r="H5050"/>
  <c r="A5051"/>
  <c r="D5051"/>
  <c r="H5051"/>
  <c r="A5052"/>
  <c r="D5052"/>
  <c r="H5052"/>
  <c r="A5053"/>
  <c r="D5053"/>
  <c r="H5053"/>
  <c r="A5054"/>
  <c r="D5054"/>
  <c r="H5054"/>
  <c r="A5055"/>
  <c r="D5055"/>
  <c r="H5055"/>
  <c r="A5056"/>
  <c r="D5056"/>
  <c r="H5056"/>
  <c r="A5057"/>
  <c r="D5057"/>
  <c r="H5057"/>
  <c r="A5058"/>
  <c r="D5058"/>
  <c r="H5058"/>
  <c r="A5059"/>
  <c r="D5059"/>
  <c r="H5059"/>
  <c r="A5060"/>
  <c r="D5060"/>
  <c r="H5060"/>
  <c r="A5061"/>
  <c r="D5061"/>
  <c r="H5061"/>
  <c r="A5062"/>
  <c r="D5062"/>
  <c r="H5062"/>
  <c r="A5063"/>
  <c r="D5063"/>
  <c r="H5063"/>
  <c r="A5064"/>
  <c r="D5064"/>
  <c r="H5064"/>
  <c r="A5065"/>
  <c r="D5065"/>
  <c r="H5065"/>
  <c r="A5066"/>
  <c r="D5066"/>
  <c r="H5066"/>
  <c r="A5067"/>
  <c r="D5067"/>
  <c r="H5067"/>
  <c r="A5068"/>
  <c r="D5068"/>
  <c r="H5068"/>
  <c r="A5069"/>
  <c r="D5069"/>
  <c r="H5069"/>
  <c r="A5070"/>
  <c r="D5070"/>
  <c r="H5070"/>
  <c r="A5071"/>
  <c r="D5071"/>
  <c r="H5071"/>
  <c r="A5072"/>
  <c r="D5072"/>
  <c r="H5072"/>
  <c r="A5073"/>
  <c r="D5073"/>
  <c r="H5073"/>
  <c r="A5074"/>
  <c r="D5074"/>
  <c r="H5074"/>
  <c r="A5075"/>
  <c r="D5075"/>
  <c r="H5075"/>
  <c r="A5076"/>
  <c r="D5076"/>
  <c r="H5076"/>
  <c r="A5077"/>
  <c r="D5077"/>
  <c r="H5077"/>
  <c r="A5078"/>
  <c r="D5078"/>
  <c r="H5078"/>
  <c r="A5079"/>
  <c r="D5079"/>
  <c r="H5079"/>
  <c r="A5080"/>
  <c r="D5080"/>
  <c r="H5080"/>
  <c r="A5081"/>
  <c r="D5081"/>
  <c r="H5081"/>
  <c r="A5082"/>
  <c r="D5082"/>
  <c r="H5082"/>
  <c r="A5083"/>
  <c r="D5083"/>
  <c r="H5083"/>
  <c r="A5084"/>
  <c r="D5084"/>
  <c r="H5084"/>
  <c r="A5085"/>
  <c r="D5085"/>
  <c r="H5085"/>
  <c r="A5086"/>
  <c r="D5086"/>
  <c r="H5086"/>
  <c r="A5087"/>
  <c r="D5087"/>
  <c r="H5087"/>
  <c r="A5088"/>
  <c r="D5088"/>
  <c r="H5088"/>
  <c r="A5089"/>
  <c r="D5089"/>
  <c r="H5089"/>
  <c r="A5090"/>
  <c r="D5090"/>
  <c r="H5090"/>
  <c r="A5091"/>
  <c r="D5091"/>
  <c r="H5091"/>
  <c r="A5092"/>
  <c r="D5092"/>
  <c r="H5092"/>
  <c r="A5093"/>
  <c r="D5093"/>
  <c r="H5093"/>
  <c r="A5094"/>
  <c r="D5094"/>
  <c r="H5094"/>
  <c r="A5095"/>
  <c r="D5095"/>
  <c r="H5095"/>
  <c r="A5096"/>
  <c r="D5096"/>
  <c r="H5096"/>
  <c r="A5097"/>
  <c r="D5097"/>
  <c r="H5097"/>
  <c r="A5098"/>
  <c r="D5098"/>
  <c r="H5098"/>
  <c r="A5099"/>
  <c r="D5099"/>
  <c r="H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C5656"/>
  <c r="H5656"/>
  <c r="A5657"/>
  <c r="C5657"/>
  <c r="H5657"/>
  <c r="A5658"/>
  <c r="C5658"/>
  <c r="H5658"/>
  <c r="A5659"/>
  <c r="C5659"/>
  <c r="H5659"/>
  <c r="A5660"/>
  <c r="C5660"/>
  <c r="H5660"/>
  <c r="A5661"/>
  <c r="C5661"/>
  <c r="H5661"/>
  <c r="A5662"/>
  <c r="C5662"/>
  <c r="H5662"/>
  <c r="A5663"/>
  <c r="C5663"/>
  <c r="H5663"/>
  <c r="A5664"/>
  <c r="C5664"/>
  <c r="H5664"/>
  <c r="A5665"/>
  <c r="C5665"/>
  <c r="H5665"/>
  <c r="A5666"/>
  <c r="C5666"/>
  <c r="H5666"/>
  <c r="A5667"/>
  <c r="C5667"/>
  <c r="H5667"/>
  <c r="A5668"/>
  <c r="C5668"/>
  <c r="H5668"/>
  <c r="A5669"/>
  <c r="C5669"/>
  <c r="H5669"/>
  <c r="A5670"/>
  <c r="C5670"/>
  <c r="H5670"/>
  <c r="A5671"/>
  <c r="C5671"/>
  <c r="H5671"/>
  <c r="A5672"/>
  <c r="C5672"/>
  <c r="H5672"/>
  <c r="A5673"/>
  <c r="C5673"/>
  <c r="H5673"/>
  <c r="A5674"/>
  <c r="C5674"/>
  <c r="H5674"/>
  <c r="A5675"/>
  <c r="C5675"/>
  <c r="H5675"/>
  <c r="A5676"/>
  <c r="C5676"/>
  <c r="H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F5843"/>
  <c r="A5844"/>
  <c r="F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I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I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C6388"/>
  <c r="H6388"/>
  <c r="A6389"/>
  <c r="C6389"/>
  <c r="H6389"/>
  <c r="A6390"/>
  <c r="C6390"/>
  <c r="H6390"/>
  <c r="A6391"/>
  <c r="A6392"/>
  <c r="A6393"/>
  <c r="A6394"/>
  <c r="A6395"/>
  <c r="A6396"/>
  <c r="A6397"/>
  <c r="A6398"/>
  <c r="A6399"/>
  <c r="A6400"/>
  <c r="C6400"/>
  <c r="H6400"/>
  <c r="A6401"/>
  <c r="C6401"/>
  <c r="H6401"/>
  <c r="A6402"/>
  <c r="C6402"/>
  <c r="H6402"/>
  <c r="A6403"/>
  <c r="C6403"/>
  <c r="H6403"/>
  <c r="A6404"/>
  <c r="C6404"/>
  <c r="H6404"/>
  <c r="A6405"/>
  <c r="C6405"/>
  <c r="H6405"/>
  <c r="A6406"/>
  <c r="C6406"/>
  <c r="H6406"/>
  <c r="A6407"/>
  <c r="A6408"/>
  <c r="A6409"/>
  <c r="A6410"/>
  <c r="A6411"/>
  <c r="C6411"/>
  <c r="H6411"/>
  <c r="A6412"/>
  <c r="C6412"/>
  <c r="H6412"/>
  <c r="A6413"/>
  <c r="C6413"/>
  <c r="H6413"/>
  <c r="A6414"/>
  <c r="C6414"/>
  <c r="H6414"/>
  <c r="A6415"/>
  <c r="C6415"/>
  <c r="H6415"/>
  <c r="A6416"/>
  <c r="C6416"/>
  <c r="H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C7044"/>
  <c r="D7044"/>
  <c r="H7044"/>
  <c r="A7045"/>
  <c r="C7045"/>
  <c r="D7045"/>
  <c r="H7045"/>
  <c r="A7046"/>
  <c r="C7046"/>
  <c r="D7046"/>
  <c r="H7046"/>
  <c r="A7047"/>
  <c r="C7047"/>
  <c r="D7047"/>
  <c r="H7047"/>
  <c r="A7048"/>
  <c r="C7048"/>
  <c r="D7048"/>
  <c r="H7048"/>
  <c r="A7049"/>
  <c r="C7049"/>
  <c r="D7049"/>
  <c r="H7049"/>
  <c r="A7050"/>
  <c r="C7050"/>
  <c r="D7050"/>
  <c r="H7050"/>
  <c r="A7051"/>
  <c r="C7051"/>
  <c r="D7051"/>
  <c r="H7051"/>
  <c r="A7052"/>
  <c r="C7052"/>
  <c r="D7052"/>
  <c r="H7052"/>
  <c r="A7053"/>
  <c r="C7053"/>
  <c r="D7053"/>
  <c r="H7053"/>
  <c r="A7054"/>
  <c r="C7054"/>
  <c r="D7054"/>
  <c r="H7054"/>
  <c r="A7055"/>
  <c r="C7055"/>
  <c r="D7055"/>
  <c r="H7055"/>
  <c r="A7056"/>
  <c r="C7056"/>
  <c r="D7056"/>
  <c r="H7056"/>
  <c r="A7057"/>
  <c r="C7057"/>
  <c r="D7057"/>
  <c r="H7057"/>
  <c r="A7058"/>
  <c r="C7058"/>
  <c r="D7058"/>
  <c r="H7058"/>
  <c r="A7059"/>
  <c r="C7059"/>
  <c r="D7059"/>
  <c r="H7059"/>
  <c r="A7060"/>
  <c r="C7060"/>
  <c r="D7060"/>
  <c r="H7060"/>
  <c r="A7061"/>
  <c r="C7061"/>
  <c r="D7061"/>
  <c r="H7061"/>
  <c r="A7062"/>
  <c r="C7062"/>
  <c r="D7062"/>
  <c r="H7062"/>
  <c r="A7063"/>
  <c r="C7063"/>
  <c r="D7063"/>
  <c r="H7063"/>
  <c r="A7064"/>
  <c r="C7064"/>
  <c r="D7064"/>
  <c r="H7064"/>
  <c r="A7065"/>
  <c r="C7065"/>
  <c r="D7065"/>
  <c r="H7065"/>
  <c r="A7066"/>
  <c r="C7066"/>
  <c r="D7066"/>
  <c r="H7066"/>
  <c r="A7067"/>
  <c r="C7067"/>
  <c r="D7067"/>
  <c r="H7067"/>
  <c r="A7068"/>
  <c r="C7068"/>
  <c r="D7068"/>
  <c r="H7068"/>
  <c r="A7069"/>
  <c r="C7069"/>
  <c r="D7069"/>
  <c r="H7069"/>
  <c r="A7070"/>
  <c r="C7070"/>
  <c r="D7070"/>
  <c r="H7070"/>
  <c r="A7071"/>
  <c r="C7071"/>
  <c r="D7071"/>
  <c r="H7071"/>
  <c r="A7072"/>
  <c r="C7072"/>
  <c r="D7072"/>
  <c r="H7072"/>
  <c r="A7073"/>
  <c r="C7073"/>
  <c r="D7073"/>
  <c r="H7073"/>
  <c r="A7074"/>
  <c r="C7074"/>
  <c r="D7074"/>
  <c r="H7074"/>
  <c r="A7075"/>
  <c r="C7075"/>
  <c r="D7075"/>
  <c r="H7075"/>
  <c r="A7076"/>
  <c r="C7076"/>
  <c r="D7076"/>
  <c r="H7076"/>
  <c r="A7077"/>
  <c r="C7077"/>
  <c r="D7077"/>
  <c r="H7077"/>
  <c r="A7078"/>
  <c r="C7078"/>
  <c r="D7078"/>
  <c r="H7078"/>
  <c r="A7079"/>
  <c r="C7079"/>
  <c r="D7079"/>
  <c r="H7079"/>
  <c r="A7080"/>
  <c r="C7080"/>
  <c r="D7080"/>
  <c r="H7080"/>
  <c r="A7081"/>
  <c r="C7081"/>
  <c r="D7081"/>
  <c r="H7081"/>
  <c r="A7082"/>
  <c r="C7082"/>
  <c r="D7082"/>
  <c r="H7082"/>
  <c r="A7083"/>
  <c r="C7083"/>
  <c r="D7083"/>
  <c r="H7083"/>
  <c r="A7084"/>
  <c r="C7084"/>
  <c r="D7084"/>
  <c r="H7084"/>
  <c r="A7085"/>
  <c r="C7085"/>
  <c r="D7085"/>
  <c r="H7085"/>
  <c r="A7086"/>
  <c r="C7086"/>
  <c r="D7086"/>
  <c r="H7086"/>
  <c r="A7087"/>
  <c r="C7087"/>
  <c r="D7087"/>
  <c r="H7087"/>
  <c r="A7088"/>
  <c r="C7088"/>
  <c r="D7088"/>
  <c r="H7088"/>
  <c r="A7089"/>
  <c r="C7089"/>
  <c r="D7089"/>
  <c r="H7089"/>
  <c r="A7090"/>
  <c r="C7090"/>
  <c r="D7090"/>
  <c r="H7090"/>
  <c r="A7091"/>
  <c r="C7091"/>
  <c r="D7091"/>
  <c r="H7091"/>
  <c r="A7092"/>
  <c r="C7092"/>
  <c r="D7092"/>
  <c r="H7092"/>
  <c r="A7093"/>
  <c r="C7093"/>
  <c r="D7093"/>
  <c r="H7093"/>
  <c r="A7094"/>
  <c r="C7094"/>
  <c r="D7094"/>
  <c r="H7094"/>
  <c r="A7095"/>
  <c r="C7095"/>
  <c r="D7095"/>
  <c r="H7095"/>
  <c r="A7096"/>
  <c r="C7096"/>
  <c r="D7096"/>
  <c r="H7096"/>
  <c r="A7097"/>
  <c r="C7097"/>
  <c r="D7097"/>
  <c r="H7097"/>
  <c r="A7098"/>
  <c r="C7098"/>
  <c r="D7098"/>
  <c r="H7098"/>
  <c r="A7099"/>
  <c r="C7099"/>
  <c r="D7099"/>
  <c r="H7099"/>
  <c r="A7100"/>
  <c r="C7100"/>
  <c r="D7100"/>
  <c r="H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D7415"/>
  <c r="H7415"/>
  <c r="A7416"/>
  <c r="D7416"/>
  <c r="H7416"/>
  <c r="A7417"/>
  <c r="D7417"/>
  <c r="H7417"/>
  <c r="A7418"/>
  <c r="D7418"/>
  <c r="H7418"/>
  <c r="A7419"/>
  <c r="D7419"/>
  <c r="H7419"/>
  <c r="A7420"/>
  <c r="D7420"/>
  <c r="H7420"/>
  <c r="A7421"/>
  <c r="D7421"/>
  <c r="H7421"/>
  <c r="A7422"/>
  <c r="D7422"/>
  <c r="H7422"/>
  <c r="A7423"/>
  <c r="D7423"/>
  <c r="H7423"/>
  <c r="A7424"/>
  <c r="D7424"/>
  <c r="H7424"/>
  <c r="A7425"/>
  <c r="D7425"/>
  <c r="H7425"/>
  <c r="A7426"/>
  <c r="D7426"/>
  <c r="H7426"/>
  <c r="A7427"/>
  <c r="D7427"/>
  <c r="H7427"/>
  <c r="A7428"/>
  <c r="D7428"/>
  <c r="H7428"/>
  <c r="A7429"/>
  <c r="D7429"/>
  <c r="H7429"/>
  <c r="A7430"/>
  <c r="D7430"/>
  <c r="H7430"/>
  <c r="A7431"/>
  <c r="D7431"/>
  <c r="H7431"/>
  <c r="A7432"/>
  <c r="D7432"/>
  <c r="H7432"/>
  <c r="A7433"/>
  <c r="D7433"/>
  <c r="H7433"/>
  <c r="A7434"/>
  <c r="D7434"/>
  <c r="H7434"/>
  <c r="A7435"/>
  <c r="D7435"/>
  <c r="H7435"/>
  <c r="A7436"/>
  <c r="D7436"/>
  <c r="H7436"/>
  <c r="A7437"/>
  <c r="D7437"/>
  <c r="H7437"/>
  <c r="A7438"/>
  <c r="D7438"/>
  <c r="H7438"/>
  <c r="A7439"/>
  <c r="D7439"/>
  <c r="H7439"/>
  <c r="A7440"/>
  <c r="D7440"/>
  <c r="H7440"/>
  <c r="A7441"/>
  <c r="D7441"/>
  <c r="H7441"/>
  <c r="A7442"/>
  <c r="D7442"/>
  <c r="H7442"/>
  <c r="A7443"/>
  <c r="D7443"/>
  <c r="H7443"/>
  <c r="A7444"/>
  <c r="D7444"/>
  <c r="H7444"/>
  <c r="A7445"/>
  <c r="D7445"/>
  <c r="H7445"/>
  <c r="A7446"/>
  <c r="D7446"/>
  <c r="H7446"/>
  <c r="A7447"/>
  <c r="D7447"/>
  <c r="H7447"/>
  <c r="A7448"/>
  <c r="D7448"/>
  <c r="H7448"/>
  <c r="A7449"/>
  <c r="D7449"/>
  <c r="H7449"/>
  <c r="A7450"/>
  <c r="D7450"/>
  <c r="H7450"/>
  <c r="A7451"/>
  <c r="D7451"/>
  <c r="H7451"/>
  <c r="A7452"/>
  <c r="D7452"/>
  <c r="H7452"/>
  <c r="A7453"/>
  <c r="D7453"/>
  <c r="H7453"/>
  <c r="A7454"/>
  <c r="D7454"/>
  <c r="H7454"/>
  <c r="A7455"/>
  <c r="D7455"/>
  <c r="H7455"/>
  <c r="A7456"/>
  <c r="D7456"/>
  <c r="H7456"/>
  <c r="A7457"/>
  <c r="D7457"/>
  <c r="H7457"/>
  <c r="A7458"/>
  <c r="D7458"/>
  <c r="H7458"/>
  <c r="A7459"/>
  <c r="D7459"/>
  <c r="H7459"/>
  <c r="A7460"/>
  <c r="D7460"/>
  <c r="H7460"/>
  <c r="A7461"/>
  <c r="D7461"/>
  <c r="H7461"/>
  <c r="A7462"/>
  <c r="D7462"/>
  <c r="H7462"/>
  <c r="A7463"/>
  <c r="D7463"/>
  <c r="H7463"/>
  <c r="A7464"/>
  <c r="D7464"/>
  <c r="H7464"/>
  <c r="A7465"/>
  <c r="D7465"/>
  <c r="H7465"/>
  <c r="A7466"/>
  <c r="D7466"/>
  <c r="H7466"/>
  <c r="A7467"/>
  <c r="D7467"/>
  <c r="H7467"/>
  <c r="A7468"/>
  <c r="D7468"/>
  <c r="H7468"/>
  <c r="A7469"/>
  <c r="D7469"/>
  <c r="H7469"/>
  <c r="A7470"/>
  <c r="D7470"/>
  <c r="H7470"/>
  <c r="A7471"/>
  <c r="D7471"/>
  <c r="H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C7935"/>
  <c r="H7935"/>
  <c r="A7936"/>
  <c r="C7936"/>
  <c r="H7936"/>
  <c r="A7937"/>
  <c r="C7937"/>
  <c r="H7937"/>
  <c r="A7938"/>
  <c r="C7938"/>
  <c r="H7938"/>
  <c r="A7939"/>
  <c r="C7939"/>
  <c r="H7939"/>
  <c r="A7940"/>
  <c r="C7940"/>
  <c r="H7940"/>
  <c r="A7941"/>
  <c r="C7941"/>
  <c r="H7941"/>
  <c r="A7942"/>
  <c r="C7942"/>
  <c r="H7942"/>
  <c r="A7943"/>
  <c r="C7943"/>
  <c r="H7943"/>
  <c r="A7944"/>
  <c r="C7944"/>
  <c r="H7944"/>
  <c r="A7945"/>
  <c r="C7945"/>
  <c r="H7945"/>
  <c r="A7946"/>
  <c r="C7946"/>
  <c r="H7946"/>
  <c r="A7947"/>
  <c r="C7947"/>
  <c r="H7947"/>
  <c r="A7948"/>
  <c r="C7948"/>
  <c r="H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C8564"/>
  <c r="H8564"/>
  <c r="A8565"/>
  <c r="C8565"/>
  <c r="H8565"/>
  <c r="A8566"/>
  <c r="C8566"/>
  <c r="H8566"/>
  <c r="A8567"/>
  <c r="C8567"/>
  <c r="H8567"/>
  <c r="A8568"/>
  <c r="C8568"/>
  <c r="H8568"/>
  <c r="A8569"/>
  <c r="C8569"/>
  <c r="H8569"/>
  <c r="A8570"/>
  <c r="C8570"/>
  <c r="H8570"/>
  <c r="A8571"/>
  <c r="C8571"/>
  <c r="H8571"/>
  <c r="A8572"/>
  <c r="C8572"/>
  <c r="H8572"/>
  <c r="A8573"/>
  <c r="C8573"/>
  <c r="H8573"/>
  <c r="A8574"/>
  <c r="C8574"/>
  <c r="H8574"/>
  <c r="A8575"/>
  <c r="C8575"/>
  <c r="H8575"/>
  <c r="A8576"/>
  <c r="C8576"/>
  <c r="H8576"/>
  <c r="A8577"/>
  <c r="C8577"/>
  <c r="H8577"/>
  <c r="A8578"/>
  <c r="C8578"/>
  <c r="H8578"/>
  <c r="A8579"/>
  <c r="C8579"/>
  <c r="H8579"/>
  <c r="A8580"/>
  <c r="C8580"/>
  <c r="H8580"/>
  <c r="A8581"/>
  <c r="C8581"/>
  <c r="H8581"/>
  <c r="A8582"/>
  <c r="C8582"/>
  <c r="H8582"/>
  <c r="A8583"/>
  <c r="C8583"/>
  <c r="H8583"/>
  <c r="A8584"/>
  <c r="C8584"/>
  <c r="H8584"/>
  <c r="A8585"/>
  <c r="C8585"/>
  <c r="H8585"/>
  <c r="A8586"/>
  <c r="C8586"/>
  <c r="H8586"/>
  <c r="A8587"/>
  <c r="C8587"/>
  <c r="H8587"/>
  <c r="A8588"/>
  <c r="C8588"/>
  <c r="H8588"/>
  <c r="A8589"/>
  <c r="C8589"/>
  <c r="H8589"/>
  <c r="A8590"/>
  <c r="C8590"/>
  <c r="H8590"/>
  <c r="A8591"/>
  <c r="C8591"/>
  <c r="H8591"/>
  <c r="A8592"/>
  <c r="C8592"/>
  <c r="H8592"/>
  <c r="A8593"/>
  <c r="C8593"/>
  <c r="H8593"/>
  <c r="A8594"/>
  <c r="C8594"/>
  <c r="H8594"/>
  <c r="A8595"/>
  <c r="C8595"/>
  <c r="H8595"/>
  <c r="A8596"/>
  <c r="C8596"/>
  <c r="H8596"/>
  <c r="A8597"/>
  <c r="C8597"/>
  <c r="H8597"/>
  <c r="A8598"/>
  <c r="C8598"/>
  <c r="H8598"/>
  <c r="A8599"/>
  <c r="C8599"/>
  <c r="H8599"/>
  <c r="A8600"/>
  <c r="C8600"/>
  <c r="H8600"/>
  <c r="A8601"/>
  <c r="C8601"/>
  <c r="H8601"/>
  <c r="A8602"/>
  <c r="C8602"/>
  <c r="H8602"/>
  <c r="A8603"/>
  <c r="C8603"/>
  <c r="H8603"/>
  <c r="A8604"/>
  <c r="C8604"/>
  <c r="H8604"/>
  <c r="A8605"/>
  <c r="C8605"/>
  <c r="H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C8626"/>
  <c r="A8627"/>
  <c r="C8627"/>
  <c r="A8628"/>
  <c r="C8628"/>
  <c r="A8629"/>
  <c r="C8629"/>
  <c r="A8630"/>
  <c r="C8630"/>
  <c r="A8631"/>
  <c r="C8631"/>
  <c r="A8632"/>
  <c r="C8632"/>
  <c r="A8633"/>
  <c r="C8633"/>
  <c r="A8634"/>
  <c r="C8634"/>
  <c r="A8635"/>
  <c r="C8635"/>
  <c r="A8636"/>
  <c r="C8636"/>
  <c r="A8637"/>
  <c r="C8637"/>
  <c r="A8638"/>
  <c r="C8638"/>
  <c r="A8639"/>
  <c r="C8639"/>
  <c r="A8640"/>
  <c r="C8640"/>
  <c r="A8641"/>
  <c r="C8641"/>
  <c r="A8642"/>
  <c r="C8642"/>
  <c r="A8643"/>
  <c r="C8643"/>
  <c r="A8644"/>
  <c r="C8644"/>
  <c r="A8645"/>
  <c r="C8645"/>
  <c r="A8646"/>
  <c r="C8646"/>
  <c r="A8647"/>
  <c r="C8647"/>
  <c r="A8648"/>
  <c r="C8648"/>
  <c r="A8649"/>
  <c r="C8649"/>
  <c r="A8650"/>
  <c r="C8650"/>
  <c r="A8651"/>
  <c r="C8651"/>
  <c r="A8652"/>
  <c r="C8652"/>
  <c r="A8653"/>
  <c r="C8653"/>
  <c r="A8654"/>
  <c r="C8654"/>
  <c r="A8655"/>
  <c r="C8655"/>
  <c r="A8656"/>
  <c r="C8656"/>
  <c r="A8657"/>
  <c r="C8657"/>
  <c r="A8658"/>
  <c r="C8658"/>
  <c r="A8659"/>
  <c r="C8659"/>
  <c r="A8660"/>
  <c r="C8660"/>
  <c r="A8661"/>
  <c r="C8661"/>
  <c r="A8662"/>
  <c r="C8662"/>
  <c r="A8663"/>
  <c r="C8663"/>
  <c r="A8664"/>
  <c r="C8664"/>
  <c r="A8665"/>
  <c r="C8665"/>
  <c r="A8666"/>
  <c r="C8666"/>
  <c r="A8667"/>
  <c r="C8667"/>
  <c r="A8668"/>
  <c r="C8668"/>
  <c r="A8669"/>
  <c r="C8669"/>
  <c r="A8670"/>
  <c r="C8670"/>
  <c r="A8671"/>
  <c r="C8671"/>
  <c r="A8672"/>
  <c r="C8672"/>
  <c r="A8673"/>
  <c r="C8673"/>
  <c r="A8674"/>
  <c r="C8674"/>
  <c r="A8675"/>
  <c r="C8675"/>
  <c r="A8676"/>
  <c r="C8676"/>
  <c r="A8677"/>
  <c r="C8677"/>
  <c r="A8678"/>
  <c r="C8678"/>
  <c r="A8679"/>
  <c r="C8679"/>
  <c r="A8680"/>
  <c r="C8680"/>
  <c r="A8681"/>
  <c r="C8681"/>
  <c r="A8682"/>
  <c r="C8682"/>
  <c r="A8683"/>
  <c r="C8683"/>
  <c r="A8684"/>
  <c r="C8684"/>
  <c r="A8685"/>
  <c r="C8685"/>
  <c r="A8686"/>
  <c r="C8686"/>
  <c r="A8687"/>
  <c r="C8687"/>
  <c r="A8688"/>
  <c r="C8688"/>
  <c r="A8689"/>
  <c r="C8689"/>
  <c r="A8690"/>
  <c r="C8690"/>
  <c r="A8691"/>
  <c r="C8691"/>
  <c r="A8692"/>
  <c r="C8692"/>
  <c r="A8693"/>
  <c r="C8693"/>
  <c r="A8694"/>
  <c r="C8694"/>
  <c r="A8695"/>
  <c r="C8695"/>
  <c r="A8696"/>
  <c r="C8696"/>
  <c r="A8697"/>
  <c r="C8697"/>
  <c r="A8698"/>
  <c r="C8698"/>
  <c r="A8699"/>
  <c r="C8699"/>
  <c r="A8700"/>
  <c r="C8700"/>
  <c r="A8701"/>
  <c r="C8701"/>
  <c r="A8702"/>
  <c r="C8702"/>
  <c r="A8703"/>
  <c r="C8703"/>
  <c r="A8704"/>
  <c r="C8704"/>
  <c r="A8705"/>
  <c r="C8705"/>
  <c r="A8706"/>
  <c r="C8706"/>
  <c r="A8707"/>
  <c r="C8707"/>
  <c r="A8708"/>
  <c r="C8708"/>
  <c r="A8709"/>
  <c r="C8709"/>
  <c r="A8710"/>
  <c r="C8710"/>
  <c r="A8711"/>
  <c r="C8711"/>
  <c r="A8712"/>
  <c r="C8712"/>
  <c r="A8713"/>
  <c r="C8713"/>
  <c r="A8714"/>
  <c r="C8714"/>
  <c r="A8715"/>
  <c r="C8715"/>
  <c r="A8716"/>
  <c r="C8716"/>
  <c r="A8717"/>
  <c r="C8717"/>
  <c r="A8718"/>
  <c r="C8718"/>
  <c r="A8719"/>
  <c r="C8719"/>
  <c r="A8720"/>
  <c r="C8720"/>
  <c r="A8721"/>
  <c r="C8721"/>
  <c r="A8722"/>
  <c r="C8722"/>
  <c r="A8723"/>
  <c r="C8723"/>
  <c r="A8724"/>
  <c r="C8724"/>
  <c r="A8725"/>
  <c r="C8725"/>
  <c r="A8726"/>
  <c r="C8726"/>
  <c r="A8727"/>
  <c r="C8727"/>
  <c r="A8728"/>
  <c r="C8728"/>
  <c r="A8729"/>
  <c r="C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A9553"/>
  <c r="A9554"/>
  <c r="A9555"/>
  <c r="A9556"/>
  <c r="A9557"/>
  <c r="A9558"/>
  <c r="A9559"/>
  <c r="A9560"/>
  <c r="A9561"/>
  <c r="A9562"/>
  <c r="A9563"/>
  <c r="A9564"/>
  <c r="A9565"/>
  <c r="A9566"/>
  <c r="A9567"/>
  <c r="A9568"/>
  <c r="A9569"/>
  <c r="A9570"/>
  <c r="A9571"/>
  <c r="A9572"/>
  <c r="A9573"/>
  <c r="A9574"/>
  <c r="A9575"/>
  <c r="A9576"/>
  <c r="A9577"/>
  <c r="A9578"/>
  <c r="A9579"/>
  <c r="A9580"/>
  <c r="A9581"/>
  <c r="A9582"/>
  <c r="A9583"/>
  <c r="A9584"/>
  <c r="A9585"/>
  <c r="A9586"/>
  <c r="A9587"/>
  <c r="A9588"/>
  <c r="A9589"/>
  <c r="A9590"/>
  <c r="A9591"/>
  <c r="A9592"/>
  <c r="A9593"/>
  <c r="A9594"/>
  <c r="A9595"/>
  <c r="A9596"/>
  <c r="A9597"/>
  <c r="A9598"/>
  <c r="A9599"/>
  <c r="A9600"/>
  <c r="A9601"/>
  <c r="A9602"/>
  <c r="A9603"/>
  <c r="A9604"/>
  <c r="A9605"/>
  <c r="A9606"/>
  <c r="A9607"/>
  <c r="A9608"/>
  <c r="A9609"/>
  <c r="A9610"/>
  <c r="A9611"/>
  <c r="A9612"/>
  <c r="A9613"/>
  <c r="A9614"/>
  <c r="A9615"/>
  <c r="A9616"/>
  <c r="A9617"/>
  <c r="A9618"/>
  <c r="A9619"/>
  <c r="A9620"/>
  <c r="A9621"/>
  <c r="A9622"/>
  <c r="A9623"/>
  <c r="A9624"/>
  <c r="A9625"/>
  <c r="A9626"/>
  <c r="A9627"/>
  <c r="A9628"/>
  <c r="A9629"/>
  <c r="A9630"/>
  <c r="A9631"/>
  <c r="A9632"/>
  <c r="A9633"/>
  <c r="A9634"/>
  <c r="A9635"/>
  <c r="A9636"/>
  <c r="A9637"/>
  <c r="A9638"/>
  <c r="A9639"/>
  <c r="A9640"/>
  <c r="A9641"/>
  <c r="A9642"/>
  <c r="A9643"/>
  <c r="A9644"/>
  <c r="A9645"/>
  <c r="A9646"/>
  <c r="A9647"/>
  <c r="A9648"/>
  <c r="A9649"/>
  <c r="A9650"/>
  <c r="A9651"/>
  <c r="A9652"/>
  <c r="A9653"/>
  <c r="A9654"/>
  <c r="A9655"/>
  <c r="A9656"/>
  <c r="A9657"/>
  <c r="A9658"/>
  <c r="A9659"/>
  <c r="A9660"/>
  <c r="A9661"/>
  <c r="A9662"/>
  <c r="A9663"/>
  <c r="A9664"/>
  <c r="A9665"/>
  <c r="A9666"/>
  <c r="A9667"/>
  <c r="A9668"/>
  <c r="A9669"/>
  <c r="A9670"/>
  <c r="A9671"/>
  <c r="A9672"/>
  <c r="A9673"/>
  <c r="A9674"/>
  <c r="A9675"/>
  <c r="A9676"/>
  <c r="A9677"/>
  <c r="A9678"/>
  <c r="A9679"/>
  <c r="A9680"/>
  <c r="A9681"/>
  <c r="A9682"/>
  <c r="A9683"/>
  <c r="A9684"/>
  <c r="A9685"/>
  <c r="A9686"/>
  <c r="A9687"/>
  <c r="A9688"/>
  <c r="A9689"/>
  <c r="A9690"/>
  <c r="A9691"/>
  <c r="A9692"/>
  <c r="A9693"/>
  <c r="A9694"/>
  <c r="A9695"/>
  <c r="A9696"/>
  <c r="A9697"/>
  <c r="A9698"/>
  <c r="A9699"/>
  <c r="A9700"/>
  <c r="A9701"/>
  <c r="A9702"/>
  <c r="A9703"/>
  <c r="A9704"/>
  <c r="A9705"/>
  <c r="A9706"/>
  <c r="A9707"/>
  <c r="A9708"/>
  <c r="A9709"/>
  <c r="A9710"/>
  <c r="A9711"/>
  <c r="A9712"/>
  <c r="A9713"/>
  <c r="A9714"/>
  <c r="A9715"/>
  <c r="A9716"/>
  <c r="A9717"/>
  <c r="A9718"/>
  <c r="A9719"/>
  <c r="A9720"/>
  <c r="A9721"/>
  <c r="A9722"/>
  <c r="A9723"/>
  <c r="A9724"/>
  <c r="A9725"/>
  <c r="A9726"/>
  <c r="A9727"/>
  <c r="A9728"/>
  <c r="A9729"/>
  <c r="A9730"/>
  <c r="A9731"/>
  <c r="A9732"/>
  <c r="A9733"/>
  <c r="A9734"/>
  <c r="A9735"/>
  <c r="A9736"/>
  <c r="A9737"/>
  <c r="A9738"/>
  <c r="A9739"/>
  <c r="A9740"/>
  <c r="A9741"/>
  <c r="A9742"/>
  <c r="A9743"/>
  <c r="A9744"/>
  <c r="A9745"/>
  <c r="A9746"/>
  <c r="A9747"/>
  <c r="A9748"/>
  <c r="A9749"/>
  <c r="A9750"/>
  <c r="A9751"/>
  <c r="A9752"/>
  <c r="A9753"/>
  <c r="A9754"/>
  <c r="A9755"/>
  <c r="A9756"/>
  <c r="A9757"/>
  <c r="A9758"/>
  <c r="A9759"/>
  <c r="A9760"/>
  <c r="A9761"/>
  <c r="A9762"/>
  <c r="A9763"/>
  <c r="A9764"/>
  <c r="A9765"/>
  <c r="A9766"/>
  <c r="A9767"/>
  <c r="A9768"/>
  <c r="A9769"/>
  <c r="A9770"/>
  <c r="A9771"/>
  <c r="A9772"/>
  <c r="A9773"/>
  <c r="A9774"/>
  <c r="A9775"/>
  <c r="A9776"/>
  <c r="A9777"/>
  <c r="A9778"/>
  <c r="A9779"/>
  <c r="A9780"/>
  <c r="A9781"/>
  <c r="A9782"/>
  <c r="A9783"/>
  <c r="A9784"/>
  <c r="A9785"/>
  <c r="A9786"/>
  <c r="A9787"/>
  <c r="A9788"/>
  <c r="A9789"/>
  <c r="A9790"/>
  <c r="A9791"/>
  <c r="A9792"/>
  <c r="A9793"/>
  <c r="A9794"/>
  <c r="A9795"/>
  <c r="A9796"/>
  <c r="A9797"/>
  <c r="A9798"/>
  <c r="A9799"/>
  <c r="A9800"/>
  <c r="A9801"/>
  <c r="A9802"/>
  <c r="A9803"/>
  <c r="A9804"/>
  <c r="A9805"/>
  <c r="A9806"/>
  <c r="A9807"/>
  <c r="A9808"/>
  <c r="A9809"/>
  <c r="A9810"/>
  <c r="A9811"/>
  <c r="A9812"/>
  <c r="A9813"/>
  <c r="A9814"/>
  <c r="A9815"/>
  <c r="A9816"/>
  <c r="A9817"/>
  <c r="A9818"/>
  <c r="A9819"/>
  <c r="A9820"/>
  <c r="A9821"/>
  <c r="A9822"/>
  <c r="A9823"/>
  <c r="A9824"/>
  <c r="A9825"/>
  <c r="A9826"/>
  <c r="A9827"/>
  <c r="A9828"/>
  <c r="A9829"/>
  <c r="A9830"/>
  <c r="A9831"/>
  <c r="A9832"/>
  <c r="A9833"/>
  <c r="A9834"/>
  <c r="A9835"/>
  <c r="A9836"/>
  <c r="A9837"/>
  <c r="A9838"/>
  <c r="A9839"/>
  <c r="A9840"/>
  <c r="A9841"/>
  <c r="A9842"/>
  <c r="A9843"/>
  <c r="A9844"/>
  <c r="A9845"/>
  <c r="A9846"/>
  <c r="A9847"/>
  <c r="A9848"/>
  <c r="A9849"/>
  <c r="A9850"/>
  <c r="A9851"/>
  <c r="A9852"/>
  <c r="A9853"/>
  <c r="A9854"/>
  <c r="A9855"/>
  <c r="A9856"/>
  <c r="A9857"/>
  <c r="A9858"/>
  <c r="A9859"/>
  <c r="A9860"/>
  <c r="A9861"/>
  <c r="A9862"/>
  <c r="A9863"/>
  <c r="A9864"/>
  <c r="A9865"/>
  <c r="A9866"/>
  <c r="A9867"/>
  <c r="A9868"/>
  <c r="A9869"/>
  <c r="A9870"/>
  <c r="A9871"/>
  <c r="A9872"/>
  <c r="A9873"/>
  <c r="A9874"/>
  <c r="A9875"/>
  <c r="A9876"/>
  <c r="A9877"/>
  <c r="A9878"/>
  <c r="A9879"/>
  <c r="A9880"/>
  <c r="A9881"/>
  <c r="A9882"/>
  <c r="A9883"/>
  <c r="A9884"/>
  <c r="A9885"/>
  <c r="A9886"/>
  <c r="A9887"/>
  <c r="A9888"/>
  <c r="A9889"/>
  <c r="A9890"/>
  <c r="A9891"/>
  <c r="A9892"/>
  <c r="A9893"/>
  <c r="A9894"/>
  <c r="A9895"/>
  <c r="A9896"/>
  <c r="A9897"/>
  <c r="A9898"/>
  <c r="A9899"/>
  <c r="A9900"/>
  <c r="A9901"/>
  <c r="A9902"/>
  <c r="A9903"/>
  <c r="A9904"/>
  <c r="A9905"/>
  <c r="A9906"/>
  <c r="A9907"/>
  <c r="A9908"/>
  <c r="A9909"/>
  <c r="A9910"/>
  <c r="A9911"/>
  <c r="A9912"/>
  <c r="A9913"/>
  <c r="A9914"/>
  <c r="A9915"/>
  <c r="A9916"/>
  <c r="A9917"/>
  <c r="A9918"/>
  <c r="A9919"/>
  <c r="A9920"/>
  <c r="A9921"/>
  <c r="A9922"/>
  <c r="A9923"/>
  <c r="A9924"/>
  <c r="A9925"/>
  <c r="A9926"/>
  <c r="A9927"/>
  <c r="A9928"/>
  <c r="A9929"/>
  <c r="A9930"/>
  <c r="A9931"/>
  <c r="A9932"/>
  <c r="A9933"/>
  <c r="F9933"/>
  <c r="A9934"/>
  <c r="F9934"/>
  <c r="A9935"/>
  <c r="A9936"/>
  <c r="A9937"/>
  <c r="A9938"/>
  <c r="A9939"/>
  <c r="A9940"/>
  <c r="A9941"/>
  <c r="A9942"/>
  <c r="A9943"/>
  <c r="A9944"/>
  <c r="A9945"/>
  <c r="A9946"/>
  <c r="A9947"/>
  <c r="A9948"/>
  <c r="A9949"/>
  <c r="A9950"/>
  <c r="A9951"/>
  <c r="A9952"/>
  <c r="A9953"/>
  <c r="A9954"/>
  <c r="A9955"/>
  <c r="A9956"/>
  <c r="A9957"/>
  <c r="A9958"/>
  <c r="A9959"/>
  <c r="A9960"/>
  <c r="A9961"/>
  <c r="A9962"/>
  <c r="A9963"/>
  <c r="A9964"/>
  <c r="A9965"/>
  <c r="A9966"/>
  <c r="A9967"/>
  <c r="A9968"/>
  <c r="F9968"/>
  <c r="A9969"/>
  <c r="A9970"/>
  <c r="A9971"/>
  <c r="A9972"/>
  <c r="A9973"/>
  <c r="A9974"/>
  <c r="A9975"/>
  <c r="A9976"/>
  <c r="A9977"/>
  <c r="A9978"/>
  <c r="A9979"/>
  <c r="A9980"/>
  <c r="A9981"/>
  <c r="A9982"/>
  <c r="A9983"/>
  <c r="A9984"/>
  <c r="A9985"/>
  <c r="A9986"/>
  <c r="A9987"/>
  <c r="A9988"/>
  <c r="A9989"/>
  <c r="A9990"/>
  <c r="A9991"/>
  <c r="A9992"/>
  <c r="A9993"/>
  <c r="A9994"/>
  <c r="A9995"/>
  <c r="A9996"/>
  <c r="A9997"/>
  <c r="A9998"/>
  <c r="A9999"/>
  <c r="A10000"/>
  <c r="A10001"/>
  <c r="A10002"/>
  <c r="A10003"/>
  <c r="A10004"/>
  <c r="A10005"/>
  <c r="A10006"/>
  <c r="A10007"/>
  <c r="A10008"/>
  <c r="A10009"/>
  <c r="A10010"/>
  <c r="A10011"/>
  <c r="A10012"/>
  <c r="A10013"/>
  <c r="A10014"/>
  <c r="A10015"/>
  <c r="A10016"/>
  <c r="A10017"/>
  <c r="A10018"/>
  <c r="A10019"/>
  <c r="A10020"/>
  <c r="A10021"/>
  <c r="A10022"/>
  <c r="A10023"/>
  <c r="A10024"/>
  <c r="C10024"/>
  <c r="H10024"/>
  <c r="A10025"/>
  <c r="C10025"/>
  <c r="H10025"/>
  <c r="A10026"/>
  <c r="A10027"/>
  <c r="A10028"/>
  <c r="A10029"/>
  <c r="A10030"/>
  <c r="A10031"/>
  <c r="A10032"/>
  <c r="A10033"/>
  <c r="A10034"/>
  <c r="A10035"/>
  <c r="A10036"/>
  <c r="A10037"/>
  <c r="A10038"/>
  <c r="A10039"/>
  <c r="A10040"/>
  <c r="A10041"/>
  <c r="A10042"/>
  <c r="A10043"/>
  <c r="A10044"/>
  <c r="A10045"/>
  <c r="A10046"/>
  <c r="A10047"/>
  <c r="A10048"/>
  <c r="A10049"/>
  <c r="A10050"/>
  <c r="A10051"/>
  <c r="A10052"/>
  <c r="A10053"/>
  <c r="A10054"/>
  <c r="A10055"/>
  <c r="A10056"/>
  <c r="A10057"/>
  <c r="A10058"/>
  <c r="A10059"/>
  <c r="A10060"/>
  <c r="A10061"/>
  <c r="A10062"/>
  <c r="A10063"/>
  <c r="A10064"/>
  <c r="A10065"/>
  <c r="A10066"/>
  <c r="A10067"/>
  <c r="A10068"/>
  <c r="C10068"/>
  <c r="H10068"/>
  <c r="A10069"/>
  <c r="C10069"/>
  <c r="H10069"/>
  <c r="A10070"/>
  <c r="C10070"/>
  <c r="H10070"/>
  <c r="A10071"/>
  <c r="C10071"/>
  <c r="H10071"/>
  <c r="A10072"/>
  <c r="C10072"/>
  <c r="H10072"/>
  <c r="A10073"/>
  <c r="C10073"/>
  <c r="H10073"/>
  <c r="A10074"/>
  <c r="C10074"/>
  <c r="H10074"/>
  <c r="A10075"/>
  <c r="C10075"/>
  <c r="H10075"/>
  <c r="A10076"/>
  <c r="C10076"/>
  <c r="H10076"/>
  <c r="A10077"/>
  <c r="C10077"/>
  <c r="H10077"/>
  <c r="A10078"/>
  <c r="C10078"/>
  <c r="H10078"/>
  <c r="A10079"/>
  <c r="C10079"/>
  <c r="H10079"/>
  <c r="A10080"/>
  <c r="C10080"/>
  <c r="H10080"/>
  <c r="A10081"/>
  <c r="C10081"/>
  <c r="H10081"/>
  <c r="A10082"/>
  <c r="C10082"/>
  <c r="H10082"/>
  <c r="A10083"/>
  <c r="C10083"/>
  <c r="H10083"/>
  <c r="A10084"/>
  <c r="C10084"/>
  <c r="H10084"/>
  <c r="A10085"/>
  <c r="C10085"/>
  <c r="H10085"/>
  <c r="A10086"/>
  <c r="C10086"/>
  <c r="H10086"/>
  <c r="A10087"/>
  <c r="C10087"/>
  <c r="H10087"/>
  <c r="A10088"/>
  <c r="A10089"/>
  <c r="A10090"/>
  <c r="A10091"/>
  <c r="A10092"/>
  <c r="A10093"/>
  <c r="A10094"/>
  <c r="A10095"/>
  <c r="A10096"/>
  <c r="A10097"/>
  <c r="A10098"/>
  <c r="A10099"/>
  <c r="A10100"/>
  <c r="A10101"/>
  <c r="A10102"/>
  <c r="A10103"/>
  <c r="A10104"/>
  <c r="A10105"/>
  <c r="A10106"/>
  <c r="A10107"/>
  <c r="A10108"/>
  <c r="A10109"/>
  <c r="A10110"/>
  <c r="A10111"/>
  <c r="A10112"/>
  <c r="A10113"/>
  <c r="A10114"/>
  <c r="A10115"/>
  <c r="A10116"/>
  <c r="A10117"/>
  <c r="A10118"/>
  <c r="A10119"/>
  <c r="A10120"/>
  <c r="A10121"/>
  <c r="A10122"/>
  <c r="A10123"/>
  <c r="A10124"/>
  <c r="A10125"/>
  <c r="A10126"/>
  <c r="A10127"/>
  <c r="A10128"/>
  <c r="A10129"/>
  <c r="A10130"/>
  <c r="A10131"/>
  <c r="A10132"/>
  <c r="A10133"/>
  <c r="A10134"/>
  <c r="A10135"/>
  <c r="A10136"/>
  <c r="A10137"/>
  <c r="A10138"/>
  <c r="A10139"/>
  <c r="A10140"/>
  <c r="A10141"/>
  <c r="A10142"/>
  <c r="A10143"/>
  <c r="A10144"/>
  <c r="A10145"/>
  <c r="A10146"/>
  <c r="A10147"/>
  <c r="A10148"/>
  <c r="A10149"/>
  <c r="A10150"/>
  <c r="A10151"/>
  <c r="A10152"/>
  <c r="A10153"/>
  <c r="A10154"/>
  <c r="A10155"/>
  <c r="A10156"/>
  <c r="A10157"/>
  <c r="A10158"/>
  <c r="A10159"/>
  <c r="A10160"/>
  <c r="A10161"/>
  <c r="A10162"/>
  <c r="A10163"/>
  <c r="A10164"/>
  <c r="A10165"/>
  <c r="A10166"/>
  <c r="A10167"/>
  <c r="A10168"/>
  <c r="A10169"/>
  <c r="A10170"/>
  <c r="A10171"/>
  <c r="A10172"/>
  <c r="A10173"/>
  <c r="A10174"/>
  <c r="A10175"/>
  <c r="A10176"/>
  <c r="A10177"/>
  <c r="A10178"/>
  <c r="A10179"/>
  <c r="A10180"/>
  <c r="A10181"/>
  <c r="A10182"/>
  <c r="A10183"/>
  <c r="A10184"/>
  <c r="A10185"/>
  <c r="A10186"/>
  <c r="A10187"/>
  <c r="A10188"/>
  <c r="A10189"/>
  <c r="A10190"/>
  <c r="A10191"/>
  <c r="A10192"/>
  <c r="A10193"/>
  <c r="A10194"/>
  <c r="A10195"/>
  <c r="A10196"/>
  <c r="A10197"/>
  <c r="A10198"/>
  <c r="A10199"/>
  <c r="A10200"/>
  <c r="A10201"/>
  <c r="A10202"/>
  <c r="A10203"/>
  <c r="A10204"/>
  <c r="A10205"/>
  <c r="A10206"/>
  <c r="A10207"/>
  <c r="A10208"/>
  <c r="A10209"/>
  <c r="A10210"/>
  <c r="A10211"/>
  <c r="A10212"/>
  <c r="A10213"/>
  <c r="A10214"/>
  <c r="A10215"/>
  <c r="A10216"/>
  <c r="A10217"/>
  <c r="A10218"/>
  <c r="A10219"/>
  <c r="A10220"/>
  <c r="A10221"/>
  <c r="A10222"/>
  <c r="A10223"/>
  <c r="A10224"/>
  <c r="A10225"/>
  <c r="A10226"/>
  <c r="A10227"/>
  <c r="A10228"/>
  <c r="A10229"/>
  <c r="A10230"/>
  <c r="A10231"/>
  <c r="F10231"/>
  <c r="A10232"/>
  <c r="A10233"/>
  <c r="A10234"/>
  <c r="A10235"/>
  <c r="A10236"/>
  <c r="A10237"/>
  <c r="A10238"/>
  <c r="A10239"/>
  <c r="A10240"/>
  <c r="A10241"/>
  <c r="A10242"/>
  <c r="A10243"/>
  <c r="A10244"/>
  <c r="A10245"/>
  <c r="A10246"/>
  <c r="A10247"/>
  <c r="A10248"/>
  <c r="A10249"/>
  <c r="A10250"/>
  <c r="A10251"/>
  <c r="A10252"/>
  <c r="A10253"/>
  <c r="A10254"/>
  <c r="A10255"/>
  <c r="A10256"/>
  <c r="A10257"/>
  <c r="A10258"/>
  <c r="A10259"/>
  <c r="A10260"/>
  <c r="A10261"/>
  <c r="A10262"/>
  <c r="A10263"/>
  <c r="A10264"/>
  <c r="A10265"/>
  <c r="A10266"/>
  <c r="A10267"/>
  <c r="A10268"/>
  <c r="A10269"/>
  <c r="A10270"/>
  <c r="A10271"/>
  <c r="A10272"/>
  <c r="A10273"/>
  <c r="A10274"/>
  <c r="A10275"/>
  <c r="A10276"/>
  <c r="A10277"/>
  <c r="A10278"/>
  <c r="A10279"/>
  <c r="A10280"/>
  <c r="A10281"/>
  <c r="A10282"/>
  <c r="A10283"/>
  <c r="A10284"/>
  <c r="A10285"/>
  <c r="A10286"/>
  <c r="A10287"/>
  <c r="A10288"/>
  <c r="A10289"/>
  <c r="A10290"/>
  <c r="A10291"/>
  <c r="A10292"/>
  <c r="A10293"/>
  <c r="A10294"/>
  <c r="A10295"/>
  <c r="A10296"/>
  <c r="A10297"/>
  <c r="A10298"/>
  <c r="A10299"/>
  <c r="A10300"/>
  <c r="A10301"/>
  <c r="A10302"/>
  <c r="A10303"/>
  <c r="A10304"/>
  <c r="A10305"/>
  <c r="A10306"/>
  <c r="A10307"/>
  <c r="A10308"/>
  <c r="A10309"/>
  <c r="A10310"/>
  <c r="A10311"/>
  <c r="A10312"/>
  <c r="A10313"/>
  <c r="A10314"/>
  <c r="A10315"/>
  <c r="A10316"/>
  <c r="A10317"/>
  <c r="A10318"/>
  <c r="A10319"/>
  <c r="A10320"/>
  <c r="A10321"/>
  <c r="A10322"/>
  <c r="A10323"/>
  <c r="A10324"/>
  <c r="A10325"/>
  <c r="A10326"/>
  <c r="A10327"/>
  <c r="A10328"/>
  <c r="A10329"/>
  <c r="A10330"/>
  <c r="A10331"/>
  <c r="A10332"/>
  <c r="A10333"/>
  <c r="A10334"/>
  <c r="A10335"/>
  <c r="A10336"/>
  <c r="A10337"/>
  <c r="A10338"/>
  <c r="A10339"/>
  <c r="A10340"/>
  <c r="A10341"/>
  <c r="A10342"/>
  <c r="A10343"/>
  <c r="A10344"/>
  <c r="A10345"/>
  <c r="A10346"/>
  <c r="A10347"/>
  <c r="A10348"/>
  <c r="A10349"/>
  <c r="A10350"/>
  <c r="A10351"/>
  <c r="A10352"/>
  <c r="A10353"/>
  <c r="A10354"/>
  <c r="A10355"/>
  <c r="A10356"/>
  <c r="A10357"/>
  <c r="A10358"/>
  <c r="A10359"/>
  <c r="A10360"/>
  <c r="A10361"/>
  <c r="A10362"/>
  <c r="A10363"/>
  <c r="A10364"/>
  <c r="A10365"/>
  <c r="A10366"/>
  <c r="A10367"/>
  <c r="A10368"/>
  <c r="A10369"/>
  <c r="A10370"/>
  <c r="A10371"/>
  <c r="A10372"/>
  <c r="A10373"/>
  <c r="A10374"/>
  <c r="A10375"/>
  <c r="A10376"/>
  <c r="A10377"/>
  <c r="A10378"/>
  <c r="A10379"/>
  <c r="A10380"/>
  <c r="A10381"/>
  <c r="A10382"/>
  <c r="A10383"/>
  <c r="A10384"/>
  <c r="A10385"/>
  <c r="A10386"/>
  <c r="A10387"/>
  <c r="A10388"/>
  <c r="A10389"/>
  <c r="A10390"/>
  <c r="A10391"/>
  <c r="A10392"/>
  <c r="A10393"/>
  <c r="A10394"/>
  <c r="A10395"/>
  <c r="A10396"/>
  <c r="A10397"/>
  <c r="A10398"/>
  <c r="A10399"/>
  <c r="A10400"/>
  <c r="A10401"/>
  <c r="A10402"/>
  <c r="A10403"/>
  <c r="A10404"/>
  <c r="A10405"/>
  <c r="A10406"/>
  <c r="A10407"/>
  <c r="A10408"/>
  <c r="A10409"/>
  <c r="A10410"/>
  <c r="A10411"/>
  <c r="A10412"/>
  <c r="A10413"/>
  <c r="A10414"/>
  <c r="A10415"/>
  <c r="A10416"/>
  <c r="A10417"/>
  <c r="A10418"/>
  <c r="A10419"/>
  <c r="A10420"/>
  <c r="A10421"/>
  <c r="A10422"/>
  <c r="A10423"/>
  <c r="A10424"/>
  <c r="A10425"/>
  <c r="A10426"/>
  <c r="A10427"/>
  <c r="A10428"/>
  <c r="A10429"/>
  <c r="A10430"/>
  <c r="A10431"/>
  <c r="A10432"/>
  <c r="A10433"/>
  <c r="A10434"/>
  <c r="A10435"/>
  <c r="A10436"/>
  <c r="A10437"/>
  <c r="A10438"/>
  <c r="A10439"/>
  <c r="A10440"/>
  <c r="A10441"/>
  <c r="A10442"/>
  <c r="A10443"/>
  <c r="A10444"/>
  <c r="A10445"/>
  <c r="A10446"/>
  <c r="A10447"/>
  <c r="A10448"/>
  <c r="A10449"/>
  <c r="A10450"/>
  <c r="A10451"/>
  <c r="A10452"/>
  <c r="C10452"/>
  <c r="H10452"/>
  <c r="A10453"/>
  <c r="C10453"/>
  <c r="H10453"/>
  <c r="A10454"/>
  <c r="C10454"/>
  <c r="H10454"/>
  <c r="A10455"/>
  <c r="C10455"/>
  <c r="H10455"/>
  <c r="A10456"/>
  <c r="C10456"/>
  <c r="H10456"/>
  <c r="A10457"/>
  <c r="C10457"/>
  <c r="H10457"/>
  <c r="A10458"/>
  <c r="C10458"/>
  <c r="H10458"/>
  <c r="A10459"/>
  <c r="C10459"/>
  <c r="H10459"/>
  <c r="A10460"/>
  <c r="C10460"/>
  <c r="H10460"/>
  <c r="A10461"/>
  <c r="C10461"/>
  <c r="H10461"/>
  <c r="A10462"/>
  <c r="C10462"/>
  <c r="H10462"/>
  <c r="A10463"/>
  <c r="C10463"/>
  <c r="H10463"/>
  <c r="A10464"/>
  <c r="C10464"/>
  <c r="H10464"/>
  <c r="A10465"/>
  <c r="C10465"/>
  <c r="H10465"/>
  <c r="A10466"/>
  <c r="C10466"/>
  <c r="H10466"/>
  <c r="A10467"/>
  <c r="C10467"/>
  <c r="H10467"/>
  <c r="A10468"/>
  <c r="C10468"/>
  <c r="H10468"/>
  <c r="A10469"/>
  <c r="C10469"/>
  <c r="H10469"/>
  <c r="A10470"/>
  <c r="C10470"/>
  <c r="H10470"/>
  <c r="A10471"/>
  <c r="C10471"/>
  <c r="H10471"/>
  <c r="A10472"/>
  <c r="C10472"/>
  <c r="H10472"/>
  <c r="A10473"/>
  <c r="C10473"/>
  <c r="H10473"/>
  <c r="A10474"/>
  <c r="A10475"/>
  <c r="A10476"/>
  <c r="A10477"/>
  <c r="A10478"/>
  <c r="A10479"/>
  <c r="A10480"/>
  <c r="A10481"/>
  <c r="A10482"/>
  <c r="A10483"/>
  <c r="A10484"/>
  <c r="A10485"/>
  <c r="A10486"/>
  <c r="A10487"/>
  <c r="A10488"/>
  <c r="A10489"/>
  <c r="A10490"/>
  <c r="A10491"/>
  <c r="A10492"/>
  <c r="A10493"/>
  <c r="A10494"/>
  <c r="A10495"/>
  <c r="A10496"/>
  <c r="A10497"/>
  <c r="A10498"/>
  <c r="A10499"/>
  <c r="A10500"/>
  <c r="A10501"/>
  <c r="A10502"/>
  <c r="A10503"/>
  <c r="A10504"/>
  <c r="A10505"/>
  <c r="A10506"/>
  <c r="A10507"/>
  <c r="A10508"/>
  <c r="A10509"/>
  <c r="A10510"/>
  <c r="A10511"/>
  <c r="A10512"/>
  <c r="A10513"/>
  <c r="A10514"/>
  <c r="A10515"/>
  <c r="A10516"/>
  <c r="A10517"/>
  <c r="A10518"/>
  <c r="A10519"/>
  <c r="A10520"/>
  <c r="A10521"/>
  <c r="A10522"/>
  <c r="A10523"/>
  <c r="A10524"/>
  <c r="A10525"/>
  <c r="A10526"/>
  <c r="A10527"/>
  <c r="A10528"/>
  <c r="A10529"/>
  <c r="A10530"/>
  <c r="A10531"/>
  <c r="A10532"/>
  <c r="A10533"/>
  <c r="A10534"/>
  <c r="A10535"/>
  <c r="A10536"/>
  <c r="A10537"/>
  <c r="A10538"/>
  <c r="A10539"/>
  <c r="A10540"/>
  <c r="A10541"/>
  <c r="A10542"/>
  <c r="A10543"/>
  <c r="A10544"/>
  <c r="A10545"/>
  <c r="A10546"/>
  <c r="A10547"/>
  <c r="A10548"/>
  <c r="A10549"/>
  <c r="A10550"/>
  <c r="A10551"/>
  <c r="A10552"/>
  <c r="A10553"/>
  <c r="A10554"/>
  <c r="A10555"/>
  <c r="A10556"/>
  <c r="A10557"/>
  <c r="A10558"/>
  <c r="A10559"/>
  <c r="A10560"/>
  <c r="A10561"/>
  <c r="A10562"/>
  <c r="A10563"/>
  <c r="A10564"/>
  <c r="A10565"/>
  <c r="A10566"/>
  <c r="A10567"/>
  <c r="A10568"/>
  <c r="A10569"/>
  <c r="A10570"/>
  <c r="A10571"/>
  <c r="A10572"/>
  <c r="A10573"/>
  <c r="A10574"/>
  <c r="A10575"/>
  <c r="A10576"/>
  <c r="A10577"/>
  <c r="A10578"/>
  <c r="A10579"/>
  <c r="A10580"/>
  <c r="A10581"/>
  <c r="A10582"/>
  <c r="A10583"/>
  <c r="A10584"/>
  <c r="A10585"/>
  <c r="A10586"/>
  <c r="A10587"/>
  <c r="F10587"/>
  <c r="A10588"/>
  <c r="F10588"/>
  <c r="A10589"/>
  <c r="A10590"/>
  <c r="A10591"/>
  <c r="A10592"/>
  <c r="A10593"/>
  <c r="A10594"/>
  <c r="A10595"/>
  <c r="A10596"/>
  <c r="A10597"/>
  <c r="A10598"/>
  <c r="A10599"/>
  <c r="A10600"/>
  <c r="A10601"/>
  <c r="A10602"/>
  <c r="A10603"/>
  <c r="A10604"/>
  <c r="A10605"/>
  <c r="A10606"/>
  <c r="A10607"/>
  <c r="A10608"/>
  <c r="A10609"/>
  <c r="A10610"/>
  <c r="A10611"/>
  <c r="A10612"/>
  <c r="A10613"/>
  <c r="A10614"/>
  <c r="A10615"/>
  <c r="A10616"/>
  <c r="A10617"/>
  <c r="A10618"/>
  <c r="A10619"/>
  <c r="A10620"/>
  <c r="A10621"/>
  <c r="A10622"/>
  <c r="A10623"/>
  <c r="A10624"/>
  <c r="A10625"/>
  <c r="A10626"/>
  <c r="A10627"/>
  <c r="A10628"/>
  <c r="A10629"/>
  <c r="A10630"/>
  <c r="A10631"/>
  <c r="A10632"/>
  <c r="A10633"/>
  <c r="A10634"/>
  <c r="A10635"/>
  <c r="A10636"/>
  <c r="A10637"/>
  <c r="A10638"/>
  <c r="A10639"/>
  <c r="A10640"/>
  <c r="A10641"/>
  <c r="A10642"/>
  <c r="A10643"/>
  <c r="A10644"/>
  <c r="A10645"/>
  <c r="A10646"/>
  <c r="A10647"/>
  <c r="A10648"/>
  <c r="A10649"/>
  <c r="A10650"/>
  <c r="A10651"/>
  <c r="A10652"/>
  <c r="A10653"/>
  <c r="A10654"/>
  <c r="A10655"/>
  <c r="A10656"/>
  <c r="A10657"/>
  <c r="A10658"/>
  <c r="A10659"/>
  <c r="A10660"/>
  <c r="A10661"/>
  <c r="A10662"/>
  <c r="A10663"/>
  <c r="A10664"/>
  <c r="A10665"/>
  <c r="A10666"/>
  <c r="A10667"/>
  <c r="A10668"/>
  <c r="A10669"/>
  <c r="A10670"/>
  <c r="A10671"/>
  <c r="A10672"/>
  <c r="A10673"/>
  <c r="A10674"/>
  <c r="A10675"/>
  <c r="A10676"/>
  <c r="A10677"/>
  <c r="A10678"/>
  <c r="A10679"/>
  <c r="A10680"/>
  <c r="A10681"/>
  <c r="A10682"/>
  <c r="A10683"/>
  <c r="A10684"/>
  <c r="A10685"/>
  <c r="A10686"/>
  <c r="A10687"/>
  <c r="A10688"/>
  <c r="A10689"/>
  <c r="A10690"/>
  <c r="A10691"/>
  <c r="A10692"/>
  <c r="A10693"/>
  <c r="A10694"/>
  <c r="A10695"/>
  <c r="A10696"/>
  <c r="A10697"/>
  <c r="A10698"/>
  <c r="A10699"/>
  <c r="A10700"/>
  <c r="A10701"/>
  <c r="A10702"/>
  <c r="A10703"/>
  <c r="A10704"/>
  <c r="A10705"/>
  <c r="A10706"/>
  <c r="A10707"/>
  <c r="A10708"/>
  <c r="A10709"/>
  <c r="A10710"/>
  <c r="A10711"/>
  <c r="A10712"/>
  <c r="A10713"/>
  <c r="A10714"/>
  <c r="A10715"/>
  <c r="A10716"/>
  <c r="A10717"/>
  <c r="A10718"/>
  <c r="A10719"/>
  <c r="A10720"/>
  <c r="A10721"/>
  <c r="A10722"/>
  <c r="A10723"/>
  <c r="A10724"/>
  <c r="A10725"/>
  <c r="A10726"/>
  <c r="A10727"/>
  <c r="A10728"/>
  <c r="A10729"/>
  <c r="A10730"/>
  <c r="A10731"/>
  <c r="A10732"/>
  <c r="A10733"/>
  <c r="A10734"/>
  <c r="A10735"/>
  <c r="A10736"/>
  <c r="A10737"/>
  <c r="A10738"/>
  <c r="A10739"/>
  <c r="A10740"/>
  <c r="A10741"/>
  <c r="A10742"/>
  <c r="A10743"/>
  <c r="A10744"/>
  <c r="A10745"/>
  <c r="A10746"/>
  <c r="A10747"/>
  <c r="A10748"/>
  <c r="A10749"/>
  <c r="A10750"/>
  <c r="A10751"/>
  <c r="A10752"/>
  <c r="A10753"/>
  <c r="A10754"/>
  <c r="A10755"/>
  <c r="A10756"/>
  <c r="A10757"/>
  <c r="A10758"/>
  <c r="A10759"/>
  <c r="A10760"/>
  <c r="A10761"/>
  <c r="A10762"/>
  <c r="A10763"/>
  <c r="A10764"/>
  <c r="A10765"/>
  <c r="A10766"/>
  <c r="A10767"/>
  <c r="A10768"/>
  <c r="A10769"/>
  <c r="A10770"/>
  <c r="A10771"/>
  <c r="A10772"/>
  <c r="A10773"/>
  <c r="A10774"/>
  <c r="A10775"/>
  <c r="A10776"/>
  <c r="A10777"/>
  <c r="A10778"/>
  <c r="A10779"/>
  <c r="A10780"/>
  <c r="A10781"/>
  <c r="A10782"/>
  <c r="A10783"/>
  <c r="A10784"/>
  <c r="A10785"/>
  <c r="A10786"/>
  <c r="A10787"/>
  <c r="A10788"/>
  <c r="A10789"/>
  <c r="A10790"/>
  <c r="A10791"/>
  <c r="A10792"/>
  <c r="A10793"/>
  <c r="A10794"/>
  <c r="A10795"/>
  <c r="A10796"/>
  <c r="A10797"/>
  <c r="A10798"/>
  <c r="A10799"/>
  <c r="A10800"/>
  <c r="A10801"/>
  <c r="A10802"/>
  <c r="A10803"/>
  <c r="A10804"/>
  <c r="A10805"/>
  <c r="A10806"/>
  <c r="A10807"/>
  <c r="A10808"/>
  <c r="A10809"/>
  <c r="A10810"/>
  <c r="A10811"/>
  <c r="A10812"/>
  <c r="A10813"/>
  <c r="A10814"/>
  <c r="A10815"/>
  <c r="A10816"/>
  <c r="A10817"/>
  <c r="A10818"/>
  <c r="A10819"/>
  <c r="A10820"/>
  <c r="A10821"/>
  <c r="A10822"/>
  <c r="A10823"/>
  <c r="A10824"/>
  <c r="A10825"/>
  <c r="A10826"/>
  <c r="A10827"/>
  <c r="A10828"/>
  <c r="A10829"/>
  <c r="A10830"/>
  <c r="A10831"/>
  <c r="A10832"/>
  <c r="A10833"/>
  <c r="A10834"/>
  <c r="A10835"/>
  <c r="A10836"/>
  <c r="A10837"/>
  <c r="A10838"/>
  <c r="A10839"/>
  <c r="A10840"/>
  <c r="A10841"/>
  <c r="A10842"/>
  <c r="A10843"/>
  <c r="A10844"/>
  <c r="A10845"/>
  <c r="A10846"/>
  <c r="A10847"/>
  <c r="A10848"/>
  <c r="A10849"/>
  <c r="A10850"/>
  <c r="A10851"/>
  <c r="A10852"/>
  <c r="A10853"/>
  <c r="A10854"/>
  <c r="A10855"/>
  <c r="A10856"/>
  <c r="A10857"/>
  <c r="A10858"/>
  <c r="A10859"/>
  <c r="A10860"/>
  <c r="A10861"/>
  <c r="A10862"/>
  <c r="A10863"/>
  <c r="A10864"/>
  <c r="A10865"/>
  <c r="A10866"/>
  <c r="A10867"/>
  <c r="A10868"/>
  <c r="A10869"/>
  <c r="A10870"/>
  <c r="A10871"/>
  <c r="A10872"/>
  <c r="A10873"/>
  <c r="A10874"/>
  <c r="A10875"/>
  <c r="A10876"/>
  <c r="A10877"/>
  <c r="A10878"/>
  <c r="A10879"/>
  <c r="A10880"/>
  <c r="A10881"/>
  <c r="A10882"/>
  <c r="A10883"/>
  <c r="A10884"/>
  <c r="A10885"/>
  <c r="A10886"/>
  <c r="A10887"/>
  <c r="A10888"/>
  <c r="A10889"/>
  <c r="A10890"/>
  <c r="A10891"/>
  <c r="A10892"/>
  <c r="A10893"/>
  <c r="A10894"/>
  <c r="A10895"/>
  <c r="A10896"/>
  <c r="A10897"/>
  <c r="A10898"/>
  <c r="A10899"/>
  <c r="A10900"/>
  <c r="A10901"/>
  <c r="A10902"/>
  <c r="A10903"/>
  <c r="A10904"/>
  <c r="A10905"/>
  <c r="A10906"/>
  <c r="A10907"/>
  <c r="A10908"/>
  <c r="A10909"/>
  <c r="A10910"/>
  <c r="A10911"/>
  <c r="A10912"/>
  <c r="A10913"/>
  <c r="A10914"/>
  <c r="A10915"/>
  <c r="A10916"/>
  <c r="A10917"/>
  <c r="A10918"/>
  <c r="A10919"/>
  <c r="A10920"/>
  <c r="A10921"/>
  <c r="A10922"/>
  <c r="A10923"/>
  <c r="A10924"/>
  <c r="A10925"/>
  <c r="A10926"/>
  <c r="A10927"/>
  <c r="A10928"/>
  <c r="A10929"/>
  <c r="A10930"/>
  <c r="A10931"/>
  <c r="A10932"/>
  <c r="A10933"/>
  <c r="A10934"/>
  <c r="A10935"/>
  <c r="A10936"/>
  <c r="A10937"/>
  <c r="A10938"/>
  <c r="A10939"/>
  <c r="A10940"/>
  <c r="A10941"/>
  <c r="A10942"/>
  <c r="A10943"/>
  <c r="A10944"/>
  <c r="A10945"/>
  <c r="A10946"/>
  <c r="A10947"/>
  <c r="A10948"/>
  <c r="A10949"/>
  <c r="A10950"/>
  <c r="A10951"/>
  <c r="A10952"/>
  <c r="A10953"/>
  <c r="A10954"/>
  <c r="A10955"/>
  <c r="A10956"/>
  <c r="A10957"/>
  <c r="A10958"/>
  <c r="A10959"/>
  <c r="A10960"/>
  <c r="A10961"/>
  <c r="A10962"/>
  <c r="A10963"/>
  <c r="A10964"/>
  <c r="A10965"/>
  <c r="A10966"/>
  <c r="A10967"/>
  <c r="A10968"/>
  <c r="A10969"/>
  <c r="A10970"/>
  <c r="A10971"/>
  <c r="A10972"/>
  <c r="A10973"/>
  <c r="A10974"/>
  <c r="A10975"/>
  <c r="A10976"/>
  <c r="A10977"/>
  <c r="A10978"/>
  <c r="A10979"/>
  <c r="A10980"/>
  <c r="C10980"/>
  <c r="H10980"/>
  <c r="A10981"/>
  <c r="A10982"/>
  <c r="A10983"/>
  <c r="A10984"/>
  <c r="C10984"/>
  <c r="H10984"/>
  <c r="A10985"/>
  <c r="C10985"/>
  <c r="H10985"/>
  <c r="A10986"/>
  <c r="C10986"/>
  <c r="H10986"/>
  <c r="A10987"/>
  <c r="C10987"/>
  <c r="H10987"/>
  <c r="A10988"/>
  <c r="C10988"/>
  <c r="H10988"/>
  <c r="A10989"/>
  <c r="C10989"/>
  <c r="H10989"/>
  <c r="A10990"/>
  <c r="C10990"/>
  <c r="H10990"/>
  <c r="A10991"/>
  <c r="C10991"/>
  <c r="H10991"/>
  <c r="A10992"/>
  <c r="C10992"/>
  <c r="H10992"/>
  <c r="A10993"/>
  <c r="C10993"/>
  <c r="H10993"/>
  <c r="A10994"/>
  <c r="C10994"/>
  <c r="H10994"/>
  <c r="A10995"/>
  <c r="C10995"/>
  <c r="H10995"/>
  <c r="A10996"/>
  <c r="C10996"/>
  <c r="H10996"/>
  <c r="A10997"/>
  <c r="C10997"/>
  <c r="H10997"/>
  <c r="A10998"/>
  <c r="A10999"/>
  <c r="A11000"/>
  <c r="A11001"/>
  <c r="A11002"/>
  <c r="A11003"/>
  <c r="A11004"/>
  <c r="A11005"/>
  <c r="A11006"/>
  <c r="A11007"/>
  <c r="A11008"/>
  <c r="A11009"/>
  <c r="A11010"/>
  <c r="A11011"/>
  <c r="A11012"/>
  <c r="A11013"/>
  <c r="A11014"/>
  <c r="A11015"/>
  <c r="A11016"/>
  <c r="A11017"/>
  <c r="A11018"/>
  <c r="A11019"/>
  <c r="A11020"/>
  <c r="A11021"/>
  <c r="A11022"/>
  <c r="A11023"/>
  <c r="A11024"/>
  <c r="A11025"/>
  <c r="A11026"/>
  <c r="A11027"/>
  <c r="A11028"/>
  <c r="A11029"/>
  <c r="A11030"/>
  <c r="A11031"/>
  <c r="A11032"/>
  <c r="A11033"/>
  <c r="A11034"/>
  <c r="A11035"/>
  <c r="A11036"/>
  <c r="A11037"/>
  <c r="A11038"/>
  <c r="A11039"/>
  <c r="A11040"/>
  <c r="A11041"/>
  <c r="A11042"/>
  <c r="A11043"/>
  <c r="A11044"/>
  <c r="A11045"/>
  <c r="A11046"/>
  <c r="A11047"/>
  <c r="A11048"/>
  <c r="A11049"/>
  <c r="A11050"/>
  <c r="A11051"/>
  <c r="A11052"/>
  <c r="A11053"/>
  <c r="A11054"/>
  <c r="A11055"/>
  <c r="A11056"/>
  <c r="A11057"/>
  <c r="A11058"/>
  <c r="A11059"/>
  <c r="A11060"/>
  <c r="A11061"/>
  <c r="A11062"/>
  <c r="A11063"/>
  <c r="A11064"/>
  <c r="A11065"/>
  <c r="A11066"/>
  <c r="A11067"/>
  <c r="A11068"/>
  <c r="A11069"/>
  <c r="A11070"/>
  <c r="A11071"/>
  <c r="A11072"/>
  <c r="A11073"/>
  <c r="A11074"/>
  <c r="A11075"/>
  <c r="A11076"/>
  <c r="A11077"/>
  <c r="A11078"/>
  <c r="A11079"/>
  <c r="A11080"/>
  <c r="A11081"/>
  <c r="A11082"/>
  <c r="A11083"/>
  <c r="C11083"/>
  <c r="H11083"/>
  <c r="A11084"/>
  <c r="C11084"/>
  <c r="H11084"/>
  <c r="A11085"/>
  <c r="C11085"/>
  <c r="H11085"/>
  <c r="A11086"/>
  <c r="C11086"/>
  <c r="H11086"/>
  <c r="A11087"/>
  <c r="C11087"/>
  <c r="H11087"/>
  <c r="A11088"/>
  <c r="C11088"/>
  <c r="H11088"/>
  <c r="A11089"/>
  <c r="C11089"/>
  <c r="H11089"/>
  <c r="A11090"/>
  <c r="C11090"/>
  <c r="H11090"/>
  <c r="A11091"/>
  <c r="C11091"/>
  <c r="H11091"/>
  <c r="A11092"/>
  <c r="C11092"/>
  <c r="H11092"/>
  <c r="A11093"/>
  <c r="C11093"/>
  <c r="H11093"/>
  <c r="A11094"/>
  <c r="C11094"/>
  <c r="H11094"/>
  <c r="A11095"/>
  <c r="C11095"/>
  <c r="H11095"/>
  <c r="A11096"/>
  <c r="C11096"/>
  <c r="H11096"/>
  <c r="A11097"/>
  <c r="C11097"/>
  <c r="H11097"/>
  <c r="A11098"/>
  <c r="C11098"/>
  <c r="H11098"/>
  <c r="A11099"/>
  <c r="C11099"/>
  <c r="H11099"/>
  <c r="A11100"/>
  <c r="C11100"/>
  <c r="H11100"/>
  <c r="A11101"/>
  <c r="C11101"/>
  <c r="H11101"/>
  <c r="A11102"/>
  <c r="C11102"/>
  <c r="H11102"/>
  <c r="A11103"/>
  <c r="C11103"/>
  <c r="H11103"/>
  <c r="A11104"/>
  <c r="C11104"/>
  <c r="H11104"/>
  <c r="A11105"/>
  <c r="C11105"/>
  <c r="H11105"/>
  <c r="A11106"/>
  <c r="C11106"/>
  <c r="H11106"/>
  <c r="A11107"/>
  <c r="C11107"/>
  <c r="H11107"/>
  <c r="A11108"/>
  <c r="C11108"/>
  <c r="H11108"/>
  <c r="A11109"/>
  <c r="C11109"/>
  <c r="H11109"/>
  <c r="A11110"/>
  <c r="C11110"/>
  <c r="H11110"/>
  <c r="A11111"/>
  <c r="C11111"/>
  <c r="H11111"/>
  <c r="A11112"/>
  <c r="C11112"/>
  <c r="H11112"/>
  <c r="A11113"/>
  <c r="C11113"/>
  <c r="H11113"/>
  <c r="A11114"/>
  <c r="C11114"/>
  <c r="H11114"/>
  <c r="A11115"/>
  <c r="C11115"/>
  <c r="H11115"/>
  <c r="A11116"/>
  <c r="C11116"/>
  <c r="H11116"/>
  <c r="A11117"/>
  <c r="C11117"/>
  <c r="H11117"/>
  <c r="A11118"/>
  <c r="C11118"/>
  <c r="H11118"/>
  <c r="A11119"/>
  <c r="C11119"/>
  <c r="H11119"/>
  <c r="A11120"/>
  <c r="C11120"/>
  <c r="H11120"/>
  <c r="A11121"/>
  <c r="C11121"/>
  <c r="H11121"/>
  <c r="A11122"/>
  <c r="C11122"/>
  <c r="H11122"/>
  <c r="A11123"/>
  <c r="C11123"/>
  <c r="H11123"/>
  <c r="A11124"/>
  <c r="C11124"/>
  <c r="H11124"/>
  <c r="A11125"/>
  <c r="C11125"/>
  <c r="H11125"/>
  <c r="A11126"/>
  <c r="C11126"/>
  <c r="H11126"/>
  <c r="A11127"/>
  <c r="C11127"/>
  <c r="H11127"/>
  <c r="A11128"/>
  <c r="A11129"/>
  <c r="A11130"/>
  <c r="C11130"/>
  <c r="H11130"/>
  <c r="A11131"/>
  <c r="C11131"/>
  <c r="H11131"/>
  <c r="A11132"/>
  <c r="C11132"/>
  <c r="H11132"/>
  <c r="A11133"/>
  <c r="C11133"/>
  <c r="H11133"/>
  <c r="A11134"/>
  <c r="A11135"/>
  <c r="A11136"/>
  <c r="A11137"/>
  <c r="A11138"/>
  <c r="A11139"/>
  <c r="A11140"/>
  <c r="A11141"/>
  <c r="A11142"/>
  <c r="A11143"/>
  <c r="A11144"/>
  <c r="A11145"/>
  <c r="A11146"/>
  <c r="A11147"/>
  <c r="A11148"/>
  <c r="A11149"/>
  <c r="A11150"/>
  <c r="A11151"/>
  <c r="A11152"/>
  <c r="A11153"/>
  <c r="A11154"/>
  <c r="A11155"/>
  <c r="A11156"/>
  <c r="A11157"/>
  <c r="A11158"/>
  <c r="A11159"/>
  <c r="A11160"/>
  <c r="A11161"/>
  <c r="A11162"/>
  <c r="A11163"/>
  <c r="A11164"/>
  <c r="A11165"/>
  <c r="A11166"/>
  <c r="A11167"/>
  <c r="A11168"/>
  <c r="A11169"/>
  <c r="A11170"/>
  <c r="A11171"/>
  <c r="A11172"/>
  <c r="A11173"/>
  <c r="A11174"/>
  <c r="A11175"/>
  <c r="A11176"/>
  <c r="A11177"/>
  <c r="A11178"/>
  <c r="A11179"/>
  <c r="A11180"/>
  <c r="A11181"/>
  <c r="A11182"/>
  <c r="A11183"/>
  <c r="A11184"/>
  <c r="A11185"/>
  <c r="A11186"/>
  <c r="A11187"/>
  <c r="A11188"/>
  <c r="A11189"/>
  <c r="A11190"/>
  <c r="A11191"/>
  <c r="A11192"/>
  <c r="A11193"/>
  <c r="A11194"/>
  <c r="A11195"/>
  <c r="A11196"/>
  <c r="A11197"/>
  <c r="A11198"/>
  <c r="A11199"/>
  <c r="A11200"/>
  <c r="A11201"/>
  <c r="A11202"/>
  <c r="A11203"/>
  <c r="A11204"/>
  <c r="A11205"/>
  <c r="A11206"/>
  <c r="A11207"/>
  <c r="A11208"/>
  <c r="A11209"/>
  <c r="A11210"/>
  <c r="A11211"/>
  <c r="A11212"/>
  <c r="A11213"/>
  <c r="A11214"/>
  <c r="A11215"/>
  <c r="A11216"/>
  <c r="A11217"/>
  <c r="A11218"/>
  <c r="A11219"/>
  <c r="A11220"/>
  <c r="A11221"/>
  <c r="A11222"/>
  <c r="A11223"/>
</calcChain>
</file>

<file path=xl/sharedStrings.xml><?xml version="1.0" encoding="utf-8"?>
<sst xmlns="http://schemas.openxmlformats.org/spreadsheetml/2006/main" count="71526" uniqueCount="35867">
  <si>
    <t>РљРѕРґ</t>
  </si>
  <si>
    <t>Р“СЂСѓРїР°</t>
  </si>
  <si>
    <t>РђСЂС‚РёРєСѓР»</t>
  </si>
  <si>
    <t>РќР°Р№РјРµРЅСѓРІР°РЅРЅСЏ</t>
  </si>
  <si>
    <t>РҐР°СЂРєС–РІ</t>
  </si>
  <si>
    <t>Р“СЂРЅ.</t>
  </si>
  <si>
    <t>Р“СЂСѓРїР° РўР”</t>
  </si>
  <si>
    <t>РђСЂС‚РёРєСѓР» РўР”</t>
  </si>
  <si>
    <t>РћРїРёСЃ</t>
  </si>
  <si>
    <t>AGA</t>
  </si>
  <si>
    <t>DD6538</t>
  </si>
  <si>
    <t>4-С…РІРёР»РёРЅРЅРёР№ РµРїРѕРєСЃРё-Р°РґРіРµР·С–РІ "РњС–С†РЅС–С€Рµ РЅРµ Р±СѓРІР°С”!" (РљРѕР»С–СЂ: РїСЂРѕР·РѕСЂРёР№)  2 x 21.3 Рі</t>
  </si>
  <si>
    <t>87.32</t>
  </si>
  <si>
    <t>DoneDeal</t>
  </si>
  <si>
    <t>DD6540</t>
  </si>
  <si>
    <t>4-С…РІРёР»РёРЅРЅРёР№ РµРїРѕРєСЃРё-Р°РґРіРµР·С–РІ "РњС–С†РЅС–С€Рµ РЅРµ Р±СѓРІР°С”!" (РљРѕР»С–СЂ: СЃС‚Р°Р»РµРІРёР№)  2 x 28.4 Рі</t>
  </si>
  <si>
    <t xml:space="preserve"> &gt; 5</t>
  </si>
  <si>
    <t>75.22</t>
  </si>
  <si>
    <t>DD6559</t>
  </si>
  <si>
    <t>2-С…РІРёР»РёРЅРЅРёР№ РµРїРѕРєСЃРё-Р°РґРіРµР·С–РІ (РєРѕР»С–СЂ: РїСЂРѕР·РѕСЂРёР№)  28,4 Рі</t>
  </si>
  <si>
    <t>103.76</t>
  </si>
  <si>
    <t>DD6561</t>
  </si>
  <si>
    <t>5-С…РІРёР»РёРЅРЅРёР№ РµРїРѕРєСЃРё-Р°РґРіРµР·С–РІ (РєРѕР»С–СЂ: РїСЂРѕР·РѕСЂРёР№)  28,4 Рі</t>
  </si>
  <si>
    <t>98.95</t>
  </si>
  <si>
    <t>DD6565</t>
  </si>
  <si>
    <t>30-С…РІРёР»РёРЅРЅРёР№ РµРїРѕРєСЃРё-Р°РґРіРµР·С–РІ (РєРѕР»С–СЂ: РїСЂРѕР·РѕСЂРёР№)  28,4 Рі</t>
  </si>
  <si>
    <t>88.10</t>
  </si>
  <si>
    <t>DD6573</t>
  </si>
  <si>
    <t>5-С…РІРёР»РёРЅРЅРёР№ РµРїРѕРєСЃРё-Р°РґРіРµР·С–РІ РґР»СЏ РјРµС‚Р°Р»С–РІ (РєРѕР»С–СЂ: СЃС–СЂРёР№)  28,4 Рі</t>
  </si>
  <si>
    <t>DD6580</t>
  </si>
  <si>
    <t>15-С…РІРёР»РёРЅРЅРёР№ РїРѕР»С–Р°РґРіРµР·С–РІ РґР»СЏ РїР»Р°СЃС‚РёРєСѓ (РєРѕР»С–СЂ: Р±РµР¶РµРІРёР№)  28,4 Рі</t>
  </si>
  <si>
    <t>136.80</t>
  </si>
  <si>
    <t>DD6588</t>
  </si>
  <si>
    <t>РђРґРіРµР·РёРІ РґР»СЏ РїСЂРёРєР»РµСЋРІР°РЅРЅСЏ РґР·РµСЂРєР°Р» Р·Р°РґРЅСЊРѕРіРѕ РІРёРґСѓ С– Р°РІС‚РѕРѕР±СЂРѕР±РєРё РїРѕРґРІС–Р№РЅР° СѓРїР°РєРѕРІРєР°  4x3 РјР»</t>
  </si>
  <si>
    <t>68.09</t>
  </si>
  <si>
    <t>DD6594</t>
  </si>
  <si>
    <t>РЎСѓРїРµСЂРєР»РµР№  2 Рі</t>
  </si>
  <si>
    <t>DD6601</t>
  </si>
  <si>
    <t>РЎСѓРїРµСЂРєР»РµР№ РіРµР»СЊ  2 Рі</t>
  </si>
  <si>
    <t>25.44</t>
  </si>
  <si>
    <t>DD6643</t>
  </si>
  <si>
    <t>РЎСѓРїРµСЂРєР»РµР№ С–РЅРґСѓСЃС‚СЂС–Р°Р»СЊРЅРёР№  30 Рі</t>
  </si>
  <si>
    <t>129.51</t>
  </si>
  <si>
    <t>DD6646</t>
  </si>
  <si>
    <t>РђРµСЂРѕР·РѕР»СЊРЅРёР№ РєР»РµР№ (Р°РґРіРµР·РёРІ) 311 Рі</t>
  </si>
  <si>
    <t>171.23</t>
  </si>
  <si>
    <t>DD6650</t>
  </si>
  <si>
    <t>Р’РѕРґРѕСЃС‚С–Р№РєРёР№ СѓРЅС–РІРµСЂСЃР°Р»СЊРЅРёР№ РєР»РµР№ "СЃРєР»РµС—С‚Рё РЅР° СЃРјРµСЂС‚СЊ" Р±СѓСЂС€С‚РёРЅРѕРІРёР№  30 РјР»</t>
  </si>
  <si>
    <t>52.11</t>
  </si>
  <si>
    <t>DD6657</t>
  </si>
  <si>
    <t>Р’РѕРґРѕСЃС‚С–Р№РєРёР№ СѓРЅС–РІРµСЂСЃР°Р»СЊРЅРёР№ РєР»РµР№ "СЃРєР»РµС—С‚Рё РЅР° СЃРјРµСЂС‚СЊ" РїСЂРѕР·РѕСЂРёР№  30 РјР»</t>
  </si>
  <si>
    <t>DD6659</t>
  </si>
  <si>
    <t>Р”РІРѕРєРѕРјРїРѕРЅРµРЅС‚РЅРёР№ СЃСѓРїРµСЂР°РґРіРµР·С–РІ РґР»СЏ РїР»Р°СЃС‚РёРєСѓ  2 Рі + 4 РјР»</t>
  </si>
  <si>
    <t>90.89</t>
  </si>
  <si>
    <t>DD6670</t>
  </si>
  <si>
    <t>РђРЅР°РµСЂРѕР±РЅРёР№ С„С–РєСЃР°С‚РѕСЂ СЂС–Р·СЊР±Рё СЂРѕР·'С”РјРЅРёР№  3 РјР»</t>
  </si>
  <si>
    <t>69.33</t>
  </si>
  <si>
    <t>DD6673</t>
  </si>
  <si>
    <t>РђРЅР°РµСЂРѕР±РЅРёР№ С„С–РєСЃР°С‚РѕСЂ СЂС–Р·СЊР±Рё СЂРѕР·'С”РјРЅРёР№  10 Рі</t>
  </si>
  <si>
    <t>93.22</t>
  </si>
  <si>
    <t>DD6698</t>
  </si>
  <si>
    <t>Р”РІСѓС…РєРѕРјРїР°РЅРµРЅС‚РЅР° Р°Р±СЂР°Р·РёРІРЅР° РїР°СЃС‚Р° РґР»СЏ С€Р»С–С„СѓРІР°РЅРЅСЏ РјРµС‚Р°Р»С–РІ  2 С… 28.4 Рі.</t>
  </si>
  <si>
    <t>60.80</t>
  </si>
  <si>
    <t>DD6705</t>
  </si>
  <si>
    <t>РџСЂРѕР·РѕСЂРёР№ СЃРёР»С–РєРѕРЅРѕРІРёР№ РіРµСЂРјРµС‚РёРє-РєР»РµР№ РґР»СЏ СЃРєР»Р°  85 Рі</t>
  </si>
  <si>
    <t>DD6710</t>
  </si>
  <si>
    <t>РћР•Рњ Р¤РѕСЂРјСѓРІР°С‡ РїСЂРѕРєР»Р°РґРѕРє С‚РµСЂРјРѕСЃС‚С–Р№РєРёР№ С‡РѕСЂРЅРёР№ СЃРёР»С–РєРѕРЅРѕРІРёР№   42.5 Рі</t>
  </si>
  <si>
    <t>43.43</t>
  </si>
  <si>
    <t>DD6712</t>
  </si>
  <si>
    <t>РћР•Рњ РўРµСЂРјРѕСЃС‚С–Р№РєРёР№ С‡РѕСЂРЅРёР№ СЃРёР»С–РєРѕРЅРѕРІРёР№ С„РѕСЂРјСѓРІР°С‡ РїСЂРѕРєР»Р°РґРѕРє  85 Рі</t>
  </si>
  <si>
    <t>67.47</t>
  </si>
  <si>
    <t>DD6719</t>
  </si>
  <si>
    <t>РЈРЅС–РІРµСЂСЃР°Р»СЊРЅРёР№ СЃРёРЅС–Р№ СЃРёР»С–РєРѕРЅРѕРІРёР№ С„РѕСЂРјСѓРІР°С‡ РїСЂРѕРєР»Р°РґРѕРє  85 Рі</t>
  </si>
  <si>
    <t>63.59</t>
  </si>
  <si>
    <t>DD6724</t>
  </si>
  <si>
    <t>Р¤РѕСЂРјСѓРІР°С‡ РїСЂРѕРєР»Р°РґРѕРє С‚РµСЂРјРѕСЃС‚С–Р№РєРёР№ С‡РµСЂРІРѕРЅРёР№ СЃРёР»С–РєРѕРЅРѕРІРёР№   42.5 Рі</t>
  </si>
  <si>
    <t>DD6726</t>
  </si>
  <si>
    <t>РўРµСЂРјРѕСЃС‚С–Р№РєРёР№ С‡РµСЂРІРѕРЅРёР№ СЃРёР»С–РєРѕРЅРѕРІРёР№ С„РѕСЂРјСѓРІР°С‡ РїСЂРѕРєР»Р°РґРѕРє  85 Рі</t>
  </si>
  <si>
    <t>63.28</t>
  </si>
  <si>
    <t>DD6729</t>
  </si>
  <si>
    <t>РўРµСЂРјРѕСЃС‚С–Р№РєРёР№ РјС–РґРЅРёР№ СЃРёР»С–РєРѕРЅРѕРІРёР№ С„РѕСЂРјСѓРІР°С‡ РїСЂРѕРєР»Р°РґРѕРє  85 Рі</t>
  </si>
  <si>
    <t>82.82</t>
  </si>
  <si>
    <t>DD6731</t>
  </si>
  <si>
    <t>Р“РµСЂРјРµС‚РёРє-С„РѕСЂРјСѓРІР°С‡ РїСЂРѕРєР»Р°РґРѕРє С‚РµСЂРјРѕСЃС‚С–Р№РєРёР№  СЃРёР»С–РєРѕРЅРѕРІРёР№, Р· РјС–РґРґСЋ  42.5 Рі</t>
  </si>
  <si>
    <t>46.53</t>
  </si>
  <si>
    <t>DD6733</t>
  </si>
  <si>
    <t>РћР•Рњ РўРµСЂРјРѕСЃС‚С–Р№РєРёР№ СЃС–СЂРёР№ СЃРёР»С–РєРѕРЅРѕРІРёР№ С„РѕСЂРјСѓРІР°С‡ РїСЂРѕРєР»Р°РґРѕРє  85 Рі</t>
  </si>
  <si>
    <t>63.90</t>
  </si>
  <si>
    <t>DD6735</t>
  </si>
  <si>
    <t>РћР•Рњ РўРµСЂРјРѕСЃС‚С–Р№РєРёР№ СЃС–СЂРёР№ СЃРёР»С–РєРѕРЅРѕРІРёР№ С„РѕСЂРјСѓРІР°С‡ РїСЂРѕРєР»Р°РґРѕРє  205 Рі</t>
  </si>
  <si>
    <t>231.25</t>
  </si>
  <si>
    <t>DD6737</t>
  </si>
  <si>
    <t>РћР•Рњ С„РѕСЂРјСѓРІР°С‡ РїСЂРѕРєР»Р°РґРѕРє С‚РµСЂРјРѕСЃС‚С–Р№РєРёР№ СЃС–СЂРёР№ СЃРёР»С–РєРѕРЅРѕРІРёР№   42.5 Рі</t>
  </si>
  <si>
    <t>41.72</t>
  </si>
  <si>
    <t>DD6754</t>
  </si>
  <si>
    <t>Р—Р°С‚С–РєР°СЋС‰РёР№ РіРµСЂРјРµС‚РёРє СЃРёР»С–РєРѕРЅРѕРІРёР№ РґР»СЏ СЂРµРјРѕРЅС‚Сѓ СЃРєР»Р°  85 Рі</t>
  </si>
  <si>
    <t>89.65</t>
  </si>
  <si>
    <t>DD6799</t>
  </si>
  <si>
    <t>РўРµСЂРјРѕСЃС‚Р°Р»СЊ-С‚РµСЂРјРѕСЃС‚С–Р№РєР° (РґРѕ 1400 РЎ) РЅР°РґРјС–С†РЅРёР№ СЂРµРјРѕРЅС‚РЅРёР№ РіРµСЂРјРµС‚РёРє  85 Рі</t>
  </si>
  <si>
    <t>79.41</t>
  </si>
  <si>
    <t>DD6832</t>
  </si>
  <si>
    <t>РўРµСЂРјРѕСЃС‚С–Р№РєР° (РґРѕ 260 РЎ) СЂРµРјРѕРЅС‚РЅР° СЃС‚СЂС–С‡РєР° "РЈРґР°РІ" (РљРѕР»С–СЂ: Р§РѕСЂРЅРёР№) 2.5x100</t>
  </si>
  <si>
    <t>46.84</t>
  </si>
  <si>
    <t>DD6855</t>
  </si>
  <si>
    <t>РЈРЅС–РІРµСЂСЃР°Р»СЊРЅРёР№ РіРµСЂРјРµС‚РёРє СЂР°РґС–Р°С‚РѕСЂР°  20 Рі</t>
  </si>
  <si>
    <t>33.04</t>
  </si>
  <si>
    <t>DD6870</t>
  </si>
  <si>
    <t>РђРІС‚РѕРєР»РµР№, РєР»РµР№-РіРµСЂРјРµС‚РёРє РїСЂРѕР·РѕСЂРёР№  82 Рі.</t>
  </si>
  <si>
    <t>DD6873</t>
  </si>
  <si>
    <t>РўСѓСЂРєР»РµР№, РєР»РµР№-РіРµСЂРјРµС‚РёРє РІРѕРґРѕСЃС‚С–Р№РєРёР№  82 Рі.</t>
  </si>
  <si>
    <t>82.20</t>
  </si>
  <si>
    <t>DW5171</t>
  </si>
  <si>
    <t>Р•РєРѕР»РѕРіС–С‡РЅРѕ С‡РёСЃС‚РёР№ РїРѕРіР»РёРЅР°С‡ Р·Р°РїР°С…Сѓ "РџРѕРґРёС… Р°Р»СЊРї"  227 Рі.</t>
  </si>
  <si>
    <t>105.00</t>
  </si>
  <si>
    <t>DoctorWax</t>
  </si>
  <si>
    <t>DW5210</t>
  </si>
  <si>
    <t>РћС‡РёСЃРЅРёРє-РєРѕРЅРґРёС†С–РѕРЅРµСЂ РґР»СЏ С€РєС–СЂРё  300 РјР»</t>
  </si>
  <si>
    <t>102.83</t>
  </si>
  <si>
    <t>DW5343</t>
  </si>
  <si>
    <t>Р РµСЃС‚Р°РІСЂР°С‚РѕСЂ РїРѕРєСЂРёС€РѕРє  300 РјР»</t>
  </si>
  <si>
    <t>121.13</t>
  </si>
  <si>
    <t>DW5628</t>
  </si>
  <si>
    <t>РћС‡РёСЃРЅРёРє РєСѓР·РѕРІР° РІС–Рґ СЃР»С–РґС–РІ РєРѕРјР°С… С‚Р° РіСѓРґСЂРѕРЅСѓ 236 РјР»</t>
  </si>
  <si>
    <t>81.89</t>
  </si>
  <si>
    <t>DW8102</t>
  </si>
  <si>
    <t>РЁР°РјРїСѓРЅСЊ-РєРѕРЅРґС–С†С–РѕРЅРµСЂ (РєРѕРЅС†РµРЅС‚СЂР°С‚)  300 РјР»</t>
  </si>
  <si>
    <t>68.40</t>
  </si>
  <si>
    <t>DW8126</t>
  </si>
  <si>
    <t>РЁР°РјРїСѓРЅСЊ Р· РІРѕСЃРєРѕРј (РєРѕРЅС†РµРЅС‚СЂР°С‚)  300 РјР»</t>
  </si>
  <si>
    <t>74.60</t>
  </si>
  <si>
    <t>DW8133</t>
  </si>
  <si>
    <t>РЁР°РјРїСѓРЅСЊ Р· РІРѕСЃРєРѕРј (РєРѕРЅС†РµРЅС‚СЂР°С‚)  600 РјР»</t>
  </si>
  <si>
    <t>116.33</t>
  </si>
  <si>
    <t>DW8217</t>
  </si>
  <si>
    <t>РџРѕР»С–СЂРѕР»СЊ-РѕС‡РёСЃРЅРёРє, Р·Р°С…РёСЃС‚ "РљР°СЂРЅР°СѓР±Р°" 300 РјР»</t>
  </si>
  <si>
    <t>105.62</t>
  </si>
  <si>
    <t>DW8227</t>
  </si>
  <si>
    <t>РџРѕР»С–СЂРѕР»СЊ-РѕС‡РёСЃРЅРёРє, Р·Р°С…РёСЃС‚ "РџРѕР»С–С„Р»РѕРЅ"  300 РјР»</t>
  </si>
  <si>
    <t>DW8239</t>
  </si>
  <si>
    <t>РџРѕР»С–СЂРѕР»СЊ "Р“РµСЂРјРµС‚РёРє" С–Р· Р·Р°С…РёСЃС‚РѕРј РІС–Рґ СѓР»СЊС‚СЂРѕС„С–РѕР»РµС‚РѕРІРёС… РїСЂРѕРјРµРЅС–РІ  300 РјР»</t>
  </si>
  <si>
    <t>108.88</t>
  </si>
  <si>
    <t>DW8275</t>
  </si>
  <si>
    <t>РџРѕР»С–СЂРѕР»СЊ РґР»СЏ РІРёРґР°Р»РµРЅРЅСЏ РїРѕРґСЂСЏРїРёРЅ  300 РјР»</t>
  </si>
  <si>
    <t>112.76</t>
  </si>
  <si>
    <t>DW8287</t>
  </si>
  <si>
    <t>РђР±СЂР°Р·РёРІРЅР° РїРѕР»С–СЂСѓРІР°Р»СЊРЅР° РїР°СЃС‚Р°  300 РјР»</t>
  </si>
  <si>
    <t>84.84</t>
  </si>
  <si>
    <t>DW8307</t>
  </si>
  <si>
    <t>РўРѕРЅРєР° РїРѕР»С–СЂСѓРІР°Р»СЊРЅР° РїР°СЃС‚Р°  236 РјР»</t>
  </si>
  <si>
    <t>83.13</t>
  </si>
  <si>
    <t>DW8316</t>
  </si>
  <si>
    <t>РћС‡РёСЃРЅРёРє-РїРѕР»С–СЂРѕР»СЊ РґР»СЏ РґРµРєРѕСЂР°С‚РёРІРЅРѕС— РєСѓР·РѕРІРЅРёР№ РѕР±СЂРѕР±РєРё С‡РѕСЂРЅРѕРіРѕ РєРѕР»СЊРѕСЂСѓ  236 РјР»</t>
  </si>
  <si>
    <t>87.63</t>
  </si>
  <si>
    <t>DW8317</t>
  </si>
  <si>
    <t>РџРѕР»С–СЂСѓРІР°Р»СЊРЅР°СЏ РїР°СЃС‚Р° РґР»СЏ С…СЂРѕРјСѓ  300 РјР»</t>
  </si>
  <si>
    <t>78.79</t>
  </si>
  <si>
    <t>DW8425</t>
  </si>
  <si>
    <t>РљРѕР»СЊРѕСЂРѕРІР° РїРѕР»С–СЂРѕР»СЊ С–Р· РїРѕР»С–С„Р»РѕРЅРѕРј. РўРµРјРЅРѕ-С‡РµСЂРІРѕРЅР°  300 РјР»</t>
  </si>
  <si>
    <t>109.50</t>
  </si>
  <si>
    <t>DW8433</t>
  </si>
  <si>
    <t>РљРѕР»СЊРѕСЂРѕРІР° РїРѕР»С–СЂРѕР»СЊ С–Р· РїРѕР»С–С„Р»РѕРЅРѕРј. РўРµРјРЅРѕ-СЃРёРЅСЏ  300 РјР»</t>
  </si>
  <si>
    <t>DW8441</t>
  </si>
  <si>
    <t>РљРѕР»СЊРѕСЂРѕРІР° РїРѕР»С–СЂРѕР»СЊ С–Р· РїРѕР»С–С„Р»РѕРЅРѕРј. РЎРёРЅСЏ  300 РјР»</t>
  </si>
  <si>
    <t>DW8449</t>
  </si>
  <si>
    <t>РљРѕР»СЊРѕСЂРѕРІР° РїРѕР»С–СЂРѕР»СЊ С–Р· РїРѕР»С–С„Р»РѕРЅРѕРј. Р—РµР»РµРЅР°  300 РјР»</t>
  </si>
  <si>
    <t>DW8457</t>
  </si>
  <si>
    <t>РљРѕР»СЊРѕСЂРѕРІР° РїРѕР»С–СЂРѕР»СЊСЃ РїРѕР»С–С„Р»РѕРЅРѕРј. РЎС–СЂР°  300 РјР»</t>
  </si>
  <si>
    <t>DW8643</t>
  </si>
  <si>
    <t>РђРїР»С–РєР°С‚РѕСЂ РґР»СЏ РїРѕР»С–СЂСѓРІР°РЅРЅСЏ РєСѓР·РѕРІР°</t>
  </si>
  <si>
    <t>62.35</t>
  </si>
  <si>
    <t>ER16(P002RU)</t>
  </si>
  <si>
    <t>РђРЅС‚РёС„СЂРёРєС†С–Р№РЅРёР№ РєРѕРЅРґРёС†С–РѕРЅРµСЂ РјРµС‚Р°Р»Сѓ (ER-РџРµСЂРµРјРѕР¶РµС†СЊ С‚РµСЂС‚СЏ)  473 РјР»</t>
  </si>
  <si>
    <t>532.92</t>
  </si>
  <si>
    <t>ENERGY RELEASE</t>
  </si>
  <si>
    <t>ER5(P001RU)</t>
  </si>
  <si>
    <t>РђРЅС‚РёС„СЂРёРєС†С–Р№РЅРёР№ РєРѕРЅРґРёС†С–РѕРЅРµСЂ РјРµС‚Р°Р»Сѓ (ER-РџРµСЂРµРјРѕР¶РµС†СЊ С‚РµСЂС‚СЏ)  148 РјР»</t>
  </si>
  <si>
    <t>219.78</t>
  </si>
  <si>
    <t>ER8(P007RU)</t>
  </si>
  <si>
    <t>РђРЅС‚РёС„СЂРёРєС†С–Р№РЅРёР№ РєРѕРЅРґРёС†С–РѕРЅРµСЂ РјРµС‚Р°Р»Сѓ (ER-РџРµСЂРµРјРѕР¶РµС†СЊ С‚РµСЂС‚СЏ)  180 Рі</t>
  </si>
  <si>
    <t>308.49</t>
  </si>
  <si>
    <t>HG2204</t>
  </si>
  <si>
    <t>5-С…РІРёР»РёРЅРЅР° РїСЂРѕРјРёРІРєР° РґРІРёРіСѓРЅР° Р°РІС‚РѕРјРѕР±С–Р»С–РІ Р· РІРµР»РёРєРёРј РїСЂРѕР±С–РіРѕРј  444 РјР»</t>
  </si>
  <si>
    <t>101.28</t>
  </si>
  <si>
    <t>Hi-Gear</t>
  </si>
  <si>
    <t>HG2205</t>
  </si>
  <si>
    <t>5-С…РІРёР»РёРЅРЅР° РїСЂРѕРјРёРІРєР° РґРІРёРіСѓРЅР°  444 РјР»</t>
  </si>
  <si>
    <t>HG2206</t>
  </si>
  <si>
    <t>РћС‡РёСЃРЅРёРє РґРІРёРіСѓРЅР° Рј'СЏРєРёР№  С–Р· СЃРµСЂРµРґРЅС–Рј С‚Р° СЃРёР»СЊРЅРёРј Р·РЅРѕСЃРѕРј, Р· SMT2  444 РјР»</t>
  </si>
  <si>
    <t>119.58</t>
  </si>
  <si>
    <t>HG2207</t>
  </si>
  <si>
    <t>Рњ'СЏРєРёР№ РѕС‡РёС‰СѓРІР°С‡ РґРІРёРіСѓРЅР° (РґРѕРґР°С”С‚СЊСЃСЏ Р·Р° 150 РєРј РґРѕ Р·РјС–РЅРё РјР°СЃР»Р°)  444 РјР»</t>
  </si>
  <si>
    <t>115.39</t>
  </si>
  <si>
    <t>HG2209</t>
  </si>
  <si>
    <t>5-С…РІРёР»РёРЅРЅР° РїСЂРѕРјРёРІРєР° РґРІРёРіСѓРЅР° РґР»СЏ РѕСЃРѕР±Р»РёРІРѕ Р·Р°Р±СЂСѓРґРЅРµРЅРёС… РґРІРёРіСѓРЅС–РІ  887 РјР»</t>
  </si>
  <si>
    <t>164.87</t>
  </si>
  <si>
    <t>HG2214</t>
  </si>
  <si>
    <t>10-С‚Рё С…РІРёР»РёРЅРЅР° РїСЂРѕРјРёРІРєР° РґРІРёРіСѓРЅР° (РјС–СЃС‚РёС‚СЊ "РџРµСЂРµРјРѕР¶РµС†СЊ С‚РµСЂС‚СЏ")  444 РјР»</t>
  </si>
  <si>
    <t>122.99</t>
  </si>
  <si>
    <t>HG2219</t>
  </si>
  <si>
    <t>10-С‚Рё С…РІРёР»РёРЅРЅР° РїСЂРѕРјРёРІРєР° РґРІРёРіСѓРЅР° РґР»СЏ 6-8 С†РёР»С–РЅРґСЂРѕРІРёС… РґРІРёРіСѓРЅС–РІ Р°Р±Рѕ СЃРёР»СЊРЅРѕ Р·Р°Р±СЂСѓРґРЅРµРЅРёС… 4-С†РёР»С–РЅРґСЂРѕРІРёС… РґРІ</t>
  </si>
  <si>
    <t>188.29</t>
  </si>
  <si>
    <t>HG2222</t>
  </si>
  <si>
    <t>РЎРёРЅС‚РµС‚РёС‡РЅР° РїСЂРѕРјРёРІРєР° РґРІРёРіСѓРЅР° РґР»СЏ РїРµСЂРµС…РѕРґСѓ РЅР° "РЎРёРЅС‚РµС‚РёРєСѓ" (РјС–СЃС‚РёС‚СЊ SMT2)  444 РјР»</t>
  </si>
  <si>
    <t>113.07</t>
  </si>
  <si>
    <t>HG2231</t>
  </si>
  <si>
    <t>РЎС‚РѕРї-С‚РµС‡Р° РґР»СЏ РґРІРёРіСѓРЅР° 355 РјР»</t>
  </si>
  <si>
    <t>113.69</t>
  </si>
  <si>
    <t>HG2235</t>
  </si>
  <si>
    <t>Р РµРјРѕРЅС‚РЅРёР№ РіРµСЂРјРµС‚РёРє РїРµСЂРµР±РёСЂР°РЅРЅСЏ  444 РјР»</t>
  </si>
  <si>
    <t>119.89</t>
  </si>
  <si>
    <t>HG2241</t>
  </si>
  <si>
    <t>РЎС‚Р°Р±С–Р»С–Р·Р°С‚РѕСЂ РІ'СЏР·РєРѕСЃС‚С– РѕР»С–С—  355 РјР»</t>
  </si>
  <si>
    <t>92.90</t>
  </si>
  <si>
    <t>HG2243</t>
  </si>
  <si>
    <t>РљРѕРјРїР»РµРєСЃ СЃСѓРїРµСЂРїСЂРёСЃР°РґРѕРє РґРѕ РјР°СЃР»Р°  444 РјР»</t>
  </si>
  <si>
    <t>115.08</t>
  </si>
  <si>
    <t>HG2248</t>
  </si>
  <si>
    <t>РљРѕРјРїР»РµРєСЃ СЃСѓРїРµСЂРїСЂРёСЃР°РґРѕРє РґРѕ РјР°СЃР»Р° РґР»СЏ РЅРѕРІРёС… Р°РІС‚РѕРјРѕР±С–Р»С–РІ (РјС–СЃС‚РёС‚СЊ "РџРµСЂРµРјРѕР¶РµС†СЊ С‚РµСЂС‚СЏ")  444 РјР»</t>
  </si>
  <si>
    <t>166.73</t>
  </si>
  <si>
    <t>HG2250</t>
  </si>
  <si>
    <t>РљРѕРјРїР»РµРєСЃ СЃСѓРїРµСЂРїСЂРёСЃР°РґРѕРє РґРѕ РјР°СЃР»Р° РґР»СЏ СЃС‚Р°СЂРёС… РґРІС–РіСѓРЅС–РІ Р· SMT2  444 РјР»</t>
  </si>
  <si>
    <t>136.49</t>
  </si>
  <si>
    <t>HG2253</t>
  </si>
  <si>
    <t>РљРѕРјРїР»РµРєСЃ СЃСѓРїРµСЂРїСЂРёСЃР°РґРѕРє РґРѕ РјР°СЃР»Р°. РџСЂРёР·РЅР°С‡РµРЅРёР№ РґР»СЏ РґРёР·РµР»СЊРЅРёС… РґРІРёРіСѓРЅС–РІ (РјС–СЃС‚РёС‚СЊ SMT2)  444 РјР»</t>
  </si>
  <si>
    <t>149.67</t>
  </si>
  <si>
    <t>HG3116</t>
  </si>
  <si>
    <t>РћС‡РёСЃРЅРёРє РєР°СЂР±СЋСЂР°С‚РѕСЂР° (СЃРёРЅС‚РµС‚РёС‡РЅР° С„РѕСЂРјСѓР»Р°, Р°РµСЂРѕР·РѕР»СЊ)  354 Рі</t>
  </si>
  <si>
    <t>106.40</t>
  </si>
  <si>
    <t>HG3121</t>
  </si>
  <si>
    <t>РћС‡РёСЃРЅРёРє РєР°СЂР±СЋСЂР°С‚РѕСЂР° (СЃРёРЅС‚РµС‚РёС‡РЅР° С„РѕСЂРјСѓР»Р°, Р°РµСЂРѕР·РѕР»СЊ)  510 Рі</t>
  </si>
  <si>
    <t>131.68</t>
  </si>
  <si>
    <t>HG3190</t>
  </si>
  <si>
    <t>РћС‡РёСЃРЅРёРє РєР°СЂР±СЋСЂР°С‚РѕСЂР°. РќРѕРІР° РєРѕРЅС†РµРЅС‚СЂРѕРІР°РЅР° С„РѕСЂРјСѓР»Р°  150 РјР»</t>
  </si>
  <si>
    <t>78.64</t>
  </si>
  <si>
    <t>HG3201</t>
  </si>
  <si>
    <t>РћС‡РёСЃРЅРёРє РєР°СЂР±СЋСЂР°С‚РѕСЂР° (Р°РµСЂРѕР·РѕР»СЊ)  312 Рі</t>
  </si>
  <si>
    <t>104.07</t>
  </si>
  <si>
    <t>HG3215</t>
  </si>
  <si>
    <t>РћС‡РёСЃРЅРёРє С–РЅР¶РµРєС‚РѕСЂС–РІ СѓРґР°СЂРЅРѕС— РґС–С—  295 РјР»</t>
  </si>
  <si>
    <t>HG3216</t>
  </si>
  <si>
    <t>РћС‡РёСЃРЅРёРє С–РЅР¶РµРєС‚РѕСЂС–РІ С€РІРёРґРєРѕС— РґС–С— (РЅР° 60 Р») 325 РјР»</t>
  </si>
  <si>
    <t>99.88</t>
  </si>
  <si>
    <t>HG3222</t>
  </si>
  <si>
    <t>РЎРёРЅС‚РµС‚РёС‡РЅРёР№ РѕС‡РёСЃРЅРёРє С–РЅР¶РµРєС‚РѕСЂС–РІ (РЅР° 80 Р»)  473 РјР»</t>
  </si>
  <si>
    <t>152.31</t>
  </si>
  <si>
    <t>HG3225</t>
  </si>
  <si>
    <t>РћС‡РёСЃРЅРёРє С–РЅР¶РµРєС‚РѕСЂС–РІ. РќРѕРІР° РєРѕРЅС†РµРЅС‚СЂРѕРІР°РЅР° С„РѕСЂРјСѓР»Р°  150 РјР»</t>
  </si>
  <si>
    <t>HG3235</t>
  </si>
  <si>
    <t>РўРѕС‚Р°Р»СЊРЅРёР№ РѕС‡РёС‰СѓРІР°С‡ СЃРёСЃС‚РµРјРё Р¶РёРІР»РµРЅРЅСЏ С– РєР»Р°РїР°РЅС–РІ  295 РјР»</t>
  </si>
  <si>
    <t>HG3236</t>
  </si>
  <si>
    <t>РўРѕС‚Р°Р»СЊРЅРёР№ РѕС‡РёС‰СѓРІР°С‡ СЃРёСЃС‚РµРјРё Р¶РёРІР»РµРЅРЅСЏ С– РєР»Р°РїР°РЅС–РІ (РЅР° 60 Р»)  325 РјР»</t>
  </si>
  <si>
    <t>123.30</t>
  </si>
  <si>
    <t>HG3237</t>
  </si>
  <si>
    <t>РћС‡РёСЃРЅРёРє С–РЅР¶РµРєС‚РѕСЂС–РІ С– СЃРёСЃС‚РµРјРё Р¶РёРІР»РµРЅРЅСЏ Р±РµРЅР·РёРЅРѕРІРёС… РґРІРёРіСѓРЅС–РІ, Р· SMT2  240 РјР»</t>
  </si>
  <si>
    <t>193.72</t>
  </si>
  <si>
    <t>HG3238</t>
  </si>
  <si>
    <t>РћС‡РёСЃРЅРёРє С–РЅР¶РµРєС‚РѕСЂС–РІ (РјС–СЃС‚РёС‚СЊ ER)  237 РјР»</t>
  </si>
  <si>
    <t>HG3247</t>
  </si>
  <si>
    <t>РћС‡РёСЃРЅРёРє РІРїСѓСЃРєРЅРѕРіРѕ С‚СЂР°РєС‚Сѓ РґР»СЏ Р±РµРЅР·РёРЅРѕРІРёС… РґРІРёРіСѓРЅС–РІ Р· СѓРїРѕСЂСЃРєСѓРІР°РЅРЅСЏРј РїР°Р»РёРІР°  312 Рі</t>
  </si>
  <si>
    <t>122.06</t>
  </si>
  <si>
    <t>HG3306</t>
  </si>
  <si>
    <t>РЎСѓРїРµСЂРѕРєС‚Р°РЅ-РєРѕСЂРµРєС‚РѕСЂ (РЅР° 60 Р»)  325 РјР»</t>
  </si>
  <si>
    <t>125.32</t>
  </si>
  <si>
    <t>HG3309</t>
  </si>
  <si>
    <t>РћРєС‚Р°РЅ-РєРѕСЂРµРєС‚РѕСЂ С– РєРѕРЅРґРёС†С–РѕРЅРµСЂ РґР»СЏ СЃРёСЃС‚РµРјРё Р¶РёРІР»РµРЅРЅСЏ Р±РµРЅР·РёРЅРѕРІРёС… РґРІРёРіСѓРЅС–РІ, Р· SMT2  240 РјР»</t>
  </si>
  <si>
    <t>194.65</t>
  </si>
  <si>
    <t>HG3319</t>
  </si>
  <si>
    <t>РЁРІРёРґРєРёР№ Р·Р°РїСѓСЃРє РґРІРёРіСѓРЅР° РґР»СЏ РєР°СЂР±СЋСЂР°С‚РѕСЂРЅРёС…, С–РЅР¶РµРєС‚РѕСЂРЅРёС… С– РґРёР·РµР»СЊРЅРёС… Р”Р’РЎ С– С‚РµСЃС‚РµСЂ СЃРёСЃС‚РµРјРё Р¶РёРІР»РµРЅРЅСЏ  286</t>
  </si>
  <si>
    <t>HG3340</t>
  </si>
  <si>
    <t>РђРЅС‚РёРґРµС‚РѕРЅР°С†С–Р№РЅР° РїСЂРёСЃР°РґРєР° - РѕС‡РёСЃРЅРёРє РїР°Р»РёРІРЅРѕС— СЃРёСЃС‚РµРјРё. РќРѕРІР° РєРѕРЅС†РµРЅС‚СЂРѕРІР°РЅР° С„РѕСЂРјСѓР»Р°  150 РјР»</t>
  </si>
  <si>
    <t>71.97</t>
  </si>
  <si>
    <t>HG3409</t>
  </si>
  <si>
    <t>РћС‡РёСЃРЅРёРє С„РѕСЂСЃСѓРЅРѕРє РґР»СЏ РґРёР·РµР»СЏ Р· SMT2  325 РјР»</t>
  </si>
  <si>
    <t>HG3410</t>
  </si>
  <si>
    <t>РћС‡РёСЃРЅРёРє С„РѕСЂСЃСѓРЅРѕРє С‚Р° СЃРёСЃС‚РµРјРё Р¶РёРІР»РµРЅРЅСЏ РґРёР·РµР»СЊРЅРёС… РґРІРёРіСѓРЅС–РІ, Р· SMT2  240 РјР»</t>
  </si>
  <si>
    <t>211.40</t>
  </si>
  <si>
    <t>HG3411</t>
  </si>
  <si>
    <t>Р¦РµС‚Р°РЅ-РєРѕСЂРµРєС‚РѕСЂ РґР»СЏ РґРёР·РµР»СЊРЅРѕРіРѕ РїР°Р»РёРІР°, Р· SMT2  240 РјР»</t>
  </si>
  <si>
    <t>HG3415</t>
  </si>
  <si>
    <t>РћС‡РёСЃРЅРёРє С„РѕСЂСЃСѓРЅРѕРє РґР»СЏ РґРёР·РµР»СЏ  295 РјР»</t>
  </si>
  <si>
    <t>HG3417</t>
  </si>
  <si>
    <t>РћС‡РёСЃРЅРёРє С„РѕСЂСЃСѓРЅРѕРє РґР»СЏ РґРёР·РµР»СЏ (РјС–СЃС‚РёС‚СЊ "РџРµСЂРµРјРѕР¶РµС†СЊ С‚РµСЂС‚СЏ")  474 РјР»</t>
  </si>
  <si>
    <t>298.72</t>
  </si>
  <si>
    <t>HG3418</t>
  </si>
  <si>
    <t>РћС‡РёСЃРЅРёРє С„РѕСЂСЃСѓРЅРѕРє РґР»СЏ РґРёР·РµР»СЏ (РјС–СЃС‚РёС‚СЊ "РџРµСЂРµРјРѕР¶РµС†СЊ С‚РµСЂС‚СЏ")  237 РјР»</t>
  </si>
  <si>
    <t>218.85</t>
  </si>
  <si>
    <t>HG3421</t>
  </si>
  <si>
    <t>РЎСѓРїРµСЂР°РЅС‚РёРіРµР»СЊ РґР»СЏ РґРёР·РїР°Р»РёРІР° (РјС–СЃС‚С–С‚СЊ SMT2) 1:500  444 РјР»</t>
  </si>
  <si>
    <t>155.10</t>
  </si>
  <si>
    <t>HG3423</t>
  </si>
  <si>
    <t>РЎСѓРїРµСЂР°РЅС‚РёРіРµР»СЊ РґР»СЏ РґРёР·РїР°Р»РёРІР° (РјС–СЃС‚РёС‚СЊ "РџРµСЂРµРјРѕР¶РµС†СЊ С‚РµСЂС‚СЏ")  444 РјР»</t>
  </si>
  <si>
    <t>HG3426</t>
  </si>
  <si>
    <t>РЎСѓРїРµСЂР°РЅС‚РёРіРµР»СЊ РґР»СЏ РґРёР·РїР°Р»РёРІР°1:500 325 РјР»</t>
  </si>
  <si>
    <t>139.75</t>
  </si>
  <si>
    <t>HG3427</t>
  </si>
  <si>
    <t>РЎСѓРїРµСЂР°РЅС‚РёРіРµР»СЊ РґР»СЏ РґРёР·РїР°Р»РёРІР° 1:500  946 РјР»</t>
  </si>
  <si>
    <t>252.50</t>
  </si>
  <si>
    <t>HG3435</t>
  </si>
  <si>
    <t>Р¦РµС‚Р°РЅ-РєРѕСЂРµРєС‚РѕСЂ РєРѕРЅРґРёС†С–РѕРЅРµСЂ РґР»СЏ РґРёР·.РїР°Р»РёРІРѕ  325 РјР»</t>
  </si>
  <si>
    <t>92.28</t>
  </si>
  <si>
    <t>HG3436</t>
  </si>
  <si>
    <t>РћС‡РёСЃРЅРёРє-Р°РЅС‚РёРЅР°РіР°СЂ С‚Р° С‚СЋРЅС–РЅРі РґР»СЏ РґРёР·РµР»СЏ (РЅР° 70-90 Р»)  325 РјР»</t>
  </si>
  <si>
    <t>101.59</t>
  </si>
  <si>
    <t>HG3444</t>
  </si>
  <si>
    <t>РЎРёРЅС‚РµС‚РёС‡РЅРёР№ РѕС‡РёСЃРЅРёРє С„РѕСЂСЃСѓРЅРѕРє С‚Р° С‚СЋРЅС–РЅРі РґР»СЏ РґРёР·РµР»СЏ (РЅР° 80-100 Р»)  473 РјР»</t>
  </si>
  <si>
    <t>HG3449</t>
  </si>
  <si>
    <t>РћС‡РёСЃРЅРёРє-Р°РЅС‚РёРЅР°РіР°СЂ С‚Р° С‚СЋРЅС–РЅРі РґР»СЏ РґРёР·РµР»СЏ  3.78 Р»</t>
  </si>
  <si>
    <t>723.23</t>
  </si>
  <si>
    <t>HG4114</t>
  </si>
  <si>
    <t>Р РѕР·РјРѕСЂРѕР¶СѓРІР°С‡ РґРёР·РµР»СЊРЅРѕРіРѕ РїР°Р»РёРІР°  946 РјР»</t>
  </si>
  <si>
    <t>238.39</t>
  </si>
  <si>
    <t>HG4117</t>
  </si>
  <si>
    <t>Р РѕР·РјРѕСЂРѕР¶СѓРІР°С‡ РґРёР·РµР»СЊРЅРѕРіРѕ РїР°Р»РёРІР° (РЅР° 90 Р» РїР°Р»РёРІР°)  444 РјР»</t>
  </si>
  <si>
    <t>124.08</t>
  </si>
  <si>
    <t>HG5185</t>
  </si>
  <si>
    <t>РќРµР№С‚СЂР°Р»С–Р·Р°С‚РѕСЂ Р·Р°РїР°С…С–РІ  340 Рі</t>
  </si>
  <si>
    <t>91.20</t>
  </si>
  <si>
    <t>HG5200</t>
  </si>
  <si>
    <t>РџС–РЅРЅРёР№ РѕС‡РёСЃРЅРёРє С‚Р° РїР»СЏРјРѕРІРёРІС–РґРЅРёРє (Р°РµСЂРѕР·РѕР»СЊ) 340 Рі</t>
  </si>
  <si>
    <t>85.46</t>
  </si>
  <si>
    <t>HG5201</t>
  </si>
  <si>
    <t>РџС–РЅРЅРёР№ РѕС‡РёСЃРЅРёРє Р°Р»СЊРєР°РЅС‚Р°СЂРё 340 Рі</t>
  </si>
  <si>
    <t>111.83</t>
  </si>
  <si>
    <t>HG5202</t>
  </si>
  <si>
    <t>РџС–РЅРЅРёР№ РѕС‡РёСЃРЅРёРє С‚Р° РїР»СЏРјРѕРІРёРІС–РґРЅРёРє (Р°РµСЂРѕР·РѕР»СЊ)  623 Рі</t>
  </si>
  <si>
    <t>138.81</t>
  </si>
  <si>
    <t>HG5203</t>
  </si>
  <si>
    <t>РџС–РЅРЅРёР№ РѕС‡РёСЃРЅРёРє С‚Р° РїР»СЏРјРѕРІРёРІС–РґРЅРёРє РїСЂРѕС„РµСЃС–Р№РЅР° С„РѕСЂРјСѓР»Р° 340 Рі</t>
  </si>
  <si>
    <t>114.77</t>
  </si>
  <si>
    <t>HG5204</t>
  </si>
  <si>
    <t>РЎСѓС…Р° С…С–РјС‡РёСЃС‚РєР°, Р°РµСЂРѕР·РѕР»СЊ 510 Рі</t>
  </si>
  <si>
    <t>HG5205</t>
  </si>
  <si>
    <t>РЎСѓС…Р° С…С–РјС‡РёСЃС‚РєР°, Р°РµСЂРѕР·РѕР»СЊ РїСЂРѕС„РµСЃС–Р№РЅР° С„РѕСЂРјСѓР»Р° 340 Рі</t>
  </si>
  <si>
    <t>HG5217</t>
  </si>
  <si>
    <t>РћС‡РёСЃРЅРёРє-РєРѕРЅРґРёС†С–РѕРЅРµСЂ РґР»СЏ С€РєС–СЂРё, Р°РµСЂРѕР·РѕР»СЊ 496 Рі</t>
  </si>
  <si>
    <t>106.71</t>
  </si>
  <si>
    <t>HG5218</t>
  </si>
  <si>
    <t>РћС‡РёСЃРЅРёРє РґР»СЏ С€РєС–СЂРё, Р°РµСЂРѕР·РѕР»СЊ РїСЂРѕС„РµСЃС–Р№РЅР° С„РѕСЂРјСѓР»Р° 340 Рі</t>
  </si>
  <si>
    <t>112.14</t>
  </si>
  <si>
    <t>HG5308</t>
  </si>
  <si>
    <t>РђРЅС‚РёРїСЂРѕРєРѕР». РЎРєР»Р°Рґ РґР»СЏ Р·Р°РїРѕР±С–РіР°РЅРЅСЏ С‚Р° СѓСЃСѓРЅРµРЅРЅСЏ РїСЂРѕРєРѕР»С–РІ С€РёРЅ  240 РјР»</t>
  </si>
  <si>
    <t>129.82</t>
  </si>
  <si>
    <t>HG5312</t>
  </si>
  <si>
    <t>РђРЅС‚РёРїСЂРѕРєРѕР». РЎРєР»Р°Рґ РґР»СЏ Р·Р°РїРѕР±С–РіР°РЅРЅСЏ С‚Р° СѓСЃСѓРЅРµРЅРЅСЏ РїСЂРѕРєРѕР»С–РІ С€РёРЅ  360 РјР»</t>
  </si>
  <si>
    <t>HG5316</t>
  </si>
  <si>
    <t>РђРЅС‚РёРїСЂРѕРєРѕР». РЎРєР»Р°Рґ РґР»СЏ Р·Р°РїРѕР±С–РіР°РЅРЅСЏ С‚Р° СѓСЃСѓРЅРµРЅРЅСЏ РїСЂРѕРєРѕР»С–РІ С€РёРЅ  480 РјР»</t>
  </si>
  <si>
    <t>177.59</t>
  </si>
  <si>
    <t>HG5339</t>
  </si>
  <si>
    <t>Р“РµСЂРјРµС‚РёРє Р°РІР°СЂС–Р№РЅРёР№  РґР»СЏ СЂРµРјРѕРЅС‚Сѓ РїСЂРѕРєРѕР»РѕС‚РёС… С€РёРЅ (Р· С€Р»Р°РЅРіРѕРј, Р°РµСЂРѕР·РѕР»СЊ)  456 Рі</t>
  </si>
  <si>
    <t>126.56</t>
  </si>
  <si>
    <t>HG5377</t>
  </si>
  <si>
    <t>РџС–РЅРЅРёР№ РѕС‡РёСЃРЅРёРє РґРІРёРіСѓРЅР° (РїСЂРѕС„РµСЃС–Р№РЅР° С„РѕСЂРјСѓР»Р°, Р°РµСЂРѕР·РѕР»СЊ) 454 Рі</t>
  </si>
  <si>
    <t>HG5501</t>
  </si>
  <si>
    <t>РЎРёР»С–РєРѕРЅРѕРІР° С‚РµСЂРјРѕСЃС‚С–Р№РєР° РІРѕРґРѕРІС–РґС€С‚РѕРІС…СѓСЋС‡Р° Р·РјР°Р·РєР° РґР»СЏ РјРµС‚Р°Р»Сѓ, РіСѓРјРё, РїР»Р°СЃС‚РёРєСѓ 284 Рі</t>
  </si>
  <si>
    <t>HG5504</t>
  </si>
  <si>
    <t>РЈРЅС–РІРµСЂСЃР°Р»СЊРЅР° Р»С–С‚С–С”РІР° Р·РјР°Р·РєР°, Р°РµСЂРѕР·РѕР»СЊ  142 Рі</t>
  </si>
  <si>
    <t>84.22</t>
  </si>
  <si>
    <t>HG5505</t>
  </si>
  <si>
    <t>РљРѕРЅРґРёС†С–РѕРЅРµСЂ С– РЅР°С‚СЏРіСѓРІР°С‡ РїСЂРёРІРѕРґРЅРёС… СЂРµРјРµРЅС–РІ, Р°РµСЂРѕР·РѕР»СЊ  198 Рі</t>
  </si>
  <si>
    <t>HG5506</t>
  </si>
  <si>
    <t>РћС‡РёС‰СѓРІР°С‡ РєРѕРЅС‚Р°РєС‚С–РІ, Р°РµСЂРѕР·РѕР»СЊ  114 Рі</t>
  </si>
  <si>
    <t>70.42</t>
  </si>
  <si>
    <t>HG5507</t>
  </si>
  <si>
    <t>Р—Р°С…РёСЃС‚ РІРёСЃРѕРєРѕРІРѕР»СЊС‚РЅРѕС— С‡Р°СЃС‚РёРЅРё Р·Р°РїР°Р»СЋРІР°РЅРЅСЏ (Р°РµСЂРѕР·РѕР»СЊ)  241 Рі</t>
  </si>
  <si>
    <t>HG5510</t>
  </si>
  <si>
    <t>РџСЂРѕРЅРёРєР°СЋС‡Р° СЃСѓРїРµСЂСЃРјР°Р·РєР° "РњР•РҐРђРќР†Рљ", Р°РµСЂРѕР·РѕР»СЊ 312 Рі</t>
  </si>
  <si>
    <t>HG5514</t>
  </si>
  <si>
    <t>РџСЂРѕРЅРёРєР°СЋС‡Р° Р·Р°С…РёСЃРЅРµ РјР°СЃС‚РёР»Рѕ Р· РїРѕР»С–С„Р»РѕРЅРѕРј, Р°РµСЂРѕР·РѕР»СЊ  312 Рі</t>
  </si>
  <si>
    <t>116.95</t>
  </si>
  <si>
    <t>HG5531</t>
  </si>
  <si>
    <t>Р—РјР°Р·РєР° РјРѕР»С–Р±РґРµРЅРѕРІР°   312 Рі</t>
  </si>
  <si>
    <t>HG5611</t>
  </si>
  <si>
    <t>РћС‡РёСЃРЅРёРє С‚Р° Р·Р°С…РёСЃС‚ "С‚РѕСЂРїРµРґРё", РїР»Р°СЃС‚РёРєР°, РІС–РЅС–Р»РѕРІРѕС— С‚Р° С€РєС–СЂСЏРЅРѕС— РѕР±РёРІРєРё 284 Рі</t>
  </si>
  <si>
    <t>90.58</t>
  </si>
  <si>
    <t>HG5616</t>
  </si>
  <si>
    <t>РћС‡РёСЃРЅРёРє РґР»СЏ "С‚РѕСЂРїРµРґРё" (Р· Р°СЂРѕРјР°С‚РѕРј Р»РёРјРѕРЅР°), Р°РµСЂРѕР·РѕР»СЊ 283 Рі</t>
  </si>
  <si>
    <t>HG5622</t>
  </si>
  <si>
    <t>РћС‡РёСЃРЅРёРє СЃРєР»Р° (Р°РµСЂРѕР·РѕР»СЊ)  510 Рі</t>
  </si>
  <si>
    <t>97.09</t>
  </si>
  <si>
    <t>HG5623</t>
  </si>
  <si>
    <t>РћС‡РёСЃРЅРёРє СЃРєР»Р° РїС–РЅРЅРёР№, РїСЂРѕС„РµСЃС–Р№РЅР° С„РѕСЂРјСѓР»Р° 340 Рі</t>
  </si>
  <si>
    <t>100.19</t>
  </si>
  <si>
    <t>HG5625</t>
  </si>
  <si>
    <t>РћС‡РёСЃРЅРёРє РєСѓР·РѕРІР°, Р°РµСЂРѕР·РѕР»СЊ 340 Рі</t>
  </si>
  <si>
    <t>HG5644</t>
  </si>
  <si>
    <t>РџРѕР»С–СЂРѕР»СЊ-Р·Р°С…РёСЃС‚ РґР»СЏ СЃРєР»Р°РґСѓРІР°РЅРЅСЏ  236 РјР»</t>
  </si>
  <si>
    <t>HG5648</t>
  </si>
  <si>
    <t>РќРµР·Р°РјРµСЂР·Р°СЋС‡Р° СЂС–РґРёРЅР° РґР»СЏ РѕРјРёРІР°С‡Р° СЃРєР»Р° (1Р»., -80)</t>
  </si>
  <si>
    <t>75.53</t>
  </si>
  <si>
    <t>HG5718</t>
  </si>
  <si>
    <t>РџРµСЂРµС‚РІРѕСЂСЋРІР°С‡ С–СЂР¶С–  255 Рі</t>
  </si>
  <si>
    <t>149.36</t>
  </si>
  <si>
    <t>HG5721</t>
  </si>
  <si>
    <t>РџРµСЂРµС‚РІРѕСЂСЋРІР°С‡ С–СЂР¶С–  368 Рі</t>
  </si>
  <si>
    <t>185.65</t>
  </si>
  <si>
    <t>HG5734</t>
  </si>
  <si>
    <t>Р•Р»Р°СЃС‚РёС‡РЅР° С„Р°СЂР±Р° РґР»СЏ Р±Р°РјРїРµСЂС–РІ Р§РѕСЂРЅР°, Р°РµСЂРѕР·РѕР»СЊ  311 Рі</t>
  </si>
  <si>
    <t>HG5754</t>
  </si>
  <si>
    <t>РђРЅС‚РёРєРѕСЂРѕР·С–Р№РЅРµ РїРѕРєСЂРёС‚С‚СЏ Р· РіСѓРјРѕРІРёРј РЅР°РїРѕРІРЅСЋРІР°С‡РµРј (Р°РµСЂРѕР·РѕР»СЊ)  482 Рі</t>
  </si>
  <si>
    <t>144.24</t>
  </si>
  <si>
    <t>HG5760</t>
  </si>
  <si>
    <t>РђРЅС‚РёРіСЂР°РІС–Р№ - РђРІС‚РѕРјРѕР±С–Р»СЊРЅРёР№ РµР»Р°СЃС‚РёС‡РЅРµ С€РІРёРґРєРѕРІРёСЃРёС…Р°СЋС‡Рµ РїРѕРєСЂРёС‚С‚СЏ РґР»СЏ Р·Р°С…РёСЃС‚Сѓ РЅРёР¶РЅС–С… РїР°РЅРµР»РµР№ РєСѓР·РѕРІР° РІС–Рґ</t>
  </si>
  <si>
    <t>160.06</t>
  </si>
  <si>
    <t>HG6002</t>
  </si>
  <si>
    <t>РЁРІРёРґРєР° СЃС‚Р°Р»СЊ - РЅР°РґРјС–С†РЅР° РїРѕР»С–РјРµСЂРЅР° РєР»РµР№-С€РїР°РєР»С–РІРєР° Р·С– СЃС‚Р°Р»РµРІРёРј РЅР°РїРѕРІРЅСЋРІР°С‡РµРј  57 Рі</t>
  </si>
  <si>
    <t>57.54</t>
  </si>
  <si>
    <t>HG6502</t>
  </si>
  <si>
    <t>Р‘С–Р»РёР№ РўРёС‚Р°РЅ - РЅР°РґРјС–С†РЅР° РїРѕР»С–РјРµСЂРЅР° РєР»РµР№-С€РїР°РєР»С–РІРєР° Р· С‚РёС‚Р°РЅРѕРІРёРј РЅР°РїРѕРІРЅСЋРІР°С‡РµРј  57 Рі</t>
  </si>
  <si>
    <t>58.47</t>
  </si>
  <si>
    <t>HG6505</t>
  </si>
  <si>
    <t>РќР°РґРјС–С†РЅР° РїРѕР»С–РјРµСЂРЅР° РєР»РµР№-С€РїР°РєР»С–РІРєР° РґР»СЏ РїР»Р°СЃС‚РёРєСѓ  57 Рі</t>
  </si>
  <si>
    <t>95.08</t>
  </si>
  <si>
    <t>HG7006</t>
  </si>
  <si>
    <t>15-С…РІРёР»РёРЅРЅР° РїСЂРѕРјРёРІРєР° РђРІС‚РѕРљРџРџ (РјС–СЃС‚РёС‚СЊ SMT2)  444 РјР»</t>
  </si>
  <si>
    <t>127.80</t>
  </si>
  <si>
    <t>HG7011</t>
  </si>
  <si>
    <t>РўСЋРЅС–РЅРі РґР»СЏ РђРІС‚РѕРљРџРџ (РјС–СЃС‚РёС‚СЊ ER)  325 РјР»</t>
  </si>
  <si>
    <t>136.18</t>
  </si>
  <si>
    <t>HG7015</t>
  </si>
  <si>
    <t>Р“РµСЂРјРµС‚РёРє С‚Р° С‚СЋРЅС–РЅРі РґР»СЏ РђРІС‚РѕРљРџРџ (РјС–СЃС‚РёС‚СЊ ER)  444 РјР»</t>
  </si>
  <si>
    <t>HG7018</t>
  </si>
  <si>
    <t>РўСЋРЅС–РЅРі РґР»СЏ РђРљРџРџ (РјС–СЃС‚РёС‚СЊ SMT2)  444 РјР»</t>
  </si>
  <si>
    <t>142.69</t>
  </si>
  <si>
    <t>HG7024</t>
  </si>
  <si>
    <t>Р С–РґРёРЅР° СѓРЅС–РІРµСЂСЃР°Р»СЊРЅР°  РґР»СЏ РіС–РґСЂРѕРїС–РґСЃРёР»СЋРІР°С‡Р° РєРµСЂРјР°. Р“РµСЂРјРµС‚РёРє С– РєРѕРЅРґРёС†С–РѕРЅРµСЂ Р· SMT2  946 РјР»</t>
  </si>
  <si>
    <t>236.53</t>
  </si>
  <si>
    <t>HG7026</t>
  </si>
  <si>
    <t>Р“РµСЂРјРµС‚РёРє С‚Р° С‚СЋРЅС–РЅРі РґР»СЏ РіС–РґСЂРѕРїС–РґСЃРёР»СЋРІР°С‡Р° РєРµСЂРјР° c ER  295 РјР»</t>
  </si>
  <si>
    <t>116.01</t>
  </si>
  <si>
    <t>HG9014</t>
  </si>
  <si>
    <t>7-С…РІРёР»РёРЅРЅР° РїСЂРѕРјРёРІРєР° СЃРёСЃС‚РµРјРё РѕС…РѕР»РѕРґР¶РµРЅРЅСЏ РґРІРёРіСѓРЅР°  325 РјР»</t>
  </si>
  <si>
    <t>HG9017</t>
  </si>
  <si>
    <t>РџСЂРѕРјРёРІРєР° СЃРёСЃС‚РµРјРё РѕС…РѕР»РѕРґР¶РµРЅРЅСЏ РґРІРёРіСѓРЅР° 7 С…РІ. (Р”Р»СЏ РєРѕРјРµСЂС†С–Р№РЅРѕРіРѕ С‚СЂР°РЅСЃРїРѕСЂС‚Сѓ)  444 РјР»</t>
  </si>
  <si>
    <t>98.64</t>
  </si>
  <si>
    <t>HG9025</t>
  </si>
  <si>
    <t>РЎРєР»Р°Рґ РґР»СЏ СЂРµРјРѕРЅС‚Сѓ СЂР°РґС–Р°С‚РѕСЂС–РІ С‚Р° СЃРёСЃС‚РµРјРё РѕС…РѕР»РѕРґР¶РµРЅРЅСЏ 325 РјР»</t>
  </si>
  <si>
    <t>79.72</t>
  </si>
  <si>
    <t>HG9029</t>
  </si>
  <si>
    <t>РЎРєР»Р°Рґ РґР»СЏ СЂРµРјРѕРЅС‚Сѓ СЂР°РґС–Р°С‚РѕСЂС–РІ С– СЃРёСЃС‚РµРјРё РѕС…РѕР»РѕРґР¶РµРЅРЅСЏ (РґР»СЏ РєРѕРјРµСЂС†С–Р№РЅРѕРіРѕ С‚СЂР°РЅСЃРїРѕСЂС‚Сѓ)  444 РјР»</t>
  </si>
  <si>
    <t>HG9037</t>
  </si>
  <si>
    <t>РњРµС‚Р°Р»Р»РѕРіРµСЂРјРµС‚РёРє РґР»СЏ СЃРєР»Р°РґРЅРёС… СЂРµРјРѕРЅС‚С–РІ СЃРёСЃС‚РµРјРё РѕС…РѕР»РѕРґР¶РµРЅРЅСЏ (РґРѕРґР°С”С‚СЊСЃСЏ С‚С–Р»СЊРєРё Сѓ РІРѕРґСѓ)  325 РјР»</t>
  </si>
  <si>
    <t>110.90</t>
  </si>
  <si>
    <t>HG9041</t>
  </si>
  <si>
    <t>РњРµС‚Р°Р»Р»РѕРіРµСЂРјРµС‚РёРє РґР»СЏ СЃРєР»Р°РґРЅРёС… СЂРµРјРѕРЅС‚С–РІ СЃРёСЃС‚РµРјРё РѕС…РѕР»РѕРґР¶РµРЅРЅСЏ  325 РјР»</t>
  </si>
  <si>
    <t>HG9043</t>
  </si>
  <si>
    <t>РњРµС‚Р°Р»РѕРєРµСЂР°РјС–С‡РЅРёР№ РіРµСЂРјРµС‚РёРє РґР»СЏ СЂРµРјРѕРЅС‚Сѓ С‚СЂС–СЃРЅСѓС‚РёС… РіРѕР»РѕРІРѕРє С– Р±Р»РѕРєС–РІ С†РёР»С–РЅРґСЂС–РІ, РїСЂРѕРєР»Р°РґРѕРє РіРѕР»РѕРІРєРё Р±Р»РѕРєСѓ,</t>
  </si>
  <si>
    <t>125.63</t>
  </si>
  <si>
    <t>HG9048</t>
  </si>
  <si>
    <t>РњРµС‚Р°Р»РѕРіРµСЂРјРµС‚РёРє РґР»СЏ СЃРєР»Р°РґРЅРёС… СЂРµРјРѕРЅС‚С–РІ СЃРёСЃС‚РµРјРё РѕС…РѕР»РѕРґР¶РµРЅРЅСЏ.  236 РјР»</t>
  </si>
  <si>
    <t>91.82</t>
  </si>
  <si>
    <t>HG9072</t>
  </si>
  <si>
    <t>РњРµС‚Р°Р»Р»РѕРіРµСЂРјРµС‚С–Рє РґР»СЏ СЂРµРјРѕРЅС‚Сѓ СЃРёСЃС‚РµРјРё РѕС…РѕР»РѕРґР¶РµРЅРЅСЏ РґРІРёРіСѓРЅС–РІ РІР°РЅС‚Р°Р¶С–РІРѕРє, Р°РІС‚РѕР±СѓСЃС–РІ, Р±СѓРґС–РІРµР»СЊРЅРѕС— С‚РµС…РЅС–РєРё</t>
  </si>
  <si>
    <t>247.38</t>
  </si>
  <si>
    <t>NX5680</t>
  </si>
  <si>
    <t>РћС‡РёСЃРЅРёРє СЃРєР»Р°, РЅР°РЅРѕС‚РµС…РЅРѕР»РѕРіС–СЏ 650 РјР»</t>
  </si>
  <si>
    <t>Nanox</t>
  </si>
  <si>
    <t>NX8303</t>
  </si>
  <si>
    <t>Р—РЅРёС‰СѓРІР°С‡ РґСЂС–Р±РЅРёС… РїРѕРґСЂСЏРїРёРЅ, РЅР°РЅРѕС‚РµС…РЅРѕР»РѕРіС–СЏ 300 РјР»</t>
  </si>
  <si>
    <t>145.17</t>
  </si>
  <si>
    <t>P005RU</t>
  </si>
  <si>
    <t>РђРЅС‚РёС„СЂРёРєС†С–Р№РЅРёР№ РєРѕРЅРґРёС†С–РѕРЅРµСЂ РјРµС‚Р°Р»Сѓ (ER-РџРµСЂРµРјРѕР¶РµС†СЊ С‚РµСЂС‚СЏ) 3.78 Р»</t>
  </si>
  <si>
    <t>2745.58</t>
  </si>
  <si>
    <t>SMT2507</t>
  </si>
  <si>
    <t>100% cРёРЅС‚РµС‚РёС‡РЅРёР№ РєРѕРЅРґРёС†С–РѕРЅРµСЂ РјРµС‚Р°Р»Сѓ 2-РіРѕ РїРѕРєРѕР»С–РЅРЅСЏ  118 РјР»</t>
  </si>
  <si>
    <t>189.53</t>
  </si>
  <si>
    <t>SMT</t>
  </si>
  <si>
    <t>SMT2514</t>
  </si>
  <si>
    <t>100% cРёРЅС‚РµС‚РёС‡РЅРёР№ РєРѕРЅРґРёС†С–РѕРЅРµСЂ РјРµС‚Р°Р»Сѓ 2-РіРѕ РїРѕРєРѕР»С–РЅРЅСЏ  236 РјР»</t>
  </si>
  <si>
    <t>276.54</t>
  </si>
  <si>
    <t>SMT2521</t>
  </si>
  <si>
    <t>100% cРёРЅС‚РµС‚РёС‡РЅРёР№ РєРѕРЅРґРёС†С–РѕРЅРµСЂ РјРµС‚Р°Р»Сѓ 2-РіРѕ РїРѕРєРѕР»С–РЅРЅСЏ  473 РјР»</t>
  </si>
  <si>
    <t>475.54</t>
  </si>
  <si>
    <t>SMT2528</t>
  </si>
  <si>
    <t>100% cРёРЅС‚РµС‚РёС‡РЅРёР№ РєРѕРЅРґРёС†С–РѕРЅРµСЂ РјРµС‚Р°Р»Сѓ 2-РіРѕ РїРѕРєРѕР»С–РЅРЅСЏ  946 РјР»</t>
  </si>
  <si>
    <t>795.82</t>
  </si>
  <si>
    <t>SMT2530</t>
  </si>
  <si>
    <t>100% cРёРЅС‚РµС‚РёС‡РЅРёР№ РєРѕРЅРґРёС†С–РѕРЅРµСЂ РјРµС‚Р°Р»Сѓ 2-РіРѕ РїРѕРєРѕР»С–РЅРЅСЏ  1.89 Р»</t>
  </si>
  <si>
    <t>1242.04</t>
  </si>
  <si>
    <t>SP2240</t>
  </si>
  <si>
    <t>РџРѕР»С–РїС€СѓРІР°С‡ РґРѕР±Р°РІРєР° РІ РјР°СЃР»Рѕ  444 РјР»</t>
  </si>
  <si>
    <t>112.45</t>
  </si>
  <si>
    <t>StepUp</t>
  </si>
  <si>
    <t>SP2255</t>
  </si>
  <si>
    <t>РџРѕР»С–С„Р»РѕРЅРѕРІРёР№ Р·Р°С…РёСЃС‚ РґРІРёРіСѓРЅР°  444 РјР»</t>
  </si>
  <si>
    <t>130.75</t>
  </si>
  <si>
    <t>SP3211</t>
  </si>
  <si>
    <t>РћС‡РёСЃРЅРёРє С–РЅР¶РµРєС‚РѕСЂС–РІ  355 РјР»</t>
  </si>
  <si>
    <t>87.01</t>
  </si>
  <si>
    <t>SP5118</t>
  </si>
  <si>
    <t>РћС‡РёСЃРЅРёРє С‚РѕСЂРїРµРґРё  341 Рі</t>
  </si>
  <si>
    <t>114.62</t>
  </si>
  <si>
    <t>SP5122</t>
  </si>
  <si>
    <t>РћС‡РёСЃРЅРёРє РґР»СЏ С€РєС–СЂРё, РєРѕРЅРґРёС†С–РѕРЅРµСЂ-Р°РЅС‚РёСЃС‚Р°С‚РёРє  454 Рі</t>
  </si>
  <si>
    <t>126.25</t>
  </si>
  <si>
    <t>SP5133</t>
  </si>
  <si>
    <t>РҐС–РјС‡РёСЃС‚РєР° СЃСѓС…Р° 510 Рі</t>
  </si>
  <si>
    <t>132.61</t>
  </si>
  <si>
    <t>SP5152</t>
  </si>
  <si>
    <t>РћС‡РёСЃРЅРёРє Р°РІС‚РѕРєРѕРЅРґРёС†С–РѕРЅРµСЂР° РїС–РЅРЅРёР№    510 Рі.</t>
  </si>
  <si>
    <t>123.77</t>
  </si>
  <si>
    <t>SP5435</t>
  </si>
  <si>
    <t>РћС‡РёСЃРЅРёРє РґРІРёРіСѓРЅР° РїС–РЅРЅРёР№ , SMT2  454 Рі</t>
  </si>
  <si>
    <t>SP7028</t>
  </si>
  <si>
    <t>РљРѕРЅРґРёС†С–РѕРЅРµСЂ С– РіРµСЂРјРµС‚РёРє РґР»СЏ РіС–РґСЂРѕРїС–РґСЃРёР»СЋРІР°С‡Р° РєРµСЂРјР°  325 РјР»</t>
  </si>
  <si>
    <t>83.60</t>
  </si>
  <si>
    <t>SP7029</t>
  </si>
  <si>
    <t>РљРѕРЅРґРёС†С–РѕРЅРµСЂ С– РіРµСЂРјРµС‚РёРє РґР»СЏ РіС–РґСЂРѕРїС–РґСЃРёР»СЋРІР°С‡Р° РєРµСЂРјР°  946 РјР»</t>
  </si>
  <si>
    <t>184.72</t>
  </si>
  <si>
    <t>SP7030</t>
  </si>
  <si>
    <t>Р С–РґРёРЅР° РґР»СЏ РіС–РґСЂРѕРїС–РґСЃРёР»СЋРІР°С‡Р° РєРµСЂРјР°  325 РјР»</t>
  </si>
  <si>
    <t>SP7033</t>
  </si>
  <si>
    <t>Р С–РґРёРЅР° РґР»СЏ РіС–РґСЂРѕРїС–РґСЃРёР»СЋРІР°С‡Р° РєРµСЂРјР°  946 РјР»</t>
  </si>
  <si>
    <t>183.17</t>
  </si>
  <si>
    <t>SP9022</t>
  </si>
  <si>
    <t>Р“РµСЂРјРµС‚РёРє СЂР°РґС–Р°С‚РѕСЂР° С– СЃРёСЃС‚РµРјРё РѕС…РѕР»РѕРґР¶РµРЅРЅСЏ  325 РјР»</t>
  </si>
  <si>
    <t>83.91</t>
  </si>
  <si>
    <t>ARAL</t>
  </si>
  <si>
    <t>14AF79</t>
  </si>
  <si>
    <t>Aral BlueTronic 10W-40 20L</t>
  </si>
  <si>
    <t>1933.52</t>
  </si>
  <si>
    <t>ACEA A3/B3, A3/B4 вЂў API SL/CF вЂў MB-Freigabe 229.1 вЂў VW 501 01/ 505 00 вЂў erfГјllt Fiat 9.55535-D2</t>
  </si>
  <si>
    <t>14FEEE</t>
  </si>
  <si>
    <t>Aral HighTronic G 5W-30 1Lx12</t>
  </si>
  <si>
    <t>179.49</t>
  </si>
  <si>
    <t>ACEA C3 вЂў API SN/CF вЂў MB-Freigabe 229.52/ 229.51/ 229.31 вЂў GM dexos2В®</t>
  </si>
  <si>
    <t>154EC0</t>
  </si>
  <si>
    <t>Aral GetriebeГ¶l ATF 22 1Lx12</t>
  </si>
  <si>
    <t>139.58</t>
  </si>
  <si>
    <t>ZF TE-ML 04D, 11A, 14A вЂў Voith H55.6335xx вЂў MB-Freigabe 236.6 вЂў MAN 339 Typ Z1/V1 вЂў entspricht Ford MerconВ® вЂў entspricht GM DexronВ® II</t>
  </si>
  <si>
    <t>1552A0</t>
  </si>
  <si>
    <t>Aral HighTronic F 5W-30 1Lx12</t>
  </si>
  <si>
    <t>163.12</t>
  </si>
  <si>
    <t>ACEA A1/B1, A5/B5 вЂў API SL/CF вЂў erfГјllt Ford WSS-M2C913-A, WSS-M2C913-B, WSS-M2C913-C, WSS-M2C913-D вЂў ILSAC GF-4</t>
  </si>
  <si>
    <t>1552A2</t>
  </si>
  <si>
    <t>Aral HighTronic F 5W-30 4Lx4</t>
  </si>
  <si>
    <t>646.22</t>
  </si>
  <si>
    <t>15546A</t>
  </si>
  <si>
    <t>Aral GetriebeГ¶l EP SYNTH 75W-90 1Lx12</t>
  </si>
  <si>
    <t>272.72</t>
  </si>
  <si>
    <t>API GL-4 + вЂў VW 501 50</t>
  </si>
  <si>
    <t>15548E</t>
  </si>
  <si>
    <t>Aral GetriebeГ¶l ATF 55 1Lx12</t>
  </si>
  <si>
    <t>165.14</t>
  </si>
  <si>
    <t>ZF TE-ML 04D, 14A вЂў Voith H55.6335xx вЂў MB-Freigabe 236.9 вЂў MAN 339 Typ Z1/V1 вЂў Volvo Transmission Oil 9734 вЂў entspricht Ford MerconВ® вЂў entspricht GM DexronВ® IIIH вЂў Allison C4</t>
  </si>
  <si>
    <t>15549A</t>
  </si>
  <si>
    <t>Aral GetriebeГ¶l ATF 55 20L</t>
  </si>
  <si>
    <t>2423.25</t>
  </si>
  <si>
    <t>155EA7</t>
  </si>
  <si>
    <t>Aral HighTronic G 5W-30 4Lx4</t>
  </si>
  <si>
    <t>680.98</t>
  </si>
  <si>
    <t>AR-10382</t>
  </si>
  <si>
    <t>Aral SuperTronic G SAE 0W-30 1Lx12</t>
  </si>
  <si>
    <t>246.06</t>
  </si>
  <si>
    <t>ACEA A3/B3, A3/B4 вЂў API SL/CF вЂў MB-Freigabe 229.3/ 229.5 вЂў VW 502 00/ 505 00 вЂў BMW Longlife-01 вЂў Opel GM-LL-A-025/ GM-LL-B-025</t>
  </si>
  <si>
    <t>AR-10383</t>
  </si>
  <si>
    <t>Aral SuperTronic G SAE 0W-30 4Lx3</t>
  </si>
  <si>
    <t>875.92</t>
  </si>
  <si>
    <t>AR-10471</t>
  </si>
  <si>
    <t>Aral SuperTronic LongLife III 5W-30 60L</t>
  </si>
  <si>
    <t>8270.90</t>
  </si>
  <si>
    <t>ACEA C3 вЂў MB-Freigabe 229.51 вЂў VW 503 01/ 504 00/ 507 00 (erfГјllt die technischen Anforderungen der ehemaligen VW-Norm 503 01) вЂў BMW Longlife-04 вЂў Porsche C30</t>
  </si>
  <si>
    <t>AR-10472</t>
  </si>
  <si>
    <t>Aral SuperTronic LongLife III 5W-30 20L</t>
  </si>
  <si>
    <t>2858.54</t>
  </si>
  <si>
    <t>AR-10481</t>
  </si>
  <si>
    <t>Aral BlueTronic 10W-40 60L</t>
  </si>
  <si>
    <t>5809.03</t>
  </si>
  <si>
    <t>AR-13932</t>
  </si>
  <si>
    <t>Aral MegaTurboral 10W-40 20L</t>
  </si>
  <si>
    <t>2254.80</t>
  </si>
  <si>
    <t>ACEA E4, E7 вЂў API CF вЂў MB-Freigabe 228.5 вЂў Volvo VDS-3 вЂў Scania LDF-3 вЂў Renault RLD-2 вЂў Deutz DQC 111-10 вЂў MTU Г–lkategorie 3 вЂў MACK EO-N</t>
  </si>
  <si>
    <t>AR-20458</t>
  </si>
  <si>
    <t>Aral SuperTronic 0W-40 1Lx12</t>
  </si>
  <si>
    <t>229.88</t>
  </si>
  <si>
    <t>ACEA C2/C3 вЂў API SN/CF вЂў MB-Freigabe 229.31/ 229.51 вЂў BMW Longlife-04 вЂў erfГјllt Fiat 9.55535-S2</t>
  </si>
  <si>
    <t>AR-20459</t>
  </si>
  <si>
    <t>Aral SuperTronic 0W-40 4Lx4</t>
  </si>
  <si>
    <t>873.71</t>
  </si>
  <si>
    <t>AR-20475</t>
  </si>
  <si>
    <t>Aral SuperTronic LongLife III 5W-30 5Lx4</t>
  </si>
  <si>
    <t>890.08</t>
  </si>
  <si>
    <t>AR-20478</t>
  </si>
  <si>
    <t>Aral SuperTronic LongLife III 5W-30 1Lx12</t>
  </si>
  <si>
    <t>190.89</t>
  </si>
  <si>
    <t>AR-20479</t>
  </si>
  <si>
    <t>Aral SuperTronic LongLife III 5W-30 4Lx4</t>
  </si>
  <si>
    <t>712.43</t>
  </si>
  <si>
    <t>AR-20480</t>
  </si>
  <si>
    <t>Aral BlueTronic 10W-40 208L</t>
  </si>
  <si>
    <t>17805.38</t>
  </si>
  <si>
    <t>AR-20484</t>
  </si>
  <si>
    <t>Aral BlueTronic 10W-40 4L</t>
  </si>
  <si>
    <t>506.46</t>
  </si>
  <si>
    <t>AR-20485</t>
  </si>
  <si>
    <t>Aral BlueTronic 10W-40 5Lx4</t>
  </si>
  <si>
    <t>659.47</t>
  </si>
  <si>
    <t>AR-20488</t>
  </si>
  <si>
    <t>Aral BlueTronic 10W-40 1Lx12</t>
  </si>
  <si>
    <t>135.17</t>
  </si>
  <si>
    <t>AR-20631</t>
  </si>
  <si>
    <t>Aral High Tronic 5W-40 60L</t>
  </si>
  <si>
    <t>6823.98</t>
  </si>
  <si>
    <t>ACEA C3 вЂў API SN/CF вЂў MB-Freigabe 229.31/ 229.51/ 226.5 вЂў VW 502 00/ 505 00/ 505 01 вЂў BMW Longlife-04 вЂў Porsche A40 вЂў erfГјllt Ford WSS-M2C917-A вЂў Renault RN0700 / RN0710</t>
  </si>
  <si>
    <t>AR-20632</t>
  </si>
  <si>
    <t>Aral High Tronic 5W-40 208L</t>
  </si>
  <si>
    <t>21787.18</t>
  </si>
  <si>
    <t>AR-20634</t>
  </si>
  <si>
    <t>Aral High Tronic 5W-40 4Lx4</t>
  </si>
  <si>
    <t>622.13</t>
  </si>
  <si>
    <t>AR-20635</t>
  </si>
  <si>
    <t>Aral High Tronic 5W-40 5Lx4</t>
  </si>
  <si>
    <t>780.84</t>
  </si>
  <si>
    <t>AR-20637</t>
  </si>
  <si>
    <t>Aral High Tronic 5W-40 1L</t>
  </si>
  <si>
    <t>171.03</t>
  </si>
  <si>
    <t>AR-22000</t>
  </si>
  <si>
    <t>Aral Turboral 10W-40 208L</t>
  </si>
  <si>
    <t>18675.41</t>
  </si>
  <si>
    <t>ACEA E3, E5, E7 вЂў API CI-4/SL вЂў MB-Freigabe 228.3/ 229.1/ 235.28 вЂў MAN M 3275 вЂў Volvo VDS-2 вЂў Renault RLD вЂў DAF HP-1/HP-2 вЂў Deutz DQC III-10 вЂў MTU Г–lkategorie Typ 2 вЂў Caterpillar ECF-2 вЂў Cummins CES 20076, CES 20077, CES 20078 вЂў Mack EOM-Plus</t>
  </si>
  <si>
    <t>AR-22001</t>
  </si>
  <si>
    <t>Aral Turboral 10W-40 60L</t>
  </si>
  <si>
    <t>5469.19</t>
  </si>
  <si>
    <t>AR-22003</t>
  </si>
  <si>
    <t>Aral Turboral 10W-40 20L</t>
  </si>
  <si>
    <t>1973.25</t>
  </si>
  <si>
    <t>AR-22004</t>
  </si>
  <si>
    <t>Aral Turboral 10W-40 5L</t>
  </si>
  <si>
    <t>602.46</t>
  </si>
  <si>
    <t>ATE</t>
  </si>
  <si>
    <t>13.0460-2965.2</t>
  </si>
  <si>
    <t>13.0460-2965.2  ATE - Р“Р°Р»СЊРјС–РІРЅС– РєРѕР»РѕРґРєРё РґРѕ РґРёСЃРєС–РІ</t>
  </si>
  <si>
    <t>305.27</t>
  </si>
  <si>
    <t>LADA 110 Stufenheck (2110) (95-07) LADA 111 Kombi (2111) (95-08) LADA 112 Flieheck (2112) (95-08) LADA FORMA (2108) (89-95)LADA KALINA (1117/1118/1119) (04-) LADA PRIORA (2170/2172) (08-) LADA SAMARA (2108/2109) (86-99)</t>
  </si>
  <si>
    <t>13.0460-4984.2</t>
  </si>
  <si>
    <t>13.0460-4984.2  ATE - Р“Р°Р»СЊРјС–РІРЅС– РєРѕР»РѕРґРєРё РґРѕ РґРёСЃРєС–РІ</t>
  </si>
  <si>
    <t>1353.87</t>
  </si>
  <si>
    <t>MB CL-Klasse (C215) Coupe (99-06) MB M-Klasse (W163) (98-05) MB S-Klasse (W220) (98-06) MB SL-Klasse (R129) (93-01)</t>
  </si>
  <si>
    <t>AUTO DRIVE</t>
  </si>
  <si>
    <t>AD0052</t>
  </si>
  <si>
    <t>AUTO DRIVE РџРѕР»С–СЂРѕР»СЊ-РјРѕР»РѕС‡РєРѕ Auto Drive Cockpit Milk Р’Р°РЅС–Р»СЊ 500РјР».(24С€С‚./СѓРїР°Рє.)</t>
  </si>
  <si>
    <t>45.84</t>
  </si>
  <si>
    <t>AD0053</t>
  </si>
  <si>
    <t>AUTO DRIVE РџРѕР»С–СЂРѕР»СЊ-РјРѕР»РѕС‡РєРѕ Auto Drive Cockpit Milk РљРѕРєРѕСЃ 500РјР».(24С€С‚/СѓРїР°Рє.)</t>
  </si>
  <si>
    <t>AD0054</t>
  </si>
  <si>
    <t>AUTO DRIVE РћС‡РёСЃРЅРёРє РїР»Р°СЃС‚РёРєСѓ  Auto Drive Plastic Cleaner, 500РјР».(С€С‚./СѓРїР°Рє.)</t>
  </si>
  <si>
    <t>31.09</t>
  </si>
  <si>
    <t>AD0055</t>
  </si>
  <si>
    <t>AUTO DRIVE РћС‡РёСЃРЅРёРє СЃРєР»Р° AUTO DRIVE Glass Cleaner,500РјР».</t>
  </si>
  <si>
    <t>22.28</t>
  </si>
  <si>
    <t>AD0056</t>
  </si>
  <si>
    <t>AUTO DRIVE РћС‡РёСЃРЅРёРє РІС–Рґ РєРѕРјР°С… AUTO DRIVE Insect Remover,500РјР».</t>
  </si>
  <si>
    <t>30.13</t>
  </si>
  <si>
    <t>AD0057</t>
  </si>
  <si>
    <t>AUTO DRIVE РћС‡РёСЃРЅРёРє РґРІРёРіСѓРЅР° AUTO DRIVE Engine Cleaner,500РјР».</t>
  </si>
  <si>
    <t>34.14</t>
  </si>
  <si>
    <t>AD0058</t>
  </si>
  <si>
    <t>AUTO DRIVE РћС‡РёСЃРЅРёРє С‚РµРєСЃС‚РёР»СЋ AUTO DRIVE Textile Cleaner,500РјР».</t>
  </si>
  <si>
    <t>29.33</t>
  </si>
  <si>
    <t>AD0059</t>
  </si>
  <si>
    <t>AUTO DRIVE РћС‡РёСЃРЅРёРє С€РєС–СЂРё Auto Drive Leather Cleaner, 500РјР».(С€С‚./СѓРїР°Рє.)</t>
  </si>
  <si>
    <t>35.90</t>
  </si>
  <si>
    <t>AD0060</t>
  </si>
  <si>
    <t>AUTO DRIVE Р§РѕСЂРЅС–РЅРЅСЏ РґР»СЏ С€РёРЅ Auto Drive Tyre Shine, 500РјР».(С€С‚./СѓРїР°Рє.)</t>
  </si>
  <si>
    <t>54.49</t>
  </si>
  <si>
    <t>AD0061</t>
  </si>
  <si>
    <t>AUTO DRIVE РћС‡РёСЃРЅРёРє Р±С–С‚СѓРјСѓ Tar Remover, 500РјР».(24С€С‚./СѓРїР°Рє.)</t>
  </si>
  <si>
    <t>52.41</t>
  </si>
  <si>
    <t>AD0062</t>
  </si>
  <si>
    <t>AUTO DRIVE РћС‡РёСЃРЅРёРє РґРёСЃРєС–РІ РєРёСЃР»РѕС‚РЅРёР№ Auto Drive Wheel Cleaner, 500РјР».(С€С‚./СѓРїР°Рє.)</t>
  </si>
  <si>
    <t>34.62</t>
  </si>
  <si>
    <t>AD0063</t>
  </si>
  <si>
    <t>AUTO DRIVE РџРѕР»С–СЂРѕР»СЊ-РјРѕР»РѕС‡РєРѕ Auto Drive Cockpit Milk Р‘Р°Р±Р» Р“Р°Рј 500РјР».(24С€С‚./СѓРїР°Рє.)</t>
  </si>
  <si>
    <t>AD0064</t>
  </si>
  <si>
    <t>AUTO DRIVE РђРІС‚РѕС€Р°РјРїСѓРЅСЊ РєРѕРЅС†РµРЅС‚СЂР°С‚ Auto Drive Car Shampoo Concentrate Р›Р°Р№Рј 1:100 1L(18С€С‚./СѓРїР°Рє.)</t>
  </si>
  <si>
    <t>AD0065</t>
  </si>
  <si>
    <t>AUTO DRIVE РђРІС‚РѕС€Р°РјРїСѓРЅСЊ РєРѕРЅС†РµРЅС‚СЂР°С‚ Auto Drive Car Shampoo Concentrate Р’РёС€РЅСЏ 1:100 1L(18С€С‚./СѓРїР°Рє.)</t>
  </si>
  <si>
    <t>BERU</t>
  </si>
  <si>
    <t>Z1</t>
  </si>
  <si>
    <t>Z1  BERU - РЎРІС–С‡РєР° Р·Р°РїР°Р»СЋРІР°РЅРЅСЏ</t>
  </si>
  <si>
    <t>21.77</t>
  </si>
  <si>
    <t>BMW (E30, E28), RENAULT 9,11,19,  Mazda 1.8 -92, VW 1.6 -92         \n[0001330702]</t>
  </si>
  <si>
    <t>Z237</t>
  </si>
  <si>
    <t>Z237  BERU - РЎРІС–С‡РєР° Р·Р°РїР°Р»СЋРІР°РЅРЅСЏ</t>
  </si>
  <si>
    <t>156.60</t>
  </si>
  <si>
    <t>BMW 1,6-4,5  98-10|  Audi  3,7 99-05|  AR  95-01|         [0002335911]</t>
  </si>
  <si>
    <t>BI POWER</t>
  </si>
  <si>
    <t>JO Bi-Power Moto 4T 1Lx12 10W-40</t>
  </si>
  <si>
    <t>JO Bi-Power Moto 2T 1Lx12 (РїС–РІСЃРёРЅС‚РµС‚РёРєР°)</t>
  </si>
  <si>
    <t>89.96</t>
  </si>
  <si>
    <t>JO Bi-Power 10w40 1Lx12 SM/CF</t>
  </si>
  <si>
    <t>96.32</t>
  </si>
  <si>
    <t>JO Bi-Power 10w40 4Lx4 SM/CF</t>
  </si>
  <si>
    <t>304.46</t>
  </si>
  <si>
    <t>JO Bi-Power 5w30 1Lx12 SM/CF</t>
  </si>
  <si>
    <t>147.66</t>
  </si>
  <si>
    <t>JO Bi-Power 5w30 4Lx4 SM/CF</t>
  </si>
  <si>
    <t>497.41</t>
  </si>
  <si>
    <t>JO Bi-Power 5w40 1Lx12 SM/CF</t>
  </si>
  <si>
    <t>142.38</t>
  </si>
  <si>
    <t>JO Bi-Power 5w40 4Lx4 SM/CF</t>
  </si>
  <si>
    <t>471.50</t>
  </si>
  <si>
    <t>JO Trans 75w90 Manual 1Lx12</t>
  </si>
  <si>
    <t>CHAMPION</t>
  </si>
  <si>
    <t>CAF100102R</t>
  </si>
  <si>
    <t>CAF100102R     (Champion)</t>
  </si>
  <si>
    <t>80.71</t>
  </si>
  <si>
    <t>Champion</t>
  </si>
  <si>
    <t>AUDI 80 1.6, 1.8S 87-91, 1.6, 2.0 91-94, VW GOLF III 1.4 91-97 (Р°РЅР°Р»РѕРі C2852/2)</t>
  </si>
  <si>
    <t>CAF100147R</t>
  </si>
  <si>
    <t>CAF100147R     (Champion)</t>
  </si>
  <si>
    <t>164.97</t>
  </si>
  <si>
    <t>VW T4 1.9-2.5D  -03</t>
  </si>
  <si>
    <t>CAF100186R</t>
  </si>
  <si>
    <t>CAF100186R     (Champion)</t>
  </si>
  <si>
    <t>211.55</t>
  </si>
  <si>
    <t>FIAT DUCATO 1.9TD, 2.5TDI 94-02,  2.0JTD, 2.3JTD, 2.8JTD 01-</t>
  </si>
  <si>
    <t>CAF100431C</t>
  </si>
  <si>
    <t>CAF100431C     (Champion)</t>
  </si>
  <si>
    <t>110.22</t>
  </si>
  <si>
    <t>CITROEN JUMPER I  1.9-2.5D 94 -02, FIAT DUCATO 1.9D-2.5TD  88-02</t>
  </si>
  <si>
    <t>CAF100466C</t>
  </si>
  <si>
    <t>CAF100466C     (Champion)</t>
  </si>
  <si>
    <t>262.21</t>
  </si>
  <si>
    <t>Audi, Seat, VW 1.2, 1.4TSI, 2.0FSI, 04-</t>
  </si>
  <si>
    <t>CAF100488C</t>
  </si>
  <si>
    <t>CAF100488C     (Champion)</t>
  </si>
  <si>
    <t>220.08</t>
  </si>
  <si>
    <t>MITSUBISHI PAJERO 2.5TD 90-00,  2.8TD, 3.0i  94-00</t>
  </si>
  <si>
    <t>CAF100501P</t>
  </si>
  <si>
    <t>CAF100501P     (Champion)</t>
  </si>
  <si>
    <t>78.40</t>
  </si>
  <si>
    <t>OPEL REKORD 2.0 1.8  85-86, 2.0 77-84, 2.2 84-86</t>
  </si>
  <si>
    <t>CAF100505P</t>
  </si>
  <si>
    <t>CAF100505P     (Champion)</t>
  </si>
  <si>
    <t>72.71</t>
  </si>
  <si>
    <t>VW TRANSPORTER 1.6-2.1 -92, AUDI 100 1.8i-2.3i  -90, LADA 2110</t>
  </si>
  <si>
    <t>CAF100507P</t>
  </si>
  <si>
    <t>CAF100507P     (Champion)</t>
  </si>
  <si>
    <t>94.57</t>
  </si>
  <si>
    <t>OPEL OMEGA 1.8-2.0 86-94</t>
  </si>
  <si>
    <t>CAF100508P</t>
  </si>
  <si>
    <t>CAF100508P     (Champion)</t>
  </si>
  <si>
    <t>53.33</t>
  </si>
  <si>
    <t>VW GOLF II, JETTA II 1.6, 1.8 83-91</t>
  </si>
  <si>
    <t>CAF100516P</t>
  </si>
  <si>
    <t>CAF100516P     (Champion)</t>
  </si>
  <si>
    <t>117.51</t>
  </si>
  <si>
    <t>MB W201 (D2.0) 83-93, W124 (200D, E200D) -95</t>
  </si>
  <si>
    <t>CAF100533P</t>
  </si>
  <si>
    <t>CAF100533P     (Champion)</t>
  </si>
  <si>
    <t>76.62</t>
  </si>
  <si>
    <t>FIAT TEMPRA 1.4i 91-96, TIPO,UNO 1.4i 89-95, Tavria/Slavuta 1.2i, 1.3i</t>
  </si>
  <si>
    <t>CAF100554P</t>
  </si>
  <si>
    <t>CAF100554P     (Champion)</t>
  </si>
  <si>
    <t>OPEL Calibra, Vectra A  1.7D -95, 2.0i, 2.0i TURBO, 2.5i -95</t>
  </si>
  <si>
    <t>CAF100572P</t>
  </si>
  <si>
    <t>CAF100572P     (Champion)</t>
  </si>
  <si>
    <t>84.26</t>
  </si>
  <si>
    <t>AUDI 100 2.0- 2.8 91-94,  A6 1.8-2.8,  94-97  VW Golf II Passat  -97</t>
  </si>
  <si>
    <t>CAF100583P</t>
  </si>
  <si>
    <t>CAF100583P     (Champion)</t>
  </si>
  <si>
    <t>VW GOLF III, VENTO 91-98</t>
  </si>
  <si>
    <t>CAF100605P</t>
  </si>
  <si>
    <t>CAF100605P     (Champion)</t>
  </si>
  <si>
    <t>156.08</t>
  </si>
  <si>
    <t>Nissan X-Trail 2.0-2.5 01- , Teana 2.5-3.5 08-, Subaru Forester 2.0-2.5, Impreza 1.6-2.0, 00-</t>
  </si>
  <si>
    <t>CAF100607P</t>
  </si>
  <si>
    <t>CAF100607P     (Champion)</t>
  </si>
  <si>
    <t>108.08</t>
  </si>
  <si>
    <t>BMW 320i 90-98, 325i 90-, 525i, 530i 00-</t>
  </si>
  <si>
    <t>CAF100612P</t>
  </si>
  <si>
    <t>CAF100612P     (Champion)</t>
  </si>
  <si>
    <t>81.24</t>
  </si>
  <si>
    <t>FORD Escort 1.6-1.8i, 1.8D, 90-95</t>
  </si>
  <si>
    <t>CAF100626P</t>
  </si>
  <si>
    <t>CAF100626P     (Champion)</t>
  </si>
  <si>
    <t>101.33</t>
  </si>
  <si>
    <t>FORD TRANSIT 2.5D/TD/DI 88-00,  LDV Convoy 2.5DI, 91-09</t>
  </si>
  <si>
    <t>CAF100628P</t>
  </si>
  <si>
    <t>CAF100628P     (Champion)</t>
  </si>
  <si>
    <t>119.64</t>
  </si>
  <si>
    <t>MB W124 (E200, E220) 93-98</t>
  </si>
  <si>
    <t>CAF100633P</t>
  </si>
  <si>
    <t>CAF100633P     (Champion)</t>
  </si>
  <si>
    <t>166.21</t>
  </si>
  <si>
    <t>AUDI 100 (2.4D, 2.5TDI 91-94), A6 (2.5TDI 94-97)</t>
  </si>
  <si>
    <t>CAF100634P</t>
  </si>
  <si>
    <t>CAF100634P     (Champion)</t>
  </si>
  <si>
    <t>96.00</t>
  </si>
  <si>
    <t>FORD TRANSIT 2.5DI/TD 92-00</t>
  </si>
  <si>
    <t>CAF100641P</t>
  </si>
  <si>
    <t>CAF100641P     (Champion)</t>
  </si>
  <si>
    <t>OPEL COMBO 1.7D 94-01, CORSA 1.5D/TD, 1.7D 93-00</t>
  </si>
  <si>
    <t>CAF100651P</t>
  </si>
  <si>
    <t>CAF100651P     (Champion)</t>
  </si>
  <si>
    <t>202.66</t>
  </si>
  <si>
    <t>BMW 325TD/TDS 91-98, 525TD/TDS 91- (M51D25 - engine)</t>
  </si>
  <si>
    <t>CAF100657P</t>
  </si>
  <si>
    <t>CAF100657P     (Champion)</t>
  </si>
  <si>
    <t>77.51</t>
  </si>
  <si>
    <t>OPEL ASTRA F, Kadett E 1.4-1.8i 91-98</t>
  </si>
  <si>
    <t>CAF100670P</t>
  </si>
  <si>
    <t>CAF100670P     (Champion)</t>
  </si>
  <si>
    <t>120.53</t>
  </si>
  <si>
    <t>OPEL VECTRA 1.6-2.5 95-00</t>
  </si>
  <si>
    <t>CAF100671P</t>
  </si>
  <si>
    <t>CAF100671P     (Champion)</t>
  </si>
  <si>
    <t>95.46</t>
  </si>
  <si>
    <t>MAZDA 626 (GC, GD) 2.0i-2.2i  -97, FORD Fiesta IV 1.0-1.8  - 02</t>
  </si>
  <si>
    <t>CAF100672P</t>
  </si>
  <si>
    <t>CAF100672P     (Champion)</t>
  </si>
  <si>
    <t>141.15</t>
  </si>
  <si>
    <t>MB W124 (E420, E500 )91-93, W140 (S420,S500) 93-98</t>
  </si>
  <si>
    <t>CAF100682P</t>
  </si>
  <si>
    <t>CAF100682P     (Champion)</t>
  </si>
  <si>
    <t>99.91</t>
  </si>
  <si>
    <t>Daewoo Lanos 1.5-1.6 97-</t>
  </si>
  <si>
    <t>CAF100685P</t>
  </si>
  <si>
    <t>CAF100685P     (Champion)</t>
  </si>
  <si>
    <t>VOLVO V40, S40 I, Mitsubishi Carisma, SStar 1.6 - 2.0, 95-99</t>
  </si>
  <si>
    <t>CAF100688P</t>
  </si>
  <si>
    <t>CAF100688P     (Champion)</t>
  </si>
  <si>
    <t>193.77</t>
  </si>
  <si>
    <t>MB VITO 108D, 110TD, 113 (M111.948), 114 (M111.978)  96-</t>
  </si>
  <si>
    <t>CAF100689P</t>
  </si>
  <si>
    <t>CAF100689P     (Champion)</t>
  </si>
  <si>
    <t>104.53</t>
  </si>
  <si>
    <t>OPEL  ASTRA G, ASTRA H, ZAFIRA B, 1.6-2.0, 98-</t>
  </si>
  <si>
    <t>CAF100692P</t>
  </si>
  <si>
    <t>CAF100692P     (Champion)</t>
  </si>
  <si>
    <t>187.01</t>
  </si>
  <si>
    <t>MB SPRINTER all engines 95-00, LT II 28-46 , 96-06 (РґР»СЏ Р·Р°РїРёР»РµРЅРёС… СѓРјРѕРІ)</t>
  </si>
  <si>
    <t>CAF100696P</t>
  </si>
  <si>
    <t>CAF100696P     (Champion)</t>
  </si>
  <si>
    <t>168.53</t>
  </si>
  <si>
    <t>VW/ SEAT/ SKODA 1.4 16v-1.6 16v,  96-05</t>
  </si>
  <si>
    <t>CAF100697P</t>
  </si>
  <si>
    <t>CAF100697P     (Champion)</t>
  </si>
  <si>
    <t>98.13</t>
  </si>
  <si>
    <t>FORD Fiesta IV Focus, Connect 1.6-2.0i, 1.8TD  98-</t>
  </si>
  <si>
    <t>CAF100700P</t>
  </si>
  <si>
    <t>CAF100700P     (Champion)</t>
  </si>
  <si>
    <t>121.06</t>
  </si>
  <si>
    <t>MB (W210) E200-E420, E200D-E300D 95-99</t>
  </si>
  <si>
    <t>CAF100705P</t>
  </si>
  <si>
    <t>CAF100705P     (Champion)</t>
  </si>
  <si>
    <t>195.55</t>
  </si>
  <si>
    <t>Renault Clio II, Kangoo  1.9D 97-03</t>
  </si>
  <si>
    <t>CAF100706P</t>
  </si>
  <si>
    <t>CAF100706P     (Champion)</t>
  </si>
  <si>
    <t>153.42</t>
  </si>
  <si>
    <t>CITROEN BERLINGO, PEUGEOT PARTNER 2.0HDI  99-</t>
  </si>
  <si>
    <t>CAF100707P</t>
  </si>
  <si>
    <t>CAF100707P     (Champion)</t>
  </si>
  <si>
    <t>150.22</t>
  </si>
  <si>
    <t>RENAULT MASTER 2.5TD, 2.8DTI 98-, 2.2DCI 00- /318 X 262 X 42.3/</t>
  </si>
  <si>
    <t>CAF100715C</t>
  </si>
  <si>
    <t>CAF100715C     (Champion)</t>
  </si>
  <si>
    <t>114.31</t>
  </si>
  <si>
    <t>FIAT DOBLO 1.6, 1.9 D,  02-</t>
  </si>
  <si>
    <t>CAF100715P</t>
  </si>
  <si>
    <t>CAF100715P     (Champion)</t>
  </si>
  <si>
    <t>Ibiza, Polo, SKODA Fabia 1.2-1.4  00-</t>
  </si>
  <si>
    <t>CAF100716R</t>
  </si>
  <si>
    <t>CAF100716R     (Champion)</t>
  </si>
  <si>
    <t>125.51</t>
  </si>
  <si>
    <t>RENAULT Clio II, Kangoo, Megane 1.4, Symbol II 1.4i  96-</t>
  </si>
  <si>
    <t>CAF100718P</t>
  </si>
  <si>
    <t>CAF100718P     (Champion)</t>
  </si>
  <si>
    <t>120.17</t>
  </si>
  <si>
    <t>OPEL CORSA (all engines 09/00-), MERIVA  03-</t>
  </si>
  <si>
    <t>CAF100719P</t>
  </si>
  <si>
    <t>CAF100719P     (Champion)</t>
  </si>
  <si>
    <t>SKODA Fabia I 1.4-1.9 Tdi, Praktik, Roomster 1.4-1.9 Tdi, SEAT Cordoba III, Ibiza IV 1.4-1,9 TDi</t>
  </si>
  <si>
    <t>CAF100722P</t>
  </si>
  <si>
    <t>CAF100722P     (Champion)</t>
  </si>
  <si>
    <t>124.26</t>
  </si>
  <si>
    <t>FORD TRANSIT 2.0DI, 2.4DI 00-, 2.3i 01-</t>
  </si>
  <si>
    <t>CAF100733P</t>
  </si>
  <si>
    <t>CAF100733P     (Champion)</t>
  </si>
  <si>
    <t>123.37</t>
  </si>
  <si>
    <t>VW T4 2.0, 2.5, 2.8VR6, 1.9TD, 2.4D, 2.5TDI 90-</t>
  </si>
  <si>
    <t>CAF100734P</t>
  </si>
  <si>
    <t>CAF100734P     (Champion)</t>
  </si>
  <si>
    <t>117.86</t>
  </si>
  <si>
    <t>SKODA FABIA 1.4i 16v, 99-, VW GOLF,BORA 1.6I 16v, 00-</t>
  </si>
  <si>
    <t>CAF100735P</t>
  </si>
  <si>
    <t>CAF100735P     (Champion)</t>
  </si>
  <si>
    <t>128.17</t>
  </si>
  <si>
    <t>CITROEN C2/C3 1,4HDI, FORD Fiesta 1,4 TD, PEUGEOT 206,307 1,4HDI</t>
  </si>
  <si>
    <t>CAF100736P</t>
  </si>
  <si>
    <t>CAF100736P     (Champion)</t>
  </si>
  <si>
    <t>106.31</t>
  </si>
  <si>
    <t>VW POLO 1.2i 10/01-</t>
  </si>
  <si>
    <t>CAF100737P</t>
  </si>
  <si>
    <t>CAF100737P     (Champion)</t>
  </si>
  <si>
    <t>64.53</t>
  </si>
  <si>
    <t>RENAULT  Megane, Kangoo, Trafic 1.9 diesel eng. 96-03</t>
  </si>
  <si>
    <t>CAF100739P</t>
  </si>
  <si>
    <t>CAF100739P     (Champion)</t>
  </si>
  <si>
    <t>90.48</t>
  </si>
  <si>
    <t>Renault ClioII, Kangoo Logan, Sandero  1.5dCi 01-, Nissan Kubistar 1.5dCi 03-</t>
  </si>
  <si>
    <t>CAF100742P</t>
  </si>
  <si>
    <t>CAF100742P     (Champion)</t>
  </si>
  <si>
    <t>144.35</t>
  </si>
  <si>
    <t>MB C-class C180-C230, C200D-C250D 93-99, M-class ML230-ML430 98-</t>
  </si>
  <si>
    <t>CAF100748P</t>
  </si>
  <si>
    <t>CAF100748P     (Champion)</t>
  </si>
  <si>
    <t>212.97</t>
  </si>
  <si>
    <t>SKODA Fabia, VW Polo, SEAT Ibiza 1.4-1.6i 16v  06-</t>
  </si>
  <si>
    <t>CAF100752P</t>
  </si>
  <si>
    <t>CAF100752P     (Champion)</t>
  </si>
  <si>
    <t>126.93</t>
  </si>
  <si>
    <t>BERLINGO 1,9D/2,0HDI 99-</t>
  </si>
  <si>
    <t>CAF100755P</t>
  </si>
  <si>
    <t>CAF100755P     (Champion)</t>
  </si>
  <si>
    <t>163.90</t>
  </si>
  <si>
    <t>RENAULT Megan II 1,5dCi 11/02-,Scenic 1,5-2,0dCi6/03-</t>
  </si>
  <si>
    <t>CAF100757P</t>
  </si>
  <si>
    <t>CAF100757P     (Champion)</t>
  </si>
  <si>
    <t>106.66</t>
  </si>
  <si>
    <t>DAEWOO MATIZ 0.8  98-</t>
  </si>
  <si>
    <t>CAF100762P</t>
  </si>
  <si>
    <t>CAF100762P     (Champion)</t>
  </si>
  <si>
    <t>131.91</t>
  </si>
  <si>
    <t>FORD Focus C-Max 1,6TDCi 10/03-</t>
  </si>
  <si>
    <t>CAF100769P</t>
  </si>
  <si>
    <t>CAF100769P     (Champion)</t>
  </si>
  <si>
    <t>188.79</t>
  </si>
  <si>
    <t>OPEL Movano 2.2CDTi/2.5CDTi 03-, RENAULT Master 2.2DCi/2.5DCi 03-</t>
  </si>
  <si>
    <t>CAF100770P</t>
  </si>
  <si>
    <t>CAF100770P     (Champion)</t>
  </si>
  <si>
    <t>204.79</t>
  </si>
  <si>
    <t>Nissan Primastar, Opel Vivaro, Renault Trafic II 2.0-2.5dCi 06-</t>
  </si>
  <si>
    <t>CAF100785P</t>
  </si>
  <si>
    <t>CAF100785P     (Champion)</t>
  </si>
  <si>
    <t>217.06</t>
  </si>
  <si>
    <t>MB W220 (S280, S320, S430, S500) 98-   (РєРјРїР». 2С€С‚.)</t>
  </si>
  <si>
    <t>CAF100787P</t>
  </si>
  <si>
    <t>CAF100787P     (Champion)</t>
  </si>
  <si>
    <t>142.57</t>
  </si>
  <si>
    <t>MB C, E, M-class, 2.0-3.2CDI  01 -07</t>
  </si>
  <si>
    <t>CAF100788P</t>
  </si>
  <si>
    <t>CAF100788P     (Champion)</t>
  </si>
  <si>
    <t>178.84</t>
  </si>
  <si>
    <t>MERCEDES Vito 119/122 W639 mot.M112 9/03-</t>
  </si>
  <si>
    <t>CAF100792P</t>
  </si>
  <si>
    <t>CAF100792P     (Champion)</t>
  </si>
  <si>
    <t>108.44</t>
  </si>
  <si>
    <t>HYUNDAI GETZ 02-</t>
  </si>
  <si>
    <t>CAF100806P</t>
  </si>
  <si>
    <t>CAF100806P     (Champion)</t>
  </si>
  <si>
    <t>159.10</t>
  </si>
  <si>
    <t>AUDI A3, VW GOLF, TOURAN  1.9TDI, 2.0TDI  03-</t>
  </si>
  <si>
    <t>CAF100808P</t>
  </si>
  <si>
    <t>CAF100808P     (Champion)</t>
  </si>
  <si>
    <t>214.75</t>
  </si>
  <si>
    <t>Cayenne, Q7, Toureg 3.0-5.0, 02-</t>
  </si>
  <si>
    <t>CAF100810P</t>
  </si>
  <si>
    <t>CAF100810P     (Champion)</t>
  </si>
  <si>
    <t>112.53</t>
  </si>
  <si>
    <t>Ford Fiesta V  1.4i 16V, 1.6i 16V  02--08, Mini Cooper 1.6i</t>
  </si>
  <si>
    <t>CAF100836P</t>
  </si>
  <si>
    <t>CAF100836P     (Champion)</t>
  </si>
  <si>
    <t>170.84</t>
  </si>
  <si>
    <t>CITROEN C5 1.6HDi 09/04-, PEUGEOT 407 1.6HDi 05/04-</t>
  </si>
  <si>
    <t>CAF100837P</t>
  </si>
  <si>
    <t>CAF100837P     (Champion)</t>
  </si>
  <si>
    <t>164.62</t>
  </si>
  <si>
    <t>VW T5 1.9TDI, 2.5TDI, 2.0, 3.2 V6  03-</t>
  </si>
  <si>
    <t>CAF100839P</t>
  </si>
  <si>
    <t>CAF100839P     (Champion)</t>
  </si>
  <si>
    <t>167.28</t>
  </si>
  <si>
    <t>OPEL Signum, Vectra C 1.9-3.2, 02-, FIAT Croma II 1.9 D, 2.2i 05-</t>
  </si>
  <si>
    <t>CAF100868P</t>
  </si>
  <si>
    <t>CAF100868P     (Champion)</t>
  </si>
  <si>
    <t>108.97</t>
  </si>
  <si>
    <t>Landrover Discovery III, IV 2.7-4.4,  04- ,Range Rover III</t>
  </si>
  <si>
    <t>CAF100870P</t>
  </si>
  <si>
    <t>CAF100870P     (Champion)</t>
  </si>
  <si>
    <t>Mitsubishi Pajero III/IV 00-</t>
  </si>
  <si>
    <t>CAF100871P</t>
  </si>
  <si>
    <t>CAF100871P     (Champion)</t>
  </si>
  <si>
    <t>173.15</t>
  </si>
  <si>
    <t>MB SPRINTER all engines 95-00</t>
  </si>
  <si>
    <t>CAF100872P</t>
  </si>
  <si>
    <t>CAF100872P     (Champion)</t>
  </si>
  <si>
    <t>229.50</t>
  </si>
  <si>
    <t>MERCEDES Sprinter 06-,  VW Crafter  2.5TDI, 06-</t>
  </si>
  <si>
    <t>CAF100885P</t>
  </si>
  <si>
    <t>CAF100885P     (Champion)</t>
  </si>
  <si>
    <t>109.86</t>
  </si>
  <si>
    <t>PEUGEOT 206, 307 1.1-1.4i,  03-</t>
  </si>
  <si>
    <t>CAF100889P</t>
  </si>
  <si>
    <t>CAF100889P     (Champion)</t>
  </si>
  <si>
    <t>158.22</t>
  </si>
  <si>
    <t>Ford Transit 2.2TDCI 06--  /AP023/4/</t>
  </si>
  <si>
    <t>CAF100891P</t>
  </si>
  <si>
    <t>CAF100891P     (Champion)</t>
  </si>
  <si>
    <t>152.88</t>
  </si>
  <si>
    <t>KIA Ceed 1.4-2.0 06-</t>
  </si>
  <si>
    <t>CAF100915P</t>
  </si>
  <si>
    <t>CAF100915P     (Champion)</t>
  </si>
  <si>
    <t>188.44</t>
  </si>
  <si>
    <t>RENAULT Megane III , Scenic , Fluence 1.6i, 1.5-1.9 dCi  08 -</t>
  </si>
  <si>
    <t>CAF100921P</t>
  </si>
  <si>
    <t>CAF100921P     (Champion)</t>
  </si>
  <si>
    <t>Citroen C4, C4 Picasso 1.4i 16V, Mini One II, Peugeot 207, 3008, 308 1.4VTi, 1.6VTi</t>
  </si>
  <si>
    <t>CAF100928P</t>
  </si>
  <si>
    <t>CAF100928P     (Champion)</t>
  </si>
  <si>
    <t>211.19</t>
  </si>
  <si>
    <t>JEEP CHEROKEE III , COMMANDER 2,5-5,7  03-10</t>
  </si>
  <si>
    <t>CAF100934P</t>
  </si>
  <si>
    <t>CAF100934P     (Champion)</t>
  </si>
  <si>
    <t>369.58</t>
  </si>
  <si>
    <t>BMW E60/E63 2.0D/3.5D 09.04-</t>
  </si>
  <si>
    <t>CAF100935P</t>
  </si>
  <si>
    <t>CAF100935P     (Champion)</t>
  </si>
  <si>
    <t>245.32</t>
  </si>
  <si>
    <t>Hyundai ix35 2.0, 2.0CRDI| Kia Sportage 2.0, 2.0CRDI 7/10-</t>
  </si>
  <si>
    <t>CAF100940P</t>
  </si>
  <si>
    <t>CAF100940P     (Champion)</t>
  </si>
  <si>
    <t>127.28</t>
  </si>
  <si>
    <t>Toyota Auris 07- , Avensis 09-, Corolla Yaris 07-  /WA9627/</t>
  </si>
  <si>
    <t>CAF100944P</t>
  </si>
  <si>
    <t>CAF100944P     (Champion)</t>
  </si>
  <si>
    <t>160.53</t>
  </si>
  <si>
    <t>KIA Sportage 1.7 CRDi</t>
  </si>
  <si>
    <t>CAF100952P</t>
  </si>
  <si>
    <t>CAF100952P     (Champion)</t>
  </si>
  <si>
    <t>139.37</t>
  </si>
  <si>
    <t>OPEL CORSA D 06-</t>
  </si>
  <si>
    <t>CAF100954P</t>
  </si>
  <si>
    <t>CAF100954P     (Champion)</t>
  </si>
  <si>
    <t>272.17</t>
  </si>
  <si>
    <t>Opel, INSIGNIA 07/08 -</t>
  </si>
  <si>
    <t>CAF100956P</t>
  </si>
  <si>
    <t>CAF100956P     (Champion)</t>
  </si>
  <si>
    <t>98.66</t>
  </si>
  <si>
    <t>NISSAN Micra (K12) 1.6 16V, Note 1.6 16V, Qashqai 1.5 dCi</t>
  </si>
  <si>
    <t>CAF100971P</t>
  </si>
  <si>
    <t>CAF100971P     (Champion)</t>
  </si>
  <si>
    <t>278.03</t>
  </si>
  <si>
    <t>CITROEN C4 2.0 HDI 11/04- Picasso 2.0 HDI 02/07-Grand Picasso 2.0 HDI 10/06- PEUGEOT 308 2.0 HDI 09/07-</t>
  </si>
  <si>
    <t>CAF100974P</t>
  </si>
  <si>
    <t>CAF100974P     (Champion)</t>
  </si>
  <si>
    <t>Citroen C8, Jumpy II| Fiat Scudo II, Ulysse II| Peugeot Expert II, 807 (РћР• 1444.QW)</t>
  </si>
  <si>
    <t>CAF100981P</t>
  </si>
  <si>
    <t>CAF100981P     (Champion)</t>
  </si>
  <si>
    <t>228.61</t>
  </si>
  <si>
    <t>Renault Laguna III 2.0dCi 08-</t>
  </si>
  <si>
    <t>CAF100986P</t>
  </si>
  <si>
    <t>CAF100986P     (Champion)</t>
  </si>
  <si>
    <t>CHEVROLET CRUZE 1.6, 1.8  09-</t>
  </si>
  <si>
    <t>CCF0001</t>
  </si>
  <si>
    <t>CCF0001     (Champion)</t>
  </si>
  <si>
    <t>90.13</t>
  </si>
  <si>
    <t>A3 1.6-1.9 96-06, SKODA OCTAVIA 97-, VW GOLF III, PASSAT B6  00-</t>
  </si>
  <si>
    <t>CCF0001C</t>
  </si>
  <si>
    <t>CCF0001C     (Champion)</t>
  </si>
  <si>
    <t>SKODA OCTAVIA 1.4-2.0, 1.9TDI 97-, VW GOLF III,PASSAT 1.4-2.0, 1.9TDI  97-</t>
  </si>
  <si>
    <t>CCF0003</t>
  </si>
  <si>
    <t>CCF0003     (Champion)</t>
  </si>
  <si>
    <t>112.17</t>
  </si>
  <si>
    <t>KIA Rio II,III, Sportage 06-, i40, Tucson -10</t>
  </si>
  <si>
    <t>CCF0006</t>
  </si>
  <si>
    <t>CCF0006     (Champion)</t>
  </si>
  <si>
    <t>140.26</t>
  </si>
  <si>
    <t>Citroen C8, Jumpy, FIAT Scudo,Ulysse 96-</t>
  </si>
  <si>
    <t>CCF0013</t>
  </si>
  <si>
    <t>CCF0013     (Champion)</t>
  </si>
  <si>
    <t>139.90</t>
  </si>
  <si>
    <t>OPEL Astra G, H, Zafira A 98-</t>
  </si>
  <si>
    <t>CCF0013C</t>
  </si>
  <si>
    <t>CCF0013C     (Champion)</t>
  </si>
  <si>
    <t>224.17</t>
  </si>
  <si>
    <t>OPEL Astra G,  Astra H , Astra J, Zafira A 98- (РІСѓРіС–Р»СЊРЅРёР№)</t>
  </si>
  <si>
    <t>CCF0021C</t>
  </si>
  <si>
    <t>CCF0021C     (Champion)</t>
  </si>
  <si>
    <t>210.66</t>
  </si>
  <si>
    <t>VAG Q7/ T5/ Multivan/ Touareg /Cayenne 2, 5вЂ¦6, 0L / Di  03- (РІСѓРіС–Р»СЊРЅРёР№)</t>
  </si>
  <si>
    <t>CCF0023C</t>
  </si>
  <si>
    <t>CCF0023C     (Champion)</t>
  </si>
  <si>
    <t>190.92</t>
  </si>
  <si>
    <t>FORD Focus II 04-, VOLVO C70, S40 II, V50 04/04-</t>
  </si>
  <si>
    <t>CCF0024</t>
  </si>
  <si>
    <t>CCF0024     (Champion)</t>
  </si>
  <si>
    <t>Focus I 1.4 -2.0, 98-04</t>
  </si>
  <si>
    <t>CCF0024C</t>
  </si>
  <si>
    <t>CCF0024C     (Champion)</t>
  </si>
  <si>
    <t>194.84</t>
  </si>
  <si>
    <t>FORD Focus I 1.4 -2.0, 98-04, Transit Connect 02- (РІСѓРіС–Р»СЊРЅРёР№)</t>
  </si>
  <si>
    <t>CCF0025</t>
  </si>
  <si>
    <t>CCF0025     (Champion)</t>
  </si>
  <si>
    <t>184.53</t>
  </si>
  <si>
    <t>AVEO 1.2-1.5,  02-  РєСЂС–Рј 1.6 (РљРёС‚Р°Р№)</t>
  </si>
  <si>
    <t>CCF0026</t>
  </si>
  <si>
    <t>CCF0026     (Champion)</t>
  </si>
  <si>
    <t>196.79</t>
  </si>
  <si>
    <t>LACETTI/NUBIRA 03-</t>
  </si>
  <si>
    <t>CCF0028</t>
  </si>
  <si>
    <t>CCF0028     (Champion)</t>
  </si>
  <si>
    <t>103.11</t>
  </si>
  <si>
    <t>CITROEN Berlingo 1.1-2.0 HDI  96-, Xsara 1.4-2.0/D/HDI/16V 07/98-03/05.PEUGEOT Partner 1.1-2.0/D/HDI/16V 96-</t>
  </si>
  <si>
    <t>CCF0029</t>
  </si>
  <si>
    <t>CCF0029     (Champion)</t>
  </si>
  <si>
    <t>177.06</t>
  </si>
  <si>
    <t>VOLVO S60, S70, XC70, XC90,  98-</t>
  </si>
  <si>
    <t>CCF0029C</t>
  </si>
  <si>
    <t>CCF0029C     (Champion)</t>
  </si>
  <si>
    <t>268.61</t>
  </si>
  <si>
    <t>Volvo V70, XC70, XC90</t>
  </si>
  <si>
    <t>CCF0033</t>
  </si>
  <si>
    <t>CCF0033     (Champion)</t>
  </si>
  <si>
    <t>KIA CERATO 04-</t>
  </si>
  <si>
    <t>CCF0035</t>
  </si>
  <si>
    <t>CCF0035     (Champion)</t>
  </si>
  <si>
    <t>91.55</t>
  </si>
  <si>
    <t>RENAULT CLIO, KANGOO (+ A/C),  MEGANE (- A/C)  98-</t>
  </si>
  <si>
    <t>CCF0046</t>
  </si>
  <si>
    <t>CCF0046     (Champion)</t>
  </si>
  <si>
    <t>111.11</t>
  </si>
  <si>
    <t>FORD Galaxy 97-00, SEAT Alhambra, VW Sharan</t>
  </si>
  <si>
    <t>CCF0050C</t>
  </si>
  <si>
    <t>CCF0050C     (Champion)</t>
  </si>
  <si>
    <t>175.28</t>
  </si>
  <si>
    <t>SUBARU LEGACY (III, IV)</t>
  </si>
  <si>
    <t>CCF0051</t>
  </si>
  <si>
    <t>CCF0051     (Champion)</t>
  </si>
  <si>
    <t>141.68</t>
  </si>
  <si>
    <t>OUTBACK,OUTBACK,TRIBECA</t>
  </si>
  <si>
    <t>CCF0052C</t>
  </si>
  <si>
    <t>CCF0052C     (Champion)</t>
  </si>
  <si>
    <t>VERSO,CAMRY,CELICA,LAND CRUISER 120,LAND CRUISER</t>
  </si>
  <si>
    <t>CCF0060C</t>
  </si>
  <si>
    <t>CCF0060C     (Champion)</t>
  </si>
  <si>
    <t>223.28</t>
  </si>
  <si>
    <t>MEGANE II 02-</t>
  </si>
  <si>
    <t>CCF0061</t>
  </si>
  <si>
    <t>CCF0061     (Champion)</t>
  </si>
  <si>
    <t>226.66</t>
  </si>
  <si>
    <t>RENAULT Grand Scenic II 04-, Scenic II,  03-</t>
  </si>
  <si>
    <t>CCF0065</t>
  </si>
  <si>
    <t>CCF0065     (Champion)</t>
  </si>
  <si>
    <t>DAEWOO Lanos 1.4 -1.5i, Nubira, Lacetti 1.6 16V-2.0</t>
  </si>
  <si>
    <t>CCF0070</t>
  </si>
  <si>
    <t>CCF0070     (Champion)</t>
  </si>
  <si>
    <t>128.71</t>
  </si>
  <si>
    <t>Audi A6 94-97 All /310x194x35/</t>
  </si>
  <si>
    <t>CCF0074</t>
  </si>
  <si>
    <t>CCF0074     (Champion)</t>
  </si>
  <si>
    <t>Audi A6 94-97 All eng</t>
  </si>
  <si>
    <t>CCF0075</t>
  </si>
  <si>
    <t>CCF0075     (Champion)</t>
  </si>
  <si>
    <t>VW TRANSPORTER IV 90 - 03</t>
  </si>
  <si>
    <t>CCF0082</t>
  </si>
  <si>
    <t>CCF0082     (Champion)</t>
  </si>
  <si>
    <t>PEUGEOT 206 1.1-1.6 16V, 206 SW 1.6 HDi 16V</t>
  </si>
  <si>
    <t>CCF0096</t>
  </si>
  <si>
    <t>CCF0096     (Champion)</t>
  </si>
  <si>
    <t>355.18</t>
  </si>
  <si>
    <t>MB VITO 96- 03</t>
  </si>
  <si>
    <t>CCF0099</t>
  </si>
  <si>
    <t>CCF0099     (Champion)</t>
  </si>
  <si>
    <t>230.39</t>
  </si>
  <si>
    <t>Opel Vivaro, Renault Trafic II 2/01-</t>
  </si>
  <si>
    <t>CCF0107</t>
  </si>
  <si>
    <t>CCF0107     (Champion)</t>
  </si>
  <si>
    <t>215.28</t>
  </si>
  <si>
    <t>MB E-Classe (W211, S211) , CLS(C219) ,  02-10</t>
  </si>
  <si>
    <t>CCF0112C</t>
  </si>
  <si>
    <t>CCF0112C     (Champion)</t>
  </si>
  <si>
    <t>199.10</t>
  </si>
  <si>
    <t>AUDI A3, Skoda Octavia,  VW Bora, Golf IV 97-  (РІСѓРіС–Р»СЊРЅРёР№)</t>
  </si>
  <si>
    <t>CCF0116</t>
  </si>
  <si>
    <t>CCF0116     (Champion)</t>
  </si>
  <si>
    <t>107.55</t>
  </si>
  <si>
    <t>MAZDA 2, 6, CX-7,  02-</t>
  </si>
  <si>
    <t>CCF0116C</t>
  </si>
  <si>
    <t>CCF0116C     (Champion)</t>
  </si>
  <si>
    <t>MAZDA 6, CX7  02- (РІСѓРіС–Р»СЊРЅРёР№)</t>
  </si>
  <si>
    <t>CCF0119</t>
  </si>
  <si>
    <t>CCF0119     (Champion)</t>
  </si>
  <si>
    <t>121.95</t>
  </si>
  <si>
    <t>GRANDE PUNTO/CORSA D</t>
  </si>
  <si>
    <t>CCF0125</t>
  </si>
  <si>
    <t>CCF0125     (Champion)</t>
  </si>
  <si>
    <t>115.19</t>
  </si>
  <si>
    <t>HONDA CR-V, Accord VIII 2.0-2.4, 03-</t>
  </si>
  <si>
    <t>CCF0131</t>
  </si>
  <si>
    <t>CCF0131     (Champion)</t>
  </si>
  <si>
    <t>NISSAN X-Trail 05/01-</t>
  </si>
  <si>
    <t>CCF0133</t>
  </si>
  <si>
    <t>CCF0133     (Champion)</t>
  </si>
  <si>
    <t>HYUNDAI Santa FE II 06-, SONATA 05-, KIA Magentis 06-</t>
  </si>
  <si>
    <t>CCF0139</t>
  </si>
  <si>
    <t>CCF0139     (Champion)</t>
  </si>
  <si>
    <t>234.12</t>
  </si>
  <si>
    <t>Citroen Nemo, Peugeot Bipper, Fiat Linea</t>
  </si>
  <si>
    <t>CCF0143C</t>
  </si>
  <si>
    <t>CCF0143C     (Champion)</t>
  </si>
  <si>
    <t>395.89</t>
  </si>
  <si>
    <t>LAND ROVER Freelander, 06-, VOLVO S80 II, V70 II, XC60, XC70 06-</t>
  </si>
  <si>
    <t>CCF0144C</t>
  </si>
  <si>
    <t>CCF0144C     (Champion)</t>
  </si>
  <si>
    <t>257.77</t>
  </si>
  <si>
    <t>FIAT Scudo II  07-,Peugeot Expert II</t>
  </si>
  <si>
    <t>CCF0146</t>
  </si>
  <si>
    <t>CCF0146     (Champion)</t>
  </si>
  <si>
    <t>92.80</t>
  </si>
  <si>
    <t>FIAT PUNTO 99-, DOBLO 01-</t>
  </si>
  <si>
    <t>CCF0152</t>
  </si>
  <si>
    <t>CCF0152     (Champion)</t>
  </si>
  <si>
    <t>126.39</t>
  </si>
  <si>
    <t>Ford B-MAX, Fiesta VI 08-</t>
  </si>
  <si>
    <t>CCF0153</t>
  </si>
  <si>
    <t>CCF0153     (Champion)</t>
  </si>
  <si>
    <t>201.41</t>
  </si>
  <si>
    <t>Renault Koleos 08 -</t>
  </si>
  <si>
    <t>CCF0157</t>
  </si>
  <si>
    <t>CCF0157     (Champion)</t>
  </si>
  <si>
    <t>209.77</t>
  </si>
  <si>
    <t>MB E-CLASS II (W210) 95 - 03, S-CLASS (W220) 98 - 05</t>
  </si>
  <si>
    <t>CCF0159</t>
  </si>
  <si>
    <t>CCF0159     (Champion)</t>
  </si>
  <si>
    <t>154.66</t>
  </si>
  <si>
    <t>Citroen Jumper III| Fiat Ducato| Peugeot Boxer III 7/06-</t>
  </si>
  <si>
    <t>CCF0161</t>
  </si>
  <si>
    <t>CCF0161     (Champion)</t>
  </si>
  <si>
    <t>Suzuki Grand Vitara  05-</t>
  </si>
  <si>
    <t>CCF0162C</t>
  </si>
  <si>
    <t>CCF0162C     (Champion)</t>
  </si>
  <si>
    <t>420.96</t>
  </si>
  <si>
    <t>BMW X5 (E53)  3.0-4.8  05/00 -, RANGE ROVER III 3.0-5.0   02 -12</t>
  </si>
  <si>
    <t>CCF0166</t>
  </si>
  <si>
    <t>CCF0166     (Champion)</t>
  </si>
  <si>
    <t>299.54</t>
  </si>
  <si>
    <t>BMW X5 (E70) (РћР• 64316945586, 64116945594)</t>
  </si>
  <si>
    <t>CCF0168</t>
  </si>
  <si>
    <t>CCF0168     (Champion)</t>
  </si>
  <si>
    <t>188.26</t>
  </si>
  <si>
    <t>MB C-CLASS (S203)  All eng. 01 - 07</t>
  </si>
  <si>
    <t>CCF0177</t>
  </si>
  <si>
    <t>CCF0177     (Champion)</t>
  </si>
  <si>
    <t>247.10</t>
  </si>
  <si>
    <t>SUBARU FORESTER II, IMPREZA III  08-</t>
  </si>
  <si>
    <t>CCF0179</t>
  </si>
  <si>
    <t>CCF0179     (Champion)</t>
  </si>
  <si>
    <t>FORD Mondeo I, II,  93-01</t>
  </si>
  <si>
    <t>CCF0180</t>
  </si>
  <si>
    <t>CCF0180     (Champion)</t>
  </si>
  <si>
    <t>168.17</t>
  </si>
  <si>
    <t>SPRINTER/CRAFTER 06-</t>
  </si>
  <si>
    <t>CCF0186</t>
  </si>
  <si>
    <t>CCF0186     (Champion)</t>
  </si>
  <si>
    <t>Hyundai Accent III, i30  05-10 , KIA Ceed, Carens 1.4 -2.0 12-</t>
  </si>
  <si>
    <t>CCF0201</t>
  </si>
  <si>
    <t>CCF0201     (Champion)</t>
  </si>
  <si>
    <t>236.79</t>
  </si>
  <si>
    <t>MB E, C-Class (W202, W210) -02</t>
  </si>
  <si>
    <t>CCF0208</t>
  </si>
  <si>
    <t>CCF0208     (Champion)</t>
  </si>
  <si>
    <t>114.84</t>
  </si>
  <si>
    <t>Opel OMEGA B 96- 00</t>
  </si>
  <si>
    <t>CCF0227</t>
  </si>
  <si>
    <t>CCF0227     (Champion)</t>
  </si>
  <si>
    <t>107.20</t>
  </si>
  <si>
    <t>OPEL Agila , SUZUKI  Wagon R 1.0-1.3  09/00 - 12/07</t>
  </si>
  <si>
    <t>CCF0282</t>
  </si>
  <si>
    <t>CCF0282     (Champion)</t>
  </si>
  <si>
    <t>134.04</t>
  </si>
  <si>
    <t>MB Sprinter 2xx, 3xx, 4xx Cdi,  -06, VW LT 28-46 II TDI  - 06</t>
  </si>
  <si>
    <t>CCF0282C</t>
  </si>
  <si>
    <t>CCF0282C     (Champion)</t>
  </si>
  <si>
    <t>230.75</t>
  </si>
  <si>
    <t>Sprinter 2t,3t,4t  95-06, LT 28-46 II, 96-06</t>
  </si>
  <si>
    <t>CCF0303</t>
  </si>
  <si>
    <t>CCF0303     (Champion)</t>
  </si>
  <si>
    <t>132.26</t>
  </si>
  <si>
    <t>AUDI A3 (8P) 1.6 FSI -2.0i,  Q3 (8U) 2.0 TDI, TT (8J) 2.0 T FSI-3.2V6</t>
  </si>
  <si>
    <t>CCF0303C</t>
  </si>
  <si>
    <t>CCF0303C     (Champion)</t>
  </si>
  <si>
    <t>VAG A3/ Golf 5/ Jetta III/ Polo</t>
  </si>
  <si>
    <t>CCF0310</t>
  </si>
  <si>
    <t>CCF0310     (Champion)</t>
  </si>
  <si>
    <t>178.66</t>
  </si>
  <si>
    <t>MICRA/NOTE/MODUS,  Clio III  03-</t>
  </si>
  <si>
    <t>CCF0320</t>
  </si>
  <si>
    <t>CCF0320     (Champion)</t>
  </si>
  <si>
    <t>G-CLASS (W463), AUDI A2, SEAT Cordoba 02-09,  Ibiza V 08-10, Fabia 02-08, POLO 02-</t>
  </si>
  <si>
    <t>CCF0320C</t>
  </si>
  <si>
    <t>CCF0320C     (Champion)</t>
  </si>
  <si>
    <t>AUDI A2 1.2-1.6TDI 00-05, MERCEDES W463 2.7-5.0CDI 94-, SEAT Cordoba 1.2-2.0TDI , 02-  Ibiza IV 1.2-1.9 02-  Fabia 1.2-2.0TDI  12/99-</t>
  </si>
  <si>
    <t>CCF0327</t>
  </si>
  <si>
    <t>CCF0327     (Champion)</t>
  </si>
  <si>
    <t>FORD Mondeo III , Jaguar X-Type 01-09</t>
  </si>
  <si>
    <t>CCF0328</t>
  </si>
  <si>
    <t>CCF0328     (Champion)</t>
  </si>
  <si>
    <t>115.73</t>
  </si>
  <si>
    <t>FIESTA/FUSION 02-</t>
  </si>
  <si>
    <t>CCF0328C</t>
  </si>
  <si>
    <t>CCF0328C     (Champion)</t>
  </si>
  <si>
    <t>242.48</t>
  </si>
  <si>
    <t>FIESTA/FUSION 02- (РІСѓРіС–Р»СЊРЅРёР№)</t>
  </si>
  <si>
    <t>CCF0351</t>
  </si>
  <si>
    <t>CCF0351     (Champion)</t>
  </si>
  <si>
    <t>MB Viano, VITO II, VIANO 03 -</t>
  </si>
  <si>
    <t>CFF100104</t>
  </si>
  <si>
    <t>CFF100104     (Champion)</t>
  </si>
  <si>
    <t>20.62</t>
  </si>
  <si>
    <t>104x36mm (8mm)  MB W201 (2.0D, 2.5D/TD) -93 (РіСЂСѓР±РѕР№ РѕС‡РёСЃС‚РєРё)</t>
  </si>
  <si>
    <t>CFF100105</t>
  </si>
  <si>
    <t>CFF100105     (Champion)</t>
  </si>
  <si>
    <t>MB C,E, G-Class, T1, 2.0-3.0TD   - 93,  SSANG Y KORRANDO, Musso 2.3-2.9D 96-</t>
  </si>
  <si>
    <t>CFF100111</t>
  </si>
  <si>
    <t>CFF100111     (Champion)</t>
  </si>
  <si>
    <t>Fiat, Lancia, Iveco Land Rover, RENAULT, Opel 1.5-2.5D 90-2000</t>
  </si>
  <si>
    <t>CFF100114</t>
  </si>
  <si>
    <t>CFF100114     (Champion)</t>
  </si>
  <si>
    <t>VW GOLF III, IV 1.6-1.9td -02, LT 28-35  2.4d 75 - 96 SEAT Alhambra, Cordoba 95-00</t>
  </si>
  <si>
    <t>CFF100116</t>
  </si>
  <si>
    <t>CFF100116     (Champion)</t>
  </si>
  <si>
    <t>MB (S124, W201, W202, W124) 2.0-3.0 D/TD 85-00, Ssang Yong 2.9TD</t>
  </si>
  <si>
    <t>CFF100131</t>
  </si>
  <si>
    <t>CFF100131     (Champion)</t>
  </si>
  <si>
    <t>60.09</t>
  </si>
  <si>
    <t>FIAT DUCATO 2.5TD -94, CITROEN/PEUGEOT J5,J7, J9  1.9 - 2.5D/TD 94-</t>
  </si>
  <si>
    <t>CFF100133</t>
  </si>
  <si>
    <t>CFF100133     (Champion)</t>
  </si>
  <si>
    <t>80.53</t>
  </si>
  <si>
    <t>MB W123 , 207D/209D,307D/309D,407D (OM616, OM617)</t>
  </si>
  <si>
    <t>CFF100141</t>
  </si>
  <si>
    <t>CFF100141     (Champion)</t>
  </si>
  <si>
    <t>69.51</t>
  </si>
  <si>
    <t>CITROГ‹N  Berlingo I ,BX , Jumpy, PEUGEOT 205, 306, 309, 405  1.7-1.9D</t>
  </si>
  <si>
    <t>CFF100142</t>
  </si>
  <si>
    <t>CFF100142     (Champion)</t>
  </si>
  <si>
    <t>241.23</t>
  </si>
  <si>
    <t>FORD ESCORT, FIESTA  1.8D/TD 93-99 (BOSCH-SYSTEM)</t>
  </si>
  <si>
    <t>CFF100146</t>
  </si>
  <si>
    <t>CFF100146     (Champion)</t>
  </si>
  <si>
    <t>175.81</t>
  </si>
  <si>
    <t>ISUZU TROOPER 2.8TD 88-92, 3.1TD 91-</t>
  </si>
  <si>
    <t>CFF100149</t>
  </si>
  <si>
    <t>CFF100149     (Champion)</t>
  </si>
  <si>
    <t>TOYOTA HIACE, HILUX 2.4D 89-, COROLLA 1.8D, 2.0D 87-</t>
  </si>
  <si>
    <t>CFF100201</t>
  </si>
  <si>
    <t>CFF100201     (Champion)</t>
  </si>
  <si>
    <t>CITROEN CX, BX Xantia 87-98 , FIAT, OPEL Kadett 75-91 , Omega A , Peugeot 106, 306 , 309</t>
  </si>
  <si>
    <t>CFF100204</t>
  </si>
  <si>
    <t>CFF100204     (Champion)</t>
  </si>
  <si>
    <t>172.26</t>
  </si>
  <si>
    <t>FORD SIERRA 1.8, 2.0 -93, SCORPIO 2.0-2.9 -94, ESCORT,FIESTA 1.4, 1.6 -95</t>
  </si>
  <si>
    <t>CFF100206</t>
  </si>
  <si>
    <t>CFF100206     (Champion)</t>
  </si>
  <si>
    <t>147.02</t>
  </si>
  <si>
    <t>Alfa, Audi A4, A6, BMW 3, 5, 7, MB,  Renault  -98</t>
  </si>
  <si>
    <t>CFF100209</t>
  </si>
  <si>
    <t>CFF100209     (Champion)</t>
  </si>
  <si>
    <t>240.35</t>
  </si>
  <si>
    <t>FORD TRANSIT 2.5D/TD  84 -00</t>
  </si>
  <si>
    <t>CFF100218</t>
  </si>
  <si>
    <t>CFF100218     (Champion)</t>
  </si>
  <si>
    <t>FORD 1.3 - 2.9  Р±РµРЅР·РёРЅ 90-</t>
  </si>
  <si>
    <t>CFF100225</t>
  </si>
  <si>
    <t>CFF100225     (Champion)</t>
  </si>
  <si>
    <t>OPEL Astra G 1.2-2.0, 00-05, Astra H 06-, OMEGA B 2.0-3.2 -03, VECTRA B, SAAB, Seat Ibiza II-IV -09, VW Polo -</t>
  </si>
  <si>
    <t>CFF100237</t>
  </si>
  <si>
    <t>CFF100237     (Champion)</t>
  </si>
  <si>
    <t>VW/AUDI 1.6 - 3.0  97- 10</t>
  </si>
  <si>
    <t>CFF100249</t>
  </si>
  <si>
    <t>CFF100249     (Champion)</t>
  </si>
  <si>
    <t>195.90</t>
  </si>
  <si>
    <t>Ford Transit 2.5DI 94-00, LDV Convoy 2.5DI 98-09</t>
  </si>
  <si>
    <t>CFF100250</t>
  </si>
  <si>
    <t>CFF100250     (Champion)</t>
  </si>
  <si>
    <t>137.24</t>
  </si>
  <si>
    <t>CITROEN JUMPY, BERLINGO, PEUGEOT PARTNER 1.9D 98-</t>
  </si>
  <si>
    <t>CFF100251</t>
  </si>
  <si>
    <t>CFF100251     (Champion)</t>
  </si>
  <si>
    <t>158.93</t>
  </si>
  <si>
    <t>CITROEN JUMPY,BERLINGO, PEUGEOT PARTNER 2.0HDI  99-</t>
  </si>
  <si>
    <t>CFF100252</t>
  </si>
  <si>
    <t>CFF100252     (Champion)</t>
  </si>
  <si>
    <t>59.20</t>
  </si>
  <si>
    <t>RENAULT Clio II, Laguna I, Megane , DACIA Solenza 1.9dTi  02/03 -</t>
  </si>
  <si>
    <t>CFF100256</t>
  </si>
  <si>
    <t>CFF100256     (Champion)</t>
  </si>
  <si>
    <t>FORD FOCUS 1.8TD/DI 98-04, FIESTA 1.8 DI 00-, Transit Connect 1.8 DI 02-</t>
  </si>
  <si>
    <t>CFF100257</t>
  </si>
  <si>
    <t>CFF100257     (Champion)</t>
  </si>
  <si>
    <t>236.26</t>
  </si>
  <si>
    <t>MB VITO , SPRINTER CDI - engines (OM611 DELA/DE22LA) 98-06</t>
  </si>
  <si>
    <t>CFF100260</t>
  </si>
  <si>
    <t>CFF100260     (Champion)</t>
  </si>
  <si>
    <t>516.60</t>
  </si>
  <si>
    <t>VW/AUDI 2.5TDI 97-</t>
  </si>
  <si>
    <t>CFF100276</t>
  </si>
  <si>
    <t>CFF100276     (Champion)</t>
  </si>
  <si>
    <t>310.74</t>
  </si>
  <si>
    <t>SKODA FABIA 1.4, 1.4 16V 00-, VW POLO, SEAT IBIZA 1.2, 1.4 16V 01-</t>
  </si>
  <si>
    <t>CFF100401</t>
  </si>
  <si>
    <t>CFF100401     (Champion)</t>
  </si>
  <si>
    <t>178.48</t>
  </si>
  <si>
    <t>CITROГ‹N C4, C5, C8, PEUGEOT 307,407, FORD Focus II 2.0 DI/HDI/TDCi   03 -</t>
  </si>
  <si>
    <t>CFF100402</t>
  </si>
  <si>
    <t>CFF100402     (Champion)</t>
  </si>
  <si>
    <t>157.86</t>
  </si>
  <si>
    <t>CITROEN/PEUGEOT/FIAT 2.0 HDI, 2.2 DI,  01-</t>
  </si>
  <si>
    <t>CFF100403</t>
  </si>
  <si>
    <t>CFF100403     (Champion)</t>
  </si>
  <si>
    <t>255.99</t>
  </si>
  <si>
    <t>BOXER/DUCATO 1.9-2.8 JTD, 00-</t>
  </si>
  <si>
    <t>CFF100408</t>
  </si>
  <si>
    <t>CFF100408     (Champion)</t>
  </si>
  <si>
    <t>ALFA 147,156, 166  1.9JTD 00-07, FIAT STILO 1.9 jTD 03-08</t>
  </si>
  <si>
    <t>CFF100409</t>
  </si>
  <si>
    <t>CFF100409     (Champion)</t>
  </si>
  <si>
    <t>193.24</t>
  </si>
  <si>
    <t>Citroen Jamper 2.2-2.8 Hdi 02- /Fiat Ducato 2.0-2.3 D/JTD,  OPEL Astra H, Vectra C, Meriva 1.3-1.9CDTI  04-</t>
  </si>
  <si>
    <t>CFF100413</t>
  </si>
  <si>
    <t>CFF100413     (Champion)</t>
  </si>
  <si>
    <t>RENAULT Kangoo , Laguna, Megane I Scenic 1.9D ,  95 -03</t>
  </si>
  <si>
    <t>CFF100415</t>
  </si>
  <si>
    <t>CFF100415     (Champion)</t>
  </si>
  <si>
    <t>96.88</t>
  </si>
  <si>
    <t>Movano / Trafic / Interstar  1.9-2.5CDTI  01-</t>
  </si>
  <si>
    <t>CFF100416</t>
  </si>
  <si>
    <t>CFF100416     (Champion)</t>
  </si>
  <si>
    <t>NISSAN Primastar 2.5 DCI 03- OPEL Movano 1.9/3.0/DTI 01- Vivaro 2.5 /DTI/CDTI 03-, RENAULT Master II  00-, III 2.5-3.0 DCI 03- Trafic II 2.5 DCI 01-</t>
  </si>
  <si>
    <t>CFF100423</t>
  </si>
  <si>
    <t>CFF100423     (Champion)</t>
  </si>
  <si>
    <t>427.36</t>
  </si>
  <si>
    <t>A3/G5/TOURAN TDI/SDI (KX 178 D)</t>
  </si>
  <si>
    <t>CFF100427</t>
  </si>
  <si>
    <t>CFF100427     (Champion)</t>
  </si>
  <si>
    <t>171.19</t>
  </si>
  <si>
    <t>BMW 3 (E36), 5(E39), 7(E38) td,tds  93-99</t>
  </si>
  <si>
    <t>CFF100440</t>
  </si>
  <si>
    <t>CFF100440     (Champion)</t>
  </si>
  <si>
    <t>263.63</t>
  </si>
  <si>
    <t>MB C,E- Class, Vito, Sprinter CDI  01-</t>
  </si>
  <si>
    <t>CFF100445</t>
  </si>
  <si>
    <t>CFF100445     (Champion)</t>
  </si>
  <si>
    <t>324.25</t>
  </si>
  <si>
    <t>FORD Transit 2.2TDCI 00-</t>
  </si>
  <si>
    <t>CFF100446</t>
  </si>
  <si>
    <t>CFF100446     (Champion)</t>
  </si>
  <si>
    <t>362.30</t>
  </si>
  <si>
    <t>TRANSIT 2.4DI TDE 01-06</t>
  </si>
  <si>
    <t>CFF100452</t>
  </si>
  <si>
    <t>CFF100452     (Champion)</t>
  </si>
  <si>
    <t>198.92</t>
  </si>
  <si>
    <t>MAZDA 6  2.0DI -07, 626 (GF) 2.0D 98-02, TOYOTA  Yaris, Avensis, Corolla, RAV 4 III 1.4 - 2.2 D-4D  97-</t>
  </si>
  <si>
    <t>CFF100453</t>
  </si>
  <si>
    <t>CFF100453     (Champion)</t>
  </si>
  <si>
    <t>314.83</t>
  </si>
  <si>
    <t>FORD / JAGUAR 1.8-2.2D, 01-, HYUNDAI 2.5, 2.9 CRDI 01-06 SSANG Y 2.0-2.7 Xdi 05-</t>
  </si>
  <si>
    <t>CFF100454</t>
  </si>
  <si>
    <t>CFF100454     (Champion)</t>
  </si>
  <si>
    <t>392.34</t>
  </si>
  <si>
    <t>FORD Focus II/C-Max 1.6 TDCi 03-, PEUGEOT 206/307/407   04-, CITROEN C4/C5 04-, MAZDA 3</t>
  </si>
  <si>
    <t>CFF100460</t>
  </si>
  <si>
    <t>CFF100460     (Champion)</t>
  </si>
  <si>
    <t>785.92</t>
  </si>
  <si>
    <t>VW TRANSPORTER V  1.9- 2.5TDI,  03-09</t>
  </si>
  <si>
    <t>CFF100462</t>
  </si>
  <si>
    <t>CFF100462     (Champion)</t>
  </si>
  <si>
    <t>71.82</t>
  </si>
  <si>
    <t>Interstar, Movano, PRIMASTAR, Master, Trafic II 1.9-2/5TDI,  01-</t>
  </si>
  <si>
    <t>CFF100467</t>
  </si>
  <si>
    <t>CFF100467     (Champion)</t>
  </si>
  <si>
    <t>289.23</t>
  </si>
  <si>
    <t>FIAT Doblo/Palio/Punto/Strada 1.9D,  99-</t>
  </si>
  <si>
    <t>CFF100483</t>
  </si>
  <si>
    <t>CFF100483     (Champion)</t>
  </si>
  <si>
    <t>229.15</t>
  </si>
  <si>
    <t>MERCEDES (W169,W203,S203,CL203,W211,S211,) A 160-E320CDI 4/03-| Vito (W639) 2.2CDI 9/03-</t>
  </si>
  <si>
    <t>CFF100488</t>
  </si>
  <si>
    <t>CFF100488     (Champion)</t>
  </si>
  <si>
    <t>275.72</t>
  </si>
  <si>
    <t>Audi, Skoda, VW 1.2i-1.6i  05-</t>
  </si>
  <si>
    <t>CFF100489</t>
  </si>
  <si>
    <t>CFF100489     (Champion)</t>
  </si>
  <si>
    <t>BOGDAN (Isuzu eng.) EURO II/III,  TOYOTA LANDCRUISER 4.0TD  80-89</t>
  </si>
  <si>
    <t>CFF100500</t>
  </si>
  <si>
    <t>CFF100500     (Champion)</t>
  </si>
  <si>
    <t>300.43</t>
  </si>
  <si>
    <t>Nissan Almera, Micra III, Note 1.5DCI, Renault Kangoo Clio II, Megane II 1.5Dci  02-</t>
  </si>
  <si>
    <t>CFF100564</t>
  </si>
  <si>
    <t>CFF100564     (Champion)</t>
  </si>
  <si>
    <t>367.81</t>
  </si>
  <si>
    <t>OPEL Astra J, Insignia 1.3-2.0CDTI, 09- ,  SAAB 9-3, 9-5 1.9TTiD, 07-</t>
  </si>
  <si>
    <t>CFF100567</t>
  </si>
  <si>
    <t>CFF100567     (Champion)</t>
  </si>
  <si>
    <t>460.96</t>
  </si>
  <si>
    <t>Mercedes C (W204), E (W212),A(W168), M (W164), Sprinter II, VIANO 08-</t>
  </si>
  <si>
    <t>CFF100588</t>
  </si>
  <si>
    <t>CFF100588     (Champion)</t>
  </si>
  <si>
    <t>566.20</t>
  </si>
  <si>
    <t>RENAULT Espace III, Laguna II, Megane I 1.9 dCi 99-01</t>
  </si>
  <si>
    <t>CFF100600</t>
  </si>
  <si>
    <t>CFF100600     (Champion)</t>
  </si>
  <si>
    <t>494.38</t>
  </si>
  <si>
    <t>Renault Fluence, Megane III, Scenic IV 1.5- 2.0dCi, 09-</t>
  </si>
  <si>
    <t>CFF100603</t>
  </si>
  <si>
    <t>CFF100603     (Champion)</t>
  </si>
  <si>
    <t>608.51</t>
  </si>
  <si>
    <t>AUDI A6 2.7/3.0TDI quattro 5/04-</t>
  </si>
  <si>
    <t>CFF101563</t>
  </si>
  <si>
    <t>CFF101563     (Champion)</t>
  </si>
  <si>
    <t>599.44</t>
  </si>
  <si>
    <t>Audi Q7 3.0TDI, 4.2TDI| Porsche Cayenne 3.0TDI| Volkswagen Touareg 3.0TDI</t>
  </si>
  <si>
    <t>CFF101566</t>
  </si>
  <si>
    <t>CFF101566     (Champion)</t>
  </si>
  <si>
    <t>319.27</t>
  </si>
  <si>
    <t>MB VITO 108CDI-112CDI 99-, SPRINTER CDI (OM611 DELA/DE22LA) 00- (Р· РґР°С‚С‡РёРєРѕРј)</t>
  </si>
  <si>
    <t>COF100030S</t>
  </si>
  <si>
    <t>COF100030S     (Champion)</t>
  </si>
  <si>
    <t>52.98</t>
  </si>
  <si>
    <t>Lada 2108-21099, ZAZ Tavria, Ford Siera, Scorpio I</t>
  </si>
  <si>
    <t>COF100103C</t>
  </si>
  <si>
    <t>COF100103C     (Champion)</t>
  </si>
  <si>
    <t>Korando 2.3 TD 99-, Musso 2.9 TD 98- , Actyon 2.0 XdiMB W201 (2.0D, 2.5D/TD) -93, W124 (200D - 300D/TD) -95,</t>
  </si>
  <si>
    <t>COF100103S</t>
  </si>
  <si>
    <t>COF100103S     (Champion)</t>
  </si>
  <si>
    <t>89.60</t>
  </si>
  <si>
    <t>FORD TRANSIT 2.5D/TD/DI 86-00</t>
  </si>
  <si>
    <t>COF100106S</t>
  </si>
  <si>
    <t>COF100106S     (Champion)</t>
  </si>
  <si>
    <t>ALFAROMEO 155,164 (2.0),164 (2.5),164 (3.0 12v),164 FIAT Fiorino, Punto, Regata,Strada,Tempra,Tipo,UNO, PEUGEOT 206,306</t>
  </si>
  <si>
    <t>COF100107S</t>
  </si>
  <si>
    <t>COF100107S     (Champion)</t>
  </si>
  <si>
    <t>67.73</t>
  </si>
  <si>
    <t>Fiat Tipo 1.1-1.6, 89-95, Uno, Bravo 96-01, Marea 1.2-1.4 16V 98-02</t>
  </si>
  <si>
    <t>COF100109S</t>
  </si>
  <si>
    <t>COF100109S     (Champion)</t>
  </si>
  <si>
    <t>65.06</t>
  </si>
  <si>
    <t>NISSAN 1.4-2.0  86- , SUBARU Leon I, II, 79-90</t>
  </si>
  <si>
    <t>COF100110S</t>
  </si>
  <si>
    <t>COF100110S     (Champion)</t>
  </si>
  <si>
    <t>63.29</t>
  </si>
  <si>
    <t>MITSUBISHI GALANT, LANCER, L300  1.8, 2.0 87-</t>
  </si>
  <si>
    <t>COF100112S</t>
  </si>
  <si>
    <t>COF100112S     (Champion)</t>
  </si>
  <si>
    <t>48.89</t>
  </si>
  <si>
    <t>Peugeot 505, 605, J5 -94 FIAT Ducato 1.9D -94, Citroen Jamper 2.5TD</t>
  </si>
  <si>
    <t>COF100113S</t>
  </si>
  <si>
    <t>COF100113S     (Champion)</t>
  </si>
  <si>
    <t>84.62</t>
  </si>
  <si>
    <t>MB A190 (W201) Coupe IV (C124),  E (W124, S124) S III (W126),SL III (R107) SL IV (R129)\n</t>
  </si>
  <si>
    <t>COF100115S</t>
  </si>
  <si>
    <t>COF100115S     (Champion)</t>
  </si>
  <si>
    <t>74.84</t>
  </si>
  <si>
    <t>FORD ESCORT,FIESTA,SIERRA,MONDEO 1.8D/TD 88-</t>
  </si>
  <si>
    <t>COF100116S</t>
  </si>
  <si>
    <t>COF100116S     (Champion)</t>
  </si>
  <si>
    <t>KIA Sportage 94-03, Mazda626 III 87-92</t>
  </si>
  <si>
    <t>COF100118S</t>
  </si>
  <si>
    <t>COF100118S     (Champion)</t>
  </si>
  <si>
    <t>CITROEN AX, CX, Berlingo 1.1-2.0 96-, BX  -94, C5 I,II 1.8i-3.0, 2.0- 2.2 Hdi,  01-, FIAT, PEUGEOT 306, 307, 309, 405, 406</t>
  </si>
  <si>
    <t>COF100119S</t>
  </si>
  <si>
    <t>COF100119S     (Champion)</t>
  </si>
  <si>
    <t>HYUNDAI, KIA, MITSUBISHI, NISSAN</t>
  </si>
  <si>
    <t>COF100122S</t>
  </si>
  <si>
    <t>COF100122S     (Champion)</t>
  </si>
  <si>
    <t>Opel Vectra A 1.7 D,  90-95, Astra F, Corsa A, B 87-93</t>
  </si>
  <si>
    <t>COF100128S</t>
  </si>
  <si>
    <t>COF100128S     (Champion)</t>
  </si>
  <si>
    <t>70.40</t>
  </si>
  <si>
    <t>FIAT 500, MITO, Punto 1.4, 06- , Bravo I,II Doblo 1.2-1.4  01- HONDA Civic, Jazz III 1.2-1.4 08- MAZDA, MITSUBISHI 97-</t>
  </si>
  <si>
    <t>COF100137S</t>
  </si>
  <si>
    <t>COF100137S     (Champion)</t>
  </si>
  <si>
    <t>VW LT28-45,  2.4TD  78-96, T4 2.4TD  90-, VOLVO 740-960 2.4D, -96</t>
  </si>
  <si>
    <t>COF100138S</t>
  </si>
  <si>
    <t>COF100138S     (Champion)</t>
  </si>
  <si>
    <t>64.17</t>
  </si>
  <si>
    <t>TOYOTA Avensis 97-03, CAMRY 86-97, Corolla 85-07, RAV 4 (I-III) 97-, SUZUKI Vitara I,II, SX4</t>
  </si>
  <si>
    <t>COF100141S</t>
  </si>
  <si>
    <t>COF100141S     (Champion)</t>
  </si>
  <si>
    <t>NISSAN MICRA 1.0i, 1.3i, 92-, PRIMERA, SUNNY 2.0i -95</t>
  </si>
  <si>
    <t>COF100148S</t>
  </si>
  <si>
    <t>COF100148S     (Champion)</t>
  </si>
  <si>
    <t>63.64</t>
  </si>
  <si>
    <t>FORD ESCORT,FIESTA,FOCUS,MONDEO 1.6, 1.8 92-00</t>
  </si>
  <si>
    <t>COF100150S</t>
  </si>
  <si>
    <t>COF100150S     (Champion)</t>
  </si>
  <si>
    <t>88.35</t>
  </si>
  <si>
    <t>Alfa 33,145, 146, Fiat Panda, Tipo, Croma , Seat  -96</t>
  </si>
  <si>
    <t>COF100151S</t>
  </si>
  <si>
    <t>COF100151S     (Champion)</t>
  </si>
  <si>
    <t>FORD ESCORT,FIESTA,ORION 1.6D -90</t>
  </si>
  <si>
    <t>COF100152S</t>
  </si>
  <si>
    <t>COF100152S     (Champion)</t>
  </si>
  <si>
    <t>113.42</t>
  </si>
  <si>
    <t>AUDI 100, A6 2.0-2.5TD 82-97</t>
  </si>
  <si>
    <t>COF100168S</t>
  </si>
  <si>
    <t>COF100168S     (Champion)</t>
  </si>
  <si>
    <t>84.80</t>
  </si>
  <si>
    <t>BMW 316,318,320,520,525 (M10,M20 eng.) -91 (W719/5)</t>
  </si>
  <si>
    <t>COF100180S</t>
  </si>
  <si>
    <t>COF100180S     (Champion)</t>
  </si>
  <si>
    <t>SUZUKI Swift, Baleno, Alto 1.0-1.6 86- Wagon R+,  98-00, DAIHATSU Charade</t>
  </si>
  <si>
    <t>COF100182S</t>
  </si>
  <si>
    <t>COF100182S     (Champion)</t>
  </si>
  <si>
    <t>78.04</t>
  </si>
  <si>
    <t>FORD Focus, C-Max, Mondeo III 1.8-2.0  &amp; Mazda 3, 6-Serie Volvo S40 II, V50, 04-</t>
  </si>
  <si>
    <t>COF100183S</t>
  </si>
  <si>
    <t>COF100183S     (Champion)</t>
  </si>
  <si>
    <t>89.24</t>
  </si>
  <si>
    <t>Audi 100, 80, A6 1.8-2.8  92-05</t>
  </si>
  <si>
    <t>COF100270S</t>
  </si>
  <si>
    <t>COF100270S     (Champion)</t>
  </si>
  <si>
    <t>166.75</t>
  </si>
  <si>
    <t>CITROГ‹N Jamper I-II 2.8HDi 94- RENAULT Master 2.5TD 88-98, TRAFIC 2.5D 89-01</t>
  </si>
  <si>
    <t>COF100504E</t>
  </si>
  <si>
    <t>COF100504E     (Champion)</t>
  </si>
  <si>
    <t>BMW 320i-328i, 520i-530i 95-</t>
  </si>
  <si>
    <t>COF100505E</t>
  </si>
  <si>
    <t>COF100505E     (Champion)</t>
  </si>
  <si>
    <t>73.95</t>
  </si>
  <si>
    <t>VW/AUDI 1.9TDI 96-</t>
  </si>
  <si>
    <t>COF100506E</t>
  </si>
  <si>
    <t>COF100506E     (Champion)</t>
  </si>
  <si>
    <t>MB W202 (C180-C280) -00, SPRINTER,VITO, SSANG Y KYRON, Action, Korando 2.0-2.7 XDI 04-</t>
  </si>
  <si>
    <t>COF100507E</t>
  </si>
  <si>
    <t>COF100507E     (Champion)</t>
  </si>
  <si>
    <t>85.15</t>
  </si>
  <si>
    <t>OPEL ASTRA 2.0-2.2DTI 98-05, OMEGA B 2.0DTI 97-00, 2.2DTI 00-, Vectra B 2.0-2.2DTI 96-02</t>
  </si>
  <si>
    <t>COF100509E</t>
  </si>
  <si>
    <t>COF100509E     (Champion)</t>
  </si>
  <si>
    <t>MB W202/W203 (C240-C320) 97-, W210/W211 (E240-E430) 96-, W220 (S280-S600) 98-</t>
  </si>
  <si>
    <t>COF100510E</t>
  </si>
  <si>
    <t>COF100510E     (Champion)</t>
  </si>
  <si>
    <t>91.02</t>
  </si>
  <si>
    <t>MB A140, A160, A190, A210  97-, VANEO 1.6, 1.9  02-</t>
  </si>
  <si>
    <t>COF100513E</t>
  </si>
  <si>
    <t>COF100513E     (Champion)</t>
  </si>
  <si>
    <t>133.15</t>
  </si>
  <si>
    <t>AUDI A4,A6,A8 2.5TDI 97-, VW PASSAT 2.5TDI 98-</t>
  </si>
  <si>
    <t>COF100515E</t>
  </si>
  <si>
    <t>COF100515E     (Champion)</t>
  </si>
  <si>
    <t>151.99</t>
  </si>
  <si>
    <t>AUDI A6,A8 3.7, 4.2, 3.3TDI 98-</t>
  </si>
  <si>
    <t>COF100517E</t>
  </si>
  <si>
    <t>COF100517E     (Champion)</t>
  </si>
  <si>
    <t>86.93</t>
  </si>
  <si>
    <t>BMW 316i, 318i -99, 518i -97 (M43 - engine)</t>
  </si>
  <si>
    <t>COF100519E</t>
  </si>
  <si>
    <t>COF100519E     (Champion)</t>
  </si>
  <si>
    <t>73.60</t>
  </si>
  <si>
    <t>OPEL CORSA 1.0i, 1.2i 96-, ASTRA 1.2i 00-, COMBO 1.7DTI 16V 01-</t>
  </si>
  <si>
    <t>COF100520E</t>
  </si>
  <si>
    <t>COF100520E     (Champion)</t>
  </si>
  <si>
    <t>OPEL OMEGA , ASTRA,VECTRA 1.8 16V 2.5i, 2.6i, 3.0i  98-</t>
  </si>
  <si>
    <t>COF100524E</t>
  </si>
  <si>
    <t>COF100524E     (Champion)</t>
  </si>
  <si>
    <t>FORD MONDEO III 1.8i, 2.0i, 00-07, MAZDA 6 1.8-2.0,  -07</t>
  </si>
  <si>
    <t>COF100525E</t>
  </si>
  <si>
    <t>COF100525E     (Champion)</t>
  </si>
  <si>
    <t>83.02</t>
  </si>
  <si>
    <t>VW/AUDI/SKODA 1.9,2.0 TDI  99-</t>
  </si>
  <si>
    <t>COF100528E</t>
  </si>
  <si>
    <t>COF100528E     (Champion)</t>
  </si>
  <si>
    <t>BMW 3(E46), 5(E39), 7 (E38), X5 3.0D 99-05</t>
  </si>
  <si>
    <t>COF100531E</t>
  </si>
  <si>
    <t>COF100531E     (Champion)</t>
  </si>
  <si>
    <t>82.49</t>
  </si>
  <si>
    <t>FIAT Grande Punto/Idea/Punto, OPEL Astra/Corsa/Agila 1,3JTD 03 -</t>
  </si>
  <si>
    <t>COF100534E</t>
  </si>
  <si>
    <t>COF100534E     (Champion)</t>
  </si>
  <si>
    <t>69.86</t>
  </si>
  <si>
    <t>AUDI A3, A4, SEAT Leon, Toledo,  VW Golf V, IV, Passat 2.0FSI, 03-11</t>
  </si>
  <si>
    <t>COF100536E</t>
  </si>
  <si>
    <t>COF100536E     (Champion)</t>
  </si>
  <si>
    <t>135.46</t>
  </si>
  <si>
    <t>OPEL Astra H/ Zafira B/ Vectra C 1, 9CDTI 04/ 04-</t>
  </si>
  <si>
    <t>COF100539E</t>
  </si>
  <si>
    <t>COF100539E     (Champion)</t>
  </si>
  <si>
    <t>93.33</t>
  </si>
  <si>
    <t>MB W210 (E200D-E300D/TD) 95-99, SPRINTER, VITO 96-</t>
  </si>
  <si>
    <t>COF100540E</t>
  </si>
  <si>
    <t>COF100540E     (Champion)</t>
  </si>
  <si>
    <t>A3/G5/PASSAT 1.4-1.6 FSI  03-</t>
  </si>
  <si>
    <t>COF100557E</t>
  </si>
  <si>
    <t>COF100557E     (Champion)</t>
  </si>
  <si>
    <t>75.37</t>
  </si>
  <si>
    <t>FORD TRANSIT  2.4DI, MONDEO 2.0DI/TDCI  00-</t>
  </si>
  <si>
    <t>COF100559E</t>
  </si>
  <si>
    <t>COF100559E     (Champion)</t>
  </si>
  <si>
    <t>129.59</t>
  </si>
  <si>
    <t>OPEL ASTRA G, H, J Corsa C, D, Zafira 1.4-1.8 04-</t>
  </si>
  <si>
    <t>COF100560E</t>
  </si>
  <si>
    <t>COF100560E     (Champion)</t>
  </si>
  <si>
    <t>OPEL  ASTRA, CORSA, COMBO 1.7DTI  00-</t>
  </si>
  <si>
    <t>COF100566E</t>
  </si>
  <si>
    <t>COF100566E     (Champion)</t>
  </si>
  <si>
    <t>119.46</t>
  </si>
  <si>
    <t>MB W164, W203, W204, W211, Sprinter  05-</t>
  </si>
  <si>
    <t>COF100567E</t>
  </si>
  <si>
    <t>COF100567E     (Champion)</t>
  </si>
  <si>
    <t>77.15</t>
  </si>
  <si>
    <t>TOYOTA Auris, Avensis, Rav 4  2.0-2.2  D-4D, 05-   LEXUS GS, IS  2.2D</t>
  </si>
  <si>
    <t>COF100571E</t>
  </si>
  <si>
    <t>COF100571E     (Champion)</t>
  </si>
  <si>
    <t>121.24</t>
  </si>
  <si>
    <t>BMW E60/ E90/ E87 2, 3i-3, 5i  05-</t>
  </si>
  <si>
    <t>COF100574E</t>
  </si>
  <si>
    <t>COF100574E     (Champion)</t>
  </si>
  <si>
    <t>Nissan Primastar, X-Trail 2.0DCI 06-, OPEL Movano, Vivaro 2.0-2.5 CDTI,  03-06, RENAULT Master II, Laguna II</t>
  </si>
  <si>
    <t>COF100575E</t>
  </si>
  <si>
    <t>COF100575E     (Champion)</t>
  </si>
  <si>
    <t>HYUNDAI Accent III, I30, KIA CEED, Cerato 1.5-1.6 CRDi 05-</t>
  </si>
  <si>
    <t>COF100598E</t>
  </si>
  <si>
    <t>COF100598E     (Champion)</t>
  </si>
  <si>
    <t>83.37</t>
  </si>
  <si>
    <t>HYUNDAI i20, i30, i40  1.4-1.6CRDi 08-, iX35 1.7 CRDi 08/09 -</t>
  </si>
  <si>
    <t>COF100599E</t>
  </si>
  <si>
    <t>COF100599E     (Champion)</t>
  </si>
  <si>
    <t>Mercedes E (W212) 200CDI, 220CDI, 250CDI</t>
  </si>
  <si>
    <t>COF100601E</t>
  </si>
  <si>
    <t>COF100601E     (Champion)</t>
  </si>
  <si>
    <t>Toyota Avensis 1.6-2.0 / Corolla VIII 1.6 VVTI / Yaris 1.8 I 09-</t>
  </si>
  <si>
    <t>COF100603E</t>
  </si>
  <si>
    <t>COF100603E     (Champion)</t>
  </si>
  <si>
    <t>181.15</t>
  </si>
  <si>
    <t>Hyundai Sonata V 3.3i, Kia Sorento 3.3i V6 05-</t>
  </si>
  <si>
    <t>COF101103S</t>
  </si>
  <si>
    <t>COF101103S     (Champion)</t>
  </si>
  <si>
    <t>OPEL Vivaro 2,0-16v/1,9DTI 8/01- ,RENAULT Clio II 1,4-2,0-16v/1,5DCI/1,9D 9/98- ,Megane I-II 1,4-2</t>
  </si>
  <si>
    <t>COF101105S</t>
  </si>
  <si>
    <t>COF101105S     (Champion)</t>
  </si>
  <si>
    <t>49.24</t>
  </si>
  <si>
    <t>COF101106S</t>
  </si>
  <si>
    <t>COF101106S     (Champion)</t>
  </si>
  <si>
    <t>OPEL ASTRA 1.7TD 94-00</t>
  </si>
  <si>
    <t>COF101107S</t>
  </si>
  <si>
    <t>COF101107S     (Champion)</t>
  </si>
  <si>
    <t>71.29</t>
  </si>
  <si>
    <t>FIAT Ducato 2.3JTD 04/02-   Daily IV 35C13, 35C13, 35S13 D, 35S13, 35S13 /P 2.3 HPT (Euro4)</t>
  </si>
  <si>
    <t>COF101270S</t>
  </si>
  <si>
    <t>COF101270S     (Champion)</t>
  </si>
  <si>
    <t>OC274  MITSUBISHI L200,L300,L400, PAJERO 2.5D/TD 86-</t>
  </si>
  <si>
    <t>COF101287S</t>
  </si>
  <si>
    <t>COF101287S     (Champion)</t>
  </si>
  <si>
    <t>124.62</t>
  </si>
  <si>
    <t>Kia Carens III,  Hyundai Santa Fe 2.2CRDI 06-</t>
  </si>
  <si>
    <t>COF101288S</t>
  </si>
  <si>
    <t>COF101288S     (Champion)</t>
  </si>
  <si>
    <t>Audi A4 1.8T, Skoda Superb 1.8T 20V , VW Passat  1.8T</t>
  </si>
  <si>
    <t>COF102101S</t>
  </si>
  <si>
    <t>COF102101S     (Champion)</t>
  </si>
  <si>
    <t>214.39</t>
  </si>
  <si>
    <t>Audi, Seat, Skoda, Volkswagen 1.8TFSI, 2.0TFSI  04-</t>
  </si>
  <si>
    <t>COF102103S</t>
  </si>
  <si>
    <t>COF102103S     (Champion)</t>
  </si>
  <si>
    <t>55.11</t>
  </si>
  <si>
    <t>OPEL Ascona 1.2-2.0, KADETT A,B,C  1.1-1.7  -84,   FORD ESCORT II -83</t>
  </si>
  <si>
    <t>COF102105S</t>
  </si>
  <si>
    <t>COF102105S     (Champion)</t>
  </si>
  <si>
    <t>FORD EXPLORER 4.0V6 93-, TOYOTA Land Cruiser 4.0-4.2, 84-96,</t>
  </si>
  <si>
    <t>COF102108S</t>
  </si>
  <si>
    <t>COF102108S     (Champion)</t>
  </si>
  <si>
    <t>CHRYSLER Voyager V 3.6 11-, FIAT Freemont 3.6 11-</t>
  </si>
  <si>
    <t>COF102110S</t>
  </si>
  <si>
    <t>COF102110S     (Champion)</t>
  </si>
  <si>
    <t>61.51</t>
  </si>
  <si>
    <t>TOYOTA Corolla, Carina 1.3-1.6,  -89</t>
  </si>
  <si>
    <t>COF102119S</t>
  </si>
  <si>
    <t>COF102119S     (Champion)</t>
  </si>
  <si>
    <t>134.57</t>
  </si>
  <si>
    <t>Volvo 740, 760, 940, 960  2,4D, TD  78-92</t>
  </si>
  <si>
    <t>COF102126S</t>
  </si>
  <si>
    <t>COF102126S     (Champion)</t>
  </si>
  <si>
    <t>99.02</t>
  </si>
  <si>
    <t>Mitsubishi OutlenderII, III ASX, 2.0-2.2DI-D 10-</t>
  </si>
  <si>
    <t>CHAMPION - Р—Р°РїС‡Р°СЃС‚РёРЅРё</t>
  </si>
  <si>
    <t>CH271/102</t>
  </si>
  <si>
    <t>CH271/102 !!! Р—Р°РјС–РЅРµРЅРѕ РЅР° CH271 (Champion) РЎРІС–С‡РєР° СЂРѕР·Р¶Р°СЂСЋРІР°РЅРЅСЏ</t>
  </si>
  <si>
    <t>138.48</t>
  </si>
  <si>
    <t>Audi A3, A4, A6| VW Bora, Caddy, Golf III, IV, Passat, Sharan, LT 28-46, T4  1,2TDI-2,5TDI  93- | Skoda Fabia/Octavia 1,9D/TDi/Sdi | Renault/Nissan 1,5dCi/1,9dCI/ (Kangoo, Clio, Megane, Scenic|  Dacia Logan/Sandero, Qashqai, Almjera ,Micra, Primastar, Opel Vivaro, Movano) 01-  |  Seat Alhambra/ Ford Galaxy (1Z,AHU,ANU,AFN,AVG,AUY) , ...</t>
  </si>
  <si>
    <t>OE001/T10</t>
  </si>
  <si>
    <t>OE001/T10 (Champion) РЎРІС–С‡РєР° Р·Р°РїР°Р»СЋРІР°РЅРЅСЏ</t>
  </si>
  <si>
    <t>Lada 2101-07, 21213, 2108(carb.), РњРѕСЃРєРІРёС‡ 412 1,5  71-| Audi  -83| C25 2,0 -94|  Fiat Ducato,Talento,Tipo 1,8/2,0 -94| FSO Polonez 1,3/1,5 -92| MB (W123, W126, T1, -91| Peugeot J7,J9 1,6/2,0| Renault 5, 19, Clio, Laguna, Megane, 1,4-2,0 -03| Saab/Volvo -90| VW -92| Warburg 1,3 88-91</t>
  </si>
  <si>
    <t>OE005/T10</t>
  </si>
  <si>
    <t>OE005/T10 (Champion) РЎРІС–С‡РєР° Р·Р°РїР°Р»СЋРІР°РЅРЅСЏ</t>
  </si>
  <si>
    <t>27.38</t>
  </si>
  <si>
    <t>Skoda Felicia 1.3  94-98| Dacia Logan 1.4/1.6  2004-|  Citroen Berlingo 1.4 02-| Hyundai Accent 1,4/1,6  02-10| Ford Scorpio 2.0/2.4/2.9i  86-94| Mazda 323/626 1,8/2.0 87-98| Nissan 1.4/1.6 90-95| Peugeot 405 1.9i 89-92|  Renault Kangoo 1,6  01- Laguna 1,6/1,8/2,0 01-</t>
  </si>
  <si>
    <t>OE006/T10</t>
  </si>
  <si>
    <t>OE006/T10 (Champion) РЎРІС–С‡РєР° Р·Р°РїР°Р»СЋРІР°РЅРЅСЏ</t>
  </si>
  <si>
    <t>Lada Р’РђР— 2108-09, 110-112 1,5i 8V| Daewoo Lanos/Nexia 1.5| ZAZ РўР°РІСЂС–СЏ 1,1-1,3i| Fiat 1,0-1,8 -96| Mazda -89| Mitsubishi 1,3-2,0 -96| Opel 1,2-2,0 -95| Renault 1,1-2,0 -03| Volvo 1,7-2,3 -98|  VW 1.3-1.6 -88вЂ¦</t>
  </si>
  <si>
    <t>OE019/T10</t>
  </si>
  <si>
    <t>OE019/T10 (Champion) РЎРІС–С‡РєР° Р·Р°РїР°Р»СЋРІР°РЅРЅСЏ</t>
  </si>
  <si>
    <t>49.78</t>
  </si>
  <si>
    <t>OPEL 1,4-2,0i  87-05| Chevrolet Epica 2,0, Captiva 2,4, Nubira 1,8 05-| Audi A8 2,8 95-96| MB Vito 2,0i/2,3i  96-03| Peugeot 406 2,0 16V 95-04| Toyota Corolla 1,4 96-00, Land Cruiser  3,4i 96-</t>
  </si>
  <si>
    <t>OE026/T10</t>
  </si>
  <si>
    <t>OE026/T10 (Champion) РЎРІС–С‡РєР° Р·Р°РїР°Р»СЋРІР°РЅРЅСЏ</t>
  </si>
  <si>
    <t>45.15</t>
  </si>
  <si>
    <t>BMW 3-,5-,7-,8-series , Z3| Chevrolet Lacetti(j200) 1,8 05-| Skoda Octavia 1,4/1,6 04-13| Citroen/Peugeot 3,0i 24V 97-03, Dacia Logan/Sandero 1,4/1,6 04-| Renault Kangoo, Clio, Megane, Twingo 1,2-1,6 96-| Honda Accord 2,0 03-08| VW Passat, Gollf III, LT 2,8/2,9/4,0 92-04</t>
  </si>
  <si>
    <t>OE039/T10</t>
  </si>
  <si>
    <t>OE039/T10 (Champion) РЎРІС–С‡РєР° Р·Р°РїР°Р»СЋРІР°РЅРЅСЏ</t>
  </si>
  <si>
    <t>Chevrolet Aveo, Lacetti, 1.5/1.6   Daewoo Lanos 1.6 16V, Ford 1.4-2.9 86-98, KIA Rio 00-05, Nissan ,Subaru, Honda, Mazda , Mitsubishi Lancer,Galant, ....</t>
  </si>
  <si>
    <t>OE044/T10</t>
  </si>
  <si>
    <t>OE044/T10 (Champion) РЎРІС–С‡РєР° Р·Р°РїР°Р»СЋРІР°РЅРЅСЏ</t>
  </si>
  <si>
    <t>54.04</t>
  </si>
  <si>
    <t>Audi 100/90,  VW 28-35, 40-55   2,2/2,3E/2,4i  (eng. PX, NF, NG, 1E)  85-96</t>
  </si>
  <si>
    <t>OE048/R04</t>
  </si>
  <si>
    <t>OE048/R04 (Champion) РЎРІС–С‡РєР° Р·Р°РїР°Р»СЋРІР°РЅРЅСЏ</t>
  </si>
  <si>
    <t>33.95</t>
  </si>
  <si>
    <t>Lada 110-112, Kalina 1,5/1,6, Priora(LPG)| Hyundai H1,H100, Lantra, Pony,  Sonata 1,5-2,0| Mazada 323/626 1,5-2,0 16V 87-97| Mitsubishi Colt, Galant, L200, L300, Lancer, Sigma, 1,3-3,0 -96| Subaru Justy, Leone, Libero, XT 1,0-1,8 -03, Opel Vectra 1,6i -95</t>
  </si>
  <si>
    <t>OE059/R04</t>
  </si>
  <si>
    <t>OE059/R04 (Champion) РЎРІС–С‡РєР° Р·Р°РїР°Р»СЋРІР°РЅРЅСЏ</t>
  </si>
  <si>
    <t>42.84</t>
  </si>
  <si>
    <t>Р“РђР— Р“Р°Р·РµР»СЊ/Р’РѕР»РіР°   2,4 (Р—РњР—-402)   72-93 , РЈРђР— 452/469   2,4   1966-  (РєРѕСЂРѕС‚РєР° СЂС–Р·СЊР±Р°)</t>
  </si>
  <si>
    <t>COBRA</t>
  </si>
  <si>
    <t>NX11200</t>
  </si>
  <si>
    <t>NOWAX  РЎРёР»С–РєРѕРЅРѕРІР° Р·РјР°Р·РєР°,SILICONE SPRAY COBRA,110ml. (48С€С‚.)</t>
  </si>
  <si>
    <t>23.40</t>
  </si>
  <si>
    <t>NOWAX</t>
  </si>
  <si>
    <t>NX11400</t>
  </si>
  <si>
    <t>NOWAX  РЎРїСЂРµР№ Р±Р°РіР°С‚РѕС„СѓРЅРєС†С–РѕРЅР°Р»СЊРЅРёР№,MULTIFUNCTIONAL LUBRICANT COBRA NX-40,110ml (48С€С‚.)</t>
  </si>
  <si>
    <t>27.89</t>
  </si>
  <si>
    <t>NX20200</t>
  </si>
  <si>
    <t>NOWAX  SILICONE SPRAY COBRA, 200ml. РЎРёР»С–РєРѕРЅРѕРІР° Р·РјР°Р·РєР°. Р—Р°С…РёС‰Р°С” С– Р·РјР°С‰СѓС” РїРѕРІРµСЂС…РЅС–, СѓС‚РІРѕСЂСЋСЋС‡Рё РїСЂРѕР·РѕСЂСѓ,</t>
  </si>
  <si>
    <t>34.78</t>
  </si>
  <si>
    <t>NX20300</t>
  </si>
  <si>
    <t xml:space="preserve">NOWAX  ANTI-RUST LUBRICANT COBRA, 200ml. Р С–РґРєРёР№ РєР»СЋС‡. РџСЂРѕС„РµСЃС–Р№РЅР° РїСЂРѕРЅРёРєР°СЋС‡Р° Р·РјР°Р·РєР° </t>
  </si>
  <si>
    <t>38.79</t>
  </si>
  <si>
    <t>NX20400</t>
  </si>
  <si>
    <t>NOWAX  MULTIFUNCTIONAL LUBRICANT COBRA NX-40, 200ml Р‘Р°РіР°С‚РѕС„СѓРЅРєС†С–РѕРЅР°Р»СЊРЅРёР№ СЃРїСЂРµР№. РЈРЅС–РІРµСЂСЃР°Р»СЊРЅРёР№ РїСЂРѕРЅРёРє</t>
  </si>
  <si>
    <t>39.27</t>
  </si>
  <si>
    <t>NX20500</t>
  </si>
  <si>
    <t>NOWAX  Р—РјР°Р·РєР° Р»С–С‚С–С”РІР°,Р±С–Р»Р°,200ml. (24С€С‚.)</t>
  </si>
  <si>
    <t>50.81</t>
  </si>
  <si>
    <t>NX45200</t>
  </si>
  <si>
    <t>NOWAX  SILICONE SPRAY COBRA, 450ml. РЎРёР»С–РєРѕРЅРѕРІР° Р·РјР°Р·РєР°. Р—Р°С…РёС‰Р°С” С– Р·РјР°С‰СѓС” РїРѕРІРµСЂС…РЅС–, СѓС‚РІРѕСЂСЋСЋС‡Рё РїСЂРѕР·РѕСЂСѓ,</t>
  </si>
  <si>
    <t>48.08</t>
  </si>
  <si>
    <t>NX45300</t>
  </si>
  <si>
    <t xml:space="preserve">NOWAX  ANTI-RUST LUBRICANT COBRA, 450ml. Р С–РґРєРёР№ РєР»СЋС‡. РџСЂРѕС„РµСЃС–Р№РЅР° РїСЂРѕРЅРёРєР°СЋС‡Р° Р·РјР°Р·РєР° </t>
  </si>
  <si>
    <t>60.90</t>
  </si>
  <si>
    <t>NX45400</t>
  </si>
  <si>
    <t>NOWAX  MULTIFUNCTIONAL LUBRICANT COBRA NX-40, 450ml Р‘Р°РіР°С‚РѕС„СѓРЅРєС†С–РѕРЅР°Р»СЊРЅРёР№ СЃРїСЂРµР№. РЈРЅС–РІРµСЂСЃР°Р»СЊРЅРёР№ РїСЂРѕРЅРёРє</t>
  </si>
  <si>
    <t>61.38</t>
  </si>
  <si>
    <t>CONTITECH</t>
  </si>
  <si>
    <t>11,2X820Ld</t>
  </si>
  <si>
    <t>11,2X820   Р РµРјС–РЅСЊ (РєР»РёРЅРѕРІРёР№) CONTI SF</t>
  </si>
  <si>
    <t>87.53</t>
  </si>
  <si>
    <t>ContiTech</t>
  </si>
  <si>
    <t>(6313MC)</t>
  </si>
  <si>
    <t>11,2X866Ld</t>
  </si>
  <si>
    <t>11,2X866   Р РµРјС–РЅСЊ (РєР»РёРЅРѕРІРёР№) CONTI SF</t>
  </si>
  <si>
    <t>AUDI 80/90, VW PASSAT, (6391MC, 11A0865C)</t>
  </si>
  <si>
    <t>11,5X730Ld</t>
  </si>
  <si>
    <t>11,5X730   Р РµРјС–РЅСЊ (РєР»РёРЅРѕРІРёР№) CONTI SF</t>
  </si>
  <si>
    <t>56.08</t>
  </si>
  <si>
    <t>(6309MC, 11A0730C)</t>
  </si>
  <si>
    <t>11,5X755Ld</t>
  </si>
  <si>
    <t>11,5X755   Р РµРјС–РЅСЊ (РєР»РёРЅРѕРІРёР№) CONTI SF</t>
  </si>
  <si>
    <t>72.85</t>
  </si>
  <si>
    <t>VW, SEAT, (6389MC)</t>
  </si>
  <si>
    <t>11,5X790Ld</t>
  </si>
  <si>
    <t>11,5X790   Р РµРјС–РЅСЊ (РєР»РёРЅРѕРІРёР№) CONTI SF</t>
  </si>
  <si>
    <t>76.17</t>
  </si>
  <si>
    <t>VW/SEAT/FORD 1.9TDI  (6390MC)</t>
  </si>
  <si>
    <t>11,9X1183Ld</t>
  </si>
  <si>
    <t>11,9X1183   Р РµРјС–РЅСЊ (РєР»РёРЅРѕРІРёР№) CONTI SF</t>
  </si>
  <si>
    <t>132.78</t>
  </si>
  <si>
    <t>11,9X1183Ld\n</t>
  </si>
  <si>
    <t>11,9X650Ld</t>
  </si>
  <si>
    <t>11,9X650   Р РµРјС–РЅСЊ (РєР»РёРЅРѕРІРёР№) CONTI SF</t>
  </si>
  <si>
    <t>69.45</t>
  </si>
  <si>
    <t>VW PASSAT/TRANSPORTER T4 1.9 D/TD (6306MC, 11A0650C)</t>
  </si>
  <si>
    <t>11,9X925Ld</t>
  </si>
  <si>
    <t>11,9X925   Р РµРјС–РЅСЊ (РєР»РёРЅРѕРІРёР№) CONTI SF</t>
  </si>
  <si>
    <t>86.13</t>
  </si>
  <si>
    <t>11,9X925Ld\n</t>
  </si>
  <si>
    <t>11,9X950Ld</t>
  </si>
  <si>
    <t>11,9X950   Р РµРјС–РЅСЊ (РєР»РёРЅРѕРІРёР№) CONTI SF</t>
  </si>
  <si>
    <t>76.03</t>
  </si>
  <si>
    <t>VW GOLF II / JETTA II 1.6 TD (6318MC, 11A0950C)</t>
  </si>
  <si>
    <t>3PK648</t>
  </si>
  <si>
    <t>3PK648   Р РµРјС–РЅСЊ (РїРѕР»С–РєР»РёРЅРѕРІРёР№) CONTI-V MULTIRIB</t>
  </si>
  <si>
    <t>91.72</t>
  </si>
  <si>
    <t>(3PK648, 3PK648)</t>
  </si>
  <si>
    <t>3PK670</t>
  </si>
  <si>
    <t>3PK670   Р РµРјС–РЅСЊ (РїРѕР»С–РєР»РёРЅРѕРІРёР№) CONTI-V MULTIRIB</t>
  </si>
  <si>
    <t>77.92</t>
  </si>
  <si>
    <t>(3PK668, 3PK668)</t>
  </si>
  <si>
    <t>3PK675</t>
  </si>
  <si>
    <t>3PK675   Р РµРјС–РЅСЊ (РїРѕР»С–РєР»РёРЅРѕРІРёР№) CONTI-V MULTIRIB</t>
  </si>
  <si>
    <t>95.24</t>
  </si>
  <si>
    <t>(3PK675, 3PK673)</t>
  </si>
  <si>
    <t>3PK760</t>
  </si>
  <si>
    <t>3PK760   Р РµРјС–РЅСЊ (РїРѕР»С–РєР»РёРЅРѕРІРёР№) CONTI-V MULTIRIB</t>
  </si>
  <si>
    <t>108.84</t>
  </si>
  <si>
    <t>(3PK763, 3PK760)</t>
  </si>
  <si>
    <t>3PK765</t>
  </si>
  <si>
    <t>3PK765   Р РµРјС–РЅСЊ (РїРѕР»С–РєР»РёРЅРѕРІРёР№) CONTI-V MULTIRIB</t>
  </si>
  <si>
    <t>99.76</t>
  </si>
  <si>
    <t>#</t>
  </si>
  <si>
    <t>3PK830</t>
  </si>
  <si>
    <t>3PK830   Р РµРјС–РЅСЊ (РїРѕР»С–РєР»РёРЅРѕРІРёР№) CONTI-V MULTIRIB</t>
  </si>
  <si>
    <t>109.37</t>
  </si>
  <si>
    <t>3PK866</t>
  </si>
  <si>
    <t>3PK866   Р РµРјС–РЅСЊ (РїРѕР»С–РєР»РёРЅРѕРІРёР№) CONTI-V MULTIRIB</t>
  </si>
  <si>
    <t>125.44</t>
  </si>
  <si>
    <t>(3PK865)</t>
  </si>
  <si>
    <t>3PK915</t>
  </si>
  <si>
    <t>3PK915   Р РµРјС–РЅСЊ (РїРѕР»С–РєР»РёРЅРѕРІРёР№) CONTI-V MULTIRIB</t>
  </si>
  <si>
    <t>97.49</t>
  </si>
  <si>
    <t>(3PK913, 3PK915)</t>
  </si>
  <si>
    <t>4PK1000</t>
  </si>
  <si>
    <t>4PK1000   Р РµРјС–РЅСЊ (РїРѕР»С–РєР»РёРЅРѕРІРёР№) CONTI-V MULTIRIB</t>
  </si>
  <si>
    <t>143.96</t>
  </si>
  <si>
    <t>(4PK1003)</t>
  </si>
  <si>
    <t>4PK1022 ELAST</t>
  </si>
  <si>
    <t>4PK1022 ELAST   Р РµРјС–РЅСЊ (РїРѕР»С–РєР»РёРЅРѕРІРёР№) CONTI-V MULTIRIB</t>
  </si>
  <si>
    <t>206.85</t>
  </si>
  <si>
    <t>Fiat 1.3 JTD 2003-</t>
  </si>
  <si>
    <t>4PK1062</t>
  </si>
  <si>
    <t>4PK1062   Р РµРјС–РЅСЊ (РїРѕР»С–РєР»РёРЅРѕРІРёР№) CONTI-V MULTIRIB</t>
  </si>
  <si>
    <t>142.21</t>
  </si>
  <si>
    <t>(4PK1063)</t>
  </si>
  <si>
    <t>4PK1070</t>
  </si>
  <si>
    <t>4PK1070   Р РµРјС–РЅСЊ (РїРѕР»С–РєР»РёРЅРѕРІРёР№) CONTI-V MULTIRIB</t>
  </si>
  <si>
    <t>152.34</t>
  </si>
  <si>
    <t>4PK1217</t>
  </si>
  <si>
    <t>4PK1217   Р РµРјС–РЅСЊ (РїРѕР»С–РєР»РёРЅРѕРІРёР№) CONTI-V MULTIRIB</t>
  </si>
  <si>
    <t>153.92</t>
  </si>
  <si>
    <t>(4PK1218, 4PK1215)</t>
  </si>
  <si>
    <t>4PK1237</t>
  </si>
  <si>
    <t>4PK1237   Р РµРјС–РЅСЊ (РїРѕР»С–РєР»РёРЅРѕРІРёР№) CONTI-V MULTIRIB</t>
  </si>
  <si>
    <t>183.44</t>
  </si>
  <si>
    <t>(4PK1240, 4PK1238)</t>
  </si>
  <si>
    <t>4PK1485</t>
  </si>
  <si>
    <t>4PK1485   Р РµРјС–РЅСЊ (РїРѕР»С–РєР»РёРЅРѕРІРёР№) CONTI-V MULTIRIB</t>
  </si>
  <si>
    <t>163.52</t>
  </si>
  <si>
    <t>4PK1520</t>
  </si>
  <si>
    <t>4PK1520   Р РµРјС–РЅСЊ (РїРѕР»С–РєР»РёРЅРѕРІРёР№) CONTI-V MULTIRIB</t>
  </si>
  <si>
    <t>170.34</t>
  </si>
  <si>
    <t>(4PK1520)</t>
  </si>
  <si>
    <t>4PK665</t>
  </si>
  <si>
    <t>4PK665   Р РµРјС–РЅСЊ (РїРѕР»С–РєР»РёРЅРѕРІРёР№) CONTI-V MULTIRIB</t>
  </si>
  <si>
    <t>95.74</t>
  </si>
  <si>
    <t>Daewoo Matiz 1,0  05-|  Fiat Doblo/500/Bravo/Punto/Linea/Panda/Idea 1,2/1,4  2001-|  Ford KA 1,2  08-</t>
  </si>
  <si>
    <t>4PK698</t>
  </si>
  <si>
    <t>4PK698   Р РµРјС–РЅСЊ (РїРѕР»С–РєР»РёРЅРѕРІРёР№) CONTI-V MULTIRIB</t>
  </si>
  <si>
    <t>79.49</t>
  </si>
  <si>
    <t>(4PK698)</t>
  </si>
  <si>
    <t>4PK711 ELAST</t>
  </si>
  <si>
    <t>4PK711 ELAST   Р РµРјС–РЅСЊ (РїРѕР»С–РєР»РёРЅРѕРІРёР№) CONTI-V MULTIRIB</t>
  </si>
  <si>
    <t>133.82</t>
  </si>
  <si>
    <t>Ford Transit 2.0 DI  00-07 / VW Crafter  2.0TDi  11-</t>
  </si>
  <si>
    <t>4PK715</t>
  </si>
  <si>
    <t>4PK715   Р РµРјС–РЅСЊ (РїРѕР»С–РєР»РёРЅРѕРІРёР№) CONTI-V MULTIRIB</t>
  </si>
  <si>
    <t>112.51</t>
  </si>
  <si>
    <t>(4PK718, 4PK715)</t>
  </si>
  <si>
    <t>4PK750</t>
  </si>
  <si>
    <t>4PK750   Р РµРјС–РЅСЊ (РїРѕР»С–РєР»РёРЅРѕРІРёР№) CONTI-V MULTIRIB</t>
  </si>
  <si>
    <t>109.19</t>
  </si>
  <si>
    <t>4PK755</t>
  </si>
  <si>
    <t>4PK755   Р РµРјС–РЅСЊ (РїРѕР»С–РєР»РёРЅРѕРІРёР№) CONTI-V MULTIRIB</t>
  </si>
  <si>
    <t>(4PK755, 4PK756)</t>
  </si>
  <si>
    <t>4PK785</t>
  </si>
  <si>
    <t>4PK785   Р РµРјС–РЅСЊ (РїРѕР»С–РєР»РёРЅРѕРІРёР№) CONTI-V MULTIRIB</t>
  </si>
  <si>
    <t>136.27</t>
  </si>
  <si>
    <t>4PK800</t>
  </si>
  <si>
    <t>4PK800   Р РµРјС–РЅСЊ (РїРѕР»С–РєР»РёРЅРѕРІРёР№) CONTI-V MULTIRIB</t>
  </si>
  <si>
    <t>132.95</t>
  </si>
  <si>
    <t>(4PK803)</t>
  </si>
  <si>
    <t>4PK810</t>
  </si>
  <si>
    <t>4PK810   Р РµРјС–РЅСЊ (РїРѕР»С–РєР»РёРЅРѕРІРёР№) CONTI-V MULTIRIB</t>
  </si>
  <si>
    <t>130.50</t>
  </si>
  <si>
    <t>(4PK812)</t>
  </si>
  <si>
    <t>4PK815</t>
  </si>
  <si>
    <t>4PK815   Р РµРјС–РЅСЊ (РїРѕР»С–РєР»РёРЅРѕРІРёР№) CONTI-V MULTIRIB</t>
  </si>
  <si>
    <t>100.30</t>
  </si>
  <si>
    <t>(4PK813)</t>
  </si>
  <si>
    <t>4PK825</t>
  </si>
  <si>
    <t>4PK825   Р РµРјС–РЅСЊ (РїРѕР»С–РєР»РёРЅРѕРІРёР№) CONTI-V MULTIRIB</t>
  </si>
  <si>
    <t>114.61</t>
  </si>
  <si>
    <t>(4PK823)</t>
  </si>
  <si>
    <t>4PK830</t>
  </si>
  <si>
    <t>4PK830   Р РµРјС–РЅСЊ (РїРѕР»С–РєР»РёРЅРѕРІРёР№) CONTI-V MULTIRIB</t>
  </si>
  <si>
    <t>132.25</t>
  </si>
  <si>
    <t>4PK845</t>
  </si>
  <si>
    <t>4PK845   Р РµРјС–РЅСЊ (РїРѕР»С–РєР»РёРЅРѕРІРёР№) CONTI-V MULTIRIB</t>
  </si>
  <si>
    <t>137.05</t>
  </si>
  <si>
    <t>(4PK845, 4PK845)</t>
  </si>
  <si>
    <t>4PK850</t>
  </si>
  <si>
    <t>4PK850   Р РµРјС–РЅСЊ (РїРѕР»С–РєР»РёРЅРѕРІРёР№) CONTI-V MULTIRIB</t>
  </si>
  <si>
    <t>110.75</t>
  </si>
  <si>
    <t>(4PK850, 4PK853)</t>
  </si>
  <si>
    <t>4PK855</t>
  </si>
  <si>
    <t>4PK855   Р РµРјС–РЅСЊ (РїРѕР»С–РєР»РёРЅРѕРІРёР№) CONTI-V MULTIRIB</t>
  </si>
  <si>
    <t>(4PK855)</t>
  </si>
  <si>
    <t>4PK863</t>
  </si>
  <si>
    <t>4PK863   Р РµРјС–РЅСЊ (РїРѕР»С–РєР»РёРЅРѕРІРёР№) CONTI-V MULTIRIB</t>
  </si>
  <si>
    <t>117.23</t>
  </si>
  <si>
    <t>BMW3/5 (E39/E46)</t>
  </si>
  <si>
    <t>4PK870</t>
  </si>
  <si>
    <t>4PK870   Р РµРјС–РЅСЊ (РїРѕР»С–РєР»РёРЅРѕРІРёР№) CONTI-V MULTIRIB</t>
  </si>
  <si>
    <t>118.80</t>
  </si>
  <si>
    <t>(4PK868)</t>
  </si>
  <si>
    <t>4PK875</t>
  </si>
  <si>
    <t>4PK875   Р РµРјС–РЅСЊ (РїРѕР»С–РєР»РёРЅРѕРІРёР№) CONTI-V MULTIRIB</t>
  </si>
  <si>
    <t>126.14</t>
  </si>
  <si>
    <t>(4PK878)</t>
  </si>
  <si>
    <t>4PK885</t>
  </si>
  <si>
    <t>4PK885   Р РµРјС–РЅСЊ (РїРѕР»С–РєР»РёРЅРѕРІРёР№) CONTI-V MULTIRIB</t>
  </si>
  <si>
    <t>120.55</t>
  </si>
  <si>
    <t>(4PK885, 4PK884)</t>
  </si>
  <si>
    <t>4PK895</t>
  </si>
  <si>
    <t>4PK895   Р РµРјС–РЅСЊ (РїРѕР»С–РєР»РёРЅРѕРІРёР№) CONTI-V MULTIRIB</t>
  </si>
  <si>
    <t>116.53</t>
  </si>
  <si>
    <t>4PK920</t>
  </si>
  <si>
    <t>4PK920   Р РµРјС–РЅСЊ (РїРѕР»С–РєР»РёРЅРѕРІРёР№) CONTI-V MULTIRIB</t>
  </si>
  <si>
    <t>146.75</t>
  </si>
  <si>
    <t>(4PK920)</t>
  </si>
  <si>
    <t>4PK925</t>
  </si>
  <si>
    <t>4PK925   Р РµРјС–РЅСЊ (РїРѕР»С–РєР»РёРЅРѕРІРёР№) CONTI-V MULTIRIB</t>
  </si>
  <si>
    <t>123.87</t>
  </si>
  <si>
    <t>(4PK923, 4PK926)</t>
  </si>
  <si>
    <t>4PK938</t>
  </si>
  <si>
    <t>4PK938   Р РµРјС–РЅСЊ (РїРѕР»С–РєР»РёРЅРѕРІРёР№) CONTI-V MULTIRIB</t>
  </si>
  <si>
    <t>(4PK938)</t>
  </si>
  <si>
    <t>4PK950</t>
  </si>
  <si>
    <t>4PK950   Р РµРјС–РЅСЊ (РїРѕР»С–РєР»РёРЅРѕРІРёР№) CONTI-V MULTIRIB</t>
  </si>
  <si>
    <t>118.10</t>
  </si>
  <si>
    <t>(4PK948)</t>
  </si>
  <si>
    <t>4PK954</t>
  </si>
  <si>
    <t>4PK954   Р РµРјС–РЅСЊ (РїРѕР»С–РєР»РёРЅРѕРІРёР№) CONTI-V MULTIRIB</t>
  </si>
  <si>
    <t>4PK962</t>
  </si>
  <si>
    <t>4PK962   Р РµРјС–РЅСЊ (РїРѕР»С–РєР»РёРЅРѕРІРёР№) CONTI-V MULTIRIB</t>
  </si>
  <si>
    <t>107.44</t>
  </si>
  <si>
    <t>(4PK960, 4PK962)</t>
  </si>
  <si>
    <t>5PK1005</t>
  </si>
  <si>
    <t>5PK1005   Р РµРјС–РЅСЊ (РїРѕР»С–РєР»РёРЅРѕРІРёР№) CONTI-V MULTIRIB</t>
  </si>
  <si>
    <t>188.16</t>
  </si>
  <si>
    <t>(5PK1005, 5PK1005)</t>
  </si>
  <si>
    <t>5PK1060</t>
  </si>
  <si>
    <t>5PK1060   Р РµРјС–РЅСЊ (РїРѕР»С–РєР»РёРЅРѕРІРёР№) CONTI-V MULTIRIB</t>
  </si>
  <si>
    <t>199.86</t>
  </si>
  <si>
    <t xml:space="preserve">MITSUBISHI GALANT/SPACE STAR, MAZDA 626 </t>
  </si>
  <si>
    <t>5PK1110</t>
  </si>
  <si>
    <t>5PK1110   Р РµРјС–РЅСЊ (РїРѕР»С–РєР»РёРЅРѕРІРёР№) CONTI-V MULTIRIB</t>
  </si>
  <si>
    <t>196.39</t>
  </si>
  <si>
    <t>5PK1120</t>
  </si>
  <si>
    <t>5PK1120   Р РµРјС–РЅСЊ (РїРѕР»С–РєР»РёРЅРѕРІРёР№) CONTI-V MULTIRIB</t>
  </si>
  <si>
    <t>209.30</t>
  </si>
  <si>
    <t>TOYOTA COROLLA/ CAMRY/CARINA, BMW E38</t>
  </si>
  <si>
    <t>5PK1125</t>
  </si>
  <si>
    <t>5PK1125   Р РµРјС–РЅСЊ (РїРѕР»С–РєР»РёРЅРѕРІРёР№) CONTI-V MULTIRIB</t>
  </si>
  <si>
    <t>194.70</t>
  </si>
  <si>
    <t>TOYOTA, MITSUBISHI, BMW, RENAULT, PEUGEOT, LADA</t>
  </si>
  <si>
    <t>5PK1135</t>
  </si>
  <si>
    <t>5PK1135   Р РµРјС–РЅСЊ (РїРѕР»С–РєР»РёРЅРѕРІРёР№) CONTI-V MULTIRIB</t>
  </si>
  <si>
    <t>191.84</t>
  </si>
  <si>
    <t>(5PK1133, 5PK1130)</t>
  </si>
  <si>
    <t>5PK1145</t>
  </si>
  <si>
    <t>5PK1145   Р РµРјС–РЅСЊ (РїРѕР»С–РєР»РёРЅРѕРІРёР№) CONTI-V MULTIRIB</t>
  </si>
  <si>
    <t>185.19</t>
  </si>
  <si>
    <t>5PK1150</t>
  </si>
  <si>
    <t>5PK1150   Р РµРјС–РЅСЊ (РїРѕР»С–РєР»РёРЅРѕРІРёР№) CONTI-V MULTIRIB</t>
  </si>
  <si>
    <t>5PK1165</t>
  </si>
  <si>
    <t>5PK1165   Р РµРјС–РЅСЊ (РїРѕР»С–РєР»РёРЅРѕРІРёР№) CONTI-V MULTIRIB</t>
  </si>
  <si>
    <t>157.23</t>
  </si>
  <si>
    <t>(5PK1163, 5PK1165)</t>
  </si>
  <si>
    <t>5PK1200</t>
  </si>
  <si>
    <t>5PK1200   Р РµРјС–РЅСЊ (РїРѕР»С–РєР»РёРЅРѕРІРёР№) CONTI-V MULTIRIB</t>
  </si>
  <si>
    <t>(5PK1200, 5PK1200) RENAULT MASTER,  OPEL Movano</t>
  </si>
  <si>
    <t>5PK1212</t>
  </si>
  <si>
    <t>5PK1212   Р РµРјС–РЅСЊ (РїРѕР»С–РєР»РёРЅРѕРІРёР№) CONTI-V MULTIRIB</t>
  </si>
  <si>
    <t>210.00</t>
  </si>
  <si>
    <t>(5PK1210, 5PK1210)</t>
  </si>
  <si>
    <t>5PK1219</t>
  </si>
  <si>
    <t>5PK1219   Р РµРјС–РЅСЊ (РїРѕР»С–РєР»РёРЅРѕРІРёР№) CONTI-V MULTIRIB</t>
  </si>
  <si>
    <t>206.68</t>
  </si>
  <si>
    <t>(5PK1220)</t>
  </si>
  <si>
    <t>5PK1230</t>
  </si>
  <si>
    <t>5PK1230   Р РµРјС–РЅСЊ (РїРѕР»С–РєР»РёРЅРѕРІРёР№) CONTI-V MULTIRIB</t>
  </si>
  <si>
    <t>202.83</t>
  </si>
  <si>
    <t>5PK1300</t>
  </si>
  <si>
    <t>5PK1300   Р РµРјС–РЅСЊ (РїРѕР»С–РєР»РёРЅРѕРІРёР№) CONTI-V MULTIRIB</t>
  </si>
  <si>
    <t>210.38</t>
  </si>
  <si>
    <t>(5PK1303, 5PK1300)</t>
  </si>
  <si>
    <t>5PK1355</t>
  </si>
  <si>
    <t>5PK1355   Р РµРјС–РЅСЊ (РїРѕР»С–РєР»РёРЅРѕРІРёР№) CONTI-V MULTIRIB</t>
  </si>
  <si>
    <t>217.51</t>
  </si>
  <si>
    <t>(5PK1355)</t>
  </si>
  <si>
    <t>5PK1432</t>
  </si>
  <si>
    <t>5PK1432   Р РµРјС–РЅСЊ (РїРѕР»С–РєР»РёРЅРѕРІРёР№) CONTI-V MULTIRIB</t>
  </si>
  <si>
    <t>(5PK1435, 5PK1435)</t>
  </si>
  <si>
    <t>5PK1450</t>
  </si>
  <si>
    <t>5PK1450   Р РµРјС–РЅСЊ (РїРѕР»С–РєР»РёРЅРѕРІРёР№) CONTI-V MULTIRIB</t>
  </si>
  <si>
    <t>196.19</t>
  </si>
  <si>
    <t>5PK1570</t>
  </si>
  <si>
    <t>5PK1570   Р РµРјС–РЅСЊ (РїРѕР»С–РєР»РёРЅРѕРІРёР№) CONTI-V MULTIRIB</t>
  </si>
  <si>
    <t>225.37</t>
  </si>
  <si>
    <t>5PK1592</t>
  </si>
  <si>
    <t>5PK1592   Р РµРјС–РЅСЊ (РїРѕР»С–РєР»РёРЅРѕРІРёР№) CONTI-V MULTIRIB</t>
  </si>
  <si>
    <t>226.06</t>
  </si>
  <si>
    <t>(5PK1590)</t>
  </si>
  <si>
    <t>5PK1750</t>
  </si>
  <si>
    <t>5PK1750   Р РµРјС–РЅСЊ (РїРѕР»С–РєР»РёРЅРѕРІРёР№) CONTI-V MULTIRIB</t>
  </si>
  <si>
    <t>256.12</t>
  </si>
  <si>
    <t>RENAULT MEGANE/SCENIC/LAGUNA, DB A-classe</t>
  </si>
  <si>
    <t>5PK585</t>
  </si>
  <si>
    <t>5PK585   Р РµРјС–РЅСЊ (РїРѕР»С–РєР»РёРЅРѕРІРёР№) CONTI-V MULTIRIB</t>
  </si>
  <si>
    <t>128.93</t>
  </si>
  <si>
    <t>(5PK580)</t>
  </si>
  <si>
    <t>5PK690</t>
  </si>
  <si>
    <t>5PK690   Р РµРјС–РЅСЊ (РїРѕР»С–РєР»РёРЅРѕРІРёР№) CONTI-V MULTIRIB</t>
  </si>
  <si>
    <t>138.89</t>
  </si>
  <si>
    <t>5PK790</t>
  </si>
  <si>
    <t>5PK790   Р РµРјС–РЅСЊ (РїРѕР»С–РєР»РёРЅРѕРІРёР№) CONTI-V MULTIRIB</t>
  </si>
  <si>
    <t>155.49</t>
  </si>
  <si>
    <t>5PK813</t>
  </si>
  <si>
    <t>5PK813   Р РµРјС–РЅСЊ (РїРѕР»С–РєР»РёРЅРѕРІРёР№) CONTI-V MULTIRIB</t>
  </si>
  <si>
    <t>161.43</t>
  </si>
  <si>
    <t>(5PK810, 5PK810)</t>
  </si>
  <si>
    <t>5PK865</t>
  </si>
  <si>
    <t>5PK865   Р РµРјС–РЅСЊ (РїРѕР»С–РєР»РёРЅРѕРІРёР№) CONTI-V MULTIRIB</t>
  </si>
  <si>
    <t>170.69</t>
  </si>
  <si>
    <t>(5PK865, 5PK865)</t>
  </si>
  <si>
    <t>5PK869</t>
  </si>
  <si>
    <t>5PK869   Р РµРјС–РЅСЊ (РїРѕР»С–РєР»РёРЅРѕРІРёР№) CONTI-V MULTIRIB</t>
  </si>
  <si>
    <t>163.17</t>
  </si>
  <si>
    <t>(5PK870, 5PK869)</t>
  </si>
  <si>
    <t>5PK875</t>
  </si>
  <si>
    <t>5PK875   Р РµРјС–РЅСЊ (РїРѕР»С–РєР»РёРЅРѕРІРёР№) CONTI-V MULTIRIB</t>
  </si>
  <si>
    <t>153.04</t>
  </si>
  <si>
    <t>(5PK875)</t>
  </si>
  <si>
    <t>5PK900</t>
  </si>
  <si>
    <t>5PK900   Р РµРјС–РЅСЊ (РїРѕР»С–РєР»РёРЅРѕРІРёР№) CONTI-V MULTIRIB</t>
  </si>
  <si>
    <t>137.14</t>
  </si>
  <si>
    <t>5PK906</t>
  </si>
  <si>
    <t>5PK906   Р РµРјС–РЅСЊ (РїРѕР»С–РєР»РёРЅРѕРІРёР№) CONTI-V MULTIRIB</t>
  </si>
  <si>
    <t>158.98</t>
  </si>
  <si>
    <t>(5PK908, 5PK907)</t>
  </si>
  <si>
    <t>5PK925</t>
  </si>
  <si>
    <t>5PK925   Р РµРјС–РЅСЊ (РїРѕР»С–РєР»РёРЅРѕРІРёР№) CONTI-V MULTIRIB</t>
  </si>
  <si>
    <t>155.14</t>
  </si>
  <si>
    <t>(5PK923, 5PK926)</t>
  </si>
  <si>
    <t>5PK950</t>
  </si>
  <si>
    <t>5PK950   Р РµРјС–РЅСЊ (РїРѕР»С–РєР»РёРЅРѕРІРёР№) CONTI-V MULTIRIB</t>
  </si>
  <si>
    <t>183.27</t>
  </si>
  <si>
    <t>(5PK948, 5PK950)</t>
  </si>
  <si>
    <t>5PK962</t>
  </si>
  <si>
    <t>5PK962   Р РµРјС–РЅСЊ (РїРѕР»С–РєР»РёРЅРѕРІРёР№) CONTI-V MULTIRIB</t>
  </si>
  <si>
    <t>(5PK963, 5PK962)</t>
  </si>
  <si>
    <t>5PK980</t>
  </si>
  <si>
    <t>5PK980   Р РµРјС–РЅСЊ (РїРѕР»С–РєР»РёРЅРѕРІРёР№) CONTI-V MULTIRIB</t>
  </si>
  <si>
    <t>176.45</t>
  </si>
  <si>
    <t xml:space="preserve">BMW5/7 (E39/E32) </t>
  </si>
  <si>
    <t>6DPK1195</t>
  </si>
  <si>
    <t>6DPK1195   Р РµРјС–РЅСЊ (РїРѕР»С–РєР»РёРЅРѕРІРёР№) CONTI-V MULTIRIB</t>
  </si>
  <si>
    <t>395.48</t>
  </si>
  <si>
    <t>AUDI TT/A3, VW GOLF IV/BORA/BEETLE, SKODA, SEAT (6DPK1195, 6PKK1195)</t>
  </si>
  <si>
    <t>6DPK1215</t>
  </si>
  <si>
    <t>6DPK1215   Р РµРјС–РЅСЊ (РїРѕР»С–РєР»РёРЅРѕРІРёР№) CONTI-V MULTIRIB</t>
  </si>
  <si>
    <t>471.84</t>
  </si>
  <si>
    <t>VW T5 1.9 TDi 06-</t>
  </si>
  <si>
    <t>6PK1015</t>
  </si>
  <si>
    <t>6PK1015   Р РµРјС–РЅСЊ (РїРѕР»С–РєР»РёРЅРѕРІРёР№) CONTI-V MULTIRIB</t>
  </si>
  <si>
    <t>193.92</t>
  </si>
  <si>
    <t>(6PK1013)</t>
  </si>
  <si>
    <t>6PK1019 ELAST</t>
  </si>
  <si>
    <t>6PK1019 ELAST   Р РµРјС–РЅСЊ (РїРѕР»С–РєР»РёРЅРѕРІРёР№) CONTI-V MULTIRIB</t>
  </si>
  <si>
    <t>208.25</t>
  </si>
  <si>
    <t>Ford, Mazda</t>
  </si>
  <si>
    <t>6PK1020</t>
  </si>
  <si>
    <t>6PK1020   Р РµРјС–РЅСЊ (РїРѕР»С–РєР»РёРЅРѕРІРёР№) CONTI-V MULTIRIB</t>
  </si>
  <si>
    <t>209.65</t>
  </si>
  <si>
    <t>(6PK1018, 6PK1025)</t>
  </si>
  <si>
    <t>6PK1038</t>
  </si>
  <si>
    <t>6PK1038   Р РµРјС–РЅСЊ (РїРѕР»С–РєР»РёРЅРѕРІРёР№) CONTI-V MULTIRIB</t>
  </si>
  <si>
    <t>(6PK1038, 6PK1035)</t>
  </si>
  <si>
    <t>6PK1045</t>
  </si>
  <si>
    <t>6PK1045   Р РµРјС–РЅСЊ (РїРѕР»С–РєР»РёРЅРѕРІРёР№) CONTI-V MULTIRIB</t>
  </si>
  <si>
    <t>200.27</t>
  </si>
  <si>
    <t>(6PK1043, 6PK1045)</t>
  </si>
  <si>
    <t>6PK1054</t>
  </si>
  <si>
    <t>6PK1054   Р РµРјС–РЅСЊ (РїРѕР»С–РєР»РёРЅРѕРІРёР№) CONTI-V MULTIRIB</t>
  </si>
  <si>
    <t>203.64</t>
  </si>
  <si>
    <t>(6PK1053, 6PK1053)</t>
  </si>
  <si>
    <t>6PK1065</t>
  </si>
  <si>
    <t>6PK1065   Р РµРјС–РЅСЊ (РїРѕР»С–РєР»РёРЅРѕРІРёР№) CONTI-V MULTIRIB</t>
  </si>
  <si>
    <t>181.87</t>
  </si>
  <si>
    <t>6PK1070</t>
  </si>
  <si>
    <t>6PK1070   Р РµРјС–РЅСЊ (РїРѕР»С–РєР»РёРЅРѕРІРёР№) CONTI-V MULTIRIB</t>
  </si>
  <si>
    <t>198.58</t>
  </si>
  <si>
    <t>(6PK1070, 6PK1069)</t>
  </si>
  <si>
    <t>6PK1080</t>
  </si>
  <si>
    <t>6PK1080   Р РµРјС–РЅСЊ (РїРѕР»С–РєР»РёРЅРѕРІРёР№) CONTI-V MULTIRIB</t>
  </si>
  <si>
    <t>229.04</t>
  </si>
  <si>
    <t>(6PK1078, 6PK1080)</t>
  </si>
  <si>
    <t>6PK1090</t>
  </si>
  <si>
    <t>6PK1090   Р РµРјС–РЅСЊ (РїРѕР»С–РєР»РёРЅРѕРІРёР№) CONTI-V MULTIRIB</t>
  </si>
  <si>
    <t>211.04</t>
  </si>
  <si>
    <t>(6PK1088, 6PK1087)</t>
  </si>
  <si>
    <t>6PK1100</t>
  </si>
  <si>
    <t>6PK1100   Р РµРјС–РЅСЊ (РїРѕР»С–РєР»РёРЅРѕРІРёР№) CONTI-V MULTIRIB</t>
  </si>
  <si>
    <t>223.80</t>
  </si>
  <si>
    <t>(6PK1098, 6PK1100)</t>
  </si>
  <si>
    <t>6PK1115</t>
  </si>
  <si>
    <t>6PK1115   Р РµРјС–РЅСЊ (РїРѕР»С–РєР»РёРЅРѕРІРёР№) CONTI-V MULTIRIB</t>
  </si>
  <si>
    <t>211.39</t>
  </si>
  <si>
    <t>HONDA ACCORD V 2.0/2.2 93-98| VW PASSAT, TIGUAN 1.8-2.0 TSI 07-</t>
  </si>
  <si>
    <t>6PK1120</t>
  </si>
  <si>
    <t>6PK1120   Р РµРјС–РЅСЊ (РїРѕР»С–РєР»РёРЅРѕРІРёР№) CONTI-V MULTIRIB</t>
  </si>
  <si>
    <t>239.00</t>
  </si>
  <si>
    <t>VW BORA, SEAT TOLEDO, TOYOTA CARINA II</t>
  </si>
  <si>
    <t>6PK1125</t>
  </si>
  <si>
    <t>6PK1125   Р РµРјС–РЅСЊ (РїРѕР»С–РєР»РёРЅРѕРІРёР№) CONTI-V MULTIRIB</t>
  </si>
  <si>
    <t>229.91</t>
  </si>
  <si>
    <t>(6PK1123, 6PK1125)</t>
  </si>
  <si>
    <t>6PK1130</t>
  </si>
  <si>
    <t>6PK1130   Р РµРјС–РЅСЊ (РїРѕР»С–РєР»РёРЅРѕРІРёР№) CONTI-V MULTIRIB</t>
  </si>
  <si>
    <t>198.29</t>
  </si>
  <si>
    <t>(6PK1130, 6PK1130)</t>
  </si>
  <si>
    <t>6PK1138</t>
  </si>
  <si>
    <t>6PK1138   Р РµРјС–РЅСЊ (РїРѕР»С–РєР»РёРЅРѕРІРёР№) CONTI-V MULTIRIB</t>
  </si>
  <si>
    <t>(6PK1138, 6PK1137)</t>
  </si>
  <si>
    <t>6PK1145</t>
  </si>
  <si>
    <t>6PK1145   Р РµРјС–РЅСЊ (РїРѕР»С–РєР»РёРЅРѕРІРёР№) CONTI-V MULTIRIB</t>
  </si>
  <si>
    <t>205.10</t>
  </si>
  <si>
    <t>(6PK1148, 6PK1145)</t>
  </si>
  <si>
    <t>6PK1173</t>
  </si>
  <si>
    <t>6PK1173   Р РµРјС–РЅСЊ (РїРѕР»С–РєР»РёРЅРѕРІРёР№) CONTI-V MULTIRIB</t>
  </si>
  <si>
    <t>249.13</t>
  </si>
  <si>
    <t>(6PK1173)</t>
  </si>
  <si>
    <t>6PK1180</t>
  </si>
  <si>
    <t>6PK1180   Р РµРјС–РЅСЊ (РїРѕР»С–РєР»РёРЅРѕРІРёР№) CONTI-V MULTIRIB</t>
  </si>
  <si>
    <t>(6PK1180)</t>
  </si>
  <si>
    <t>6PK1185</t>
  </si>
  <si>
    <t>6PK1185   Р РµРјС–РЅСЊ (РїРѕР»С–РєР»РёРЅРѕРІРёР№) CONTI-V MULTIRIB</t>
  </si>
  <si>
    <t>239.70</t>
  </si>
  <si>
    <t>(6PK1183, 6PK1185)</t>
  </si>
  <si>
    <t>6PK1195</t>
  </si>
  <si>
    <t>6PK1195   Р РµРјС–РЅСЊ (РїРѕР»С–РєР»РёРЅРѕРІРёР№) CONTI-V MULTIRIB</t>
  </si>
  <si>
    <t>220.83</t>
  </si>
  <si>
    <t>(6PK1195, 6PK1195)</t>
  </si>
  <si>
    <t>6PK1200</t>
  </si>
  <si>
    <t>6PK1200   Р РµРјС–РЅСЊ (РїРѕР»С–РєР»РёРЅРѕРІРёР№) CONTI-V MULTIRIB</t>
  </si>
  <si>
    <t>217.46</t>
  </si>
  <si>
    <t>6PK1205</t>
  </si>
  <si>
    <t>6PK1205   Р РµРјС–РЅСЊ (РїРѕР»С–РєР»РёРЅРѕРІРёР№) CONTI-V MULTIRIB</t>
  </si>
  <si>
    <t>240.39</t>
  </si>
  <si>
    <t>(6PK1203, 6PK1209)</t>
  </si>
  <si>
    <t>6PK1210</t>
  </si>
  <si>
    <t>6PK1210   Р РµРјС–РЅСЊ (РїРѕР»С–РєР»РёРЅРѕРІРёР№) CONTI-V MULTIRIB</t>
  </si>
  <si>
    <t>231.31</t>
  </si>
  <si>
    <t xml:space="preserve">CITROEN C1 1.0 05-| PEUGEOT 1007 1.0 05- </t>
  </si>
  <si>
    <t>6PK1217</t>
  </si>
  <si>
    <t>6PK1217   Р РµРјС–РЅСЊ (РїРѕР»С–РєР»РёРЅРѕРІРёР№) CONTI-V MULTIRIB</t>
  </si>
  <si>
    <t>230.95</t>
  </si>
  <si>
    <t>(6PK1218, 6PK1217)</t>
  </si>
  <si>
    <t>6PK1250</t>
  </si>
  <si>
    <t>6PK1250   Р РµРјС–РЅСЊ (РїРѕР»С–РєР»РёРЅРѕРІРёР№) CONTI-V MULTIRIB</t>
  </si>
  <si>
    <t>270.09</t>
  </si>
  <si>
    <t>(6PK1250, 6PK1250)</t>
  </si>
  <si>
    <t>6PK1264</t>
  </si>
  <si>
    <t>6PK1264   Р РµРјС–РЅСЊ (РїРѕР»С–РєР»РёРЅРѕРІРёР№) CONTI-V MULTIRIB</t>
  </si>
  <si>
    <t>193.40</t>
  </si>
  <si>
    <t>(6PK1263, 6PK1264)</t>
  </si>
  <si>
    <t>6PK1270</t>
  </si>
  <si>
    <t>6PK1270   Р РµРјС–РЅСЊ (РїРѕР»С–РєР»РёРЅРѕРІРёР№) CONTI-V MULTIRIB</t>
  </si>
  <si>
    <t>250.88</t>
  </si>
  <si>
    <t>Fiat Bravo/Stilo 1,8 16v, 1,9JTD   01-| Ford Siera 2,0 89-93| Volvo 440/850/960/C70/S70/V70/v90  2,0/2,3/2,4/2,5/2,9   91-02</t>
  </si>
  <si>
    <t>6PK1275</t>
  </si>
  <si>
    <t>6PK1275   Р РµРјС–РЅСЊ (РїРѕР»С–РєР»РёРЅРѕРІРёР№) CONTI-V MULTIRIB</t>
  </si>
  <si>
    <t>270.79</t>
  </si>
  <si>
    <t>(6PK1275, 6PK1275)</t>
  </si>
  <si>
    <t>6PK1285</t>
  </si>
  <si>
    <t>6PK1285   Р РµРјС–РЅСЊ (РїРѕР»С–РєР»РёРЅРѕРІРёР№) CONTI-V MULTIRIB</t>
  </si>
  <si>
    <t>237.95</t>
  </si>
  <si>
    <t>6PK1285\n</t>
  </si>
  <si>
    <t>6PK1325</t>
  </si>
  <si>
    <t>6PK1325   Р РµРјС–РЅСЊ (РїРѕР»С–РєР»РёРЅРѕРІРёР№) CONTI-V MULTIRIB</t>
  </si>
  <si>
    <t>238.65</t>
  </si>
  <si>
    <t>(6PK1320, 6PK1323S)</t>
  </si>
  <si>
    <t>6PK1345</t>
  </si>
  <si>
    <t>6PK1345   Р РµРјС–РЅСЊ (РїРѕР»С–РєР»РёРЅРѕРІРёР№) CONTI-V MULTIRIB</t>
  </si>
  <si>
    <t>(6PK1340, 6PK1341)</t>
  </si>
  <si>
    <t>6PK1352</t>
  </si>
  <si>
    <t>6PK1352   Р РµРјС–РЅСЊ (РїРѕР»С–РєР»РёРЅРѕРІРёР№) CONTI-V MULTIRIB</t>
  </si>
  <si>
    <t>231.66</t>
  </si>
  <si>
    <t>(6PK1353, 6PK1352)</t>
  </si>
  <si>
    <t>6PK1390</t>
  </si>
  <si>
    <t>6PK1390   Р РµРјС–РЅСЊ (РїРѕР»С–РєР»РёРЅРѕРІРёР№) CONTI-V MULTIRIB</t>
  </si>
  <si>
    <t>269.74</t>
  </si>
  <si>
    <t>(6PK1390, 6PK1390S)</t>
  </si>
  <si>
    <t>6PK1400</t>
  </si>
  <si>
    <t>6PK1400   Р РµРјС–РЅСЊ (РїРѕР»С–РєР»РёРЅРѕРІРёР№) CONTI-V MULTIRIB</t>
  </si>
  <si>
    <t>255.56</t>
  </si>
  <si>
    <t>(6PK1400, 6PK1400)</t>
  </si>
  <si>
    <t>6PK1420</t>
  </si>
  <si>
    <t>6PK1420   Р РµРјС–РЅСЊ (РїРѕР»С–РєР»РёРЅРѕРІРёР№) CONTI-V MULTIRIB</t>
  </si>
  <si>
    <t>236.20</t>
  </si>
  <si>
    <t>(6PK1420, 6PK1420)</t>
  </si>
  <si>
    <t>6PK1432</t>
  </si>
  <si>
    <t>6PK1432   Р РµРјС–РЅСЊ (РїРѕР»С–РєР»РёРЅРѕРІРёР№) CONTI-V MULTIRIB</t>
  </si>
  <si>
    <t>278.48</t>
  </si>
  <si>
    <t>(6PK1428, 6PK1435)</t>
  </si>
  <si>
    <t>6PK1440</t>
  </si>
  <si>
    <t>6PK1440   Р РµРјС–РЅСЊ (РїРѕР»С–РєР»РёРЅРѕРІРёР№) CONTI-V MULTIRIB</t>
  </si>
  <si>
    <t>226.90</t>
  </si>
  <si>
    <t>FORD FIESTA COURIER 1.3| CHRYSLER PT-Cruiser, Neon 1.6 01-</t>
  </si>
  <si>
    <t>6PK1453</t>
  </si>
  <si>
    <t>6PK1453   Р РµРјС–РЅСЊ (РїРѕР»С–РєР»РёРЅРѕРІРёР№) CONTI-V MULTIRIB</t>
  </si>
  <si>
    <t>226.24</t>
  </si>
  <si>
    <t>(6PK1453, 6PK1453)</t>
  </si>
  <si>
    <t>6PK1460</t>
  </si>
  <si>
    <t>6PK1460   Р РµРјС–РЅСЊ (РїРѕР»С–РєР»РёРЅРѕРІРёР№) CONTI-V MULTIRIB</t>
  </si>
  <si>
    <t>266.25</t>
  </si>
  <si>
    <t>(6PK1463, 6PK1462)</t>
  </si>
  <si>
    <t>6PK1468</t>
  </si>
  <si>
    <t>6PK1468   Р РµРјС–РЅСЊ (РїРѕР»С–РєР»РёРЅРѕРІРёР№) CONTI-V MULTIRIB</t>
  </si>
  <si>
    <t>256.91</t>
  </si>
  <si>
    <t>(6PK1470, 6PK1472)</t>
  </si>
  <si>
    <t>6PK1538</t>
  </si>
  <si>
    <t>6PK1538   Р РµРјС–РЅСЊ (РїРѕР»С–РєР»РёРЅРѕРІРёР№) CONTI-V MULTIRIB</t>
  </si>
  <si>
    <t>299.62</t>
  </si>
  <si>
    <t>(6PK1540, 6PK1538)</t>
  </si>
  <si>
    <t>6PK1548</t>
  </si>
  <si>
    <t>6PK1548   Р РµРјС–РЅСЊ (РїРѕР»С–РєР»РёРЅРѕРІРёР№) CONTI-V MULTIRIB</t>
  </si>
  <si>
    <t>304.34</t>
  </si>
  <si>
    <t>(6PK1548, 6PK1545)</t>
  </si>
  <si>
    <t>6PK1555</t>
  </si>
  <si>
    <t>6PK1555   Р РµРјС–РЅСЊ (РїРѕР»С–РєР»РёРЅРѕРІРёР№) CONTI-V MULTIRIB</t>
  </si>
  <si>
    <t>(6PK1555, 6PK1555)</t>
  </si>
  <si>
    <t>6PK1560</t>
  </si>
  <si>
    <t>6PK1560   Р РµРјС–РЅСЊ (РїРѕР»С–РєР»РёРЅРѕРІРёР№) CONTI-V MULTIRIB</t>
  </si>
  <si>
    <t>272.54</t>
  </si>
  <si>
    <t>(6PK1560, 6PK1558)</t>
  </si>
  <si>
    <t>6PK1570</t>
  </si>
  <si>
    <t>6PK1570   Р РµРјС–РЅСЊ (РїРѕР»С–РєР»РёРЅРѕРІРёР№) CONTI-V MULTIRIB</t>
  </si>
  <si>
    <t>310.97</t>
  </si>
  <si>
    <t>IVECO Cityclass 25  99-,   Europolis 05-</t>
  </si>
  <si>
    <t>6PK1613</t>
  </si>
  <si>
    <t>6PK1613   Р РµРјС–РЅСЊ (РїРѕР»С–РєР»РёРЅРѕРІРёР№) CONTI-V MULTIRIB</t>
  </si>
  <si>
    <t>241.09</t>
  </si>
  <si>
    <t>(6PK1613, 6PK1613)</t>
  </si>
  <si>
    <t>6PK1635</t>
  </si>
  <si>
    <t>6PK1635   Р РµРјС–РЅСЊ (РїРѕР»С–РєР»РёРЅРѕРІРёР№) CONTI-V MULTIRIB</t>
  </si>
  <si>
    <t>296.65</t>
  </si>
  <si>
    <t>(6PK1633, 6PK1635)</t>
  </si>
  <si>
    <t>6PK1642</t>
  </si>
  <si>
    <t>6PK1642   Р РµРјС–РЅСЊ (РїРѕР»С–РєР»РёРЅРѕРІРёР№) CONTI-V MULTIRIB</t>
  </si>
  <si>
    <t>252.80</t>
  </si>
  <si>
    <t>(6PK1640, 6PK1640)</t>
  </si>
  <si>
    <t>6PK1660</t>
  </si>
  <si>
    <t>6PK1660   Р РµРјС–РЅСЊ (РїРѕР»С–РєР»РёРЅРѕРІРёР№) CONTI-V MULTIRIB</t>
  </si>
  <si>
    <t>245.64</t>
  </si>
  <si>
    <t>(6PK1660, 6PK1660)</t>
  </si>
  <si>
    <t>6PK1670</t>
  </si>
  <si>
    <t>6PK1670   Р РµРјС–РЅСЊ (РїРѕР»С–РєР»РёРЅРѕРІРёР№) CONTI-V MULTIRIB</t>
  </si>
  <si>
    <t>263.11</t>
  </si>
  <si>
    <t>6PK1675</t>
  </si>
  <si>
    <t>6PK1675   Р РµРјС–РЅСЊ (РїРѕР»С–РєР»РёРЅРѕРІРёР№) CONTI-V MULTIRIB</t>
  </si>
  <si>
    <t>(6PK1675)</t>
  </si>
  <si>
    <t>6PK1685</t>
  </si>
  <si>
    <t>6PK1685   Р РµРјС–РЅСЊ (РїРѕР»С–РєР»РёРЅРѕРІРёР№) CONTI-V MULTIRIB</t>
  </si>
  <si>
    <t>276.03</t>
  </si>
  <si>
    <t>(6PK1685)</t>
  </si>
  <si>
    <t>6PK1693</t>
  </si>
  <si>
    <t>6PK1693   Р РµРјС–РЅСЊ (РїРѕР»С–РєР»РёРЅРѕРІРёР№) CONTI-V MULTIRIB</t>
  </si>
  <si>
    <t>311.50</t>
  </si>
  <si>
    <t>(6PK1693, 6PK1692)</t>
  </si>
  <si>
    <t>6PK1698</t>
  </si>
  <si>
    <t>6PK1698   Р РµРјС–РЅСЊ (РїРѕР»С–РєР»РёРЅРѕРІРёР№) CONTI-V MULTIRIB</t>
  </si>
  <si>
    <t>312.37</t>
  </si>
  <si>
    <t>(6PK1700, 6PK1700)</t>
  </si>
  <si>
    <t>6PK1705</t>
  </si>
  <si>
    <t>6PK1705   Р РµРјС–РЅСЊ (РїРѕР»С–РєР»РёРЅРѕРІРёР№) CONTI-V MULTIRIB</t>
  </si>
  <si>
    <t>287.22</t>
  </si>
  <si>
    <t>AUDI 100 2,5 TDi 91-94| Citroen Berlingo 1,6 HDi 05-|  FIAT Doblo 1,6/2,0JTD 10-, MB E180-E250- 13-,  OPEL Combo 1,6/2,0 CDTi  12-| PEUGEOT Partner 1,6 HDi  08-| RENAULT\t5 Super  1,1  84-96   (6PK1708, 6PK1705)</t>
  </si>
  <si>
    <t>6PK1725</t>
  </si>
  <si>
    <t>6PK1725   Р РµРјС–РЅСЊ (РїРѕР»С–РєР»РёРЅРѕРІРёР№) CONTI-V MULTIRIB</t>
  </si>
  <si>
    <t>278.82</t>
  </si>
  <si>
    <t>(6PK1725, 6PK1725)</t>
  </si>
  <si>
    <t>6PK1733</t>
  </si>
  <si>
    <t>6PK1733   Р РµРјС–РЅСЊ (РїРѕР»С–РєР»РёРЅРѕРІРёР№) CONTI-V MULTIRIB</t>
  </si>
  <si>
    <t>283.90</t>
  </si>
  <si>
    <t>(6PK1735, 6PK1733)</t>
  </si>
  <si>
    <t>6PK1740</t>
  </si>
  <si>
    <t>6PK1740   Р РµРјС–РЅСЊ (РїРѕР»С–РєР»РёРЅРѕРІРёР№) CONTI-V MULTIRIB</t>
  </si>
  <si>
    <t>265.67</t>
  </si>
  <si>
    <t>(6PK1740, 6PK1740)</t>
  </si>
  <si>
    <t>6PK1750</t>
  </si>
  <si>
    <t>6PK1750   Р РµРјС–РЅСЊ (РїРѕР»С–РєР»РёРЅРѕРІРёР№) CONTI-V MULTIRIB</t>
  </si>
  <si>
    <t>243.89</t>
  </si>
  <si>
    <t>(6PK1750)</t>
  </si>
  <si>
    <t>6PK1767</t>
  </si>
  <si>
    <t>6PK1767   Р РµРјС–РЅСЊ (РїРѕР»С–РєР»РёРЅРѕРІРёР№) CONTI-V MULTIRIB</t>
  </si>
  <si>
    <t>323.73</t>
  </si>
  <si>
    <t>(6PK1768)</t>
  </si>
  <si>
    <t>6PK1800</t>
  </si>
  <si>
    <t>6PK1800   Р РµРјС–РЅСЊ (РїРѕР»С–РєР»РёРЅРѕРІРёР№) CONTI-V MULTIRIB</t>
  </si>
  <si>
    <t>308.35</t>
  </si>
  <si>
    <t>Opel Astra/Omega/Vectra  2.0DI/2.2DTI   96-</t>
  </si>
  <si>
    <t>6PK1815</t>
  </si>
  <si>
    <t>6PK1815   Р РµРјС–РЅСЊ (РїРѕР»С–РєР»РёРЅРѕРІРёР№) CONTI-V MULTIRIB</t>
  </si>
  <si>
    <t>224.20</t>
  </si>
  <si>
    <t>(6PK1818, 6PK1815)</t>
  </si>
  <si>
    <t>6PK1820</t>
  </si>
  <si>
    <t>6PK1820   Р РµРјС–РЅСЊ (РїРѕР»С–РєР»РёРЅРѕРІРёР№) CONTI-V MULTIRIB</t>
  </si>
  <si>
    <t>320.06</t>
  </si>
  <si>
    <t>Dacia Logan 1.4/1.6, FORD ORION/SIERRA/SCORPIO</t>
  </si>
  <si>
    <t>6PK1830</t>
  </si>
  <si>
    <t>6PK1830   Р РµРјС–РЅСЊ (РїРѕР»С–РєР»РёРЅРѕРІРёР№) CONTI-V MULTIRIB</t>
  </si>
  <si>
    <t>329.90</t>
  </si>
  <si>
    <t>BMW 3, Mitsubishi Outlander 2.0  03-, Renault Trafic Р†Р† 1,9 dCi</t>
  </si>
  <si>
    <t>6PK1863</t>
  </si>
  <si>
    <t>6PK1863   Р РµРјС–РЅСЊ (РїРѕР»С–РєР»РёРЅРѕРІРёР№) CONTI-V MULTIRIB</t>
  </si>
  <si>
    <t>301.89</t>
  </si>
  <si>
    <t>(6PK1863, 6PK1865)</t>
  </si>
  <si>
    <t>6PK1870</t>
  </si>
  <si>
    <t>6PK1870   Р РµРјС–РЅСЊ (РїРѕР»С–РєР»РёРЅРѕРІРёР№) CONTI-V MULTIRIB</t>
  </si>
  <si>
    <t>338.75</t>
  </si>
  <si>
    <t>(6PK1873, 6PK1873)</t>
  </si>
  <si>
    <t>6PK1873</t>
  </si>
  <si>
    <t>6PK1873   Р РµРјС–РЅСЊ (РїРѕР»С–РєР»РёРЅРѕРІРёР№) CONTI-V MULTIRIB</t>
  </si>
  <si>
    <t>310.18</t>
  </si>
  <si>
    <t>AUDI, DB, VW, BMW, OPEL  Chevrolet Cruze (J300) 1,6 09-</t>
  </si>
  <si>
    <t>6PK1880</t>
  </si>
  <si>
    <t>6PK1880   Р РµРјС–РЅСЊ (РїРѕР»С–РєР»РёРЅРѕРІРёР№) CONTI-V MULTIRIB</t>
  </si>
  <si>
    <t>291.93</t>
  </si>
  <si>
    <t>(6PK1880, 6PK1880)</t>
  </si>
  <si>
    <t>6PK1885</t>
  </si>
  <si>
    <t>6PK1885   Р РµРјС–РЅСЊ (РїРѕР»С–РєР»РёРЅРѕРІРёР№) CONTI-V MULTIRIB</t>
  </si>
  <si>
    <t>295.43</t>
  </si>
  <si>
    <t>(6PK1888, 6PK1885)</t>
  </si>
  <si>
    <t>6PK1900</t>
  </si>
  <si>
    <t>6PK1900   Р РµРјС–РЅСЊ (РїРѕР»С–РєР»РёРЅРѕРІРёР№) CONTI-V MULTIRIB</t>
  </si>
  <si>
    <t>282.15</t>
  </si>
  <si>
    <t>(6PK1900)</t>
  </si>
  <si>
    <t>6PK1920</t>
  </si>
  <si>
    <t>6PK1920   Р РµРјС–РЅСЊ (РїРѕР»С–РєР»РёРЅРѕРІРёР№) CONTI-V MULTIRIB</t>
  </si>
  <si>
    <t>(6PK1920, 6PK1920)</t>
  </si>
  <si>
    <t>6PK1980</t>
  </si>
  <si>
    <t>6PK1980   Р РµРјС–РЅСЊ (РїРѕР»С–РєР»РёРЅРѕРІРёР№) CONTI-V MULTIRIB</t>
  </si>
  <si>
    <t>269.22</t>
  </si>
  <si>
    <t>(6PK1980, 6PK1980)</t>
  </si>
  <si>
    <t>6PK2000</t>
  </si>
  <si>
    <t>6PK2000   Р РµРјС–РЅСЊ (РїРѕР»С–РєР»РёРЅРѕРІРёР№) CONTI-V MULTIRIB</t>
  </si>
  <si>
    <t>351.86</t>
  </si>
  <si>
    <t>(6PK2000, 6PK2000)</t>
  </si>
  <si>
    <t>6PK2020</t>
  </si>
  <si>
    <t>6PK2020   Р РµРјС–РЅСЊ (РїРѕР»С–РєР»РёРЅРѕРІРёР№) CONTI-V MULTIRIB</t>
  </si>
  <si>
    <t>364.63</t>
  </si>
  <si>
    <t>(6PK2020, 6PK2020)</t>
  </si>
  <si>
    <t>6PK2030</t>
  </si>
  <si>
    <t>6PK2030   Р РµРјС–РЅСЊ (РїРѕР»С–РєР»РёРЅРѕРІРёР№) CONTI-V MULTIRIB</t>
  </si>
  <si>
    <t>370.03</t>
  </si>
  <si>
    <t>(6PK2030)</t>
  </si>
  <si>
    <t>6PK2040</t>
  </si>
  <si>
    <t>6PK2040   Р РµРјС–РЅСЊ (РїРѕР»С–РєР»РёРЅРѕРІРёР№) CONTI-V MULTIRIB</t>
  </si>
  <si>
    <t>174.53</t>
  </si>
  <si>
    <t>(6PK2040)</t>
  </si>
  <si>
    <t>6PK2050</t>
  </si>
  <si>
    <t>6PK2050   Р РµРјС–РЅСЊ (РїРѕР»С–РєР»РёРЅРѕРІРёР№) CONTI-V MULTIRIB</t>
  </si>
  <si>
    <t>342.42</t>
  </si>
  <si>
    <t>(6PK2050)</t>
  </si>
  <si>
    <t>6PK2080</t>
  </si>
  <si>
    <t>6PK2080   Р РµРјС–РЅСЊ (РїРѕР»С–РєР»РёРЅРѕРІРёР№) CONTI-V MULTIRIB</t>
  </si>
  <si>
    <t>354.51</t>
  </si>
  <si>
    <t>(6PK2083, 6PK2080)</t>
  </si>
  <si>
    <t>6PK2130</t>
  </si>
  <si>
    <t>6PK2130   Р РµРјС–РЅСЊ (РїРѕР»С–РєР»РёРЅРѕРІРёР№) CONTI-V MULTIRIB</t>
  </si>
  <si>
    <t>389.94</t>
  </si>
  <si>
    <t xml:space="preserve">VW T4, DB W463/W210/SPRINTER   </t>
  </si>
  <si>
    <t>6PK2160</t>
  </si>
  <si>
    <t>6PK2160   Р РµРјС–РЅСЊ (РїРѕР»С–РєР»РёРЅРѕРІРёР№) CONTI-V MULTIRIB</t>
  </si>
  <si>
    <t>388.73</t>
  </si>
  <si>
    <t>(6PK2160, 6PK2160)</t>
  </si>
  <si>
    <t>6PK2190</t>
  </si>
  <si>
    <t>6PK2190   Р РµРјС–РЅСЊ (РїРѕР»С–РєР»РёРЅРѕРІРёР№) CONTI-V MULTIRIB</t>
  </si>
  <si>
    <t>348.36</t>
  </si>
  <si>
    <t>MB  C-classe (W203) 2,2/2,7 CDI  01-09</t>
  </si>
  <si>
    <t>6PK2196</t>
  </si>
  <si>
    <t>6PK2196   Р РµРјС–РЅСЊ (РїРѕР»С–РєР»РёРЅРѕРІРёР№) CONTI-V MULTIRIB</t>
  </si>
  <si>
    <t>377.27</t>
  </si>
  <si>
    <t>(6PK2193, 6PK2195)</t>
  </si>
  <si>
    <t>6PK2241</t>
  </si>
  <si>
    <t>6PK2241   Р РµРјС–РЅСЊ (РїРѕР»С–РєР»РёРЅРѕРІРёР№) CONTI-V MULTIRIB</t>
  </si>
  <si>
    <t>409.86</t>
  </si>
  <si>
    <t>(6PK2238, 6PK2240)</t>
  </si>
  <si>
    <t>6PK2245</t>
  </si>
  <si>
    <t>6PK2245   Р РµРјС–РЅСЊ (РїРѕР»С–РєР»РёРЅРѕРІРёР№) CONTI-V MULTIRIB</t>
  </si>
  <si>
    <t>375.97</t>
  </si>
  <si>
    <t>6PK2250</t>
  </si>
  <si>
    <t>6PK2250   Р РµРјС–РЅСЊ (РїРѕР»С–РєР»РёРЅРѕРІРёР№) CONTI-V MULTIRIB</t>
  </si>
  <si>
    <t>401.65</t>
  </si>
  <si>
    <t>DB</t>
  </si>
  <si>
    <t>6PK2257</t>
  </si>
  <si>
    <t>6PK2257   Р РµРјС–РЅСЊ (РїРѕР»С–РєР»РёРЅРѕРІРёР№) CONTI-V MULTIRIB</t>
  </si>
  <si>
    <t>397.16</t>
  </si>
  <si>
    <t>DB W124/S124/W126/W210/W463/R129</t>
  </si>
  <si>
    <t>6PK2260</t>
  </si>
  <si>
    <t>6PK2260   Р РµРјС–РЅСЊ (РїРѕР»С–РєР»РёРЅРѕРІРёР№) CONTI-V MULTIRIB</t>
  </si>
  <si>
    <t>399.20</t>
  </si>
  <si>
    <t>(6PK2260, 6PK2263)</t>
  </si>
  <si>
    <t>6PK2264</t>
  </si>
  <si>
    <t>6PK2264   Р РµРјС–РЅСЊ (РїРѕР»С–РєР»РёРЅРѕРІРёР№) CONTI-V MULTIRIB</t>
  </si>
  <si>
    <t>418.59</t>
  </si>
  <si>
    <t>MERCEDES SPRINTER 314,308CDI,311CDI,313CDI,316CDI</t>
  </si>
  <si>
    <t>6PK2285</t>
  </si>
  <si>
    <t>6PK2285   Р РµРјС–РЅСЊ (РїРѕР»С–РєР»РёРЅРѕРІРёР№) CONTI-V MULTIRIB</t>
  </si>
  <si>
    <t>393.44</t>
  </si>
  <si>
    <t>(6PK2285, 6PK2290)</t>
  </si>
  <si>
    <t>6PK2380</t>
  </si>
  <si>
    <t>6PK2380   Р РµРјС–РЅСЊ (РїРѕР»С–РєР»РёРЅРѕРІРёР№) CONTI-V MULTIRIB</t>
  </si>
  <si>
    <t>414.92</t>
  </si>
  <si>
    <t>(6PK2380, 6PK2385)</t>
  </si>
  <si>
    <t>6PK2390</t>
  </si>
  <si>
    <t>6PK2390   Р РµРјС–РЅСЊ (РїРѕР»С–РєР»РёРЅРѕРІРёР№) CONTI-V MULTIRIB</t>
  </si>
  <si>
    <t>439.38</t>
  </si>
  <si>
    <t>(6PK2390)</t>
  </si>
  <si>
    <t>6PK2475</t>
  </si>
  <si>
    <t>6PK2475   Р РµРјС–РЅСЊ (РїРѕР»С–РєР»РёРЅРѕРІРёР№) CONTI-V MULTIRIB</t>
  </si>
  <si>
    <t>452.49</t>
  </si>
  <si>
    <t>6PK730</t>
  </si>
  <si>
    <t>6PK730   Р РµРјС–РЅСЊ (РїРѕР»С–РєР»РёРЅРѕРІРёР№) CONTI-V MULTIRIB</t>
  </si>
  <si>
    <t>165.27</t>
  </si>
  <si>
    <t>(6PK730, 6PK730)</t>
  </si>
  <si>
    <t>6PK745</t>
  </si>
  <si>
    <t>6PK745   Р РµРјС–РЅСЊ (РїРѕР»С–РєР»РёРЅРѕРІРёР№) CONTI-V MULTIRIB</t>
  </si>
  <si>
    <t>168.24</t>
  </si>
  <si>
    <t>(6PK745, 6PK745)</t>
  </si>
  <si>
    <t>6PK800</t>
  </si>
  <si>
    <t>6PK800   Р РµРјС–РЅСЊ (РїРѕР»С–РєР»РёРЅРѕРІРёР№) CONTI-V MULTIRIB</t>
  </si>
  <si>
    <t>170.16</t>
  </si>
  <si>
    <t>(6PK803, 6PK800)</t>
  </si>
  <si>
    <t>6PK844</t>
  </si>
  <si>
    <t>6PK844   Р РµРјС–РЅСЊ (РїРѕР»С–РєР»РёРЅРѕРІРёР№) CONTI-V MULTIRIB</t>
  </si>
  <si>
    <t>193.22</t>
  </si>
  <si>
    <t>6PK875</t>
  </si>
  <si>
    <t>6PK875   Р РµРјС–РЅСЊ (РїРѕР»С–РєР»РёРЅРѕРІРёР№) CONTI-V MULTIRIB</t>
  </si>
  <si>
    <t>179.77</t>
  </si>
  <si>
    <t>Citroen Jumper/Peugeot Boxer 2,0/2,2HDI  02-: Opel Movano 2,5D 98-00| Renault 19 1,8 16V -96| Mini Cooper 1,6 01-06|  Toyota ...(РґРёРІ. РєР°С‚Р°Р»РѕРі)</t>
  </si>
  <si>
    <t>6PK894</t>
  </si>
  <si>
    <t>6PK894   Р РµРјС–РЅСЊ (РїРѕР»С–РєР»РёРЅРѕРІРёР№) CONTI-V MULTIRIB</t>
  </si>
  <si>
    <t>201.78</t>
  </si>
  <si>
    <t>(6PK893, 6PK894)</t>
  </si>
  <si>
    <t>6PK900</t>
  </si>
  <si>
    <t>6PK900   Р РµРјС–РЅСЊ (РїРѕР»С–РєР»РёРЅРѕРІРёР№) CONTI-V MULTIRIB</t>
  </si>
  <si>
    <t>169.29</t>
  </si>
  <si>
    <t>(6PK900, 6PK900)</t>
  </si>
  <si>
    <t>6PK906</t>
  </si>
  <si>
    <t>6PK906   Р РµРјС–РЅСЊ (РїРѕР»С–РєР»РёРЅРѕРІРёР№) CONTI-V MULTIRIB</t>
  </si>
  <si>
    <t>186.78</t>
  </si>
  <si>
    <t>(6PK905, 6PK906)</t>
  </si>
  <si>
    <t>6PK915</t>
  </si>
  <si>
    <t>6PK915   Р РµРјС–РЅСЊ (РїРѕР»С–РєР»РёРЅРѕРІРёР№) CONTI-V MULTIRIB</t>
  </si>
  <si>
    <t>(6PK913, 6PK915)</t>
  </si>
  <si>
    <t>6PK923</t>
  </si>
  <si>
    <t>6PK923   Р РµРјС–РЅСЊ (РїРѕР»С–РєР»РёРЅРѕРІРёР№) CONTI-V MULTIRIB</t>
  </si>
  <si>
    <t>VW, SEAT, FORD, PEUGEOT, FIAT</t>
  </si>
  <si>
    <t>6PK948</t>
  </si>
  <si>
    <t>6PK948   Р РµРјС–РЅСЊ (РїРѕР»С–РєР»РёРЅРѕРІРёР№) CONTI-V MULTIRIB</t>
  </si>
  <si>
    <t>200.04</t>
  </si>
  <si>
    <t>(6PK948, 6PK950)</t>
  </si>
  <si>
    <t>6PK955</t>
  </si>
  <si>
    <t>6PK955   Р РµРјС–РЅСЊ (РїРѕР»С–РєР»РёРЅРѕРІРёР№) CONTI-V MULTIRIB</t>
  </si>
  <si>
    <t>190.95</t>
  </si>
  <si>
    <t>6PK976</t>
  </si>
  <si>
    <t>6PK976   Р РµРјС–РЅСЊ (РїРѕР»С–РєР»РёРЅРѕРІРёР№) CONTI-V MULTIRIB</t>
  </si>
  <si>
    <t>203.18</t>
  </si>
  <si>
    <t>(6PK975, 6PK975)</t>
  </si>
  <si>
    <t>7PK1076</t>
  </si>
  <si>
    <t>7PK1076   Р РµРјС–РЅСЊ (РїРѕР»С–РєР»РёРЅРѕРІРёР№) CONTI-V MULTIRIB</t>
  </si>
  <si>
    <t>251.23</t>
  </si>
  <si>
    <t>FIAT Ducato (243,244,245,250,251)   2,3JTD   2008-   (7PK1076)</t>
  </si>
  <si>
    <t>7PK1113</t>
  </si>
  <si>
    <t>7PK1113   Р РµРјС–РЅСЊ (РїРѕР»С–РєР»РёРЅРѕРІРёР№) CONTI-V MULTIRIB</t>
  </si>
  <si>
    <t>242.14</t>
  </si>
  <si>
    <t>Renault Master/Opel Movano 2.5 CDTI  2003-</t>
  </si>
  <si>
    <t>7PK1145</t>
  </si>
  <si>
    <t>7PK1145   Р РµРјС–РЅСЊ (РїРѕР»С–РєР»РёРЅРѕРІРёР№) CONTI-V MULTIRIB</t>
  </si>
  <si>
    <t>Renault Master/Opel Movano 2.2/2.5 CDTI  2001-</t>
  </si>
  <si>
    <t>7PK1605</t>
  </si>
  <si>
    <t>7PK1605   Р РµРјС–РЅСЊ (РїРѕР»С–РєР»РёРЅРѕРІРёР№) CONTI-V MULTIRIB</t>
  </si>
  <si>
    <t>329.14</t>
  </si>
  <si>
    <t>(7PK1605, 7PK1605)</t>
  </si>
  <si>
    <t>7PK1730</t>
  </si>
  <si>
    <t>7PK1730   Р РµРјС–РЅСЊ (РїРѕР»С–РєР»РёРЅРѕРІРёР№) CONTI-V MULTIRIB</t>
  </si>
  <si>
    <t>381.38</t>
  </si>
  <si>
    <t>KIA Sorento 2.5 CRDI 02-, Honda CR-V 2.0  2002-</t>
  </si>
  <si>
    <t>7PK1795</t>
  </si>
  <si>
    <t>7PK1795   Р РµРјС–РЅСЊ (РїРѕР»С–РєР»РёРЅРѕРІРёР№) CONTI-V MULTIRIB</t>
  </si>
  <si>
    <t>277.14</t>
  </si>
  <si>
    <t>7PK1920</t>
  </si>
  <si>
    <t>7PK1920   Р РµРјС–РЅСЊ (РїРѕР»С–РєР»РёРЅРѕРІРёР№) CONTI-V MULTIRIB</t>
  </si>
  <si>
    <t>439.21</t>
  </si>
  <si>
    <t xml:space="preserve">Renault  MASTER 3,0 DCI /OPEL MOVANO/ TOYOTA AVENSIS  </t>
  </si>
  <si>
    <t>7PK2061</t>
  </si>
  <si>
    <t>7PK2061   Р РµРјС–РЅСЊ (РїРѕР»С–РєР»РёРЅРѕРІРёР№) CONTI-V MULTIRIB</t>
  </si>
  <si>
    <t>449.08</t>
  </si>
  <si>
    <t>HONDA Civic VIII 1,8 , CR-V III  2,0   06-</t>
  </si>
  <si>
    <t>7PK2283</t>
  </si>
  <si>
    <t>7PK2283   Р РµРјС–РЅСЊ (РїРѕР»С–РєР»РёРЅРѕРІРёР№) CONTI-V MULTIRIB</t>
  </si>
  <si>
    <t>441.13</t>
  </si>
  <si>
    <t>KIA Sorento 2,5CRDi, Hyundai 2,5CRDi 2002-| MB S-class 4,0 CDI 00-05| Jeep Grand Cherokee  5,2i  92-99</t>
  </si>
  <si>
    <t>7PK2418</t>
  </si>
  <si>
    <t>7PK2418   Р РµРјС–РЅСЊ (РїРѕР»С–РєР»РёРЅРѕРІРёР№) CONTI-V MULTIRIB</t>
  </si>
  <si>
    <t>480.78</t>
  </si>
  <si>
    <t xml:space="preserve">MB C/E-classe 1,6/1,8 Kompressor 02-   (7PK2418) </t>
  </si>
  <si>
    <t>7PK2842</t>
  </si>
  <si>
    <t>7PK2842   Р РµРјС–РЅСЊ (РїРѕР»С–РєР»РёРЅРѕРІРёР№) CONTI-V MULTIRIB</t>
  </si>
  <si>
    <t>468.56</t>
  </si>
  <si>
    <t>7PK2875</t>
  </si>
  <si>
    <t>7PK2875   Р РµРјС–РЅСЊ (РїРѕР»С–РєР»РёРЅРѕРІРёР№) CONTI-V MULTIRIB</t>
  </si>
  <si>
    <t>548.75</t>
  </si>
  <si>
    <t>(7PK2875XS, 7PK2872)</t>
  </si>
  <si>
    <t>8PK1215</t>
  </si>
  <si>
    <t>8PK1215   Р РµРјС–РЅСЊ (РїРѕР»С–РєР»РёРЅРѕРІРёР№) CONTI-V MULTIRIB</t>
  </si>
  <si>
    <t>346.79</t>
  </si>
  <si>
    <t>MB Actros MP2/MP3   97- / 03- / 08-</t>
  </si>
  <si>
    <t>8PK1538</t>
  </si>
  <si>
    <t>8PK1538   Р РµРјС–РЅСЊ (РїРѕР»С–РєР»РёРЅРѕРІРёР№) CONTI-V MULTIRIB</t>
  </si>
  <si>
    <t>8PK1715</t>
  </si>
  <si>
    <t>8PK1715   Р РµРјС–РЅСЊ (РїРѕР»С–РєР»РёРЅРѕРІРёР№) CONTI-V MULTIRIB</t>
  </si>
  <si>
    <t>518.00</t>
  </si>
  <si>
    <t>DAF XF95 2002-/VOLVO</t>
  </si>
  <si>
    <t>8PK1815</t>
  </si>
  <si>
    <t>8PK1815   Р РµРјС–РЅСЊ (РїРѕР»С–РєР»РёРЅРѕРІРёР№) CONTI-V MULTIRIB</t>
  </si>
  <si>
    <t>407.59</t>
  </si>
  <si>
    <t>8PK1940</t>
  </si>
  <si>
    <t>8PK1940   Р РµРјС–РЅСЊ (РїРѕР»С–РєР»РёРЅРѕРІРёР№) CONTI-V MULTIRIB</t>
  </si>
  <si>
    <t>273.76</t>
  </si>
  <si>
    <t>8PK2080</t>
  </si>
  <si>
    <t>8PK2080   Р РµРјС–РЅСЊ (РїРѕР»С–РєР»РёРЅРѕРІРёР№) CONTI-V MULTIRIB</t>
  </si>
  <si>
    <t>431.35</t>
  </si>
  <si>
    <t>MB Atego 98-/04-| Axor 02-| Vario 06-|   Scania P,G,R,T 2004-,</t>
  </si>
  <si>
    <t>AVX10X1000</t>
  </si>
  <si>
    <t>10X1000   Р РµРјС–РЅСЊ (РєР»РёРЅРѕРІРёР№) CONTI SF</t>
  </si>
  <si>
    <t>55.97</t>
  </si>
  <si>
    <t>OPEL, FORD, FIAT, RENAULT, VW, SKODA, VOLVO, PEUGEOT (6220MC, 10A1000C)</t>
  </si>
  <si>
    <t>AVX10X1025</t>
  </si>
  <si>
    <t>10X1025   Р РµРјС–РЅСЊ (РєР»РёРЅРѕРІРёР№) CONTI SF</t>
  </si>
  <si>
    <t>OPEL, SAAB, RENAULT, PEUGEOT, FIAT, VW  (6221MC, 10A1025C)</t>
  </si>
  <si>
    <t>AVX10X1050</t>
  </si>
  <si>
    <t>10X1050   Р РµРјС–РЅСЊ (РєР»РёРЅРѕРІРёР№) CONTI SF</t>
  </si>
  <si>
    <t>89.10</t>
  </si>
  <si>
    <t>GAZ Р’РѕР»РіР°, Р“Р°Р·РµР»СЊ  2,4  (8V) 93-11   (6222MC, 10A1050C)</t>
  </si>
  <si>
    <t>AVX10X1075</t>
  </si>
  <si>
    <t>10X1075   Р РµРјС–РЅСЊ (РєР»РёРЅРѕРІРёР№) CONTI SF</t>
  </si>
  <si>
    <t>66.08</t>
  </si>
  <si>
    <t>(6223MC, 10A1075C)</t>
  </si>
  <si>
    <t>AVX10X1100</t>
  </si>
  <si>
    <t>10X1100   Р РµРјС–РЅСЊ (РєР»РёРЅРѕРІРёР№) CONTI SF</t>
  </si>
  <si>
    <t>75.47</t>
  </si>
  <si>
    <t>(6224MC, 10A1100C)</t>
  </si>
  <si>
    <t>AVX10X1125</t>
  </si>
  <si>
    <t>10X1125   Р РµРјС–РЅСЊ (РєР»РёРЅРѕРІРёР№) CONTI SF</t>
  </si>
  <si>
    <t>90.67</t>
  </si>
  <si>
    <t>(6225MC, 10A1125C)</t>
  </si>
  <si>
    <t>AVX10X1140</t>
  </si>
  <si>
    <t>10X1140   Р РµРјС–РЅСЊ (РєР»РёРЅРѕРІРёР№) CONTI SF</t>
  </si>
  <si>
    <t>94.17</t>
  </si>
  <si>
    <t>(6269MC, 10A1140C)</t>
  </si>
  <si>
    <t>AVX10X1150</t>
  </si>
  <si>
    <t>10X1150   Р РµРјС–РЅСЊ (РєР»РёРЅРѕРІРёР№) CONTI SF</t>
  </si>
  <si>
    <t>92.42</t>
  </si>
  <si>
    <t>(6226MC, 10A1150C)</t>
  </si>
  <si>
    <t>AVX10X1175</t>
  </si>
  <si>
    <t>10X1175   Р РµРјС–РЅСЊ (РєР»РёРЅРѕРІРёР№) CONTI SF</t>
  </si>
  <si>
    <t>AVX10X1200</t>
  </si>
  <si>
    <t>10X1200   Р РµРјС–РЅСЊ (РєР»РёРЅРѕРІРёР№) CONTI SF</t>
  </si>
  <si>
    <t>AVX10X1200\n</t>
  </si>
  <si>
    <t>AVX10X1215</t>
  </si>
  <si>
    <t>10X1215   Р РµРјС–РЅСЊ (РєР»РёРЅРѕРІРёР№) CONTI SF</t>
  </si>
  <si>
    <t>112.34</t>
  </si>
  <si>
    <t>AVX10X1225</t>
  </si>
  <si>
    <t>10X1225   Р РµРјС–РЅСЊ (РєР»РёРЅРѕРІРёР№) CONTI SF</t>
  </si>
  <si>
    <t>AVX10X1225\n</t>
  </si>
  <si>
    <t>AVX10X1250</t>
  </si>
  <si>
    <t>10X1250   Р РµРјС–РЅСЊ (РєР»РёРЅРѕРІРёР№) CONTI SF</t>
  </si>
  <si>
    <t>107.27</t>
  </si>
  <si>
    <t>(6230MC, 10A1250C)</t>
  </si>
  <si>
    <t>AVX10X1275</t>
  </si>
  <si>
    <t>10X1275   Р РµРјС–РЅСЊ (РєР»РёРЅРѕРІРёР№) CONTI SF</t>
  </si>
  <si>
    <t>102.55</t>
  </si>
  <si>
    <t>AVX10X1275\n</t>
  </si>
  <si>
    <t>AVX10X1300</t>
  </si>
  <si>
    <t>10X1300   Р РµРјС–РЅСЊ (РєР»РёРЅРѕРІРёР№) CONTI SF</t>
  </si>
  <si>
    <t>104.12</t>
  </si>
  <si>
    <t>MAN M90 -96|   Iveco Zeta -91</t>
  </si>
  <si>
    <t>AVX10X1325</t>
  </si>
  <si>
    <t>10X1325   Р РµРјС–РЅСЊ (РєР»РёРЅРѕРІРёР№) CONTI SF</t>
  </si>
  <si>
    <t>112.86</t>
  </si>
  <si>
    <t>AVX10X1325\n</t>
  </si>
  <si>
    <t>AVX10X1350</t>
  </si>
  <si>
    <t>10X1350   Р РµРјС–РЅСЊ (РєР»РёРЅРѕРІРёР№) CONTI SF</t>
  </si>
  <si>
    <t>113.03</t>
  </si>
  <si>
    <t>AVX10X1350\n</t>
  </si>
  <si>
    <t>AVX10X1375</t>
  </si>
  <si>
    <t>10X1375   Р РµРјС–РЅСЊ (РєР»РёРЅРѕРІРёР№) CONTI SF</t>
  </si>
  <si>
    <t>111.93</t>
  </si>
  <si>
    <t>AVX10X1375\n</t>
  </si>
  <si>
    <t>AVX10X1400</t>
  </si>
  <si>
    <t>10X1400   Р РµРјС–РЅСЊ (РєР»РёРЅРѕРІРёР№) CONTI SF</t>
  </si>
  <si>
    <t>(6236ESC, 10A1400C)</t>
  </si>
  <si>
    <t>AVX10X1425</t>
  </si>
  <si>
    <t>10X1425   Р РµРјС–РЅСЊ (РєР»РёРЅРѕРІРёР№) CONTI SF</t>
  </si>
  <si>
    <t>124.74</t>
  </si>
  <si>
    <t>AVX10X1500</t>
  </si>
  <si>
    <t>10X1500   Р РµРјС–РЅСЊ (РєР»РёРЅРѕРІРёР№) CONTI SF</t>
  </si>
  <si>
    <t>116.18</t>
  </si>
  <si>
    <t>(6240ESC, 10A1500GL)</t>
  </si>
  <si>
    <t>AVX10X1700</t>
  </si>
  <si>
    <t>10X1700   Р РµРјС–РЅСЊ (РєР»РёРЅРѕРІРёР№) CONTI SF</t>
  </si>
  <si>
    <t>159.33</t>
  </si>
  <si>
    <t>AVX10X1750</t>
  </si>
  <si>
    <t>10X1750   Р РµРјС–РЅСЊ (РєР»РёРЅРѕРІРёР№) CONTI SF</t>
  </si>
  <si>
    <t>133.47</t>
  </si>
  <si>
    <t># MAN</t>
  </si>
  <si>
    <t>AVX10X580</t>
  </si>
  <si>
    <t>10X580   Р РµРјС–РЅСЊ (РєР»РёРЅРѕРІРёР№) CONTI SF</t>
  </si>
  <si>
    <t>66.21</t>
  </si>
  <si>
    <t>AVX10X580\n</t>
  </si>
  <si>
    <t>AVX10X613</t>
  </si>
  <si>
    <t>10X613   Р РµРјС–РЅСЊ (РєР»РёРЅРѕРІРёР№) CONTI SF</t>
  </si>
  <si>
    <t>61.15</t>
  </si>
  <si>
    <t>(6281MC, 10A0615C)</t>
  </si>
  <si>
    <t>AVX10X630</t>
  </si>
  <si>
    <t>10X630   Р РµРјС–РЅСЊ (РєР»РёРЅРѕРІРёР№) CONTI SF</t>
  </si>
  <si>
    <t>62.72</t>
  </si>
  <si>
    <t>AVX10X630\n</t>
  </si>
  <si>
    <t>AVX10X635</t>
  </si>
  <si>
    <t>10X635   Р РµРјС–РЅСЊ (РєР»РёРЅРѕРІРёР№) CONTI SF</t>
  </si>
  <si>
    <t>(6283MC, 10A0635C)</t>
  </si>
  <si>
    <t>AVX10X650</t>
  </si>
  <si>
    <t>10X650   Р РµРјС–РЅСЊ (РєР»РёРЅРѕРІРёР№) CONTI SF</t>
  </si>
  <si>
    <t>55.21</t>
  </si>
  <si>
    <t>(6206MC, 10A0650C)</t>
  </si>
  <si>
    <t>AVX10X685</t>
  </si>
  <si>
    <t>10X685   Р РµРјС–РЅСЊ (РєР»РёРЅРѕРІРёР№) CONTI SF</t>
  </si>
  <si>
    <t>64.47</t>
  </si>
  <si>
    <t>(10A0683C)</t>
  </si>
  <si>
    <t>AVX10X690</t>
  </si>
  <si>
    <t>10X690   Р РµРјС–РЅСЊ (РєР»РёРЅРѕРІРёР№) CONTI SF</t>
  </si>
  <si>
    <t>(6280MC, 10A0690C)</t>
  </si>
  <si>
    <t>AVX10X700</t>
  </si>
  <si>
    <t>10X700   Р РµРјС–РЅСЊ (РєР»РёРЅРѕРІРёР№) CONTI SF</t>
  </si>
  <si>
    <t>(6208MC, 10A0700C)</t>
  </si>
  <si>
    <t>AVX10X710</t>
  </si>
  <si>
    <t>10X710   Р РµРјС–РЅСЊ (РєР»РёРЅРѕРІРёР№) CONTI SF</t>
  </si>
  <si>
    <t>(6261MC, 10A710C) VAZ 2108</t>
  </si>
  <si>
    <t>AVX10X725</t>
  </si>
  <si>
    <t>10X725   Р РµРјС–РЅСЊ (РєР»РёРЅРѕРІРёР№) CONTI SF</t>
  </si>
  <si>
    <t>63.24</t>
  </si>
  <si>
    <t>(6209MC, 10A0725C) Tavria 1.1</t>
  </si>
  <si>
    <t>AVX10X730</t>
  </si>
  <si>
    <t>10X730   Р РµРјС–РЅСЊ (РєР»РёРЅРѕРІРёР№) CONTI SF</t>
  </si>
  <si>
    <t>49.73</t>
  </si>
  <si>
    <t>(6260MC)</t>
  </si>
  <si>
    <t>AVX10X735</t>
  </si>
  <si>
    <t>10X735   Р РµРјС–РЅСЊ (РєР»РёРЅРѕРІРёР№) CONTI SF</t>
  </si>
  <si>
    <t>(6260MC, 10A0735C)</t>
  </si>
  <si>
    <t>AVX10X750</t>
  </si>
  <si>
    <t>10X750   Р РµРјС–РЅСЊ (РєР»РёРЅРѕРІРёР№) CONTI SF</t>
  </si>
  <si>
    <t>(6210MC, 10A0750C)</t>
  </si>
  <si>
    <t>AVX10X763</t>
  </si>
  <si>
    <t>10X763   Р РµРјС–РЅСЊ (РєР»РёРЅРѕРІРёР№) CONTI SF   !!!Р·Р°РјС–РЅР° РґР»СЏ 10X765</t>
  </si>
  <si>
    <t>71.10</t>
  </si>
  <si>
    <t>AVX10X785</t>
  </si>
  <si>
    <t>10X785   Р РµРјС–РЅСЊ (РєР»РёРЅРѕРІРёР№) CONTI SF</t>
  </si>
  <si>
    <t>AVX10X785\n</t>
  </si>
  <si>
    <t>AVX10X788</t>
  </si>
  <si>
    <t>10X788   Р РµРјС–РЅСЊ (РєР»РёРЅРѕРІРёР№) CONTI SF</t>
  </si>
  <si>
    <t>(6273MC, 10A0790C)</t>
  </si>
  <si>
    <t>AVX10X800</t>
  </si>
  <si>
    <t>10X800   Р РµРјС–РЅСЊ (РєР»РёРЅРѕРІРёР№) CONTI SF</t>
  </si>
  <si>
    <t>51.08</t>
  </si>
  <si>
    <t>(6212MC, 10A0800C)</t>
  </si>
  <si>
    <t>AVX10X813</t>
  </si>
  <si>
    <t>10X813   Р РµРјС–РЅСЊ (РєР»РёРЅРѕРІРёР№) CONTI SF</t>
  </si>
  <si>
    <t>67.44</t>
  </si>
  <si>
    <t>(6262MC, 10A0813C)</t>
  </si>
  <si>
    <t>AVX10X825</t>
  </si>
  <si>
    <t>10X825   Р РµРјС–РЅСЊ (РєР»РёРЅРѕРІРёР№) CONTI SF</t>
  </si>
  <si>
    <t>MOSKVICH (AZLK) 412, 2140, 2141  1,5/1,6  76-01 (eng.VAZ2106)|  Audi, BMW, Fiat, Ford, Opel, Renault, VW.... (6213MC, 10A0825C)</t>
  </si>
  <si>
    <t>AVX10X865</t>
  </si>
  <si>
    <t>10X865   Р РµРјС–РЅСЊ (РєР»РёРЅРѕРІРёР№) CONTI SF</t>
  </si>
  <si>
    <t>69.18</t>
  </si>
  <si>
    <t>(6263MC, 10A0865C)</t>
  </si>
  <si>
    <t>AVX10X875</t>
  </si>
  <si>
    <t>10X875   Р РµРјС–РЅСЊ (РєР»РёРЅРѕРІРёР№) CONTI SF</t>
  </si>
  <si>
    <t>55.12</t>
  </si>
  <si>
    <t>(6215MC, 10A0875C)</t>
  </si>
  <si>
    <t>AVX10X888</t>
  </si>
  <si>
    <t>10X888   Р РµРјС–РЅСЊ (РєР»РёРЅРѕРІРёР№) CONTI SF</t>
  </si>
  <si>
    <t>(6264MC, 10A0888C)</t>
  </si>
  <si>
    <t>AVX10X900</t>
  </si>
  <si>
    <t>10X900   Р РµРјС–РЅСЊ (РєР»РёРЅРѕРІРёР№) CONTI SF</t>
  </si>
  <si>
    <t>55.38</t>
  </si>
  <si>
    <t>(6216MC, 10A0900C)</t>
  </si>
  <si>
    <t>AVX10X913</t>
  </si>
  <si>
    <t>10X913   Р РµРјС–РЅСЊ (РєР»РёРЅРѕРІРёР№) CONTI SF   !!!Р·Р°РјС–РЅР° РґР»СЏ 10X912</t>
  </si>
  <si>
    <t>54.28</t>
  </si>
  <si>
    <t>(6272MC, 10A0915C)</t>
  </si>
  <si>
    <t>AVX10X925</t>
  </si>
  <si>
    <t>10X925   Р РµРјС–РЅСЊ (РєР»РёРЅРѕРІРёР№) CONTI SF</t>
  </si>
  <si>
    <t>62.71</t>
  </si>
  <si>
    <t>(6217MC, 10A0925C)</t>
  </si>
  <si>
    <t>AVX10X940</t>
  </si>
  <si>
    <t>10X940   Р РµРјС–РЅСЊ (РєР»РёРЅРѕРІРёР№) CONTI SF</t>
  </si>
  <si>
    <t>(6265MC, 10A0940C) VAZ 2101-2107</t>
  </si>
  <si>
    <t>AVX10X950</t>
  </si>
  <si>
    <t>10X950   Р РµРјС–РЅСЊ (РєР»РёРЅРѕРІРёР№) CONTI SF</t>
  </si>
  <si>
    <t>61.02</t>
  </si>
  <si>
    <t>(6218MC, 10A0950C)</t>
  </si>
  <si>
    <t>AVX10X975</t>
  </si>
  <si>
    <t>10X975   Р РµРјС–РЅСЊ (РєР»РёРЅРѕРІРёР№) CONTI SF</t>
  </si>
  <si>
    <t>66.76</t>
  </si>
  <si>
    <t>(6219MC, 10A0975C)</t>
  </si>
  <si>
    <t>AVX10X980</t>
  </si>
  <si>
    <t>10X980   Р РµРјС–РЅСЊ (РєР»РёРЅРѕРІРёР№) CONTI SF</t>
  </si>
  <si>
    <t>AVX13X1000</t>
  </si>
  <si>
    <t>13X1000   Р РµРјС–РЅСЊ (РєР»РёРЅРѕРІРёР№) CONTI SF</t>
  </si>
  <si>
    <t>86.82</t>
  </si>
  <si>
    <t>(6470MC, 13A1000C)</t>
  </si>
  <si>
    <t>AVX13X1015</t>
  </si>
  <si>
    <t>13X1015   Р РµРјС–РЅСЊ (РєР»РёРЅРѕРІРёР№) CONTI SF</t>
  </si>
  <si>
    <t>110.76</t>
  </si>
  <si>
    <t>(6566EXL, 13A1015C)</t>
  </si>
  <si>
    <t>AVX13X1025</t>
  </si>
  <si>
    <t>13X1025   Р РµРјС–РЅСЊ (РєР»РёРЅРѕРІРёР№) CONTI SF</t>
  </si>
  <si>
    <t>(6471MC, 13A1025C)</t>
  </si>
  <si>
    <t>AVX13X1030</t>
  </si>
  <si>
    <t>13X1030   Р РµРјС–РЅСЊ (РєР»РёРЅРѕРІРёР№) CONTI SF</t>
  </si>
  <si>
    <t>110.94</t>
  </si>
  <si>
    <t>AVX13X1050</t>
  </si>
  <si>
    <t>13X1050   Р РµРјС–РЅСЊ (РєР»РёРЅРѕРІРёР№) CONTI SF</t>
  </si>
  <si>
    <t>90.86</t>
  </si>
  <si>
    <t>РђРІС‚РѕР±СѓСЃ "Р‘РѕРіРґР°РЅ", Lada Niva 2121 1600, Fiat Tempra 1,4/1,6 -96, Iveco EuroStar, EuroTech, EuroTrakker -04,| ......    (6472MC, 13A1050C)</t>
  </si>
  <si>
    <t>AVX13X1055</t>
  </si>
  <si>
    <t>13X1055   Р РµРјС–РЅСЊ (РєР»РёРЅРѕРІРёР№) CONTI SF</t>
  </si>
  <si>
    <t>121.77</t>
  </si>
  <si>
    <t>AVX13X1060</t>
  </si>
  <si>
    <t>13X1060   Р РµРјС–РЅСЊ (РєР»РёРЅРѕРІРёР№) CONTI SF</t>
  </si>
  <si>
    <t>РђРІС‚РѕР±СѓСЃ  (РјР°СЂС€СЂСѓС‚РєР°)  AVX13X1060\n</t>
  </si>
  <si>
    <t>AVX13X1075</t>
  </si>
  <si>
    <t>13X1075   Р РµРјС–РЅСЊ (РєР»РёРЅРѕРІРёР№) CONTI SF</t>
  </si>
  <si>
    <t>93.56</t>
  </si>
  <si>
    <t>(6473MC, 13A1075C)</t>
  </si>
  <si>
    <t>AVX13X1125</t>
  </si>
  <si>
    <t>13X1125   Р РµРјС–РЅСЊ (РєР»РёРЅРѕРІРёР№) CONTI SF</t>
  </si>
  <si>
    <t>105.52</t>
  </si>
  <si>
    <t>(6475MC, 13A1125C)</t>
  </si>
  <si>
    <t>AVX13X1150</t>
  </si>
  <si>
    <t>13X1150   Р РµРјС–РЅСЊ (РєР»РёРЅРѕРІРёР№) CONTI SF</t>
  </si>
  <si>
    <t>102.33</t>
  </si>
  <si>
    <t>(6476MC, 13A1150C)</t>
  </si>
  <si>
    <t>AVX13X1165</t>
  </si>
  <si>
    <t>13X1165   Р РµРјС–РЅСЊ (РєР»РёРЅРѕРІРёР№) CONTI SF</t>
  </si>
  <si>
    <t>AVX13X1184</t>
  </si>
  <si>
    <t>13X1184   Р РµРјС–РЅСЊ (РєР»РёРЅРѕРІРёР№) CONTI SF</t>
  </si>
  <si>
    <t>122.12</t>
  </si>
  <si>
    <t>AVX13X1184\n</t>
  </si>
  <si>
    <t>AVX13X1200</t>
  </si>
  <si>
    <t>13X1200   Р РµРјС–РЅСЊ (РєР»РёРЅРѕРІРёР№) CONTI SF</t>
  </si>
  <si>
    <t>(6478MC, 13A1200C)</t>
  </si>
  <si>
    <t>AVX13X1225</t>
  </si>
  <si>
    <t>13X1225   Р РµРјС–РЅСЊ (РєР»РёРЅРѕРІРёР№) CONTI SF</t>
  </si>
  <si>
    <t>104.85</t>
  </si>
  <si>
    <t>(6479MC, 13A1225C)</t>
  </si>
  <si>
    <t>AVX13X1250</t>
  </si>
  <si>
    <t>13X1250   Р РµРјС–РЅСЊ (РєР»РёРЅРѕРІРёР№) CONTI SF</t>
  </si>
  <si>
    <t>108.73</t>
  </si>
  <si>
    <t>(6480MC, 13A1250C)</t>
  </si>
  <si>
    <t>AVX13X1275</t>
  </si>
  <si>
    <t>13X1275   Р РµРјС–РЅСЊ (РєР»РёРЅРѕРІРёР№) CONTI SF</t>
  </si>
  <si>
    <t>110.42</t>
  </si>
  <si>
    <t>(6481MC, 13A1275C)</t>
  </si>
  <si>
    <t>AVX13X1300</t>
  </si>
  <si>
    <t>13X1300   Р РµРјС–РЅСЊ (РєР»РёРЅРѕРІРёР№) CONTI SF</t>
  </si>
  <si>
    <t>120.02</t>
  </si>
  <si>
    <t>(6482MC)</t>
  </si>
  <si>
    <t>AVX13X1325</t>
  </si>
  <si>
    <t>13X1325   Р РµРјС–РЅСЊ (РєР»РёРЅРѕРІРёР№) CONTI SF</t>
  </si>
  <si>
    <t>134.17</t>
  </si>
  <si>
    <t>(6483MC, 13A1325C)</t>
  </si>
  <si>
    <t>AVX13X1375</t>
  </si>
  <si>
    <t>13X1375   Р РµРјС–РЅСЊ (РєР»РёРЅРѕРІРёР№) CONTI SF</t>
  </si>
  <si>
    <t>119.15</t>
  </si>
  <si>
    <t>(6485MC, 13A1375C)</t>
  </si>
  <si>
    <t>AVX13X1400</t>
  </si>
  <si>
    <t>13X1400   Р РµРјС–РЅСЊ (РєР»РёРЅРѕРІРёР№) CONTI SF</t>
  </si>
  <si>
    <t>140.64</t>
  </si>
  <si>
    <t>(6486EXL, 13A1400HD)</t>
  </si>
  <si>
    <t>AVX13X1425</t>
  </si>
  <si>
    <t>13X1425   Р РµРјС–РЅСЊ (РєР»РёРЅРѕРІРёР№) CONTI SF</t>
  </si>
  <si>
    <t>140.46</t>
  </si>
  <si>
    <t>AVX13X1450</t>
  </si>
  <si>
    <t>13X1450   Р РµРјС–РЅСЊ (РєР»РёРЅРѕРІРёР№) CONTI SF</t>
  </si>
  <si>
    <t>122.64</t>
  </si>
  <si>
    <t>(6488EXL, 13A1450C)</t>
  </si>
  <si>
    <t>AVX13X1475</t>
  </si>
  <si>
    <t>13X1475   Р РµРјС–РЅСЊ (РєР»РёРЅРѕРІРёР№) CONTI SF</t>
  </si>
  <si>
    <t>143.78</t>
  </si>
  <si>
    <t>AVX13X1475\n</t>
  </si>
  <si>
    <t>AVX13X1500</t>
  </si>
  <si>
    <t>13X1500   Р РµРјС–РЅСЊ (РєР»РёРЅРѕРІРёР№) CONTI SF</t>
  </si>
  <si>
    <t>120.36</t>
  </si>
  <si>
    <t>РђРІС‚РѕР±СѓСЃ "Р‘РѕРіРґР°РЅ"</t>
  </si>
  <si>
    <t>AVX13X1525</t>
  </si>
  <si>
    <t>13X1525   Р РµРјС–РЅСЊ (РєР»РёРЅРѕРІРёР№) CONTI SF</t>
  </si>
  <si>
    <t>147.45</t>
  </si>
  <si>
    <t>AVX13X1550</t>
  </si>
  <si>
    <t>13X1550   Р РµРјС–РЅСЊ (РєР»РёРЅРѕРІРёР№) CONTI SF</t>
  </si>
  <si>
    <t>127.88</t>
  </si>
  <si>
    <t>AVX13X1575</t>
  </si>
  <si>
    <t>13X1575   Р РµРјС–РЅСЊ (РєР»РёРЅРѕРІРёР№) CONTI SF</t>
  </si>
  <si>
    <t>145.65</t>
  </si>
  <si>
    <t>(6493EXL, 13A1575HD)</t>
  </si>
  <si>
    <t>AVX13X1650</t>
  </si>
  <si>
    <t>13X1650   Р РµРјС–РЅСЊ (РєР»РёРЅРѕРІРёР№) CONTI SF</t>
  </si>
  <si>
    <t>155.84</t>
  </si>
  <si>
    <t>AVX13X1650\n</t>
  </si>
  <si>
    <t>AVX13X1700</t>
  </si>
  <si>
    <t>13X1700   Р РµРјС–РЅСЊ (РєР»РёРЅРѕРІРёР№) CONTI SF</t>
  </si>
  <si>
    <t>161.08</t>
  </si>
  <si>
    <t>AVX13X1725</t>
  </si>
  <si>
    <t>13X1725   Р РµРјС–РЅСЊ (РєР»РёРЅРѕРІРёР№) CONTI SF</t>
  </si>
  <si>
    <t>158.81</t>
  </si>
  <si>
    <t>AVX13X1775</t>
  </si>
  <si>
    <t>13X1775   Р РµРјС–РЅСЊ (РєР»РёРЅРѕРІРёР№) CONTI SF</t>
  </si>
  <si>
    <t>165.97</t>
  </si>
  <si>
    <t>AVX13X1775\n</t>
  </si>
  <si>
    <t>AVX13X1800</t>
  </si>
  <si>
    <t>13X1800   Р РµРјС–РЅСЊ (РєР»РёРЅРѕРІРёР№) CONTI SF</t>
  </si>
  <si>
    <t>169.81</t>
  </si>
  <si>
    <t>AVX13X1800\n</t>
  </si>
  <si>
    <t>AVX13X2000</t>
  </si>
  <si>
    <t>13X2000   Р РµРјС–РЅСЊ (РєР»РёРЅРѕРІРёР№) CONTI SF</t>
  </si>
  <si>
    <t>180.30</t>
  </si>
  <si>
    <t>AVX13X2000\n</t>
  </si>
  <si>
    <t>AVX13X650</t>
  </si>
  <si>
    <t>13X650   Р РµРјС–РЅСЊ (РєР»РёРЅРѕРІРёР№) CONTI SF</t>
  </si>
  <si>
    <t>82.81</t>
  </si>
  <si>
    <t>AVX13X650\n</t>
  </si>
  <si>
    <t>AVX13X655</t>
  </si>
  <si>
    <t>13X655   Р РµРјС–РЅСЊ (РєР»РёРЅРѕРІРёР№) CONTI SF</t>
  </si>
  <si>
    <t>AVX13X655\n</t>
  </si>
  <si>
    <t>AVX13X685</t>
  </si>
  <si>
    <t>13X685   Р РµРјС–РЅСЊ (РєР»РёРЅРѕРІРёР№) CONTI SF</t>
  </si>
  <si>
    <t>93.29</t>
  </si>
  <si>
    <t>AVX13X685\n</t>
  </si>
  <si>
    <t>AVX13X750</t>
  </si>
  <si>
    <t>13X750   Р РµРјС–РЅСЊ (РєР»РёРЅРѕРІРёР№) CONTI SF</t>
  </si>
  <si>
    <t>84.03</t>
  </si>
  <si>
    <t>(6460MC, 13A0750C)</t>
  </si>
  <si>
    <t>AVX13X775</t>
  </si>
  <si>
    <t>13X775   Р РµРјС–РЅСЊ (РєР»РёРЅРѕРІРёР№) CONTI SF</t>
  </si>
  <si>
    <t>85.78</t>
  </si>
  <si>
    <t>AVX13X775\n</t>
  </si>
  <si>
    <t>AVX13X800</t>
  </si>
  <si>
    <t>13X800   Р РµРјС–РЅСЊ (РєР»РёРЅРѕРІРёР№) CONTI SF</t>
  </si>
  <si>
    <t>93.47</t>
  </si>
  <si>
    <t>(6462MC, 13A0800C)</t>
  </si>
  <si>
    <t>AVX13X825</t>
  </si>
  <si>
    <t>13X825   Р РµРјС–РЅСЊ (РєР»РёРЅРѕРІРёР№) CONTI SF</t>
  </si>
  <si>
    <t>96.79</t>
  </si>
  <si>
    <t>(6463MC, 13A0825C)</t>
  </si>
  <si>
    <t>AVX13X835</t>
  </si>
  <si>
    <t>13X835   Р РµРјС–РЅСЊ (РєР»РёРЅРѕРІРёР№) CONTI SF</t>
  </si>
  <si>
    <t>AVX13X835\n</t>
  </si>
  <si>
    <t>AVX13X875</t>
  </si>
  <si>
    <t>13X875   Р РµРјС–РЅСЊ (РєР»РёРЅРѕРІРёР№) CONTI SF</t>
  </si>
  <si>
    <t>(6465MC, 13A0875C)</t>
  </si>
  <si>
    <t>AVX13X890</t>
  </si>
  <si>
    <t>13X890   Р РµРјС–РЅСЊ (РєР»РёРЅРѕРІРёР№) CONTI SF</t>
  </si>
  <si>
    <t>AVX13X890\n</t>
  </si>
  <si>
    <t>AVX13X900</t>
  </si>
  <si>
    <t>13X900   Р РµРјС–РЅСЊ (РєР»РёРЅРѕРІРёР№) CONTI SF</t>
  </si>
  <si>
    <t>(6466MC, 13A0900C)</t>
  </si>
  <si>
    <t>AVX13X925</t>
  </si>
  <si>
    <t>13X925   Р РµРјС–РЅСЊ (РєР»РёРЅРѕРІРёР№) CONTI SF</t>
  </si>
  <si>
    <t>82.10</t>
  </si>
  <si>
    <t>(6467MC, 13A0925C)</t>
  </si>
  <si>
    <t>AVX13X930</t>
  </si>
  <si>
    <t>13X930   Р РµРјС–РЅСЊ (РєР»РёРЅРѕРІРёР№) CONTI SF</t>
  </si>
  <si>
    <t>115.65</t>
  </si>
  <si>
    <t>AVX13X930\n</t>
  </si>
  <si>
    <t>AVX13X950</t>
  </si>
  <si>
    <t>13X950   Р РµРјС–РЅСЊ (РєР»РёРЅРѕРІРёР№) CONTI SF</t>
  </si>
  <si>
    <t>97.44</t>
  </si>
  <si>
    <t>(6468MC, 13A0950C)</t>
  </si>
  <si>
    <t>AVX13X960</t>
  </si>
  <si>
    <t>13X960   Р РµРјС–РЅСЊ (РєР»РёРЅРѕРІРёР№) CONTI SF</t>
  </si>
  <si>
    <t>AVX13X960\n</t>
  </si>
  <si>
    <t>AVX13X975</t>
  </si>
  <si>
    <t>13X975   Р РµРјС–РЅСЊ (РєР»РёРЅРѕРІРёР№) CONTI SF</t>
  </si>
  <si>
    <t>101.99</t>
  </si>
  <si>
    <t>(6469MC, 13A0975C)</t>
  </si>
  <si>
    <t>CT1000</t>
  </si>
  <si>
    <t>CT1000   Р РµРјС–РЅСЊ Р“Р Рњ CONTI SYNCHROBELT</t>
  </si>
  <si>
    <t>467.16</t>
  </si>
  <si>
    <t>MITSUBISHI Colt III/Galant IV 1.8-16v/2.0-16v mot.4G63/4G67</t>
  </si>
  <si>
    <t>CT1008</t>
  </si>
  <si>
    <t>CT1008   Р РµРјС–РЅСЊ Р“Р Рњ CONTI SYNCHROBELT</t>
  </si>
  <si>
    <t>342.60</t>
  </si>
  <si>
    <t>MITSUBISHI Colt V/Lancer 1.3/1.6, DAEWOO Matiz 1,0 98 -&gt;</t>
  </si>
  <si>
    <t>CT1012</t>
  </si>
  <si>
    <t>CT1012   Р РµРјС–РЅСЊ Р“Р Рњ CONTI SYNCHROBELT</t>
  </si>
  <si>
    <t>403.74</t>
  </si>
  <si>
    <t>VW Caddy II/Polo/Lupo/SKODA Felicia I/II/SEAT Arosa 1.7SDI/1.9D/SDI  (5564XS, 941004)</t>
  </si>
  <si>
    <t>CT1014</t>
  </si>
  <si>
    <t>CT1014   Р РµРјС–РЅСЊ Р“Р Рњ CONTI SYNCHROBELT</t>
  </si>
  <si>
    <t>580.89</t>
  </si>
  <si>
    <t>OPEL Astra G/Corsa C/Meriva 1.7TD D 2/00-&gt;|  (5563XS, 94947)</t>
  </si>
  <si>
    <t>CT1018</t>
  </si>
  <si>
    <t>CT1018   Р РµРјС–РЅСЊ Р“Р Рњ CONTI SYNCHROBELT</t>
  </si>
  <si>
    <t>252.62</t>
  </si>
  <si>
    <t>AUDI A4/A6/A8/VW Passat/Transporter 2.5TDI  (5531XS, 94839)</t>
  </si>
  <si>
    <t>CT1025</t>
  </si>
  <si>
    <t>CT1025   Р РµРјС–РЅСЊ Р“Р Рњ CONTI SYNCHROBELT</t>
  </si>
  <si>
    <t>514.49</t>
  </si>
  <si>
    <t>MITSUBISHI Carisma/Space Star 1.9D.RENAULT Espace IV/Laguna/Master II/Trafic 1.9D  (5552XS, 94939)</t>
  </si>
  <si>
    <t>CT1028WP3</t>
  </si>
  <si>
    <t>CT1028WP3   РљРѕРјРїР»РµРєС‚ CONTI SYNCHROBELT KIT (+ РїРѕРјРїР°)</t>
  </si>
  <si>
    <t>2955.14</t>
  </si>
  <si>
    <t>Audi A2,A3| SEAT Altea, Cordoba, Ibiza| Skoda Fabia, Octavia, Superb|  VW Caddy III, Golf V, Polo, Sharan, Touran, T5  1,4-1,9TDI  2000-     (+ РїРѕРјРїР°)     (CT1028 + V55739 + V55735 + WP6001 + V31183 + V31211)</t>
  </si>
  <si>
    <t>CT1034</t>
  </si>
  <si>
    <t>CT1034   Р РµРјС–РЅСЊ Р“Р Рњ CONTI SYNCHROBELT</t>
  </si>
  <si>
    <t>495.46</t>
  </si>
  <si>
    <t>FIAT Ducato/IVECO Daily I mot.8140.23/8140.43  (5495XS, 94664)</t>
  </si>
  <si>
    <t>CT1037</t>
  </si>
  <si>
    <t>CT1037   Р РµРјС–РЅСЊ Р“Р Рњ CONTI SYNCHROBELT</t>
  </si>
  <si>
    <t>570.24</t>
  </si>
  <si>
    <t>CITROEN/FIAT/LANCIA/PEUGEOT 2.2HDi  00-   (5558XS, 94911)</t>
  </si>
  <si>
    <t>CT1038</t>
  </si>
  <si>
    <t>CT1038   Р РµРјС–РЅСЊ Р“Р Рњ CONTI SYNCHROBELT</t>
  </si>
  <si>
    <t>433.27</t>
  </si>
  <si>
    <t>FIAT Ducato, PEUGEOT Boxer 2.5D-2.8HDi/JTD 90-&gt;  (5334XS, 94783)</t>
  </si>
  <si>
    <t>CT1046</t>
  </si>
  <si>
    <t>CT1046   Р РµРјС–РЅСЊ Р“Р Рњ CONTI SYNCHROBELT</t>
  </si>
  <si>
    <t>453.18</t>
  </si>
  <si>
    <t>OPEL Movano 2.2DTI/2.5DTI 9/00-&gt;, RENAULT Master II 2.2DCi/2.5DCi 9/00-&gt;, NISSAN Interstar 7/02-&gt;  (5573XS, 94908)</t>
  </si>
  <si>
    <t>CT1049</t>
  </si>
  <si>
    <t>CT1049   Р РµРјС–РЅСЊ Р“Р Рњ CONTI SYNCHROBELT</t>
  </si>
  <si>
    <t>202.46</t>
  </si>
  <si>
    <t>FIAT Brava/Idea/Marea/Punto/Stilo 1.2/1.4 4/97-&gt;|</t>
  </si>
  <si>
    <t>CT1050</t>
  </si>
  <si>
    <t>CT1050   Р РµРјС–РЅСЊ Р“Р Рњ CONTI SYNCHROBELT</t>
  </si>
  <si>
    <t>705.63</t>
  </si>
  <si>
    <t>SUBARU Forester 2.5 8/98-&gt;| Impreza 1.6/1.8/2.0 4WD 8/98-12/00| Legacy III 2.0/2.5 10/98-&gt;|</t>
  </si>
  <si>
    <t>CT1051</t>
  </si>
  <si>
    <t>CT1051   Р РµРјС–РЅСЊ Р“Р Рњ CONTI SYNCHROBELT</t>
  </si>
  <si>
    <t>752.11</t>
  </si>
  <si>
    <t>AUDI A3/A4/A6| SEAT Altea/Leon/Toledo| SKODA Octavia| VW Golf V/Jetta III/Passat/Touran 2.0TD 2/03-&gt;  (5607XS, 94970)</t>
  </si>
  <si>
    <t>CT1055</t>
  </si>
  <si>
    <t>CT1055   Р РµРјС–РЅСЊ Р“Р Рњ CONTI SYNCHROBELT</t>
  </si>
  <si>
    <t>504.72</t>
  </si>
  <si>
    <t>FORD Transit 2.5DI-TD 6/94-6/00  (5572XS, 94935)</t>
  </si>
  <si>
    <t>CT1058</t>
  </si>
  <si>
    <t>CT1058   Р РµРјС–РЅСЊ Р“Р Рњ CONTI SYNCHROBELT</t>
  </si>
  <si>
    <t>961.75</t>
  </si>
  <si>
    <t xml:space="preserve">SUBARU Forester/Impreza/Legacy I II 2.0/T/2.5  92-| 02-| 05-| 08- </t>
  </si>
  <si>
    <t>CT1061</t>
  </si>
  <si>
    <t>CT1061   Р РµРјС–РЅСЊ Р“Р Рњ CONTI SYNCHROBELT   !!!Р·Р°РјС–РЅР° РґР»СЏ CT1031</t>
  </si>
  <si>
    <t>294.16</t>
  </si>
  <si>
    <t>PEUGEOT 205/305/306/405/406/Fiat/Rover/Suzuki Vitara  (5049XS, 94224)</t>
  </si>
  <si>
    <t>CT1063</t>
  </si>
  <si>
    <t>CT1063   Р РµРјС–РЅСЊ Р“Р Рњ CONTI SYNCHROBELT</t>
  </si>
  <si>
    <t>406.36</t>
  </si>
  <si>
    <t>Citroen evasion, Jumpy, Peugeot 206/307 1.4hdi/2.0td/hdi  (5588XS, 94923)</t>
  </si>
  <si>
    <t>CT1077</t>
  </si>
  <si>
    <t>CT1077   Р РµРјС–РЅСЊ Р“Р Рњ CONTI SYNCHROBELT</t>
  </si>
  <si>
    <t>475.90</t>
  </si>
  <si>
    <t>Chevrolet Aveo 1,4/1,6 08-,  Cruze 1,6/1,8 09-|   OPEL Astar G H/Vectra C/Zafiar 1,6/1,8 00-|  (5603XS, 94974)</t>
  </si>
  <si>
    <t>CT1085</t>
  </si>
  <si>
    <t>CT1085   Р РµРјС–РЅСЊ Р“Р Рњ CONTI SYNCHROBELT</t>
  </si>
  <si>
    <t>576.53</t>
  </si>
  <si>
    <t>HYUNDAI Sonata III 2.5/IV 2.7/Coupe 2.7/Trajet 2.7/Tucson 2.7, KIA Magentis 2.5/Sportage II 2.7</t>
  </si>
  <si>
    <t>CT1088</t>
  </si>
  <si>
    <t>CT1088   Р РµРјС–РЅСЊ Р“Р Рњ CONTI SYNCHROBELT</t>
  </si>
  <si>
    <t>493.72</t>
  </si>
  <si>
    <t>VAG A3/A4/Golf V/Passat 2.0 03-  (5604XS, 94979)</t>
  </si>
  <si>
    <t>CT1094</t>
  </si>
  <si>
    <t>CT1094   Р РµРјС–РЅСЊ Р“Р Рњ CONTI SYNCHROBELT</t>
  </si>
  <si>
    <t>314.29</t>
  </si>
  <si>
    <t>Audi A4/A6/A8 3,0TDI 24V 03-</t>
  </si>
  <si>
    <t>CT1099</t>
  </si>
  <si>
    <t>CT1099   Р РµРјС–РЅСЊ Р“Р Рњ CONTI SYNCHROBELT</t>
  </si>
  <si>
    <t>528.48</t>
  </si>
  <si>
    <t>HYUNDAI Accent/Elantra/Getz/Trajet/Santa Fe/Tucson 1.5/2.0D 4x4 4/01-&gt;| KIA Carens II/Cerato 2.0D  (5579XS, 94968)</t>
  </si>
  <si>
    <t>CT1107</t>
  </si>
  <si>
    <t>CT1107   Р РµРјС–РЅСЊ Р“Р Рњ CONTI SYNCHROBELT</t>
  </si>
  <si>
    <t>MITSUBISHI L300/L400/Pajero II 2.5D-TD mot.4D56/4D56TD  (5436XS, 94522)</t>
  </si>
  <si>
    <t>CT1115</t>
  </si>
  <si>
    <t>CT1115   Р РµРјС–РЅСЊ Р“Р Рњ CONTI SYNCHROBELT</t>
  </si>
  <si>
    <t>340.67</t>
  </si>
  <si>
    <t>Fiat Doblo/Panda/Punto 1,2, 1.4  01-  (5627XS, 94950)</t>
  </si>
  <si>
    <t>CT1120</t>
  </si>
  <si>
    <t>CT1120   Р РµРјС–РЅСЊ Р“Р Рњ CONTI SYNCHROBELT</t>
  </si>
  <si>
    <t>448.82</t>
  </si>
  <si>
    <t>VW Crafter 2.5TDI 06 -&gt;  (5559XS, 941008)</t>
  </si>
  <si>
    <t>CT1134</t>
  </si>
  <si>
    <t>CT1134   Р РµРјС–РЅСЊ Р“Р Рњ CONTI SYNCHROBELT</t>
  </si>
  <si>
    <t>846.27</t>
  </si>
  <si>
    <t>VW/AUDI/SEAT/SKODA  2.0TDI  06-</t>
  </si>
  <si>
    <t>CT1143</t>
  </si>
  <si>
    <t>CT1143   Р РµРјС–РЅСЊ Р“Р Рњ CONTI SYNCHROBELT</t>
  </si>
  <si>
    <t>154.26</t>
  </si>
  <si>
    <t>AUDI, SKODA, VW 1.8-2.0TSI, TFSI 07-</t>
  </si>
  <si>
    <t>CT1152</t>
  </si>
  <si>
    <t>CT1152   Р РµРјС–РЅСЊ Р“Р Рњ CONTI SYNCHROBELT</t>
  </si>
  <si>
    <t>736.91</t>
  </si>
  <si>
    <t>MITSUBISHI L200 2.5DI-D 05-</t>
  </si>
  <si>
    <t>CT1162K1</t>
  </si>
  <si>
    <t>CT1162K1   РљРѕРјРїР»РµРєС‚ CONTI SYNCHROBELT KIT</t>
  </si>
  <si>
    <t>1552.60</t>
  </si>
  <si>
    <t>Citroen Berlingo, C3 II, C4 II, C5 III, DS3, DS4| Ford Focus III, Galaxy, Mondeo III| Peugeot 207 1.6HDI  05-</t>
  </si>
  <si>
    <t>CT503</t>
  </si>
  <si>
    <t>CT503   Р РµРјС–РЅСЊ Р“Р Рњ CONTI SYNCHROBELT</t>
  </si>
  <si>
    <t>111.29</t>
  </si>
  <si>
    <t>Opel Kadett 1.3  (5030FI, 94193)</t>
  </si>
  <si>
    <t>CT513</t>
  </si>
  <si>
    <t>CT513   Р РµРјС–РЅСЊ Р“Р Рњ CONTI SYNCHROBELT</t>
  </si>
  <si>
    <t>186.28</t>
  </si>
  <si>
    <t>AUDI 80/VW Golf/Jetta/Passat 1.6D/TD  (5176, 94416)</t>
  </si>
  <si>
    <t>CT517</t>
  </si>
  <si>
    <t>CT517   Р РµРјС–РЅСЊ Р“Р Рњ CONTI SYNCHROBELT</t>
  </si>
  <si>
    <t>343.12</t>
  </si>
  <si>
    <t>MITSUBISHI L300/Pajero 2.5TD mot.4D56/4D56T/4D55  (5222, 94019)</t>
  </si>
  <si>
    <t>CT527</t>
  </si>
  <si>
    <t>CT527   Р РµРјС–РЅСЊ Р“Р Рњ CONTI SYNCHROBELT</t>
  </si>
  <si>
    <t>VAZ 2108/2109 1.1-1.5   86-            (5521, 94089)</t>
  </si>
  <si>
    <t>CT536</t>
  </si>
  <si>
    <t>CT536   Р РµРјС–РЅСЊ Р“Р Рњ CONTI SYNCHROBELT</t>
  </si>
  <si>
    <t>116.99</t>
  </si>
  <si>
    <t>Tavria 1.1, Sens 1.3, TOYOTA Corolla1.6/1.6i16v 12/85-06/93 Carina II 1.6 12/87-03/92  (5027, 94564)</t>
  </si>
  <si>
    <t>CT629</t>
  </si>
  <si>
    <t>CT629   Р РµРјС–РЅСЊ Р“Р Рњ CONTI SYNCHROBELT</t>
  </si>
  <si>
    <t>201.61</t>
  </si>
  <si>
    <t>VW Golf, Venta 1.4 91-&gt;  ABD  (5311, 94303)</t>
  </si>
  <si>
    <t>CT637</t>
  </si>
  <si>
    <t>CT637   Р РµРјС–РЅСЊ Р“Р Рњ CONTI SYNCHROBELT</t>
  </si>
  <si>
    <t>125.25</t>
  </si>
  <si>
    <t>AUDI/VW 1.3-2.0 4-cyl, mot.SF/PM/ABS/AAM/ADZ/PG/SH/DS/NP/DR/RS/3A/ABM/ADA  (5016, 94017)</t>
  </si>
  <si>
    <t>CT641</t>
  </si>
  <si>
    <t>CT641   Р РµРјС–РЅСЊ Р“Р Рњ CONTI SYNCHROBELT</t>
  </si>
  <si>
    <t>AUDI 100 [44] 2,0D-TD ,VW LT 2,4D-TD ,VOLVO 740/760/940/960 2,4D-TD  (5034, 94090)</t>
  </si>
  <si>
    <t>CT645</t>
  </si>
  <si>
    <t>CT645   Р РµРјС–РЅСЊ Р“Р Рњ CONTI SYNCHROBELT</t>
  </si>
  <si>
    <t>248.99</t>
  </si>
  <si>
    <t>AUDI 100:2.4D/VW T4: 90-&gt;  (5246, 94295)</t>
  </si>
  <si>
    <t>CT684</t>
  </si>
  <si>
    <t>CT684   Р РµРјС–РЅСЊ Р“Р Рњ CONTI SYNCHROBELT</t>
  </si>
  <si>
    <t>290.29</t>
  </si>
  <si>
    <t>RENAULT 11/19/21/Clio 1.8 91-&gt;/Laguna 1.8 8/95-3/01|VOLVO 440/460/480  (5130XS, 94120)</t>
  </si>
  <si>
    <t>CT685</t>
  </si>
  <si>
    <t>CT685   Р РµРјС–РЅСЊ Р“Р Рњ CONTI SYNCHROBELT</t>
  </si>
  <si>
    <t>185.89</t>
  </si>
  <si>
    <t>VW/FORD Sierra 1.6 l OHC| LT-28-35  2,4   82-96  (5068, 94426)</t>
  </si>
  <si>
    <t>CT687</t>
  </si>
  <si>
    <t>CT687   Р РµРјС–РЅСЊ Р“Р Рњ CONTI SYNCHROBELT</t>
  </si>
  <si>
    <t>156.61</t>
  </si>
  <si>
    <t>VAZ 2105  (5069, 94422)</t>
  </si>
  <si>
    <t>CT690</t>
  </si>
  <si>
    <t>CT690   Р РµРјС–РЅСЊ Р“Р Рњ CONTI SYNCHROBELT</t>
  </si>
  <si>
    <t>222.92</t>
  </si>
  <si>
    <t>FORD Sierra, Escort 1.3-1.6 l OHC  (5225XS, 94234)</t>
  </si>
  <si>
    <t>CT704</t>
  </si>
  <si>
    <t>CT704   Р РµРјС–РЅСЊ Р“Р Рњ CONTI SYNCHROBELT</t>
  </si>
  <si>
    <t>217.16</t>
  </si>
  <si>
    <t>AUDI 100 [44] 2.0D-TD .VW LT 2.4D-TD .VOLVO 740/760/940/960 2.4D-TD  (5035, 94755)</t>
  </si>
  <si>
    <t>CT726</t>
  </si>
  <si>
    <t>CT726   Р РµРјС–РЅСЊ Р“Р Рњ CONTI SYNCHROBELT</t>
  </si>
  <si>
    <t>641.34</t>
  </si>
  <si>
    <t>AUDI 80 [B4] 2.6/2.8 3/92-6/94 .100 [4A/C4] 92-94 .A6 2.6/2.8 94-97  (5344XS, 94417)</t>
  </si>
  <si>
    <t>CT729</t>
  </si>
  <si>
    <t>CT729   Р РµРјС–РЅСЊ Р“Р Рњ CONTI SYNCHROBELT</t>
  </si>
  <si>
    <t>290.71</t>
  </si>
  <si>
    <t>FORD Escort V 1.4/1.6 7/90-8/92 .VII 1.4 9/92-2/99  (5357XS, 94324)</t>
  </si>
  <si>
    <t>CT732</t>
  </si>
  <si>
    <t>CT732   Р РµРјС–РЅСЊ Р“Р Рњ CONTI SYNCHROBELT</t>
  </si>
  <si>
    <t>AUDI/VW mot.ABU/AEA/AEE  (5400, 94637)</t>
  </si>
  <si>
    <t>CT754</t>
  </si>
  <si>
    <t>CT754   Р РµРјС–РЅСЊ Р“Р Рњ CONTI SYNCHROBELT</t>
  </si>
  <si>
    <t>257.69</t>
  </si>
  <si>
    <t>CITROEN C5.C8.Jampy.Xsara 1.8 V16.2.0 V16.2.2 9/00&gt;.FIAT Scudo.Ulysse 2.0 16V.LANCIA Pedra.Zeta 2.0  (5215XS, 94187)</t>
  </si>
  <si>
    <t>CT781</t>
  </si>
  <si>
    <t>CT781   Р РµРјС–РЅСЊ Р“Р Рњ CONTI SYNCHROBELT</t>
  </si>
  <si>
    <t>272.71</t>
  </si>
  <si>
    <t>NISSAN Almera/Primera/Sunny 2.0D mot.CD20/  (5309XS, 94896)</t>
  </si>
  <si>
    <t>CT787</t>
  </si>
  <si>
    <t>CT787   Р РµРјС–РЅСЊ Р“Р Рњ CONTI SYNCHROBELT</t>
  </si>
  <si>
    <t>351.16</t>
  </si>
  <si>
    <t>MAZDA 323/626 2.0 mot.FS  (5341XS, 94287)</t>
  </si>
  <si>
    <t>CT799</t>
  </si>
  <si>
    <t>CT799   Р РµРјС–РЅСЊ Р“Р Рњ CONTI SYNCHROBELT</t>
  </si>
  <si>
    <t>290.19</t>
  </si>
  <si>
    <t>HONDA Accord IV-VI 1.9-2.2 01/90-10/98/Prelude IV/V 2.0 02/92-&gt;, ROVER 618/620 08/93-02/99  (5234XS, 94213)</t>
  </si>
  <si>
    <t>CT800</t>
  </si>
  <si>
    <t>CT800   Р РµРјС–РЅСЊ Р“Р Рњ CONTI SYNCHROBELT</t>
  </si>
  <si>
    <t>241.79</t>
  </si>
  <si>
    <t>HONDA Accord IV-VII 1.8-2.3 90-98|Prelude IV/V 2.0-2.3 92-96| ROVER 600 1.8-2.3 93-99  (5235XS, 94212)</t>
  </si>
  <si>
    <t>CT827</t>
  </si>
  <si>
    <t>CT827   Р РµРјС–РЅСЊ Р“Р Рњ CONTI SYNCHROBELT</t>
  </si>
  <si>
    <t>308.18</t>
  </si>
  <si>
    <t>TOYOTA Avensis/Carina E 1.6/1.6-16v mot.4A-FE  (5403XS, 94289)</t>
  </si>
  <si>
    <t>CT846</t>
  </si>
  <si>
    <t>CT846   Р РµРјС–РЅСЊ Р“Р Рњ CONTI SYNCHROBELT</t>
  </si>
  <si>
    <t>VW Golf III/Vento 1.0-1.4 94&gt; .SEAT  (5427XS, 94693)</t>
  </si>
  <si>
    <t>CT847</t>
  </si>
  <si>
    <t>CT847   Р РµРјС–РЅСЊ Р“Р Рњ CONTI SYNCHROBELT</t>
  </si>
  <si>
    <t>VW Golf III/Polo 1.6 .SKODA Fabia/Felicia/Octavia 1.6 mot.ABU/AEA/AEE  (5428XS, 94687)</t>
  </si>
  <si>
    <t>CT848</t>
  </si>
  <si>
    <t>CT848   Р РµРјС–РЅСЊ Р“Р Рњ CONTI SYNCHROBELT</t>
  </si>
  <si>
    <t>204.06</t>
  </si>
  <si>
    <t>VW Golf III/IV/Passat/Polo/Vento 1.6/1.8 2/88-&gt;  (5424XS, 94737)</t>
  </si>
  <si>
    <t>CT867</t>
  </si>
  <si>
    <t>CT867   Р РµРјС–РЅСЊ Р“Р Рњ CONTI SYNCHROBELT</t>
  </si>
  <si>
    <t>338.67</t>
  </si>
  <si>
    <t>AUDI 80, A 4, A 6, Golf 3, Passat 1.9D AAZ, AHU.AEY, 1Y.1Z 137 Р·СѓР±  (5223XS, 941001)</t>
  </si>
  <si>
    <t>CT870</t>
  </si>
  <si>
    <t>CT870   Р РµРјС–РЅСЊ Р“Р Рњ CONTI SYNCHROBELT</t>
  </si>
  <si>
    <t>343.22</t>
  </si>
  <si>
    <t>Chevrolet Lacetti/Nubira 1,8 16V  97-, Epica/Evanda 2,0 16V   05-|  OPEL Astra F .Vectra A-B .Omega B 1.8-16v/2.0-16v  (5408XS, 94659)</t>
  </si>
  <si>
    <t>CT871</t>
  </si>
  <si>
    <t>CT871   Р РµРјС–РЅСЊ Р“Р Рњ CONTI SYNCHROBELT</t>
  </si>
  <si>
    <t>295.08</t>
  </si>
  <si>
    <t>OPEL Kadett E/Astra F-G/Vectra A 2.0-16v/1.7D-TD mot.C20XE/17D/17DR/X17DTL  (5368XS, 94769)</t>
  </si>
  <si>
    <t>CT873</t>
  </si>
  <si>
    <t>CT873   Р РµРјС–РЅСЊ Р“Р Рњ CONTI SYNCHROBELT</t>
  </si>
  <si>
    <t>323.16</t>
  </si>
  <si>
    <t>OPEL Astra F 1.4-1.6 16V, Vectra B 1.6 16V  (5369XS, 94833)</t>
  </si>
  <si>
    <t>CT874</t>
  </si>
  <si>
    <t>CT874   Р РµРјС–РЅСЊ Р“Р Рњ CONTI SYNCHROBELT</t>
  </si>
  <si>
    <t>182.90</t>
  </si>
  <si>
    <t>DAEWOO Nexia, Lanos, Opel Astra 8V 1.4-1.6 (5310XS, 94650)</t>
  </si>
  <si>
    <t>CT874K1</t>
  </si>
  <si>
    <t>CT874K1   РљРѕРјРїР»РµРєС‚ CONTI SYNCHROBELT KIT</t>
  </si>
  <si>
    <t>727.40</t>
  </si>
  <si>
    <t>Daewoo Lanos, Nexia 1,5  8V (,A14SMS,G15MF) 95-,  Opel Astra F,G, Kadett E, Corsa A,B, Vectra A, B, Meriva 1,4/1,6  8V  (РґРёРІ. РєР°С‚Р°Р»РѕРі)  86-10    (CT874+V55302+V41030)  [EVR5530270]</t>
  </si>
  <si>
    <t>CT887</t>
  </si>
  <si>
    <t>CT887   Р РµРјС–РЅСЊ Р“Р Рњ CONTI SYNCHROBELT</t>
  </si>
  <si>
    <t>138.74</t>
  </si>
  <si>
    <t>DAEWOO Nexia, Lanos, Espero, AVEO 16V  (1.4-1.6) (5419XS, 94266)</t>
  </si>
  <si>
    <t>CT901(SET)</t>
  </si>
  <si>
    <t>CT901(SET)  РљРѕРјРїР»РµРєС‚ СЂРµРјРµРЅС–РІ Р“Р Рњ CONTI SYNCHROBELT   (CT882 + CT883)</t>
  </si>
  <si>
    <t>599.76</t>
  </si>
  <si>
    <t>FORD Sierra/Mondeo I/Escort IV-VII 1.8D/1.8TD  (5451XS+5452XS,  5251XS, 94379)</t>
  </si>
  <si>
    <t>CT909</t>
  </si>
  <si>
    <t>CT909   Р РµРјС–РЅСЊ Р“Р Рњ CONTI SYNCHROBELT</t>
  </si>
  <si>
    <t>397.50</t>
  </si>
  <si>
    <t>AUDI A3/VW Golf IV 1.8Рў mot.AGN/AGU 150 Р·СѓР±РѕРІ  (5491XS, 94777)</t>
  </si>
  <si>
    <t>CT914</t>
  </si>
  <si>
    <t>CT914   Р РµРјС–РЅСЊ Р“Р Рњ CONTI SYNCHROBELT</t>
  </si>
  <si>
    <t>324.84</t>
  </si>
  <si>
    <t>VW LT/T4 2.5TD 95&gt;  (5494XS, 94775)</t>
  </si>
  <si>
    <t>CT914K1</t>
  </si>
  <si>
    <t>CT914K1   РљРѕРјРїР»РµРєС‚ CONTI SYNCHROBELT KIT</t>
  </si>
  <si>
    <t>1727.13</t>
  </si>
  <si>
    <t>VW T4 2,4D 95-| AUDI 100 2,5TDI 96-    [EVR5544770]   (CT914+V55447+V55478)</t>
  </si>
  <si>
    <t>CT919</t>
  </si>
  <si>
    <t>CT919   Р РµРјС–РЅСЊ Р“Р Рњ CONTI SYNCHROBELT</t>
  </si>
  <si>
    <t>398.15</t>
  </si>
  <si>
    <t>AUDI/VW mot.ADR/APT/AEB/ARK/APU/AWT/ANB A4/A6/Passat B5 1.8/1.8T    153 Р·СѓР±Р° (РєСЂРѕРє 8РјРј)\n(5492XS, 94843)</t>
  </si>
  <si>
    <t>CT920</t>
  </si>
  <si>
    <t>CT920   Р РµРјС–РЅСЊ Р“Р Рњ CONTI SYNCHROBELT</t>
  </si>
  <si>
    <t>717.86</t>
  </si>
  <si>
    <t>AUDI A4, A6 2,4-2,8,  A8 2,8-4,2 l, Passat B5 2,8  253 Р·СѓР±a  (5493XS, 94835)</t>
  </si>
  <si>
    <t>CT939</t>
  </si>
  <si>
    <t>CT939   Р РµРјС–РЅСЊ Р“Р Рњ CONTI SYNCHROBELT</t>
  </si>
  <si>
    <t>382.33</t>
  </si>
  <si>
    <t>AUDI 100, AUDI 6, VW T 4 2.5D, TD, VOLVO 850, S70  122 Р·СѓР±Р°  (5323XS, 94774)</t>
  </si>
  <si>
    <t>CT942</t>
  </si>
  <si>
    <t>CT942   Р РµРјС–РЅСЊ Р“Р Рњ CONTI SYNCHROBELT</t>
  </si>
  <si>
    <t>235.33</t>
  </si>
  <si>
    <t>HYUNDAI Accent/Excel/Pony/Getz 1.5 16V 96-&gt;</t>
  </si>
  <si>
    <t>CT945</t>
  </si>
  <si>
    <t>CT945   Р РµРјС–РЅСЊ Р“Р Рњ CONTI SYNCHROBELT</t>
  </si>
  <si>
    <t>498.78</t>
  </si>
  <si>
    <t>AUDI A4/A6 .VW Golf III/Passat B5/Polo/T4 1.9D-TDI mot.1Z/AHH/AHU/AFN/AVG/ANU1Y/ALE/AEY/AAZ/AGR/ASV/  (5622XS, 94941)</t>
  </si>
  <si>
    <t>CT946</t>
  </si>
  <si>
    <t>CT946   Р РµРјС–РЅСЊ Р“Р Рњ CONTI SYNCHROBELT</t>
  </si>
  <si>
    <t>537.92</t>
  </si>
  <si>
    <t>AUDI/VW/SEAT/SKODA 1.9TDI 97-&gt;  (5543XS, 94778)</t>
  </si>
  <si>
    <t>CT949</t>
  </si>
  <si>
    <t>CT949   Р РµРјС–РЅСЊ Р“Р Рњ CONTI SYNCHROBELT</t>
  </si>
  <si>
    <t>483.14</t>
  </si>
  <si>
    <t>RENAULT Clio I/II.Kangoo.Rapid 1.9/1.9D 1.91&gt;  (5484XS, 94084)</t>
  </si>
  <si>
    <t>CT951</t>
  </si>
  <si>
    <t>CT951   Р РµРјС–РЅСЊ Р“Р Рњ CONTI SYNCHROBELT</t>
  </si>
  <si>
    <t>431.17</t>
  </si>
  <si>
    <t>CITROEN Jumper 2.5TD 4x4 12/96-4/02| PEUGEOT Boxer 2.5TD 4x4 1/97-4/02|  (5471XS, 94740)</t>
  </si>
  <si>
    <t>CT968</t>
  </si>
  <si>
    <t>CT968   Р РµРјС–РЅСЊ Р“Р Рњ CONTI SYNCHROBELT</t>
  </si>
  <si>
    <t>408.11</t>
  </si>
  <si>
    <t>ALFA ROMEO 145/146/147/156/166 1.9/2.4TD 9/97-&gt;| FIAT Brava/Bravo/Marea/Punto 1.9/2.4Td 9/98-&gt;|  (5500XS, 94713)</t>
  </si>
  <si>
    <t>CT972</t>
  </si>
  <si>
    <t>CT972   Р РµРјС–РЅСЊ Р“Р Рњ CONTI SYNCHROBELT</t>
  </si>
  <si>
    <t>MAZDA 626 1.8 16V 92-&gt;, Premacy 1.8/2.0 99-&gt;</t>
  </si>
  <si>
    <t>CT975</t>
  </si>
  <si>
    <t>CT975   Р РµРјС–РЅСЊ Р“Р Рњ CONTI SYNCHROBELT</t>
  </si>
  <si>
    <t>313.89</t>
  </si>
  <si>
    <t>Chevrolet Lacetti (J200)/Nubira  1,8 05-: OPEL Vectra B/Astra G 1.4/1.6/1.8-16v mot.X14-16-18XE/Z14-16-18XE  (5499XS, 94787)</t>
  </si>
  <si>
    <t>CT983</t>
  </si>
  <si>
    <t>CT983   Р РµРјС–РЅСЊ Р“Р Рњ CONTI SYNCHROBELT</t>
  </si>
  <si>
    <t>277.08</t>
  </si>
  <si>
    <t>FORD Fiesta/Focus 1.8D-TDI mot.RTN/RTP/RTQ/BHDA/BHDB  (5541XS, 941009)</t>
  </si>
  <si>
    <t>CT986</t>
  </si>
  <si>
    <t>CT986   Р РµРјС–РЅСЊ Р“Р Рњ CONTI SYNCHROBELT</t>
  </si>
  <si>
    <t>361.64</t>
  </si>
  <si>
    <t>CITROEN Berlingo 1.9D 7/98&gt;.PEUGEOT 206 (2A/C) 1.9D 9/98-11/01  (5523XS, 94808)</t>
  </si>
  <si>
    <t>CT988</t>
  </si>
  <si>
    <t>CT988   Р РµРјС–РЅСЊ Р“Р Рњ CONTI SYNCHROBELT</t>
  </si>
  <si>
    <t>250.50</t>
  </si>
  <si>
    <t>RENAULT Clio II/Megane/Kangoo/Logan 1.4/1.6 95 -&gt;  (5473XS, 94785)</t>
  </si>
  <si>
    <t>CT989</t>
  </si>
  <si>
    <t>CT989   Р РµРјС–РЅСЊ Р“Р Рњ CONTI SYNCHROBELT</t>
  </si>
  <si>
    <t>FIAT Ducato 07/90-04/02/IVECO Daily 01/89-08/98/RENAULT Master I 08/89-07/98  (5335XS, 94810)</t>
  </si>
  <si>
    <t>CT998</t>
  </si>
  <si>
    <t>CT998   Р РµРјС–РЅСЊ Р“Р Рњ CONTI SYNCHROBELT</t>
  </si>
  <si>
    <t>356.57</t>
  </si>
  <si>
    <t>TOYOTA Avensis 2.0 9/97-10/00 .Camry 2.0/2.2 11/86-8/96  (5202XS, 94167)</t>
  </si>
  <si>
    <t>DAYCO</t>
  </si>
  <si>
    <t>10A0550C</t>
  </si>
  <si>
    <t>10X550 = 10A0550C   DAYCO - Р РµРјС–РЅСЊ (РєР»РёРЅРѕРІРёР№)</t>
  </si>
  <si>
    <t>51.75</t>
  </si>
  <si>
    <t>10A0625C</t>
  </si>
  <si>
    <t>10X625 = 10A0625C   DAYCO - Р РµРјС–РЅСЊ (РєР»РёРЅРѕРІРёР№)</t>
  </si>
  <si>
    <t>48.72</t>
  </si>
  <si>
    <t>10A0675C</t>
  </si>
  <si>
    <t>10X675 = 10A0675C   DAYCO - Р РµРјС–РЅСЊ (РєР»РёРЅРѕРІРёР№)</t>
  </si>
  <si>
    <t>50.57</t>
  </si>
  <si>
    <t>10A0690C</t>
  </si>
  <si>
    <t>10X690 = 10A0690C   DAYCO - Р РµРјС–РЅСЊ (РєР»РёРЅРѕРІРёР№)</t>
  </si>
  <si>
    <t>51.25</t>
  </si>
  <si>
    <t>10A0710C</t>
  </si>
  <si>
    <t>10X710 = 10A0710C   DAYCO - Р РµРјС–РЅСЊ (РєР»РёРЅРѕРІРёР№)</t>
  </si>
  <si>
    <t>48.38</t>
  </si>
  <si>
    <t>LADA Samara 1,3-1,5 (8V) 88-03, ZAZ РўР°РІСЂС–СЏ 1,2/1,3|   Citroen, Peugeot, Audi, Fiat...</t>
  </si>
  <si>
    <t>10A0740C</t>
  </si>
  <si>
    <t>10X740 = 10A0740C   DAYCO - Р РµРјС–РЅСЊ (РєР»РёРЅРѕРІРёР№)</t>
  </si>
  <si>
    <t>51.42</t>
  </si>
  <si>
    <t>10A0750C</t>
  </si>
  <si>
    <t>10X750 = 10A0750C   DAYCO - Р РµРјС–РЅСЊ (РєР»РёРЅРѕРІРёР№)</t>
  </si>
  <si>
    <t>53.27</t>
  </si>
  <si>
    <t>10A0760C</t>
  </si>
  <si>
    <t>10X760 = 10A0760C   DAYCO - Р РµРјС–РЅСЊ (РєР»РёРЅРѕРІРёР№)</t>
  </si>
  <si>
    <t>52.76</t>
  </si>
  <si>
    <t>10A0785C</t>
  </si>
  <si>
    <t>10X785 = 10A0785C   DAYCO - Р РµРјС–РЅСЊ (РєР»РёРЅРѕРІРёР№)</t>
  </si>
  <si>
    <t>64.06</t>
  </si>
  <si>
    <t>10A0835C</t>
  </si>
  <si>
    <t>10X835 = 10A0835C   DAYCO - Р РµРјС–РЅСЊ (РєР»РёРЅРѕРІРёР№)</t>
  </si>
  <si>
    <t>55.46</t>
  </si>
  <si>
    <t>10A0888C</t>
  </si>
  <si>
    <t>10X888 = 10A0888C   DAYCO - Р РµРјС–РЅСЊ (РєР»РёРЅРѕРІРёР№)</t>
  </si>
  <si>
    <t>54.79</t>
  </si>
  <si>
    <t>10A0925C</t>
  </si>
  <si>
    <t>10X925 = 10A0925C   DAYCO - Р РµРјС–РЅСЊ (РєР»РёРЅРѕРІРёР№)</t>
  </si>
  <si>
    <t>53.61</t>
  </si>
  <si>
    <t>10A0940C</t>
  </si>
  <si>
    <t>10X940 = 10A0940C   DAYCO - Р РµРјС–РЅСЊ (РєР»РёРЅРѕРІРёР№)</t>
  </si>
  <si>
    <t>55.80</t>
  </si>
  <si>
    <t>LADA, VW, AUDI, MB, FORD, BMW</t>
  </si>
  <si>
    <t>10A0950C</t>
  </si>
  <si>
    <t>10X950 = 10A0950C   DAYCO - Р РµРјС–РЅСЊ (РєР»РёРЅРѕРІРёР№)</t>
  </si>
  <si>
    <t>VAG 1.6-2.0   -93|  BMW E30|  OPEL 1.0-1.3  -91, 1.7TD  90-98| Renault Master 2.4/2.5D/TD 89-98|</t>
  </si>
  <si>
    <t>10A0960C</t>
  </si>
  <si>
    <t>10X960 = 10A0960C   DAYCO - Р РµРјС–РЅСЊ (РєР»РёРЅРѕРІРёР№)</t>
  </si>
  <si>
    <t>56.98</t>
  </si>
  <si>
    <t>10A0975C</t>
  </si>
  <si>
    <t>10X975 = 10A0975C   DAYCO - Р РµРјС–РЅСЊ (РєР»РёРЅРѕРІРёР№)</t>
  </si>
  <si>
    <t>59.17</t>
  </si>
  <si>
    <t>10A0990C</t>
  </si>
  <si>
    <t>10X990 = 10A0990C   DAYCO - Р РµРјС–РЅСЊ (РєР»РёРЅРѕРІРёР№)</t>
  </si>
  <si>
    <t>58.83</t>
  </si>
  <si>
    <t>10A1010C</t>
  </si>
  <si>
    <t>10X1010 = 10A1010C   DAYCO - Р РµРјС–РЅСЊ (РєР»РёРЅРѕРІРёР№)</t>
  </si>
  <si>
    <t>66.59</t>
  </si>
  <si>
    <t>10A1025C</t>
  </si>
  <si>
    <t>10X1025 = 10A1025C   DAYCO - Р РµРјС–РЅСЊ (РєР»РёРЅРѕРІРёР№)</t>
  </si>
  <si>
    <t>65.58</t>
  </si>
  <si>
    <t>10A1035C</t>
  </si>
  <si>
    <t>10X1035 = 10A1035C   DAYCO - Р РµРјС–РЅСЊ (РєР»РёРЅРѕРІРёР№)</t>
  </si>
  <si>
    <t>68.95</t>
  </si>
  <si>
    <t>10A1050HD</t>
  </si>
  <si>
    <t>10X1050 = 10A1050HD   DAYCO - Р РµРјС–РЅСЊ (РєР»РёРЅРѕРІРёР№)</t>
  </si>
  <si>
    <t>78.22</t>
  </si>
  <si>
    <t>10A1060HD</t>
  </si>
  <si>
    <t>10X1060 = 10A1060HD   DAYCO - Р РµРјС–РЅСЊ (РєР»РёРЅРѕРІРёР№)</t>
  </si>
  <si>
    <t>75.35</t>
  </si>
  <si>
    <t>10A1075C</t>
  </si>
  <si>
    <t>10X1075 = 10A1075C   DAYCO - Р РµРјС–РЅСЊ (РєР»РёРЅРѕРІРёР№)</t>
  </si>
  <si>
    <t>57.65</t>
  </si>
  <si>
    <t>10A1090C</t>
  </si>
  <si>
    <t>10X1090 = 10A1090C   DAYCO - Р РµРјС–РЅСЊ (РєР»РёРЅРѕРІРёР№)</t>
  </si>
  <si>
    <t>62.20</t>
  </si>
  <si>
    <t>10A1100HD</t>
  </si>
  <si>
    <t>10X1100 = 10A1100HD   DAYCO - Р РµРјС–РЅСЊ (РєР»РёРЅРѕРІРёР№)</t>
  </si>
  <si>
    <t>MAN\t M2000 12.224-26.285  95-05| IVECO MK/P   -93</t>
  </si>
  <si>
    <t>10A1150C</t>
  </si>
  <si>
    <t>10X1150 = 10A1150C   DAYCO - Р РµРјС–РЅСЊ (РєР»РёРЅРѕРІРёР№)</t>
  </si>
  <si>
    <t>67.77</t>
  </si>
  <si>
    <t>10A1170HD</t>
  </si>
  <si>
    <t>10X1170 = 10A1170HD   DAYCO - Р РµРјС–РЅСЊ (РєР»РёРЅРѕРІРёР№)</t>
  </si>
  <si>
    <t>79.40</t>
  </si>
  <si>
    <t>10A1175C</t>
  </si>
  <si>
    <t>10X1175 = 10A1175C   DAYCO - Р РµРјС–РЅСЊ (РєР»РёРЅРѕРІРёР№)</t>
  </si>
  <si>
    <t>10A1225C</t>
  </si>
  <si>
    <t>10X1225 = 10A1225C   DAYCO - Р РµРјС–РЅСЊ (РєР»РёРЅРѕРІРёР№)</t>
  </si>
  <si>
    <t>81.25</t>
  </si>
  <si>
    <t>10A1275C</t>
  </si>
  <si>
    <t>10X1275 = 10A1275C   DAYCO - Р РµРјС–РЅСЊ (РєР»РёРЅРѕРІРёР№)</t>
  </si>
  <si>
    <t>73.33</t>
  </si>
  <si>
    <t>10A1300C</t>
  </si>
  <si>
    <t>10X1300 = 10A1300C   DAYCO - Р РµРјС–РЅСЊ (РєР»РёРЅРѕРІРёР№)</t>
  </si>
  <si>
    <t>71.48</t>
  </si>
  <si>
    <t>10A1325C</t>
  </si>
  <si>
    <t>10X1325 = 10A1325C   DAYCO - Р РµРјС–РЅСЊ (РєР»РёРЅРѕРІРёР№)</t>
  </si>
  <si>
    <t>74.85</t>
  </si>
  <si>
    <t>10A1350C</t>
  </si>
  <si>
    <t>10X1350 = 10A1350C   DAYCO - Р РµРјС–РЅСЊ (РєР»РёРЅРѕРІРёР№)</t>
  </si>
  <si>
    <t>10A1400C</t>
  </si>
  <si>
    <t>10X1400 = 10A1400C   DAYCO - Р РµРјС–РЅСЊ (РєР»РёРЅРѕРІРёР№)</t>
  </si>
  <si>
    <t>83.11</t>
  </si>
  <si>
    <t>10A1450C</t>
  </si>
  <si>
    <t>10X1450 = 10A1450C   DAYCO - Р РµРјС–РЅСЊ (РєР»РёРЅРѕРІРёР№)</t>
  </si>
  <si>
    <t>80.92</t>
  </si>
  <si>
    <t>10A1500HD</t>
  </si>
  <si>
    <t>10X1500 = 10A1500HD   DAYCO - Р РµРјС–РЅСЊ (РєР»РёРЅРѕРІРёР№)</t>
  </si>
  <si>
    <t>82.77</t>
  </si>
  <si>
    <t>10A1700C</t>
  </si>
  <si>
    <t>10X1700 = 10A1700C   DAYCO - Р РµРјС–РЅСЊ (РєР»РёРЅРѕРІРёР№)</t>
  </si>
  <si>
    <t>96.93</t>
  </si>
  <si>
    <t>11A0685C</t>
  </si>
  <si>
    <t>11X685 = 11A0685C   DAYCO - Р РµРјС–РЅСЊ (РєР»РёРЅРѕРІРёР№)</t>
  </si>
  <si>
    <t>54.62</t>
  </si>
  <si>
    <t>11A1171C</t>
  </si>
  <si>
    <t>11X1171 = 11A1171C   DAYCO - Р РµРјС–РЅСЊ (РєР»РёРЅРѕРІРёР№)</t>
  </si>
  <si>
    <t>84.29</t>
  </si>
  <si>
    <t>Ford Scorpio, Siera, Transit1,8/2,0   -94</t>
  </si>
  <si>
    <t>13A0675C</t>
  </si>
  <si>
    <t>13X675 = 13A0675C   DAYCO - Р РµРјС–РЅСЊ (РєР»РёРЅРѕРІРёР№)</t>
  </si>
  <si>
    <t>59.84</t>
  </si>
  <si>
    <t>13A0750C</t>
  </si>
  <si>
    <t>13X750 = 13A0750C   DAYCO - Р РµРјС–РЅСЊ (РєР»РёРЅРѕРІРёР№)</t>
  </si>
  <si>
    <t>58.50</t>
  </si>
  <si>
    <t>13A0850HD</t>
  </si>
  <si>
    <t>13X850 = 13A0850HD   DAYCO - Р РµРјС–РЅСЊ (РєР»РёРЅРѕРІРёР№)</t>
  </si>
  <si>
    <t>77.88</t>
  </si>
  <si>
    <t>13A0875C</t>
  </si>
  <si>
    <t>13X875 = 13A0875C   DAYCO - Р РµРјС–РЅСЊ (РєР»РёРЅРѕРІРёР№)</t>
  </si>
  <si>
    <t>61.53</t>
  </si>
  <si>
    <t>13A0900C</t>
  </si>
  <si>
    <t>13X900 = 13A0900C   DAYCO - Р РµРјС–РЅСЊ (РєР»РёРЅРѕРІРёР№)</t>
  </si>
  <si>
    <t>64.90</t>
  </si>
  <si>
    <t>13A0925C</t>
  </si>
  <si>
    <t>13X925 = 13A0925C   DAYCO - Р РµРјС–РЅСЊ (РєР»РёРЅРѕРІРёР№)</t>
  </si>
  <si>
    <t>67.09</t>
  </si>
  <si>
    <t>13A0975C</t>
  </si>
  <si>
    <t>13X975 = 13A0975C   DAYCO - Р РµРјС–РЅСЊ (РєР»РёРЅРѕРІРёР№)</t>
  </si>
  <si>
    <t>74.51</t>
  </si>
  <si>
    <t>13A1000C</t>
  </si>
  <si>
    <t>13X1000 = 13A1000C   DAYCO - Р РµРјС–РЅСЊ (РєР»РёРЅРѕРІРёР№)</t>
  </si>
  <si>
    <t>13A1015HD</t>
  </si>
  <si>
    <t>13X1015 = 13A1015HD   DAYCO - Р РµРјС–РЅСЊ (РєР»РёРЅРѕРІРёР№)</t>
  </si>
  <si>
    <t>13A1040C</t>
  </si>
  <si>
    <t>13X1040 = 13A1040C   DAYCO - Р РµРјС–РЅСЊ (РєР»РёРЅРѕРІРёР№)</t>
  </si>
  <si>
    <t>79.74</t>
  </si>
  <si>
    <t>13A1050C</t>
  </si>
  <si>
    <t>13X1050 = 13A1050C   DAYCO - Р РµРјС–РЅСЊ (РєР»РёРЅРѕРІРёР№)</t>
  </si>
  <si>
    <t>80.07</t>
  </si>
  <si>
    <t>13A1150C</t>
  </si>
  <si>
    <t>13X1150 = 13A1150C   DAYCO - Р РµРјС–РЅСЊ (РєР»РёРЅРѕРІРёР№)</t>
  </si>
  <si>
    <t>13A1175C</t>
  </si>
  <si>
    <t>13X1175 = 13A1175C   DAYCO - Р РµРјС–РЅСЊ (РєР»РёРЅРѕРІРёР№)</t>
  </si>
  <si>
    <t>13A1200C</t>
  </si>
  <si>
    <t>13X1200 = 13A1200C   DAYCO - Р РµРјС–РЅСЊ (РєР»РёРЅРѕРІРёР№)</t>
  </si>
  <si>
    <t>81.76</t>
  </si>
  <si>
    <t>13A1250C</t>
  </si>
  <si>
    <t>13X1250 = 13A1250C   DAYCO - Р РµРјС–РЅСЊ (РєР»РёРЅРѕРІРёР№)</t>
  </si>
  <si>
    <t>13A1375C</t>
  </si>
  <si>
    <t>13X1375 = 13A1375C   DAYCO - Р РµРјС–РЅСЊ (РєР»РёРЅРѕРІРёР№)</t>
  </si>
  <si>
    <t>13A1500C</t>
  </si>
  <si>
    <t>13X1500 = 13A1500C   DAYCO - Р РµРјС–РЅСЊ (РєР»РёРЅРѕРІРёР№)</t>
  </si>
  <si>
    <t>96.26</t>
  </si>
  <si>
    <t>13A1500HD</t>
  </si>
  <si>
    <t>13X1500 = 13A1500HD   DAYCO - Р РµРјС–РЅСЊ (РєР»РёРЅРѕРІРёР№)</t>
  </si>
  <si>
    <t>111.26</t>
  </si>
  <si>
    <t>13A1600HD</t>
  </si>
  <si>
    <t>13X1600 = 13A1600HD   DAYCO - Р РµРјС–РЅСЊ (РєР»РёРЅРѕРІРёР№)</t>
  </si>
  <si>
    <t>128.79</t>
  </si>
  <si>
    <t>17A1810HD</t>
  </si>
  <si>
    <t>17X1810 = 17A1810HD   DAYCO - Р РµРјС–РЅСЊ (РєР»РёРЅРѕРІРёР№)</t>
  </si>
  <si>
    <t>200.10</t>
  </si>
  <si>
    <t>3PK630</t>
  </si>
  <si>
    <t>3PK630   DAYCO - Р РµРјС–РЅСЊ (РїРѕР»С–РєР»РёРЅРѕРІРёР№)</t>
  </si>
  <si>
    <t>58.16</t>
  </si>
  <si>
    <t>3PK668</t>
  </si>
  <si>
    <t>3PK668   DAYCO - Р РµРјС–РЅСЊ (РїРѕР»С–РєР»РёРЅРѕРІРёР№)</t>
  </si>
  <si>
    <t>3PK675   DAYCO - Р РµРјС–РЅСЊ (РїРѕР»С–РєР»РёРЅРѕРІРёР№)</t>
  </si>
  <si>
    <t>86.48</t>
  </si>
  <si>
    <t>3PK715</t>
  </si>
  <si>
    <t>3PK715   DAYCO - Р РµРјС–РЅСЊ (РїРѕР»С–РєР»РёРЅРѕРІРёР№)</t>
  </si>
  <si>
    <t>62.88</t>
  </si>
  <si>
    <t>RENAULT CLIO I / 19 / MEGANE (1991-2003)</t>
  </si>
  <si>
    <t>3PK736</t>
  </si>
  <si>
    <t>3PK736   DAYCO - Р РµРјС–РЅСЊ (РїРѕР»С–РєР»РёРЅРѕРІРёР№)</t>
  </si>
  <si>
    <t>62.54</t>
  </si>
  <si>
    <t>3PK865</t>
  </si>
  <si>
    <t>3PK865   DAYCO - Р РµРјС–РЅСЊ (РїРѕР»С–РєР»РёРЅРѕРІРёР№)</t>
  </si>
  <si>
    <t>94.06</t>
  </si>
  <si>
    <t>4PK1000   DAYCO - Р РµРјС–РЅСЊ (РїРѕР»С–РєР»РёРЅРѕРІРёР№)</t>
  </si>
  <si>
    <t>89.85</t>
  </si>
  <si>
    <t>4PK1065</t>
  </si>
  <si>
    <t>4PK1065   DAYCO - Р РµРјС–РЅСЊ (РїРѕР»С–РєР»РёРЅРѕРІРёР№)</t>
  </si>
  <si>
    <t>101.82</t>
  </si>
  <si>
    <t>4PK1070HD</t>
  </si>
  <si>
    <t>4PK1070HD   DAYCO - Р РµРјС–РЅСЊ (РїРѕР»С–РєР»РёРЅРѕРІРёР№)</t>
  </si>
  <si>
    <t>98.45</t>
  </si>
  <si>
    <t>4PK673</t>
  </si>
  <si>
    <t>4PK673   DAYCO - Р РµРјС–РЅСЊ (РїРѕР»С–РєР»РёРЅРѕРІРёР№)</t>
  </si>
  <si>
    <t>4PK675</t>
  </si>
  <si>
    <t>4PK675   DAYCO - Р РµРјС–РЅСЊ (РїРѕР»С–РєР»РёРЅРѕРІРёР№)</t>
  </si>
  <si>
    <t>4PK685</t>
  </si>
  <si>
    <t>4PK685   DAYCO - Р РµРјС–РЅСЊ (РїРѕР»С–РєР»РёРЅРѕРІРёР№)</t>
  </si>
  <si>
    <t>73.50</t>
  </si>
  <si>
    <t>4PK715   DAYCO - Р РµРјС–РЅСЊ (РїРѕР»С–РєР»РёРЅРѕРІРёР№)</t>
  </si>
  <si>
    <t>4PK736</t>
  </si>
  <si>
    <t>4PK736   DAYCO - Р РµРјС–РЅСЊ (РїРѕР»С–РєР»РёРЅРѕРІРёР№)</t>
  </si>
  <si>
    <t>91.70</t>
  </si>
  <si>
    <t>4PK812</t>
  </si>
  <si>
    <t>4PK812   DAYCO - Р РµРјС–РЅСЊ (РїРѕР»С–РєР»РёРЅРѕРІРёР№)</t>
  </si>
  <si>
    <t>83.44</t>
  </si>
  <si>
    <t>4PK820</t>
  </si>
  <si>
    <t>4PK820   DAYCO - Р РµРјС–РЅСЊ (РїРѕР»С–РєР»РёРЅРѕРІРёР№)</t>
  </si>
  <si>
    <t>4PK841</t>
  </si>
  <si>
    <t>4PK841   DAYCO - Р РµРјС–РЅСЊ (РїРѕР»С–РєР»РёРЅРѕРІРёР№)</t>
  </si>
  <si>
    <t>4PK862</t>
  </si>
  <si>
    <t>4PK862   DAYCO - Р РµРјС–РЅСЊ (РїРѕР»С–РєР»РёРЅРѕРІРёР№)</t>
  </si>
  <si>
    <t>4PK875   DAYCO - Р РµРјС–РЅСЊ (РїРѕР»С–РєР»РёРЅРѕРІРёР№)</t>
  </si>
  <si>
    <t>4PK884</t>
  </si>
  <si>
    <t>4PK884   DAYCO - Р РµРјС–РЅСЊ (РїРѕР»С–РєР»РёРЅРѕРІРёР№)</t>
  </si>
  <si>
    <t>4PK890</t>
  </si>
  <si>
    <t>4PK890   DAYCO - Р РµРјС–РЅСЊ (РїРѕР»С–РєР»РёРЅРѕРІРёР№)</t>
  </si>
  <si>
    <t>88.84</t>
  </si>
  <si>
    <t>4PK900</t>
  </si>
  <si>
    <t>4PK900   DAYCO - Р РµРјС–РЅСЊ (РїРѕР»С–РєР»РёРЅРѕРІРёР№)</t>
  </si>
  <si>
    <t>4PK905</t>
  </si>
  <si>
    <t>4PK905   DAYCO - Р РµРјС–РЅСЊ (РїРѕР»С–РєР»РёРЅРѕРІРёР№)</t>
  </si>
  <si>
    <t>4PK920   DAYCO - Р РµРјС–РЅСЊ (РїРѕР»С–РєР»РёРЅРѕРІРёР№)</t>
  </si>
  <si>
    <t>4PK922EE</t>
  </si>
  <si>
    <t>4PK922EE   DAYCO - Р РµРјС–РЅСЊ (РїРѕР»С–РєР»РёРЅРѕРІРёР№)</t>
  </si>
  <si>
    <t>121.71</t>
  </si>
  <si>
    <t>Ford Transit 2,2TDCI 06-, FIAT Ducato 2.2D Multijet 06-| PEUGEOT Boxer 2.2HDI 06-</t>
  </si>
  <si>
    <t>4PK925   DAYCO - Р РµРјС–РЅСЊ (РїРѕР»С–РєР»РёРЅРѕРІРёР№)</t>
  </si>
  <si>
    <t>97.77</t>
  </si>
  <si>
    <t>4PK938   DAYCO - Р РµРјС–РЅСЊ (РїРѕР»С–РєР»РёРЅРѕРІРёР№)</t>
  </si>
  <si>
    <t>89.51</t>
  </si>
  <si>
    <t>4PK945</t>
  </si>
  <si>
    <t>4PK945   DAYCO - Р РµРјС–РЅСЊ (РїРѕР»С–РєР»РёРЅРѕРІРёР№)</t>
  </si>
  <si>
    <t>121.04</t>
  </si>
  <si>
    <t>4PK985</t>
  </si>
  <si>
    <t>4PK985   DAYCO - Р РµРјС–РЅСЊ (РїРѕР»С–РєР»РёРЅРѕРІРёР№)</t>
  </si>
  <si>
    <t>5PK1005   DAYCO - Р РµРјС–РЅСЊ (РїРѕР»С–РєР»РёРЅРѕРІРёР№)</t>
  </si>
  <si>
    <t>110.59</t>
  </si>
  <si>
    <t>5PK1010</t>
  </si>
  <si>
    <t>5PK1010   DAYCO - Р РµРјС–РЅСЊ (РїРѕР»С–РєР»РёРЅРѕРІРёР№)</t>
  </si>
  <si>
    <t>133.68</t>
  </si>
  <si>
    <t>5PK1025</t>
  </si>
  <si>
    <t>5PK1025   DAYCO - Р РµРјС–РЅСЊ (РїРѕР»С–РєР»РёРЅРѕРІРёР№)</t>
  </si>
  <si>
    <t>113.11</t>
  </si>
  <si>
    <t>5PK1065</t>
  </si>
  <si>
    <t>5PK1065   DAYCO - Р РµРјС–РЅСЊ (РїРѕР»С–РєР»РёРЅРѕРІРёР№)</t>
  </si>
  <si>
    <t>132.33</t>
  </si>
  <si>
    <t>MITSUBISHI GALANT/SPACE STAR, MAZDA 626</t>
  </si>
  <si>
    <t>5PK1100</t>
  </si>
  <si>
    <t>5PK1100   DAYCO - Р РµРјС–РЅСЊ (РїРѕР»С–РєР»РёРЅРѕРІРёР№)</t>
  </si>
  <si>
    <t>116.49</t>
  </si>
  <si>
    <t>5PK1115</t>
  </si>
  <si>
    <t>5PK1115   DAYCO - Р РµРјС–РЅСЊ (РїРѕР»С–РєР»РёРЅРѕРІРёР№)</t>
  </si>
  <si>
    <t>142.78</t>
  </si>
  <si>
    <t>5PK1125   DAYCO - Р РµРјС–РЅСЊ (РїРѕР»С–РєР»РёРЅРѕРІРёР№)</t>
  </si>
  <si>
    <t>119.52</t>
  </si>
  <si>
    <t>5PK1130</t>
  </si>
  <si>
    <t>5PK1130   DAYCO - Р РµРјС–РЅСЊ (РїРѕР»С–РєР»РёРЅРѕРІРёР№)</t>
  </si>
  <si>
    <t>141.27</t>
  </si>
  <si>
    <t>5PK1210</t>
  </si>
  <si>
    <t>5PK1210   DAYCO - Р РµРјС–РЅСЊ (РїРѕР»С–РєР»РёРЅРѕРІРёР№)</t>
  </si>
  <si>
    <t>127.78</t>
  </si>
  <si>
    <t>5PK1215</t>
  </si>
  <si>
    <t>5PK1215   DAYCO - Р РµРјС–РЅСЊ (РїРѕР»С–РєР»РёРЅРѕРІРёР№)</t>
  </si>
  <si>
    <t>138.57</t>
  </si>
  <si>
    <t>5PK1230   DAYCO - Р РµРјС–РЅСЊ (РїРѕР»С–РєР»РёРЅРѕРІРёР№)</t>
  </si>
  <si>
    <t>131.15</t>
  </si>
  <si>
    <t>5PK1300   DAYCO - Р РµРјС–РЅСЊ (РїРѕР»С–РєР»РёРЅРѕРІРёР№)</t>
  </si>
  <si>
    <t>149.02</t>
  </si>
  <si>
    <t>5PK1330</t>
  </si>
  <si>
    <t>5PK1330   DAYCO - Р РµРјС–РЅСЊ (РїРѕР»С–РєР»РёРЅРѕРІРёР№)</t>
  </si>
  <si>
    <t>130.65</t>
  </si>
  <si>
    <t>5PK1545</t>
  </si>
  <si>
    <t>5PK1545   DAYCO - Р РµРјС–РЅСЊ (РїРѕР»С–РєР»РёРЅРѕРІРёР№)</t>
  </si>
  <si>
    <t>159.98</t>
  </si>
  <si>
    <t>5PK1650</t>
  </si>
  <si>
    <t>5PK1650   DAYCO - Р РµРјС–РЅСЊ (РїРѕР»С–РєР»РёРЅРѕРІРёР№)</t>
  </si>
  <si>
    <t>200.77</t>
  </si>
  <si>
    <t>5PK1750   DAYCO - Р РµРјС–РЅСЊ (РїРѕР»С–РєР»РёРЅРѕРІРёР№)</t>
  </si>
  <si>
    <t>168.91</t>
  </si>
  <si>
    <t>5PK1815</t>
  </si>
  <si>
    <t>5PK1815   DAYCO - Р РµРјС–РЅСЊ (РїРѕР»С–РєР»РёРЅРѕРІРёР№)</t>
  </si>
  <si>
    <t>190.32</t>
  </si>
  <si>
    <t>5PK1885</t>
  </si>
  <si>
    <t>5PK1885   DAYCO - Р РµРјС–РЅСЊ (РїРѕР»С–РєР»РёРЅРѕРІРёР№)</t>
  </si>
  <si>
    <t>173.46</t>
  </si>
  <si>
    <t>5PK2030</t>
  </si>
  <si>
    <t>5PK2030   DAYCO - Р РµРјС–РЅСЊ (РїРѕР»С–РєР»РёРЅРѕРІРёР№)</t>
  </si>
  <si>
    <t>185.77</t>
  </si>
  <si>
    <t>5PK810</t>
  </si>
  <si>
    <t>5PK810   DAYCO - Р РµРјС–РЅСЊ (РїРѕР»С–РєР»РёРЅРѕРІРёР№)</t>
  </si>
  <si>
    <t>100.47</t>
  </si>
  <si>
    <t>5PK865HD</t>
  </si>
  <si>
    <t>5PK865HD   DAYCO - Р РµРјС–РЅСЊ (РїРѕР»С–РєР»РёРЅРѕРІРёР№)</t>
  </si>
  <si>
    <t>117.33</t>
  </si>
  <si>
    <t>5PK869   DAYCO - Р РµРјС–РЅСЊ (РїРѕР»С–РєР»РёРЅРѕРІРёР№)</t>
  </si>
  <si>
    <t>121.37</t>
  </si>
  <si>
    <t>5PK875   DAYCO - Р РµРјС–РЅСЊ (РїРѕР»С–РєР»РёРЅРѕРІРёР№)</t>
  </si>
  <si>
    <t>103.00</t>
  </si>
  <si>
    <t>5PK884</t>
  </si>
  <si>
    <t>5PK884   DAYCO - Р РµРјС–РЅСЊ (РїРѕР»С–РєР»РёРЅРѕРІРёР№)</t>
  </si>
  <si>
    <t>103.34</t>
  </si>
  <si>
    <t>5PK938</t>
  </si>
  <si>
    <t>5PK938   DAYCO - Р РµРјС–РЅСЊ (РїРѕР»С–РєР»РёРЅРѕРІРёР№)</t>
  </si>
  <si>
    <t>116.82</t>
  </si>
  <si>
    <t>5PK962   DAYCO - Р РµРјС–РЅСЊ (РїРѕР»С–РєР»РёРЅРѕРІРёР№)</t>
  </si>
  <si>
    <t>107.89</t>
  </si>
  <si>
    <t>5PK975</t>
  </si>
  <si>
    <t>5PK975   DAYCO - Р РµРјС–РЅСЊ (РїРѕР»С–РєР»РёРЅРѕРІРёР№)</t>
  </si>
  <si>
    <t>6PK1000</t>
  </si>
  <si>
    <t>6PK1000   DAYCO - Р РµРјС–РЅСЊ (РїРѕР»С–РєР»РёРЅРѕРІРёР№)</t>
  </si>
  <si>
    <t>6PK1045   DAYCO - Р РµРјС–РЅСЊ (РїРѕР»С–РєР»РёРЅРѕРІРёР№)</t>
  </si>
  <si>
    <t>137.56</t>
  </si>
  <si>
    <t>6PK1050</t>
  </si>
  <si>
    <t>6PK1050   DAYCO - Р РµРјС–РЅСЊ (РїРѕР»С–РєР»РёРЅРѕРІРёР№)</t>
  </si>
  <si>
    <t>FIAT, FORD, LANCIA, HONDA, MINI/ RVI MASCOTT</t>
  </si>
  <si>
    <t>6PK1053</t>
  </si>
  <si>
    <t>6PK1053   DAYCO - Р РµРјС–РЅСЊ (РїРѕР»С–РєР»РёРЅРѕРІРёР№)</t>
  </si>
  <si>
    <t>6PK1076</t>
  </si>
  <si>
    <t>6PK1076   DAYCO - Р РµРјС–РЅСЊ (РїРѕР»С–РєР»РёРЅРѕРІРёР№)</t>
  </si>
  <si>
    <t>151.72</t>
  </si>
  <si>
    <t>6PK1080HD</t>
  </si>
  <si>
    <t>6PK1080HD   DAYCO - Р РµРјС–РЅСЊ (РїРѕР»С–РєР»РёРЅРѕРІРёР№)</t>
  </si>
  <si>
    <t>125.93</t>
  </si>
  <si>
    <t>6PK1100   DAYCO - Р РµРјС–РЅСЊ (РїРѕР»С–РєР»РёРЅРѕРІРёР№)</t>
  </si>
  <si>
    <t>135.53</t>
  </si>
  <si>
    <t>6PK1115   DAYCO - Р РµРјС–РЅСЊ (РїРѕР»С–РєР»РёРЅРѕРІРёР№)</t>
  </si>
  <si>
    <t>144.30</t>
  </si>
  <si>
    <t>6PK1125   DAYCO - Р РµРјС–РЅСЊ (РїРѕР»С–РєР»РёРЅРѕРІРёР№)</t>
  </si>
  <si>
    <t>6PK1130   DAYCO - Р РµРјС–РЅСЊ (РїРѕР»С–РєР»РёРЅРѕРІРёР№)</t>
  </si>
  <si>
    <t>148.01</t>
  </si>
  <si>
    <t>6PK1137</t>
  </si>
  <si>
    <t>6PK1137   DAYCO - Р РµРјС–РЅСЊ (РїРѕР»С–РєР»РёРЅРѕРІРёР№)</t>
  </si>
  <si>
    <t>160.99</t>
  </si>
  <si>
    <t>6PK1145   DAYCO - Р РµРјС–РЅСЊ (РїРѕР»С–РєР»РёРЅРѕРІРёР№)</t>
  </si>
  <si>
    <t>153.23</t>
  </si>
  <si>
    <t>6PK1152</t>
  </si>
  <si>
    <t>6PK1152   DAYCO - Р РµРјС–РЅСЊ (РїРѕР»С–РєР»РёРЅРѕРІРёР№)</t>
  </si>
  <si>
    <t>158.80</t>
  </si>
  <si>
    <t>6PK1195   DAYCO - Р РµРјС–РЅСЊ (РїРѕР»С–РєР»РёРЅРѕРІРёР№)</t>
  </si>
  <si>
    <t>146.15</t>
  </si>
  <si>
    <t>6PK1200   DAYCO - Р РµРјС–РЅСЊ (РїРѕР»С–РєР»РёРЅРѕРІРёР№)</t>
  </si>
  <si>
    <t>6PK1205   DAYCO - Р РµРјС–РЅСЊ (РїРѕР»С–РєР»РёРЅРѕРІРёР№)</t>
  </si>
  <si>
    <t>170.77</t>
  </si>
  <si>
    <t>6PK1217   DAYCO - Р РµРјС–РЅСЊ (РїРѕР»С–РєР»РёРЅРѕРІРёР№)</t>
  </si>
  <si>
    <t>209.71</t>
  </si>
  <si>
    <t>6PK1225</t>
  </si>
  <si>
    <t>6PK1225   DAYCO - Р РµРјС–РЅСЊ (РїРѕР»С–РєР»РёРЅРѕРІРёР№)</t>
  </si>
  <si>
    <t>198.08</t>
  </si>
  <si>
    <t>PEUGEOT 206 (2A/C) 1.4 16V 03-</t>
  </si>
  <si>
    <t>6PK1230</t>
  </si>
  <si>
    <t>6PK1230   DAYCO - Р РµРјС–РЅСЊ (РїРѕР»С–РєР»РёРЅРѕРІРёР№)</t>
  </si>
  <si>
    <t>6PK1250HD</t>
  </si>
  <si>
    <t>6PK1250HD   DAYCO - Р РµРјС–РЅСЊ (РїРѕР»С–РєР»РёРЅРѕРІРёР№)</t>
  </si>
  <si>
    <t>166.38</t>
  </si>
  <si>
    <t>6PK1285   DAYCO - Р РµРјС–РЅСЊ (РїРѕР»С–РєР»РёРЅРѕРІРёР№)</t>
  </si>
  <si>
    <t>163.01</t>
  </si>
  <si>
    <t>6PK1310</t>
  </si>
  <si>
    <t>6PK1310   DAYCO - Р РµРјС–РЅСЊ (РїРѕР»С–РєР»РёРЅРѕРІРёР№)</t>
  </si>
  <si>
    <t>201.11</t>
  </si>
  <si>
    <t>6PK1352   DAYCO - Р РµРјС–РЅСЊ (РїРѕР»С–РєР»РёРЅРѕРІРёР№)</t>
  </si>
  <si>
    <t>159.13</t>
  </si>
  <si>
    <t>6PK1365</t>
  </si>
  <si>
    <t>6PK1365   DAYCO - Р РµРјС–РЅСЊ (РїРѕР»С–РєР»РёРЅРѕРІРёР№)</t>
  </si>
  <si>
    <t>153.91</t>
  </si>
  <si>
    <t>6PK1400   DAYCO - Р РµРјС–РЅСЊ (РїРѕР»С–РєР»РёРЅРѕРІРёР№)</t>
  </si>
  <si>
    <t>161.83</t>
  </si>
  <si>
    <t>6PK1420HD</t>
  </si>
  <si>
    <t>6PK1420HD   DAYCO - Р РµРјС–РЅСЊ (РїРѕР»С–РєР»РёРЅРѕРІРёР№)</t>
  </si>
  <si>
    <t>6PK1435</t>
  </si>
  <si>
    <t>6PK1435   DAYCO - Р РµРјС–РЅСЊ (РїРѕР»С–РєР»РёРЅРѕРІРёР№)</t>
  </si>
  <si>
    <t>219.15</t>
  </si>
  <si>
    <t>CITROEN Berlingo/Jumpy/Xsara, FIAT Scudo 1,9D 98-11| FORD Fiesta 1,3 95-02|  HYUNDAI Accent 1,5CRDi 02-06| PEUGEOT Expert/Partner 1,9D 98-08  (-AC)</t>
  </si>
  <si>
    <t>6PK1468   DAYCO - Р РµРјС–РЅСЊ (РїРѕР»С–РєР»РёРЅРѕРІРёР№)</t>
  </si>
  <si>
    <t>226.56</t>
  </si>
  <si>
    <t>6PK1510HD</t>
  </si>
  <si>
    <t>6PK1510HD   DAYCO - Р РµРјС–РЅСЊ (РїРѕР»С–РєР»РёРЅРѕРІРёР№)</t>
  </si>
  <si>
    <t>155.76</t>
  </si>
  <si>
    <t>6PK1538   DAYCO - Р РµРјС–РЅСЊ (РїРѕР»С–РєР»РёРЅРѕРІРёР№)</t>
  </si>
  <si>
    <t>6PK1555   DAYCO - Р РµРјС–РЅСЊ (РїРѕР»С–РєР»РёРЅРѕРІРёР№)</t>
  </si>
  <si>
    <t>174.48</t>
  </si>
  <si>
    <t>6PK1565</t>
  </si>
  <si>
    <t>6PK1565   DAYCO - Р РµРјС–РЅСЊ (РїРѕР»С–РєР»РёРЅРѕРІРёР№)</t>
  </si>
  <si>
    <t>177.85</t>
  </si>
  <si>
    <t>6PK1600</t>
  </si>
  <si>
    <t>6PK1600   DAYCO - Р РµРјС–РЅСЊ (РїРѕР»С–РєР»РёРЅРѕРІРёР№)</t>
  </si>
  <si>
    <t>191.00</t>
  </si>
  <si>
    <t>OPEL COMBO 1.7 DTi 16V 04-</t>
  </si>
  <si>
    <t>6PK1640</t>
  </si>
  <si>
    <t>6PK1640   DAYCO - Р РµРјС–РЅСЊ (РїРѕР»С–РєР»РёРЅРѕРІРёР№)</t>
  </si>
  <si>
    <t>182.06</t>
  </si>
  <si>
    <t>6PK1675   DAYCO - Р РµРјС–РЅСЊ (РїРѕР»С–РєР»РёРЅРѕРІРёР№)</t>
  </si>
  <si>
    <t>6PK1680</t>
  </si>
  <si>
    <t>6PK1680   DAYCO - Р РµРјС–РЅСЊ (РїРѕР»С–РєР»РёРЅРѕРІРёР№)</t>
  </si>
  <si>
    <t>211.73</t>
  </si>
  <si>
    <t>6PK1700</t>
  </si>
  <si>
    <t>6PK1700   DAYCO - Р РµРјС–РЅСЊ (РїРѕР»С–РєР»РёРЅРѕРІРёР№)</t>
  </si>
  <si>
    <t>227.74</t>
  </si>
  <si>
    <t>6PK1705   DAYCO - Р РµРјС–РЅСЊ (РїРѕР»С–РєР»РёРЅРѕРІРёР№)</t>
  </si>
  <si>
    <t>AUDI 100 2,5 TDi 91-94| Citroen Berlingo 1,6 HDi 05-|  FIAT Doblo 1,6/2,0JTD 10-, MB E180-E250- 13-,  OPEL Combo 1,6/2,0 CDTi  12-| PEUGEOT Partner 1,6 HDi  08-| RENAULT   5 Super  1,1  84-96</t>
  </si>
  <si>
    <t>6PK1710</t>
  </si>
  <si>
    <t>6PK1710   DAYCO - Р РµРјС–РЅСЊ (РїРѕР»С–РєР»РёРЅРѕРІРёР№)</t>
  </si>
  <si>
    <t>210.21</t>
  </si>
  <si>
    <t>6PK1715</t>
  </si>
  <si>
    <t>6PK1715   DAYCO - Р РµРјС–РЅСЊ (РїРѕР»С–РєР»РёРЅРѕРІРёР№)</t>
  </si>
  <si>
    <t>6PK1725   DAYCO - Р РµРјС–РЅСЊ (РїРѕР»С–РєР»РёРЅРѕРІРёР№)</t>
  </si>
  <si>
    <t>188.80</t>
  </si>
  <si>
    <t>6PK1733   DAYCO - Р РµРјС–РЅСЊ (РїРѕР»С–РєР»РёРЅРѕРІРёР№)</t>
  </si>
  <si>
    <t>6PK1740   DAYCO - Р РµРјС–РЅСЊ (РїРѕР»С–РєР»РёРЅРѕРІРёР№)</t>
  </si>
  <si>
    <t>206.50</t>
  </si>
  <si>
    <t>6PK1740HD</t>
  </si>
  <si>
    <t>6PK1740HD   DAYCO - Р РµРјС–РЅСЊ (РїРѕР»С–РєР»РёРЅРѕРІРёР№)</t>
  </si>
  <si>
    <t>235.16</t>
  </si>
  <si>
    <t>6PK1755</t>
  </si>
  <si>
    <t>6PK1755   DAYCO - Р РµРјС–РЅСЊ (РїРѕР»С–РєР»РёРЅРѕРІРёР№)</t>
  </si>
  <si>
    <t>210.89</t>
  </si>
  <si>
    <t>6PK1795</t>
  </si>
  <si>
    <t>6PK1795   DAYCO - Р РµРјС–РЅСЊ (РїРѕР»С–РєР»РёРЅРѕРІРёР№)</t>
  </si>
  <si>
    <t>206.34</t>
  </si>
  <si>
    <t>6PK1800   DAYCO - Р РµРјС–РЅСЊ (РїРѕР»С–РєР»РёРЅРѕРІРёР№)</t>
  </si>
  <si>
    <t>248.31</t>
  </si>
  <si>
    <t>6PK1815   DAYCO - Р РµРјС–РЅСЊ (РїРѕР»С–РєР»РёРЅРѕРІРёР№)</t>
  </si>
  <si>
    <t>189.98</t>
  </si>
  <si>
    <t>6PK1835</t>
  </si>
  <si>
    <t>6PK1835   DAYCO - Р РµРјС–РЅСЊ (РїРѕР»С–РєР»РёРЅРѕРІРёР№)</t>
  </si>
  <si>
    <t>196.73</t>
  </si>
  <si>
    <t>6PK1890</t>
  </si>
  <si>
    <t>6PK1890   DAYCO - Р РµРјС–РЅСЊ (РїРѕР»С–РєР»РёРЅРѕРІРёР№)</t>
  </si>
  <si>
    <t>203.81</t>
  </si>
  <si>
    <t>6PK1900   DAYCO - Р РµРјС–РЅСЊ (РїРѕР»С–РєР»РёРЅРѕРІРёР№)</t>
  </si>
  <si>
    <t>192.18</t>
  </si>
  <si>
    <t>Opel, Daewoo. Audi. VW, Ford, Toyota, Jeep...  (6PK1900)</t>
  </si>
  <si>
    <t>6PK1920   DAYCO - Р РµРјС–РЅСЊ (РїРѕР»С–РєР»РёРЅРѕРІРёР№)</t>
  </si>
  <si>
    <t>6PK2013</t>
  </si>
  <si>
    <t>6PK2013   DAYCO - Р РµРјС–РЅСЊ (РїРѕР»С–РєР»РёРЅРѕРІРёР№)</t>
  </si>
  <si>
    <t>273.43</t>
  </si>
  <si>
    <t>6PK2080   DAYCO - Р РµРјС–РЅСЊ (РїРѕР»С–РєР»РёРЅРѕРІРёР№)</t>
  </si>
  <si>
    <t>214.60</t>
  </si>
  <si>
    <t>6PK2120HD</t>
  </si>
  <si>
    <t>6PK2120HD   DAYCO - Р РµРјС–РЅСЊ (РїРѕР»С–РєР»РёРЅРѕРІРёР№)</t>
  </si>
  <si>
    <t>224.71</t>
  </si>
  <si>
    <t>6PK2130   DAYCO - Р РµРјС–РЅСЊ (РїРѕР»С–РєР»РёРЅРѕРІРёР№)</t>
  </si>
  <si>
    <t>294.50</t>
  </si>
  <si>
    <t>6PK2135</t>
  </si>
  <si>
    <t>6PK2135   DAYCO - Р РµРјС–РЅСЊ (РїРѕР»С–РєР»РёРЅРѕРІРёР№)</t>
  </si>
  <si>
    <t>6PK2145</t>
  </si>
  <si>
    <t>6PK2145   DAYCO - Р РµРјС–РЅСЊ (РїРѕР»С–РєР»РёРЅРѕРІРёР№)</t>
  </si>
  <si>
    <t>211.22</t>
  </si>
  <si>
    <t>6PK2160   DAYCO - Р РµРјС–РЅСЊ (РїРѕР»С–РєР»РёРЅРѕРІРёР№)</t>
  </si>
  <si>
    <t>6PK2195</t>
  </si>
  <si>
    <t>6PK2195   DAYCO - Р РµРјС–РЅСЊ (РїРѕР»С–РєР»РёРЅРѕРІРёР№)</t>
  </si>
  <si>
    <t>299.22</t>
  </si>
  <si>
    <t># MB</t>
  </si>
  <si>
    <t>6PK2225</t>
  </si>
  <si>
    <t>6PK2225   DAYCO - Р РµРјС–РЅСЊ (РїРѕР»С–РєР»РёРЅРѕРІРёР№)</t>
  </si>
  <si>
    <t>6PK2240</t>
  </si>
  <si>
    <t>6PK2240   DAYCO - Р РµРјС–РЅСЊ (РїРѕР»С–РєР»РёРЅРѕРІРёР№)</t>
  </si>
  <si>
    <t>239.71</t>
  </si>
  <si>
    <t>OPEL OMEGA, VW T4, DB</t>
  </si>
  <si>
    <t>6PK2255</t>
  </si>
  <si>
    <t>6PK2255   DAYCO - Р РµРјС–РЅСЊ (РїРѕР»С–РєР»РёРЅРѕРІРёР№)</t>
  </si>
  <si>
    <t>245.28</t>
  </si>
  <si>
    <t>6PK2263</t>
  </si>
  <si>
    <t>6PK2263   DAYCO - Р РµРјС–РЅСЊ (РїРѕР»С–РєР»РёРЅРѕРІРёР№)</t>
  </si>
  <si>
    <t>245.78</t>
  </si>
  <si>
    <t>6PK2275HD</t>
  </si>
  <si>
    <t>6PK2275HD   DAYCO - Р РµРјС–РЅСЊ (РїРѕР»С–РєР»РёРЅРѕРІРёР№)</t>
  </si>
  <si>
    <t>252.19</t>
  </si>
  <si>
    <t>6PK2285   DAYCO - Р РµРјС–РЅСЊ (РїРѕР»С–РєР»РёРЅРѕРІРёР№)</t>
  </si>
  <si>
    <t>240.05</t>
  </si>
  <si>
    <t>6PK2310</t>
  </si>
  <si>
    <t>6PK2310   DAYCO - Р РµРјС–РЅСЊ (РїРѕР»С–РєР»РёРЅРѕРІРёР№)</t>
  </si>
  <si>
    <t>274.61</t>
  </si>
  <si>
    <t>6PK2400</t>
  </si>
  <si>
    <t>6PK2400   DAYCO - Р РµРјС–РЅСЊ (РїРѕР»С–РєР»РёРЅРѕРІРёР№)</t>
  </si>
  <si>
    <t>218.30</t>
  </si>
  <si>
    <t>6PK2404</t>
  </si>
  <si>
    <t>6PK2404   DAYCO - Р РµРјС–РЅСЊ (РїРѕР»С–РєР»РёРЅРѕРІРёР№)</t>
  </si>
  <si>
    <t>296.02</t>
  </si>
  <si>
    <t>6PK2565</t>
  </si>
  <si>
    <t>6PK2565   DAYCO - Р РµРјС–РЅСЊ (РїРѕР»С–РєР»РёРЅРѕРІРёР№)</t>
  </si>
  <si>
    <t>338.33</t>
  </si>
  <si>
    <t>6PK2605</t>
  </si>
  <si>
    <t>6PK2605   DAYCO - Р РµРјС–РЅСЊ (РїРѕР»С–РєР»РёРЅРѕРІРёР№)</t>
  </si>
  <si>
    <t>212.74</t>
  </si>
  <si>
    <t>6PK698</t>
  </si>
  <si>
    <t>6PK698   DAYCO - Р РµРјС–РЅСЊ (РїРѕР»С–РєР»РёРЅРѕРІРёР№)</t>
  </si>
  <si>
    <t>98.11</t>
  </si>
  <si>
    <t>6PK736</t>
  </si>
  <si>
    <t>6PK736   DAYCO - Р РµРјС–РЅСЊ (РїРѕР»С–РєР»РёРЅРѕРІРёР№)</t>
  </si>
  <si>
    <t>6PK820</t>
  </si>
  <si>
    <t>6PK820   DAYCO - Р РµРјС–РЅСЊ (РїРѕР»С–РєР»РёРЅРѕРІРёР№)</t>
  </si>
  <si>
    <t>117.67</t>
  </si>
  <si>
    <t>6PK831EE</t>
  </si>
  <si>
    <t>6PK831EE   DAYCO - Р РµРјС–РЅСЊ (РїРѕР»С–РєР»РёРЅРѕРІРёР№)</t>
  </si>
  <si>
    <t>140.42</t>
  </si>
  <si>
    <t>Ford Transit 2,0 DI/TDCi   00-06</t>
  </si>
  <si>
    <t>6PK888</t>
  </si>
  <si>
    <t>6PK888   DAYCO - Р РµРјС–РЅСЊ (РїРѕР»С–РєР»РёРЅРѕРІРёР№)</t>
  </si>
  <si>
    <t>118.68</t>
  </si>
  <si>
    <t>6PK894   DAYCO - Р РµРјС–РЅСЊ (РїРѕР»С–РєР»РёРЅРѕРІРёР№)</t>
  </si>
  <si>
    <t>6PK900   DAYCO - Р РµРјС–РЅСЊ (РїРѕР»С–РєР»РёРЅРѕРІРёР№)</t>
  </si>
  <si>
    <t>6PK906   DAYCO - Р РµРјС–РЅСЊ (РїРѕР»С–РєР»РёРЅРѕРІРёР№)</t>
  </si>
  <si>
    <t>119.86</t>
  </si>
  <si>
    <t>6PK915   DAYCO - Р РµРјС–РЅСЊ (РїРѕР»С–РєР»РёРЅРѕРІРёР№)</t>
  </si>
  <si>
    <t>6PK923   DAYCO - Р РµРјС–РЅСЊ (РїРѕР»С–РєР»РёРЅРѕРІРёР№)</t>
  </si>
  <si>
    <t>6PK926</t>
  </si>
  <si>
    <t>6PK926   DAYCO - Р РµРјС–РЅСЊ (РїРѕР»С–РєР»РёРЅРѕРІРёР№)</t>
  </si>
  <si>
    <t>166.72</t>
  </si>
  <si>
    <t>6PK950</t>
  </si>
  <si>
    <t>6PK950   DAYCO - Р РµРјС–РЅСЊ (РїРѕР»С–РєР»РёРЅРѕРІРёР№)</t>
  </si>
  <si>
    <t>120.70</t>
  </si>
  <si>
    <t>7PK1103</t>
  </si>
  <si>
    <t>7PK1103   DAYCO - Р РµРјС–РЅСЊ (РїРѕР»С–РєР»РёРЅРѕРІРёР№)</t>
  </si>
  <si>
    <t>211.56</t>
  </si>
  <si>
    <t>7PK1153</t>
  </si>
  <si>
    <t>7PK1153   DAYCO - Р РµРјС–РЅСЊ (РїРѕР»С–РєР»РёРЅРѕРІРёР№)</t>
  </si>
  <si>
    <t>171.95</t>
  </si>
  <si>
    <t>7PK1687S</t>
  </si>
  <si>
    <t>7PK1687S   DAYCO - Р РµРјС–РЅСЊ (РїРѕР»С–РєР»РёРЅРѕРІРёР№)</t>
  </si>
  <si>
    <t>254.04</t>
  </si>
  <si>
    <t>Opel Vivaro/Movano 2,0/2,3CDTI 2006-,  Renault Master III 2,0/2,3CDTI  2010-</t>
  </si>
  <si>
    <t>7PK1750</t>
  </si>
  <si>
    <t>7PK1750   DAYCO - Р РµРјС–РЅСЊ (РїРѕР»С–РєР»РёРЅРѕРІРёР№)</t>
  </si>
  <si>
    <t>HONDA ACCORD VIII 2.4i 2003-</t>
  </si>
  <si>
    <t>7PK1790</t>
  </si>
  <si>
    <t>7PK1790   DAYCO - Р РµРјС–РЅСЊ (РїРѕР»С–РєР»РёРЅРѕРІРёР№)</t>
  </si>
  <si>
    <t>288.09</t>
  </si>
  <si>
    <t>7PK1920   DAYCO - Р РµРјС–РЅСЊ (РїРѕР»С–РєР»РёРЅРѕРІРёР№)</t>
  </si>
  <si>
    <t>311.02</t>
  </si>
  <si>
    <t>Renault  MASTER 3,0 DCI /OPEL MOVANO/ TOYOTA AVENSIS</t>
  </si>
  <si>
    <t>7PK1969</t>
  </si>
  <si>
    <t>7PK1969   DAYCO - Р РµРјС–РЅСЊ (РїРѕР»С–РєР»РёРЅРѕРІРёР№)</t>
  </si>
  <si>
    <t>7PK2061   DAYCO - Р РµРјС–РЅСЊ (РїРѕР»С–РєР»РёРЅРѕРІРёР№)</t>
  </si>
  <si>
    <t>275.62</t>
  </si>
  <si>
    <t>HONDA Civic VIII  1.8/2.0   06-</t>
  </si>
  <si>
    <t>7PK2119</t>
  </si>
  <si>
    <t>7PK2119   DAYCO - Р РµРјС–РЅСЊ (РїРѕР»С–РєР»РёРЅРѕРІРёР№)</t>
  </si>
  <si>
    <t>319.45</t>
  </si>
  <si>
    <t>TOYOTA\tLand Cruiser 4,0 24V 03-10 (1GRFE), LANDROVER Range Rover 4,6 16V\t 94-02</t>
  </si>
  <si>
    <t>8PK1420HD</t>
  </si>
  <si>
    <t>8PK1420HD   DAYCO - Р РµРјС–РЅСЊ (РїРѕР»С–РєР»РёРЅРѕРІРёР№)</t>
  </si>
  <si>
    <t># MERCEDES ATEGO, ATEGO 2, AXOR, AXOR 2, ECONIC, LK/LN2 04.25D-07.2D   96-</t>
  </si>
  <si>
    <t>94017 = 121RX180   DAYCO - Р РµРјС–РЅСЊ Р“Р Рњ</t>
  </si>
  <si>
    <t>110.08</t>
  </si>
  <si>
    <t>Audi/VW 1.3-2.0 4-cyl, eng..SF/PM/ABS/AAM/ADZ/PG/SH/DS/NP/DR/RS/3A/ABM/ADA  (5016)</t>
  </si>
  <si>
    <t>94053 = 116R190   DAYCO - Р РµРјС–РЅСЊ Р“Р Рњ</t>
  </si>
  <si>
    <t>128.45</t>
  </si>
  <si>
    <t>CITROEN Cx/FIAT 128/Regata/Ritmo/Uno/PEUGEOT 505/RENAULT 18/20/Fuego/Master I/Trafic</t>
  </si>
  <si>
    <t>94059 = 094RX190   DAYCO - Р РµРјС–РЅСЊ Р“Р Рњ</t>
  </si>
  <si>
    <t>104.52</t>
  </si>
  <si>
    <t>Tavria 1.1/1.2, Sens 1.3, TOYOTA Corolla1.6/1.6i16v 12/85-06/93 Carina II 1.6 87-92  (5027, 94564)</t>
  </si>
  <si>
    <t>94080 = 111RP200   DAYCO - Р РµРјС–РЅСЊ Р“Р Рњ</t>
  </si>
  <si>
    <t>122.89</t>
  </si>
  <si>
    <t>OPEL Frontera /Omega A/Calibra/Vectra A/Kadett E mot.C18NZ/C20NE/X20SE/16SH/18E  (5047, 94080)</t>
  </si>
  <si>
    <t>94090 = 075RH200   DAYCO - Р РµРјС–РЅСЊ Р“Р Рњ</t>
  </si>
  <si>
    <t>105.70</t>
  </si>
  <si>
    <t>94092 = 119RHX254   DAYCO - Р РµРјС–РЅСЊ Р“Р Рњ</t>
  </si>
  <si>
    <t>172.28</t>
  </si>
  <si>
    <t>941020 = 151RP254H   DAYCO - Р РµРјС–РЅСЊ Р“Р Рњ</t>
  </si>
  <si>
    <t>281.35</t>
  </si>
  <si>
    <t>941033 = 160RP250HT   DAYCO - Р РµРјС–РЅСЊ Р“Р Рњ</t>
  </si>
  <si>
    <t>543.65</t>
  </si>
  <si>
    <t>AUDI, SEAT,SKODA, VW 1.6TDI-2.0TDI 08-</t>
  </si>
  <si>
    <t>941043 = 154RP254H   DAYCO - Р РµРјС–РЅСЊ Р“Р Рњ</t>
  </si>
  <si>
    <t>331.08</t>
  </si>
  <si>
    <t>941046 = 219RHP+320H   DAYCO - Р РµРјС–РЅСЊ Р“Р Рњ</t>
  </si>
  <si>
    <t>489.54</t>
  </si>
  <si>
    <t>HYUNDAI SANTA FE II 2.7  06-   / KIA Carnival. Magentis 2.7  05-</t>
  </si>
  <si>
    <t>941052 = 118RP+250HT   DAYCO - Р РµРјС–РЅСЊ Р“Р Рњ</t>
  </si>
  <si>
    <t>445.71</t>
  </si>
  <si>
    <t>FORD, PEUGEOT,CITROEN, FIAT  2.2HDI 06-</t>
  </si>
  <si>
    <t>941071 = 137RP220HT   DAYCO - Р РµРјС–РЅСЊ Р“Р Рњ</t>
  </si>
  <si>
    <t>436.78</t>
  </si>
  <si>
    <t>VAZ 2170-72 1.6 16v (Priora)  /137 Р·СѓР±СЊРµРІ/</t>
  </si>
  <si>
    <t>94120 = 125RP190H   DAYCO - Р РµРјС–РЅСЊ Р“Р Рњ</t>
  </si>
  <si>
    <t>221.84</t>
  </si>
  <si>
    <t>RENAULT 11/19/21/Clio 1,8  91-  ,Laguna 1.8  95-01|  VOLVO 440/460/480  (5130XS, 94120)</t>
  </si>
  <si>
    <t>94139 = 127RPR254   DAYCO - Р РµРјС–РЅСЊ Р“Р Рњ</t>
  </si>
  <si>
    <t>BMW E28/E30/E34 mot.M20B20  (5077, 94139)</t>
  </si>
  <si>
    <t>94142 = 123RHP+240H   DAYCO - Р РµРјС–РЅСЊ Р“Р Рњ</t>
  </si>
  <si>
    <t>TOYOTA Corolla 1.3/1.3-12v 84-97 (eng.4E-FE/2E-L/2E-E)   (5197XS)</t>
  </si>
  <si>
    <t>94145 = 108RX190   DAYCO - Р РµРјС–РЅСЊ Р“Р Рњ</t>
  </si>
  <si>
    <t>VW Golf II/Jetta II 1.1-1.3 84-91  (5015, 94145)</t>
  </si>
  <si>
    <t>94148 = 153RHX254   DAYCO - Р РµРјС–РЅСЊ Р“Р Рњ</t>
  </si>
  <si>
    <t>209.88</t>
  </si>
  <si>
    <t>RENAULT 1.6D  -88</t>
  </si>
  <si>
    <t>94167 = 163STP267H   DAYCO - Р РµРјС–РЅСЊ Р“Р Рњ</t>
  </si>
  <si>
    <t>261.12</t>
  </si>
  <si>
    <t>TOYOTA Avensis 2,0  97-00   Camry 2.0/2.2  86-96  (5202XS, 94167)</t>
  </si>
  <si>
    <t>94169 = 104RP170/1   DAYCO - Р РµРјС–РЅСЊ Р“Р Рњ</t>
  </si>
  <si>
    <t>OPEL Ascona/Kadett E/Corsa A mot.C14NZ/14NV/16SV/E16NZ/C16LZ/C16NZ  (5083, 94169)</t>
  </si>
  <si>
    <t>94175 = 122RHX190H   DAYCO - Р РµРјС–РЅСЊ Р“Р Рњ</t>
  </si>
  <si>
    <t>174.14</t>
  </si>
  <si>
    <t>Mitsubishi 4G32-4G63, Hyundai Sonata</t>
  </si>
  <si>
    <t>94180 = 143R254   DAYCO - Р РµРјС–РЅСЊ Р“Р Рњ</t>
  </si>
  <si>
    <t>162.51</t>
  </si>
  <si>
    <t>FIAT Regata 1,9 D  84-89</t>
  </si>
  <si>
    <t>94185 = 125RP200   DAYCO - Р РµРјС–РЅСЊ Р“Р Рњ</t>
  </si>
  <si>
    <t>DAEWOO Espero 1.8/2.0 95-99</t>
  </si>
  <si>
    <t>94195 = 065RHP+127H   DAYCO - Р РµРјС–РЅСЊ Р“Р Рњ</t>
  </si>
  <si>
    <t>99.96</t>
  </si>
  <si>
    <t>MITSUBISHI IV-VI/Colt III/Lancer IV-VI/Pajero II, HYUNDAI Santa Fe/Sonata I-IV, KIA Magentis/Sorento  (5257XS, 94195)</t>
  </si>
  <si>
    <t>94198 = 142STP190   DAYCO - Р РµРјС–РЅСЊ Р“Р Рњ</t>
  </si>
  <si>
    <t>133.34</t>
  </si>
  <si>
    <t>AUDI 80/100/200/Coupe 2.0-2.3 5 cyl, mot.NG/KV/PS/NF/1B/MC/KG/RT...  (5245, 94198)</t>
  </si>
  <si>
    <t>94208 = 125RP260H   DAYCO - Р РµРјС–РЅСЊ Р“Р Рњ</t>
  </si>
  <si>
    <t>349.96</t>
  </si>
  <si>
    <t>HONDA CR-V I 2.0 10/95-01/99</t>
  </si>
  <si>
    <t>94212 = 070RP160H   DAYCO - Р РµРјС–РЅСЊ Р“Р Рњ</t>
  </si>
  <si>
    <t>120.19</t>
  </si>
  <si>
    <t>94213 = 113RP240H   DAYCO - Р РµРјС–РЅСЊ Р“Р Рњ</t>
  </si>
  <si>
    <t>199.26</t>
  </si>
  <si>
    <t>94224 = 136RP254H   DAYCO - Р РµРјС–РЅСЊ Р“Р Рњ</t>
  </si>
  <si>
    <t>218.47</t>
  </si>
  <si>
    <t>CITROEN Berlingo 1,8D/1,9D/TD  96-| Jumper 1,9D/TD 94-02| Xantia 1,9D/TD 94-| Xsara 1,8D/1,9D   (5049XS, 94224)</t>
  </si>
  <si>
    <t>94229 = 146RP240   DAYCO - Р РµРјС–РЅСЊ Р“Р Рњ</t>
  </si>
  <si>
    <t>OPEL Astra F, Vectra A 1.7D  (5129, 94229)</t>
  </si>
  <si>
    <t>94234 = 097RP+198H   DAYCO - Р РµРјС–РЅСЊ Р“Р Рњ</t>
  </si>
  <si>
    <t>164.02</t>
  </si>
  <si>
    <t>94240 = 147RP240   DAYCO - Р РµРјС–РЅСЊ Р“Р Рњ</t>
  </si>
  <si>
    <t>189.65</t>
  </si>
  <si>
    <t>OPEL Kadett E/Ascona mot.16D/16DA 82-89  (5048, 94240)</t>
  </si>
  <si>
    <t>94249 = 138RHPN150   DAYCO - Р РµРјС–РЅСЊ Р“Р Рњ</t>
  </si>
  <si>
    <t>114.29</t>
  </si>
  <si>
    <t>FIAT Tempra 1.4/1.6  (eng.160A1.046/836A4.000/159A3.046)   90-06      (5177, 94850)</t>
  </si>
  <si>
    <t>94251 = 168RHPN220   DAYCO - Р РµРјС–РЅСЊ Р“Р Рњ</t>
  </si>
  <si>
    <t>244.60</t>
  </si>
  <si>
    <t>FIAT Duna/Fiorino/Palio/Punto/Strada/Uno 1.7D 7/86-&gt;|  (5178, 94670)</t>
  </si>
  <si>
    <t>94253 = 098RH190   DAYCO - Р РµРјС–РЅСЊ Р“Р Рњ</t>
  </si>
  <si>
    <t>139.07</t>
  </si>
  <si>
    <t>FORD 1.6 DIESEL  84-89</t>
  </si>
  <si>
    <t>94287 = 135RHP+254H   DAYCO - Р РµРјС–РЅСЊ Р“Р Рњ</t>
  </si>
  <si>
    <t>213.58</t>
  </si>
  <si>
    <t>94289 = 117RHP+210H   DAYCO - Р РµРјС–РЅСЊ Р“Р Рњ</t>
  </si>
  <si>
    <t>164.36</t>
  </si>
  <si>
    <t>94290 = 121RHP+210H   DAYCO - Р РµРјС–РЅСЊ Р“Р Рњ</t>
  </si>
  <si>
    <t>167.73</t>
  </si>
  <si>
    <t>TOYOTA Avensis/Carina/Corona/Caldina/Corolla 1,8  (eng.7AFE)  92-01  (5386XS, 94290)</t>
  </si>
  <si>
    <t>94295 = 077RHX210   DAYCO - Р РµРјС–РЅСЊ Р“Р Рњ</t>
  </si>
  <si>
    <t>124.07</t>
  </si>
  <si>
    <t>94324 = 097RP+216H   DAYCO - Р РµРјС–РЅСЊ Р“Р Рњ</t>
  </si>
  <si>
    <t>176.84</t>
  </si>
  <si>
    <t>94326 = 131RP+254H   DAYCO - Р РµРјС–РЅСЊ Р“Р Рњ</t>
  </si>
  <si>
    <t>FORD Escort 1.6-1.8 16V  92-&gt;, Mondeo 1.6-2.0 93-05/98 131 Р·СѓР±  (5360XS, 94326)</t>
  </si>
  <si>
    <t>94327 = 173RHP254   DAYCO - Р РµРјС–РЅСЊ Р“Р Рњ</t>
  </si>
  <si>
    <t>205.32</t>
  </si>
  <si>
    <t>FIAT Ducato, PEUGEOT J5 2.0TD 87-&gt;  (5299, 94327)</t>
  </si>
  <si>
    <t>94329 = 118RP190H   DAYCO - Р РµРјС–РЅСЊ Р“Р Рњ</t>
  </si>
  <si>
    <t>212.40</t>
  </si>
  <si>
    <t>RENAULT 25/Espace I-II/Master I/Safrane I/Trafic 11/85-7/98  (5059XS, 94329)</t>
  </si>
  <si>
    <t>94330 = 116RP190H   DAYCO - Р РµРјС–РЅСЊ Р“Р Рњ</t>
  </si>
  <si>
    <t>183.58</t>
  </si>
  <si>
    <t>CITROEN CX I-II 2,0 6/79-12/92,RENAULT 18/21/25/Espace I-II/Master I/Safrane I/Trafic 2,0/2,2 10/81-  (5058XS, 94330)</t>
  </si>
  <si>
    <t>94340 = 111RP254H   DAYCO - Р РµРјС–РЅСЊ Р“Р Рњ</t>
  </si>
  <si>
    <t>94403 = 130RHDN254H   DAYCO - Р РµРјС–РЅСЊ Р“Р Рњ</t>
  </si>
  <si>
    <t>258.76</t>
  </si>
  <si>
    <t>FORD Transit 2.5  88-&gt;  (5571XS, 94934)</t>
  </si>
  <si>
    <t>94404 = 080RHX210H   DAYCO - Р РµРјС–РЅСЊ Р“Р Рњ</t>
  </si>
  <si>
    <t>AUDI 100/A6 2,5TDI  (5345XS, 94404)</t>
  </si>
  <si>
    <t>94405 = 124RHX265H   DAYCO - Р РµРјС–РЅСЊ Р“Р Рњ</t>
  </si>
  <si>
    <t>266.69</t>
  </si>
  <si>
    <t>AUDI 100/VW T4 2,4D-2,5D  (5346XS, 94405)</t>
  </si>
  <si>
    <t>94406 = 149RHX300H   DAYCO - Р РµРјС–РЅСЊ Р“Р Рњ</t>
  </si>
  <si>
    <t>327.04</t>
  </si>
  <si>
    <t>NISSAN Patrol 2.8TD/4.2D mot.RD28T</t>
  </si>
  <si>
    <t>94408 = 162STP300H   DAYCO - Р РµРјС–РЅСЊ Р“Р Рњ</t>
  </si>
  <si>
    <t>273.09</t>
  </si>
  <si>
    <t>MAZDA 626 III 2,0D (eng.RF-N/RF-CX)  87-97</t>
  </si>
  <si>
    <t>94415 = 170RHP254   DAYCO - Р РµРјС–РЅСЊ Р“Р Рњ</t>
  </si>
  <si>
    <t>224.04</t>
  </si>
  <si>
    <t>FIAT DUCATO 1.9D 88-94</t>
  </si>
  <si>
    <t>94416 = 135RHX254   DAYCO - Р РµРјС–РЅСЊ Р“Р Рњ</t>
  </si>
  <si>
    <t>161.16</t>
  </si>
  <si>
    <t>94417 = 239STP254H   DAYCO - Р РµРјС–РЅСЊ Р“Р Рњ</t>
  </si>
  <si>
    <t>390.42</t>
  </si>
  <si>
    <t>AUDI 80 [B4] 2.6/2.8  92-94 | 100  [4A/C4] 92-94  A6  2,6/2,8  94-97  (5344XS, 94417)</t>
  </si>
  <si>
    <t>94422 = 122RX190   DAYCO - Р РµРјС–РЅСЊ Р“Р Рњ</t>
  </si>
  <si>
    <t>94439 = 152RHDS300   DAYCO - Р РµРјС–РЅСЊ Р“Р Рњ</t>
  </si>
  <si>
    <t>261.46</t>
  </si>
  <si>
    <t>FIAT Ducato, PEUGEOT Boxer 2.5D-2.8HDi/JTD 90-   (5334XS, 94783)</t>
  </si>
  <si>
    <t>94463 = 124RP290H   DAYCO - Р РµРјС–РЅСЊ Р“Р Рњ</t>
  </si>
  <si>
    <t>292.14</t>
  </si>
  <si>
    <t>MITSUBISHI L200 96-&gt; / Space Gear 95-&gt;00</t>
  </si>
  <si>
    <t>94468 = 123RP+290H   DAYCO - Р РµРјС–РЅСЊ Р“Р Рњ</t>
  </si>
  <si>
    <t>316.58</t>
  </si>
  <si>
    <t>MITSUBISHI Galant V/Space Wagon/L200 /Chariot2,0 mot.4G63   92-</t>
  </si>
  <si>
    <t>94491 = 173RHP180H   DAYCO - Р РµРјС–РЅСЊ Р“Р Рњ</t>
  </si>
  <si>
    <t>213.92</t>
  </si>
  <si>
    <t>ALFA ROMEO 155| FIAT COUPE, TIPO| LANCIA DELTA I, II, KAPPA, THEMA 2,0 16V  89-01</t>
  </si>
  <si>
    <t>94522 = 099RHP+190H   DAYCO - Р РµРјС–РЅСЊ Р“Р Рњ</t>
  </si>
  <si>
    <t>178.69</t>
  </si>
  <si>
    <t>94589 = 167RHPN240H   DAYCO - Р РµРјС–РЅСЊ Р“Р Рњ</t>
  </si>
  <si>
    <t>325.18</t>
  </si>
  <si>
    <t>FIAT Bravo/Marea 2.0-20v mot.182A1.000</t>
  </si>
  <si>
    <t>94592 = 193RHPN240H   DAYCO - Р РµРјС–РЅСЊ Р“Р Рњ</t>
  </si>
  <si>
    <t>275.79</t>
  </si>
  <si>
    <t>FIAT Bravo/Brava/Marea/PuntoII/Doblo 1,9D 96-</t>
  </si>
  <si>
    <t>94596 = 265RHP+320H   DAYCO - Р РµРјС–РЅСЊ Р“Р Рњ</t>
  </si>
  <si>
    <t>559.67</t>
  </si>
  <si>
    <t>Mitsubishi 3.5 V6 24V  94-06 (5442XS, 94596)</t>
  </si>
  <si>
    <t>94616 = 154RHP+220H   DAYCO - Р РµРјС–РЅСЊ Р“Р Рњ</t>
  </si>
  <si>
    <t>333.78</t>
  </si>
  <si>
    <t>KIA Clarus/Sephia 1.8 16V 96-&gt;, Carens 1.8 16V 00-&gt;</t>
  </si>
  <si>
    <t>94621 = 281RHP+300H   DAYCO - Р РµРјС–РЅСЊ Р“Р Рњ</t>
  </si>
  <si>
    <t>525.62</t>
  </si>
  <si>
    <t>SUBARU Forester/Impreza/Legacy I II 2.0/T/2.5  92-| 02-| 05-| 08-</t>
  </si>
  <si>
    <t>94650 = 111RP170H   DAYCO - Р РµРјС–РЅСЊ Р“Р Рњ</t>
  </si>
  <si>
    <t>151.04</t>
  </si>
  <si>
    <t>94652 = 147STP254H   DAYCO - Р РµРјС–РЅСЊ Р“Р Рњ</t>
  </si>
  <si>
    <t>230.10</t>
  </si>
  <si>
    <t>AUDI 80, A 6 ACE, Passat B3 2L 16V 9A 147 Р·СѓР±  (5183XS, 94652)</t>
  </si>
  <si>
    <t>94659 = 169STP240H   DAYCO - Р РµРјС–РЅСЊ Р“Р Рњ</t>
  </si>
  <si>
    <t>262.13</t>
  </si>
  <si>
    <t>OPEL Astra F .Vectra A-B .Omega B 1.8-16v/2.0-16v  (5408XS, 94659)</t>
  </si>
  <si>
    <t>94662 = 146STP200H   DAYCO - Р РµРјС–РЅСЊ Р“Р Рњ</t>
  </si>
  <si>
    <t>OPEL 1.8-2.0 88- Omega/Vectra/Astra  (5367XS, 94662)</t>
  </si>
  <si>
    <t>94664 = 154RHDS300H   DAYCO - Р РµРјС–РЅСЊ Р“Р Рњ</t>
  </si>
  <si>
    <t>388.40</t>
  </si>
  <si>
    <t>94671 = 117RP+220H   DAYCO - Р РµРјС–РЅСЊ Р“Р Рњ</t>
  </si>
  <si>
    <t>192.85</t>
  </si>
  <si>
    <t>FORD Fiesta IV/Focus/Puma 1.4/1.6 8/95-&gt;  (5433XS, 94671)</t>
  </si>
  <si>
    <t>94676 = 113RP254H   DAYCO - Р РµРјС–РЅСЊ Р“Р Рњ</t>
  </si>
  <si>
    <t>217.63</t>
  </si>
  <si>
    <t>HYUNDAI Elantra/Lantra II/Coupe/ 2.0 6/99-&gt;|</t>
  </si>
  <si>
    <t>94687 = 137STP190H   DAYCO - Р РµРјС–РЅСЊ Р“Р Рњ</t>
  </si>
  <si>
    <t>156.94</t>
  </si>
  <si>
    <t>94688 = 116RHDN220H   DAYCO - Р РµРјС–РЅСЊ Р“Р Рњ</t>
  </si>
  <si>
    <t>231.96</t>
  </si>
  <si>
    <t>FORD Sierra/Mondeo I/Escort IV-VII 1.8D/1.8TD</t>
  </si>
  <si>
    <t>94689 = 147STP190H   DAYCO - Р РµРјС–РЅСЊ Р“Р Рњ</t>
  </si>
  <si>
    <t>204.48</t>
  </si>
  <si>
    <t>AUDI 80, 100 2.3L AAR, NG 147 Р·СѓР±РѕРІ  (5182XS, 94689)</t>
  </si>
  <si>
    <t>94696 = 085RHDN220H   DAYCO - Р РµРјС–РЅСЊ Р“Р Рњ</t>
  </si>
  <si>
    <t>220.33</t>
  </si>
  <si>
    <t>94714 = 136RP+254H   DAYCO - Р РµРјС–РЅСЊ Р“Р Рњ</t>
  </si>
  <si>
    <t>292.98</t>
  </si>
  <si>
    <t>Lada 110,111,112   1,516V/ 1,6 16V  95- |     Citroen, .Fiat, Lancia, Peugeot 1.8/2.0 16V 95-  (5468XS, 94714)</t>
  </si>
  <si>
    <t>94723 = 124RX180H   DAYCO - Р РµРјС–РЅСЊ Р“Р Рњ</t>
  </si>
  <si>
    <t>173.13</t>
  </si>
  <si>
    <t>AUDI 80.A 6, Golf 3, Passat 2.0 2E.ADY.AGG.ABT 124 Р·СѓР±a  (5308XS, 94723)</t>
  </si>
  <si>
    <t>94730 = 138STP230H   DAYCO - Р РµРјС–РЅСЊ Р“Р Рњ</t>
  </si>
  <si>
    <t>201.45</t>
  </si>
  <si>
    <t>AUDI A3, Passat B5 1.6L AGN.ADP.ARM 138 Р·СѓР±  (5489XS, 94730)</t>
  </si>
  <si>
    <t>94736 = 153RP290H   DAYCO - Р РµРјС–РЅСЊ Р“Р Рњ</t>
  </si>
  <si>
    <t>367.49</t>
  </si>
  <si>
    <t>94740 = 147RP+320H   DAYCO - Р РµРјС–РЅСЊ Р“Р Рњ</t>
  </si>
  <si>
    <t>360.08</t>
  </si>
  <si>
    <t>94755 = 207RHX320H   DAYCO - Р РµРјС–РЅСЊ Р“Р Рњ</t>
  </si>
  <si>
    <t>462.74</t>
  </si>
  <si>
    <t>AUDI A4/A6/A8/ALLROAD 2.5TDI 00-/VW PASSAT 2.5TDI 03-  (5557XS, 94897)</t>
  </si>
  <si>
    <t>94757 = 153RP260H   DAYCO - Р РµРјС–РЅСЊ Р“Р Рњ</t>
  </si>
  <si>
    <t>339.34</t>
  </si>
  <si>
    <t>RENAULT 1.9dTi.VOLVO S40/V40 1.9DI 3/97&gt;  (5486XS, 94757)</t>
  </si>
  <si>
    <t>94763 = 124RHP+260H   DAYCO - Р РµРјС–РЅСЊ Р“Р Рњ</t>
  </si>
  <si>
    <t>199.76</t>
  </si>
  <si>
    <t>TOYOTA Corlla 1.3/1.4 mot.4E-FE  (5358XS, 94763)</t>
  </si>
  <si>
    <t>94769 = 176STP240H   DAYCO - Р РµРјС–РЅСЊ Р“Р Рњ</t>
  </si>
  <si>
    <t>94771 = 111RHP+290H   DAYCO - Р РµРјС–РЅСЊ Р“Р Рњ</t>
  </si>
  <si>
    <t>258.93</t>
  </si>
  <si>
    <t>MITSUBISHI Carisma 1.6 07/95-&gt;/Colt 1.6 09/95-&gt;</t>
  </si>
  <si>
    <t>94774 = 122RHX265H   DAYCO - Р РµРјС–РЅСЊ Р“Р Рњ</t>
  </si>
  <si>
    <t>235.67</t>
  </si>
  <si>
    <t>94775 = 081RHX210H   DAYCO - Р РµРјС–РЅСЊ Р“Р Рњ</t>
  </si>
  <si>
    <t>94777 = 150STP230H   DAYCO - Р РµРјС–РЅСЊ Р“Р Рњ</t>
  </si>
  <si>
    <t>262.30</t>
  </si>
  <si>
    <t>94782 = 087RP170H   DAYCO - Р РµРјС–РЅСЊ Р“Р Рњ</t>
  </si>
  <si>
    <t>RENAULT Clio I/II.Kangoo.Twingo 1.2 1/96&gt;  (5454XS, 94782)</t>
  </si>
  <si>
    <t>94785 = 096RP170H   DAYCO - Р РµРјС–РЅСЊ Р“Р Рњ</t>
  </si>
  <si>
    <t>147.50</t>
  </si>
  <si>
    <t>94787 = 162STP200H   DAYCO - Р РµРјС–РЅСЊ Р“Р Рњ</t>
  </si>
  <si>
    <t>OPEL Vectra B/Astra G 1.4/1.6/1.8-16v mot.X14-16-18XE/Z14-16-18XE  (5499XS, 94787)</t>
  </si>
  <si>
    <t>94789 = 142RP230H   DAYCO - Р РµРјС–РЅСЊ Р“Р Рњ</t>
  </si>
  <si>
    <t>321.47</t>
  </si>
  <si>
    <t>RENAULT Laguna/Safrane II 2,0 16V 6/95-3/01,VOLVO C70/S40/S60/S70/S80/V40/V70/XC70 2,4T/2,5/2,0/1,9/</t>
  </si>
  <si>
    <t>94808 = 140RP+254H   DAYCO - Р РµРјС–РЅСЊ Р“Р Рњ</t>
  </si>
  <si>
    <t>290.62</t>
  </si>
  <si>
    <t>94822 = 116RHP+290H   DAYCO - Р РµРјС–РЅСЊ Р“Р Рњ</t>
  </si>
  <si>
    <t>MITSUBISHI Carisma 1.6/1.8 SOHC/DOHC 95&gt;</t>
  </si>
  <si>
    <t>94824 = 171STP240H   DAYCO - Р РµРјС–РЅСЊ Р“Р Рњ</t>
  </si>
  <si>
    <t>245.45</t>
  </si>
  <si>
    <t>OPEL Frontera A/Sintra mot.X22XE  (5461XS, 94824)</t>
  </si>
  <si>
    <t>94825 = 225STP300H   DAYCO - Р РµРјС–РЅСЊ Р“Р Рњ</t>
  </si>
  <si>
    <t>431.55</t>
  </si>
  <si>
    <t>OPEL Omega A, B  /Vectra A, B 2,5i V6  93-03   (5453XS, 94825)</t>
  </si>
  <si>
    <t>94835 = 253STP300H   DAYCO - Р РµРјС–РЅСЊ Р“Р Рњ</t>
  </si>
  <si>
    <t>436.10</t>
  </si>
  <si>
    <t>AUDI A4, A6 2,4-2,8,  A8 2,8-4,2 l, Passat B5 2,8  (5493XS, 94835)</t>
  </si>
  <si>
    <t>94839 = 087RHX240H   DAYCO - Р РµРјС–РЅСЊ Р“Р Рњ</t>
  </si>
  <si>
    <t>171.10</t>
  </si>
  <si>
    <t>94840 = 141RP+254H   DAYCO - Р РµРјС–РЅСЊ Р“Р Рњ</t>
  </si>
  <si>
    <t>PEUGEOT/CITROEN 2.0HDI .FIAT 2.0JTD  (5524XS, 94840)</t>
  </si>
  <si>
    <t>94843 = 153STP250H   DAYCO - Р РµРјС–РЅСЊ Р“Р Рњ</t>
  </si>
  <si>
    <t>279.83</t>
  </si>
  <si>
    <t>AUDI/VW mot.ADR/APT/AEB/ARK/APU/AWT/ANB A4/A6/Passat B5 1.8/1.8T  (5492XS, 94843)</t>
  </si>
  <si>
    <t>94846 = 091RP+200H   DAYCO - Р РµРјС–РЅСЊ Р“Р Рњ</t>
  </si>
  <si>
    <t>180.21</t>
  </si>
  <si>
    <t>94847 = 132RP270H   DAYCO - Р РµРјС–РЅСЊ Р“Р Рњ</t>
  </si>
  <si>
    <t>289.11</t>
  </si>
  <si>
    <t>RENAULT Kangoo/Laguna/Megane 1.4-16v/1.6-16v mot.K4J714/K4M700  (5501XS, 94847)</t>
  </si>
  <si>
    <t>94854 = 133RHP+254H   DAYCO - Р РµРјС–РЅСЊ Р“Р Рњ</t>
  </si>
  <si>
    <t>266.35</t>
  </si>
  <si>
    <t>94862 = 104RP170H/1   DAYCO - Р РµРјС–РЅСЊ Р“Р Рњ</t>
  </si>
  <si>
    <t>CITROEN Berlingo/C2/C3/Saxo/Xsara 1.4 5/96-&gt;| PEUGEOT 106 II/206/306/307 1.4 6/94-&gt;|  (5575XS, 94862)</t>
  </si>
  <si>
    <t>94863 = 100RP170H   DAYCO - Р РµРјС–РЅСЊ Р“Р Рњ</t>
  </si>
  <si>
    <t>174.64</t>
  </si>
  <si>
    <t>CITROEN Berlingo/C2/C3/Saxo 1.1 7/96-&gt;| PEUGEOT 106 I II/206/306 1.1 9/91-&gt;|  (5574XS, 94863)</t>
  </si>
  <si>
    <t>94885 = 120RP300HT   DAYCO - Р РµРјС–РЅСЊ Р“Р Рњ</t>
  </si>
  <si>
    <t>557.81</t>
  </si>
  <si>
    <t>AUDI/VW 1.9TDI mot.ANU/AJM/AJT/AUY/AMF/ARL/AVB/ASZ/ATD/AXR/AVF/AWX/BAY/BJB/BKC/AXB  (5569XS, 94885)</t>
  </si>
  <si>
    <t>94897 = 207RHX300HT   DAYCO - Р РµРјС–РЅСЊ Р“Р Рњ</t>
  </si>
  <si>
    <t>513.65</t>
  </si>
  <si>
    <t>AUDI A4/A6/A8/ALLROAD 2.5TDI 00-&gt;/VW PASSAT 2.5TDI 03-&gt; 207 Р·СѓР±.  (5557XS, 94897)</t>
  </si>
  <si>
    <t>94904 = 109RHP+250H   DAYCO - Р РµРјС–РЅСЊ Р“Р Рњ</t>
  </si>
  <si>
    <t>260.79</t>
  </si>
  <si>
    <t>94905 = 153RP254H/1   DAYCO - Р РµРјС–РЅСЊ Р“Р Рњ</t>
  </si>
  <si>
    <t>322.48</t>
  </si>
  <si>
    <t>CITROEN C5,C8,Jampy,Xsara 1,8 V16,2,0 V16,2,2  00-, FIAT Scudo,Ulysse 2,0 16V, LANCIA Pedra,Zeta 2,0  (5528XS, 94905)</t>
  </si>
  <si>
    <t>94908 = 089RP+250H   DAYCO - Р РµРјС–РЅСЊ Р“Р Рњ</t>
  </si>
  <si>
    <t>294.84</t>
  </si>
  <si>
    <t>94909 = 137RP+254H   DAYCO - Р РµРјС–РЅСЊ Р“Р Рњ</t>
  </si>
  <si>
    <t>Citroen Xsara/Peugeot  306   2.0    97-05</t>
  </si>
  <si>
    <t>94923 = 144RP+254H   DAYCO - Р РµРјС–РЅСЊ Р“Р Рњ</t>
  </si>
  <si>
    <t>297.03</t>
  </si>
  <si>
    <t>94936 = 178RP250HT   DAYCO - Р РµРјС–РЅСЊ Р“Р Рњ</t>
  </si>
  <si>
    <t>579.06</t>
  </si>
  <si>
    <t>Toyota Avensis/Corolla 2.0D-4D 99-</t>
  </si>
  <si>
    <t>94939 = 132RP260H   DAYCO - Р РµРјС–РЅСЊ Р“Р Рњ</t>
  </si>
  <si>
    <t>342.04</t>
  </si>
  <si>
    <t>RENAULT Espace IV/Laguna/Master II/Trafic 1,9DCi  01-  (5552XS, 94939)  Opel Vivaro/Nissan Primastar 1,9D 01-</t>
  </si>
  <si>
    <t>94944 = 123RP270H   DAYCO - Р РµРјС–РЅСЊ Р“Р Рњ</t>
  </si>
  <si>
    <t>382.16</t>
  </si>
  <si>
    <t>RENAULT Clio/Kangoo/Megane/Scenic/Modus, NISSAN Almera/Micra 1.5DРЎi 01 -&gt;  (5578XS, 94944)</t>
  </si>
  <si>
    <t>94950 = 129P8S220H   DAYCO - Р РµРјС–РЅСЊ Р“Р Рњ</t>
  </si>
  <si>
    <t>234.49</t>
  </si>
  <si>
    <t>94957 = 134RP254H2   DAYCO - Р РµРјС–РЅСЊ Р“Р Рњ</t>
  </si>
  <si>
    <t>CITROEN Berlingo/C2/C3/C4/Saxo/Xsara/PEUGEOT 1007/106 II/206/307/Partner  (eng.TU5JP4)  (5581XS, 94957)</t>
  </si>
  <si>
    <t>94959 = 143RP+254H   DAYCO - Р РµРјС–РЅСЊ Р“Р Рњ</t>
  </si>
  <si>
    <t>315.07</t>
  </si>
  <si>
    <t>Citroen/Peugeot 2.2HDi</t>
  </si>
  <si>
    <t>94970 = 141RP300HT   DAYCO - Р РµРјС–РЅСЊ Р“Р Рњ</t>
  </si>
  <si>
    <t>601.31</t>
  </si>
  <si>
    <t>94974 = 146STP240HT   DAYCO - Р РµРјС–РЅСЊ Р“Р Рњ</t>
  </si>
  <si>
    <t>429.02</t>
  </si>
  <si>
    <t>OPEL Astar G H/Vectra C/Zafiar 1.6/1.8 3/00-&gt;|  (5603XS, 94974)</t>
  </si>
  <si>
    <t>94975 = 116RP+254H   DAYCO - Р РµРјС–РЅСЊ Р“Р Рњ</t>
  </si>
  <si>
    <t>349.12</t>
  </si>
  <si>
    <t>CITROEN C4/PEUGEOT 307/407 2,0 HDI 03-  (5606XS, 94975)</t>
  </si>
  <si>
    <t>94981 = 122RP200H   DAYCO - Р РµРјС–РЅСЊ Р“Р Рњ</t>
  </si>
  <si>
    <t>269.72</t>
  </si>
  <si>
    <t>Mitsubishi Outlander 2.4 4WD  03-06, Galant 2.4  03-</t>
  </si>
  <si>
    <t>94992 = 153RP+270H/1   DAYCO - Р РµРјС–РЅСЊ Р“Р Рњ</t>
  </si>
  <si>
    <t>419.92</t>
  </si>
  <si>
    <t>MAZDA 323/626 2,0TD  98-,  Premacy 2.0TD 99-</t>
  </si>
  <si>
    <t>APV1028</t>
  </si>
  <si>
    <t>APV1028   DAYCO - РњРµС…Р°РЅС–Р·Рј РЅР°С‚СЏРіСѓ РїРѕР»С–РєР»РёРЅРѕРІРѕРіРѕ СЂРµРјРµРЅСЏ</t>
  </si>
  <si>
    <t>508.42</t>
  </si>
  <si>
    <t>CITROEN BERLINGO 2.0HDI 90  99-, XANTIA 2.0HDI 90 99- , XSARA 2.0HDI 90 99-   [EVR56028]</t>
  </si>
  <si>
    <t>APV1029</t>
  </si>
  <si>
    <t>APV1029   DAYCO - РћР±РІС–РґРЅРёР№ СЂРѕР»РёРє РїРѕР»С–РєР»РёРЅРѕРІРѕРіРѕ СЂРµРјРµРЅСЏ</t>
  </si>
  <si>
    <t>272.25</t>
  </si>
  <si>
    <t>PSA 1.9D  98- (РѕР±РІРѕРґ. ALT, (PS), (-A/C)) [EVR55941]</t>
  </si>
  <si>
    <t>APV1030</t>
  </si>
  <si>
    <t>APV1030   DAYCO - РњРµС…Р°РЅС–Р·Рј РЅР°С‚СЏРіСѓ РїРѕР»С–РєР»РёРЅРѕРІРѕРіРѕ СЂРµРјРµРЅСЏ</t>
  </si>
  <si>
    <t>495.95</t>
  </si>
  <si>
    <t>FIAT, PSA 1.9D  99- (РјРµС…. РЅР°С‚СЏР¶. ALT) [EVR55942]</t>
  </si>
  <si>
    <t>APV1078</t>
  </si>
  <si>
    <t>APV1078   DAYCO - РњРµС…Р°РЅС–Р·Рј РЅР°С‚СЏРіСѓ РїРѕР»С–РєР»РёРЅРѕРІРѕРіРѕ СЂРµРјРµРЅСЏ</t>
  </si>
  <si>
    <t>502.02</t>
  </si>
  <si>
    <t>Fiat/Lancia, Opel, Suzuki 1,3JTD/CDTI/DDiS  03-  [EVR55899]</t>
  </si>
  <si>
    <t>APV1079</t>
  </si>
  <si>
    <t>APV1079   DAYCO - РњРµС…Р°РЅС–Р·Рј РЅР°С‚СЏРіСѓ РїРѕР»С–РєР»РёРЅРѕРІРѕРіРѕ СЂРµРјРµРЅСЏ</t>
  </si>
  <si>
    <t>564.89</t>
  </si>
  <si>
    <t>FIAT Bravo, Doblo 1.4  05- (РјРµС…. РЅР°С‚СЏР¶. ALT, (A/C)) [EVR56011]</t>
  </si>
  <si>
    <t>APV2159</t>
  </si>
  <si>
    <t>APV2159   DAYCO - РћР±РІС–РґРЅРёР№ СЂРѕР»РёРє РїРѕР»С–РєР»РёРЅРѕРІРѕРіРѕ СЂРµРјРµРЅСЏ</t>
  </si>
  <si>
    <t>236.85</t>
  </si>
  <si>
    <t>DACIA/RENAULT Clio, Kangoo, Laguna, Logan, Megan 1.4-2.0  99- (РѕР±РІРѕРґ. ALT) [EVR55571]</t>
  </si>
  <si>
    <t>APV2463</t>
  </si>
  <si>
    <t>APV2463   DAYCO - РњРµС…Р°РЅС–Р·Рј РЅР°С‚СЏРіСѓ РїРѕР»С–РєР»РёРЅРѕРІРѕРіРѕ СЂРµРјРµРЅСЏ</t>
  </si>
  <si>
    <t>554.44</t>
  </si>
  <si>
    <t>Citroen/Peugeot/Fiat 1.4HDi, 1.6HDi/D Multijet, 2.2HDi 01-  (GA35917)  [EVR55990]  0X65X22</t>
  </si>
  <si>
    <t>APV2667</t>
  </si>
  <si>
    <t>APV2667   DAYCO - РњРµС…Р°РЅС–Р·Рј РЅР°С‚СЏРіСѓ РїРѕР»С–РєР»РёРЅРѕРІРѕРіРѕ СЂРµРјРµРЅСЏ</t>
  </si>
  <si>
    <t>871.03</t>
  </si>
  <si>
    <t>VW TRANSPORTER IV 2,4D/2,5 90-03</t>
  </si>
  <si>
    <t>ATB1004</t>
  </si>
  <si>
    <t>ATB1004   DAYCO - РќР°С‚СЏР¶РЅРёР№ СЂРѕР»РёРє СЂРµРјРµРЅСЏ Р“Р Рњ</t>
  </si>
  <si>
    <t>732.29</t>
  </si>
  <si>
    <t>FIAT DUCATO| IVECO DAILY III, IV 2.3D 04.02-</t>
  </si>
  <si>
    <t>ATB2016</t>
  </si>
  <si>
    <t>ATB2016   DAYCO - РћР±РІС–РґРЅРёР№ СЂРѕР»РёРє СЂРµРјРµРЅСЏ Р“Р Рњ</t>
  </si>
  <si>
    <t>354.01</t>
  </si>
  <si>
    <t>CITROEN/FIAT/IVECO/OPEL/PEUGEOT/RENAULT  2.5D    -02</t>
  </si>
  <si>
    <t>ATB2017</t>
  </si>
  <si>
    <t>ATB2017   DAYCO - РћР±РІС–РґРЅРёР№ СЂРѕР»РёРє СЂРµРјРµРЅСЏ Р“Р Рњ</t>
  </si>
  <si>
    <t>373.39</t>
  </si>
  <si>
    <t>FIAT Ducato 2.5D, 2.8JTD, PSA 2.8JTD  82-    26X64X28</t>
  </si>
  <si>
    <t>ATB2077</t>
  </si>
  <si>
    <t>ATB2077   DAYCO - РћР±РІС–РґРЅРёР№ СЂРѕР»РёРє СЂРµРјРµРЅСЏ Р“Р Рњ</t>
  </si>
  <si>
    <t>402.05</t>
  </si>
  <si>
    <t>DACIA/RENAULT 1.4 - 2.0 (incl. 16v)  98 - (РѕР±РІРѕРґ. Р“Р Рњ) [EVR55565]</t>
  </si>
  <si>
    <t>ATB2193</t>
  </si>
  <si>
    <t>ATB2193   DAYCO - РћР±РІС–РґРЅРёР№ СЂРѕР»РёРє СЂРµРјРµРЅСЏ Р“Р Рњ</t>
  </si>
  <si>
    <t>ATB2356</t>
  </si>
  <si>
    <t>ATB2356   DAYCO - РќР°С‚СЏР¶РЅРёР№ СЂРѕР»РёРє СЂРµРјРµРЅСЏ Р“Р Рњ</t>
  </si>
  <si>
    <t>352.49</t>
  </si>
  <si>
    <t>MITSUBISHI CARISMA, COLT IV, V, LANCER VI 1,6/1,8   95-07</t>
  </si>
  <si>
    <t>ATB2517</t>
  </si>
  <si>
    <t>ATB2517   DAYCO - РќР°С‚СЏР¶РЅРёР№ СЂРѕР»РёРє СЂРµРјРµРЅСЏ Р“Р Рњ</t>
  </si>
  <si>
    <t>769.88</t>
  </si>
  <si>
    <t>Chrysler Voyager 2.5CRD  01-07, 2.8CRD 05-07 | Jeep Liberty 2.5CRD 02-05, 2.8CRD 03-07</t>
  </si>
  <si>
    <t>ATB2547</t>
  </si>
  <si>
    <t>ATB2547   DAYCO - РќР°С‚СЏР¶РЅРёР№ СЂРѕР»РёРє СЂРµРјРµРЅСЏ Р“Р Рњ</t>
  </si>
  <si>
    <t>679.53</t>
  </si>
  <si>
    <t>FIAT 1.9D/TD/JTD, 2.4D/TD/JTD  96- (РЅР°С‚СЏР¶. Р“Р Рњ) [EVR55844]</t>
  </si>
  <si>
    <t>KTB305</t>
  </si>
  <si>
    <t>KTB305   DAYCO - РљРѕРјРїР»РµРєС‚ СЂРµРјРµРЅСЏ Р“Р Рњ</t>
  </si>
  <si>
    <t>1120.01</t>
  </si>
  <si>
    <t>CITROEN Jumper| FIAT Ducato| IVECO Daily| OPEL Movano| PEUGEOT Boxer| RENAULT Trafic, Master, Mascot 2,5D/2,8HDI  89-</t>
  </si>
  <si>
    <t>KTB484</t>
  </si>
  <si>
    <t>KTB484   DAYCO - РљРѕРјРїР»РµРєС‚ СЂРµРјРµРЅСЏ Р“Р Рњ</t>
  </si>
  <si>
    <t>1489.87</t>
  </si>
  <si>
    <t>AUDI A3 (8L1),A6,VW Bora (1J2), Golf IV (1J1),Passat (3B2),Sharan 1,8/1,8T  95-10|    (5491XS + T43016 + T43025)  [EVR5544270]</t>
  </si>
  <si>
    <t>KTB532</t>
  </si>
  <si>
    <t>KTB532   DAYCO - РљРѕРјРїР»РµРєС‚ СЂРµРјРµРЅСЏ Р“Р Рњ</t>
  </si>
  <si>
    <t>951.61</t>
  </si>
  <si>
    <t>RENAULT Clio II, Kangoo, Scenic II,Thalia II 1,5 DCI  2001- |  NISSAN Almera, Micra 1,5 Diesel Turbo 2003-|       (5578XS+T43014)\n[EVR5558170]</t>
  </si>
  <si>
    <t>KTB543</t>
  </si>
  <si>
    <t>KTB543   DAYCO - РљРѕРјРїР»РµРєС‚ СЂРµРјРµРЅСЏ Р“Р Рњ</t>
  </si>
  <si>
    <t>666.88</t>
  </si>
  <si>
    <t>Mitsubishi Carisma, Colt IV, V, Lancer VI 1.6 02.94-06.06</t>
  </si>
  <si>
    <t>KTB604</t>
  </si>
  <si>
    <t>KTB604   DAYCO - РљРѕРјРїР»РµРєС‚ СЂРµРјРµРЅСЏ Р“Р Рњ</t>
  </si>
  <si>
    <t>913.00</t>
  </si>
  <si>
    <t>DACIA Duster, Logan| NISSAN Almera II, Micra III, Note| RENAULT Clio II, III 1,5DCI  01-</t>
  </si>
  <si>
    <t>KTB761</t>
  </si>
  <si>
    <t>KTB761   DAYCO - РљРѕРјРїР»РµРєС‚ СЂРµРјРµРЅСЏ Р“Р Рњ</t>
  </si>
  <si>
    <t>1340.00</t>
  </si>
  <si>
    <t>FIAT Doblo/Bravo/Punto 1.6 JTD 2008-  Opel Combo  1.6CDTI  12-</t>
  </si>
  <si>
    <t>KTB944</t>
  </si>
  <si>
    <t>KTB944   DAYCO - РљРѕРјРїР»РµРєС‚ СЂРµРјРµРЅСЏ Р“Р Рњ</t>
  </si>
  <si>
    <t>1327.19</t>
  </si>
  <si>
    <t>VAZ 2170-72 1,6 16v (Priora)</t>
  </si>
  <si>
    <t>DENSO</t>
  </si>
  <si>
    <t>DG-001</t>
  </si>
  <si>
    <t>DG-001  DENSO - РЎРІС–С‡РєР° СЂРѕР·Р¶Р°СЂСЋРІР°РЅРЅСЏ</t>
  </si>
  <si>
    <t>139.24</t>
  </si>
  <si>
    <t>СѓРїР°Рє.10 С€С‚., BMW 318TDS E36, 524TD E28, 525TD,TDS E34, E39| CITROEN XSARA 1.9D/1.9TD 93- #AVIA/ GRAND VOYAGER HR425,GRAND CHEROKEE/IveСЃo/ Fiat/ SsangYong/ Peugeot XUD7,XUD9,XUD11</t>
  </si>
  <si>
    <t>DG-003</t>
  </si>
  <si>
    <t>DG-003  DENSO - РЎРІС–С‡РєР° СЂРѕР·Р¶Р°СЂСЋРІР°РЅРЅСЏ</t>
  </si>
  <si>
    <t>156.77</t>
  </si>
  <si>
    <t>СѓРїР°Рє.10 С€С‚., Citroen AX, Berlingo, C15, Saxo, Xsara 1,4D/1,9D  94-10| Fiat Ducato| Nissan Micra II| Peugeot 206, 306| Tata Indigo 1,4D/1,9D  94-10</t>
  </si>
  <si>
    <t>DG-004</t>
  </si>
  <si>
    <t>DG-004  DENSO - РЎРІС–С‡РєР° СЂРѕР·Р¶Р°СЂСЋРІР°РЅРЅСЏ</t>
  </si>
  <si>
    <t>143.46</t>
  </si>
  <si>
    <t>СѓРїР°Рє.10 С€С‚., Opel Movano|  Renault Trafic/Master 2.5D 89-01|   FIAT Ducato 2.5D 94-02,  FORD Mondeo, Escort, Fiesta, Sierra 1.8D 86-99</t>
  </si>
  <si>
    <t>DG-005</t>
  </si>
  <si>
    <t>DG-005  DENSO - РЎРІС–С‡РєР° СЂРѕР·Р¶Р°СЂСЋРІР°РЅРЅСЏ</t>
  </si>
  <si>
    <t>148.35</t>
  </si>
  <si>
    <t>СѓРїР°Рє.10С€С‚., Audi A3, A4, A6| VW Bora, Caddy, Golf III, IV, Passat, Sharan, LT 28-46, T4  1,2TDI-2,5TDI  93- | Skoda Fabia/Octavia   (1Z,AAT,ABP,1T,ANY,AGR,AJM,ALH,ASV,ANU,ASZ,ATD,AXR,AFF,AHH,AHU,AHF,AFN,AVG,ATJ,ATD,AVB,AVF,AWX ) |\nRenault/Nissan 1,5dCi/1,9dCI/ (Kangoo, Clio, Megane, Scenic|  Dacia Logan/Sandero, Qashqai, Almjera ,Micra, Primastar,, Opel Vivaro, Movano) 01-  |  Seat Alhambra/ Ford Galaxy (1Z,AHU,ANU,AFN,AVG,AUY)</t>
  </si>
  <si>
    <t>DG-007</t>
  </si>
  <si>
    <t>DG-007  DENSO - РЎРІС–С‡РєР° СЂРѕР·Р¶Р°СЂСЋРІР°РЅРЅСЏ</t>
  </si>
  <si>
    <t>СѓРїР°Рє.10 С€С‚., FORD ESCORT 1.8TD 90-98, FIESTA 1.8D 95-, FIESTA 1.8DI 00-, MONDEO 1.8TD 96-99</t>
  </si>
  <si>
    <t>DG-008</t>
  </si>
  <si>
    <t>DG-008  DENSO - РЎРІС–С‡РєР° СЂРѕР·Р¶Р°СЂСЋРІР°РЅРЅСЏ</t>
  </si>
  <si>
    <t>СѓРїР°Рє.10 С€С‚., RENAULT MEGANE 1.9D 03-, CLIO II 1.9D 09-, KANGOO 1.9D   03-   (F8Q)</t>
  </si>
  <si>
    <t>DG-010</t>
  </si>
  <si>
    <t>DG-010  DENSO - РЎРІС–С‡РєР° СЂРѕР·Р¶Р°СЂСЋРІР°РЅРЅСЏ</t>
  </si>
  <si>
    <t xml:space="preserve">СѓРїР°Рє.10 С€С‚., MB Sprinter, T1, MB100, W201, C/E/G-classe 2.0-3.0D 88-06|  Ssangyong Rexton, Korando, Musso 2.3/2.9 D/TD| ...           </t>
  </si>
  <si>
    <t>DG-106</t>
  </si>
  <si>
    <t>DG-106  DENSO - РЎРІС–С‡РєР° СЂРѕР·Р¶Р°СЂСЋРІР°РЅРЅСЏ</t>
  </si>
  <si>
    <t>184.93</t>
  </si>
  <si>
    <t>СѓРїР°Рє.10 С€С‚., MB C-class (W202), E-class (W124, W210), G-class (W463), S-class (W140) 2,0D/TD-3,0D/TD  93-   (OM601,OM604,OM605,OM606,OM611)</t>
  </si>
  <si>
    <t>DG-109</t>
  </si>
  <si>
    <t>DG-109  DENSO - РЎРІС–С‡РєР° СЂРѕР·Р¶Р°СЂСЋРІР°РЅРЅСЏ</t>
  </si>
  <si>
    <t>169.92</t>
  </si>
  <si>
    <t>СѓРїР°Рє.10 С€С‚.,  AUDI A2/A3/A4/A6 1,9TDI  (AMF,AZV,BKD) 03-|  VW Golf, Passat, Caddy, T5, Sharan (AHU,1Z,ANU,AUY,SCB,SCC,SCD,ATD,AXD,AXE,AXB,AXR,ARL,ASZ,BAY,BNM,ANY,AYZ,AMF,AVB,AVF,AWX,AJS) 1,9 TDI 01.11-, ALFA ROMEO 155 2.5TD 95-98  OPEL Frontera A 25DTS , Skoda Fabia, Octavia, Roomster 1,4/1,9TDI (AMF,ASZ,BKD,BNM,BMS,AVB,AVF,AWX)</t>
  </si>
  <si>
    <t>DG-110</t>
  </si>
  <si>
    <t>DG-110  DENSO - РЎРІС–С‡РєР° СЂРѕР·Р¶Р°СЂСЋРІР°РЅРЅСЏ</t>
  </si>
  <si>
    <t>СѓРїР°Рє.10 С€С‚., MB Sprinter, T1,  W124, 190(W201), C-class (W202), E-class (W124), G-class (W460), S-class (W140), V-class (638/2),  | Renault Megane| Ssanyong Korando, Musso, Rexton 1,9D-3,5D  79-  (OM364,OM602)</t>
  </si>
  <si>
    <t>DG-111</t>
  </si>
  <si>
    <t>DG-111  DENSO - РЎРІС–С‡РєР° СЂРѕР·Р¶Р°СЂСЋРІР°РЅРЅСЏ</t>
  </si>
  <si>
    <t>180.38</t>
  </si>
  <si>
    <t>СѓРїР°Рє.10 С€С‚., Citroen Jumper, Fiat  Ducato, Iveco  Daily, Renault  Master II, Mascott 2,8D  98-</t>
  </si>
  <si>
    <t>DG-112</t>
  </si>
  <si>
    <t>DG-112  DENSO - РЎРІС–С‡РєР° СЂРѕР·Р¶Р°СЂСЋРІР°РЅРЅСЏ</t>
  </si>
  <si>
    <t>170.43</t>
  </si>
  <si>
    <t>СѓРїР°Рє.10 С€С‚., Renault Clio II, Kangoo,Megane, Scenic /Dacia Solenza  1,9D  97-</t>
  </si>
  <si>
    <t>DG-116</t>
  </si>
  <si>
    <t>DG-116  DENSO - РЎРІС–С‡РєР° СЂРѕР·Р¶Р°СЂСЋРІР°РЅРЅСЏ</t>
  </si>
  <si>
    <t>160.48</t>
  </si>
  <si>
    <t>СѓРїР°Рє.10 С€С‚., Citroen Berlingo, C4, C5, C8, Jumpy, Jumper, Xantia, Xsara| Fiat Ducato, Scudo, Ulysse| Peugeot 206, 306, 307, 406, 607, 807, Expert| Suzuki Vitara  2,0D/2,2D   94-</t>
  </si>
  <si>
    <t>DG-117</t>
  </si>
  <si>
    <t>DG-117  DENSO - РЎРІС–С‡РєР° СЂРѕР·Р¶Р°СЂСЋРІР°РЅРЅСЏ</t>
  </si>
  <si>
    <t>СѓРїР°Рє.10 С€С‚., MB SPRINTER/VITO 2.2 CDI  1999- |  C/CLC/E/M/S/V-class  (W202, W203,C203, C209, W210,W211,W463, W163, W220, 638/2), Viano (W639), VIito/Mixto (638, 369) 2,1CDI-4,0CDI 97-        \n(OM601,OM611,OM612,OM613,OM628,OM646,OM647,OM648)  11,5V (M10x1|L130)</t>
  </si>
  <si>
    <t>DG-121</t>
  </si>
  <si>
    <t>DG-121  DENSO - РЎРІС–С‡РєР° СЂРѕР·Р¶Р°СЂСЋРІР°РЅРЅСЏ</t>
  </si>
  <si>
    <t>171.27</t>
  </si>
  <si>
    <t>СѓРїР°Рє.10 С€С‚., Ford Focus II, C-Max, Fiesta IV, Galaxy, Mondeo IV, S-Max, Tourneo Connect, Transit Connect   1,8D/2,2TDCi  98-</t>
  </si>
  <si>
    <t>DG-122</t>
  </si>
  <si>
    <t>DG-122  DENSO - РЎРІС–С‡РєР° СЂРѕР·Р¶Р°СЂСЋРІР°РЅРЅСЏ</t>
  </si>
  <si>
    <t>СѓРїР°Рє.10 С€С‚., FIAT Doblo 1,9JTD 01-, Bravo, Stilo 1.9JTD , Opel Vectra C 1,9 CDTi 04-</t>
  </si>
  <si>
    <t>DG-126</t>
  </si>
  <si>
    <t>DG-126  DENSO - РЎРІС–С‡РєР° СЂРѕР·Р¶Р°СЂСЋРІР°РЅРЅСЏ</t>
  </si>
  <si>
    <t>205.66</t>
  </si>
  <si>
    <t>СѓРїР°Рє.10 С€С‚., OPEL MOVANO 2.2/2.5TDCI 02-, RENAULT MASTER 02-, NISSAN INTERSTAR 1.9DCI (90KM), 2.2DCI  02-</t>
  </si>
  <si>
    <t>DG-130</t>
  </si>
  <si>
    <t>DG-130  DENSO - РЎРІС–С‡РєР° СЂРѕР·Р¶Р°СЂСЋРІР°РЅРЅСЏ</t>
  </si>
  <si>
    <t>207.35</t>
  </si>
  <si>
    <t xml:space="preserve">СѓРїР°Рє.10 С€С‚., Ford Mondeo III, S-Max,,Tourneo,Transit | Citroen Jumper/Peugeot Boxer 2,0D-3,2TDCi  00-   </t>
  </si>
  <si>
    <t>DG-173</t>
  </si>
  <si>
    <t>DG-173  DENSO - РЎРІС–С‡РєР° СЂРѕР·Р¶Р°СЂСЋРІР°РЅРЅСЏ</t>
  </si>
  <si>
    <t>233.81</t>
  </si>
  <si>
    <t xml:space="preserve">СѓРїР°Рє.10 С€С‚., Hyundai Accent, Elantra, Getz, Matrix, Santa Fe, Sonata V, Tucson, I30| KIA Carens, Carnival, Cerato, Magentis, Sportage 1,5CRDi-2,9CRDI  99- </t>
  </si>
  <si>
    <t>DG-177</t>
  </si>
  <si>
    <t>DG-177  DENSO - РЎРІС–С‡РєР° СЂРѕР·Р¶Р°СЂСЋРІР°РЅРЅСЏ</t>
  </si>
  <si>
    <t>203.98</t>
  </si>
  <si>
    <t>СѓРїР°Рє.10 С€С‚., VAG 1.4-3.2TDI  03-10</t>
  </si>
  <si>
    <t>DG-188</t>
  </si>
  <si>
    <t>DG-188  DENSO - РЎРІС–С‡РєР° СЂРѕР·Р¶Р°СЂСЋРІР°РЅРЅСЏ</t>
  </si>
  <si>
    <t>307.14</t>
  </si>
  <si>
    <t xml:space="preserve">СѓРїР°Рє.10 С€С‚., Ssangyong  Rexton,Kyron,Rodius 2,0/2,7Xdi   04-   </t>
  </si>
  <si>
    <t>DG-198</t>
  </si>
  <si>
    <t>DG-198  DENSO - РЎРІС–С‡РєР° СЂРѕР·Р¶Р°СЂСЋРІР°РЅРЅСЏ</t>
  </si>
  <si>
    <t>183.75</t>
  </si>
  <si>
    <t>СѓРїР°Рє.10 С€С‚., Mitsubishi Pajero/L200/L300  2,3-2,5D 91-00 | Hyundai H-1,H-100 2.5D 93-04</t>
  </si>
  <si>
    <t>IK16</t>
  </si>
  <si>
    <t>IK16  DENSO - РЎРІС–С‡РєР° Р·Р°РїР°Р»СЋРІР°РЅРЅСЏ</t>
  </si>
  <si>
    <t>СѓРїР°Рє.4 С€С‚., Mazda 2, 3, 323,626, 929, MX-3/5, MB, Audi, BMW, Fiat, Geely, Hyundai, KIA, Jaguar, Mitsubishi, Nissan, Peugeot, Seat, Skoda, Subaru, TOYOTA, VW .....</t>
  </si>
  <si>
    <t>IK20</t>
  </si>
  <si>
    <t>IK20  DENSO - РЎРІС–С‡РєР° Р·Р°РїР°Р»СЋРІР°РЅРЅСЏ</t>
  </si>
  <si>
    <t>СѓРїР°Рє.4 С€С‚., СѓРЅС–РІРµСЂСЃ. | Mazda ,Toyota, VAG, ...........</t>
  </si>
  <si>
    <t>IK20TT</t>
  </si>
  <si>
    <t>IK20TT  DENSO - РЎРІС–С‡РєР° Р·Р°РїР°Р»СЋРІР°РЅРЅСЏ</t>
  </si>
  <si>
    <t>191.16</t>
  </si>
  <si>
    <t>СѓРїР°Рє.4 С€С‚., Iridium TT,  ALL   (AUDI| BMW вЂ¦.)</t>
  </si>
  <si>
    <t>IK22</t>
  </si>
  <si>
    <t>IK22  DENSO - РЎРІС–С‡РєР° Р·Р°РїР°Р»СЋРІР°РЅРЅСЏ</t>
  </si>
  <si>
    <t>СѓРїР°Рє.4 С€С‚., Audi A4, A6 A8 3,2FSI 05-10| Porsche 2,7/3,4/3,601-09|  Toyota Supra 3,0i 93-02| Mini (R50, R53) 1,6i  03-07| VW Passat 2,0i 16V 94-97| Audi 80 2,0E 16V 93-96</t>
  </si>
  <si>
    <t>IKH16</t>
  </si>
  <si>
    <t>IKH16  DENSO - РЎРІС–С‡РєР° Р·Р°РїР°Р»СЋРІР°РЅРЅСЏ</t>
  </si>
  <si>
    <t>СѓРїР°Рє.4 С€С‚., Nissan Micra 1,0/1,2/1,4 16V 03-10, Note 1,4 06-|  Peugeot 406 3,0 V6  00-04|  Renault Avantime 3,0 V6  00-03</t>
  </si>
  <si>
    <t>IKH20</t>
  </si>
  <si>
    <t>IKH20  DENSO - РЎРІС–С‡РєР° Р·Р°РїР°Р»СЋРІР°РЅРЅСЏ</t>
  </si>
  <si>
    <t>СѓРїР°Рє.4 С€С‚., Mitsubishi Outlander 2,4 03-06, Lancer 1,5 09-| Opel Vectra C 2,8 V6 Turbo 05-| Smart Forfour 1,1/1,3/1,5 04-06 Renault Laguna 3,0 V6 24V 01-,  Clio II 3,0 V6 Sport  00-</t>
  </si>
  <si>
    <t>IQ20</t>
  </si>
  <si>
    <t>IQ20  DENSO - РЎРІС–С‡РєР° Р·Р°РїР°Р»СЋРІР°РЅРЅСЏ</t>
  </si>
  <si>
    <t xml:space="preserve">СѓРїР°Рє.4 С€С‚., MB E-class E 36  AMG (124.066, 124.052) 93-98| Saab 900 II, 9-3   2,3i  93-02 </t>
  </si>
  <si>
    <t>IT20</t>
  </si>
  <si>
    <t>IT20  DENSO - РЎРІС–С‡РєР° Р·Р°РїР°Р»СЋРІР°РЅРЅСЏ</t>
  </si>
  <si>
    <t>СѓРїР°Рє.4 С€С‚., Ford Maverick 3,0 V6 24V  01-,  Mazda Tribute 3,0 V6 24V 00-08</t>
  </si>
  <si>
    <t>ITV16</t>
  </si>
  <si>
    <t>ITV16  DENSO - РЎРІС–С‡РєР° Р·Р°РїР°Р»СЋРІР°РЅРЅСЏ</t>
  </si>
  <si>
    <t xml:space="preserve">СѓРїР°Рє.4 С€С‚., Ford Mondeo IV, S-Max, Galaxy 2,3  07- |  MAZDA 3, 5, 6  2,0/2,3/2,5 02-  CX-9 3,5  07-  </t>
  </si>
  <si>
    <t>ITV22</t>
  </si>
  <si>
    <t>ITV22  DENSO - РЎРІС–С‡РєР° Р·Р°РїР°Р»СЋРІР°РЅРЅСЏ</t>
  </si>
  <si>
    <t>СѓРїР°Рє.4 С€С‚., Ford Fiesta 1,4  08-,  Mondeo/S-Max 2,0 EcoBoost 10- | Landrover Freelander 2,0 11- |  Mazda CX-9  3,7  07-|  Volvo S60/V60 2,0 10-</t>
  </si>
  <si>
    <t>IW16</t>
  </si>
  <si>
    <t>IW16  DENSO - РЎРІС–С‡РєР° Р·Р°РїР°Р»СЋРІР°РЅРЅСЏ</t>
  </si>
  <si>
    <t>СѓРїР°Рє.4 С€С‚., Opel Vectra A 2,0 88-89, Audi 80 1,6 86,  Bently Continental 6,75 V8 91-99 ...</t>
  </si>
  <si>
    <t>IW20</t>
  </si>
  <si>
    <t>IW20  DENSO - РЎРІС–С‡РєР° Р·Р°РїР°Р»СЋРІР°РЅРЅСЏ</t>
  </si>
  <si>
    <t>180.71</t>
  </si>
  <si>
    <t xml:space="preserve">СѓРїР°Рє.4 С€С‚., Citroen C25 1,8/2,0E -94| Fiat Tipo 1,4i 89-95| Renault 19 II 1,8 92-96, Laguna 1,8 95-01|  VW Golf II 1,8 GTI  88-91 </t>
  </si>
  <si>
    <t>K16HPRU11</t>
  </si>
  <si>
    <t>K16HPRU11  DENSO - РЎРІС–С‡РєР° Р·Р°РїР°Р»СЋРІР°РЅРЅСЏ</t>
  </si>
  <si>
    <t>56.14</t>
  </si>
  <si>
    <t>K16HPR-U11</t>
  </si>
  <si>
    <t xml:space="preserve">СѓРїР°Рє.10 С€С‚., Citroen C2, C3, C4, C5 / Peugeot 206,307,308, 406, 407, 607, 807, Expert 1,6-2,2  2000-|  Fiat, Hyundai, KIA, Nissan 1,6-2,5 02- </t>
  </si>
  <si>
    <t>K16PRU</t>
  </si>
  <si>
    <t>K16PRU  DENSO - РЎРІС–С‡РєР° Р·Р°РїР°Р»СЋРІР°РЅРЅСЏ</t>
  </si>
  <si>
    <t>41.98</t>
  </si>
  <si>
    <t>K16PR-U</t>
  </si>
  <si>
    <t>СѓРїР°Рє.10 С€С‚., Fiat Punto,Stilo 1,2| Nissan 1,4-1,6 90-01| Felicia 1,3| UAZ Patriot 2,7</t>
  </si>
  <si>
    <t>K16PRU11</t>
  </si>
  <si>
    <t>K16PRU11  DENSO - РЎРІС–С‡РєР° Р·Р°РїР°Р»СЋРІР°РЅРЅСЏ</t>
  </si>
  <si>
    <t>39.28</t>
  </si>
  <si>
    <t>K16PR-U11</t>
  </si>
  <si>
    <t>СѓРїР°Рє.10 С€С‚.,  Hyundai / KIA 1.1-2.7  95-10| Mazda 1.3-1.9 91-05| Nissan 1.0-1.8 92-04</t>
  </si>
  <si>
    <t>K16PSRB8</t>
  </si>
  <si>
    <t>K16PSRB8  DENSO - РЎРІС–С‡РєР° Р·Р°РїР°Р»СЋРІР°РЅРЅСЏ</t>
  </si>
  <si>
    <t>K16PSR-B8</t>
  </si>
  <si>
    <t>СѓРїР°Рє.10 С€С‚., MITSUBISHI OUTLANDER 2,4  06-, CITROEN C, PEUGEOT 4007 2,4 08-</t>
  </si>
  <si>
    <t>K16RU</t>
  </si>
  <si>
    <t>K16RU  DENSO - РЎРІС–С‡РєР° Р·Р°РїР°Р»СЋРІР°РЅРЅСЏ</t>
  </si>
  <si>
    <t>K16R-U</t>
  </si>
  <si>
    <t>СѓРїР°Рє.10 С€С‚., BMW 318, 750 (E30, E32)| Nissan Primera 2,0 16V 90-98| Toyota 4 Runner 2,7/3,0, Hilux II 2,4, Yaris 9905, Landcruiser 92-97   90-05</t>
  </si>
  <si>
    <t>K16RU11</t>
  </si>
  <si>
    <t>K16RU11  DENSO - РЎРІС–С‡РєР° Р·Р°РїР°Р»СЋРІР°РЅРЅСЏ</t>
  </si>
  <si>
    <t>K16R-U11</t>
  </si>
  <si>
    <t>СѓРїР°Рє.10 С€С‚., Toyota Corolla, Avensis, Auris, Yaris, 1,3/1,4/1,6/1,8 99-08,  Camry 2,2  91-96|  Geely 1,5  05-|  Nissan Primera 2,0 16V 96-01</t>
  </si>
  <si>
    <t>K16TT</t>
  </si>
  <si>
    <t>K16TT  DENSO - РЎРІС–С‡РєР° Р·Р°РїР°Р»СЋРІР°РЅРЅСЏ</t>
  </si>
  <si>
    <t>СѓРїР°Рє.4 С€С‚., FIAT Punto|KIA Picanto, Hyundai Elantra, TOYOTA AVENSIS 00-, COROLLA 00-, BMW, Mazda, Ford, Mercedes, VWвЂ¦.</t>
  </si>
  <si>
    <t>K20BRS10</t>
  </si>
  <si>
    <t>K20BRS10  DENSO - РЎРІС–С‡РєР° Р·Р°РїР°Р»СЋРІР°РЅРЅСЏ</t>
  </si>
  <si>
    <t>78.89</t>
  </si>
  <si>
    <t>K20BR-S10</t>
  </si>
  <si>
    <t>СѓРїР°Рє.10 С€С‚., Renault Clio I 90-98| DAIHATSU YRV 01-|  VW PASSAT (3A2, 35I)  88-97</t>
  </si>
  <si>
    <t>K20HRU11</t>
  </si>
  <si>
    <t>K20HRU11  DENSO - РЎРІС–С‡РєР° Р·Р°РїР°Р»СЋРІР°РЅРЅСЏ</t>
  </si>
  <si>
    <t>K20HR-U11</t>
  </si>
  <si>
    <t>СѓРїР°Рє.10 С€С‚.,  CITROEN C4-C8/Berlingo  1.6-2.2 00-|  MITSUBISHI Colt 04-|  PEUGEOT 1.6-2.2 00-</t>
  </si>
  <si>
    <t>K20PBR</t>
  </si>
  <si>
    <t>K20PBR  DENSO - РЎРІС–С‡РєР° Р·Р°РїР°Р»СЋРІР°РЅРЅСЏ</t>
  </si>
  <si>
    <t>СѓРїР°Рє.10 С€С‚., Citroen XM/Peugeot 405,605 3,0 V6 89-00|  Opel Vectra C 2,2direct 03-|  Renault 19 II, 21,25 1,8/2,0  89-94| Megane 2,0 16V, Safrane 2,0-3,0 92-00| Volvo S40/V40 1,6  91-99</t>
  </si>
  <si>
    <t>K20PBRS10</t>
  </si>
  <si>
    <t>K20PBRS10  DENSO - РЎРІС–С‡РєР° Р·Р°РїР°Р»СЋРІР°РЅРЅСЏ</t>
  </si>
  <si>
    <t>85.80</t>
  </si>
  <si>
    <t>K20PBR-S10</t>
  </si>
  <si>
    <t>СѓРїР°Рє.10 С€С‚., Chevrolet Epica 2,0, Lacetti 1,8   05-, Audi 80,90,100,A3,A4,A6,Skoda Fabia,Octavia,VW Golf, Passat,Polo, Seat Cordoba , Toledo, Leon -10, MB 95-03|  Volvo 2,0-2,5  -10</t>
  </si>
  <si>
    <t>K20PBRS10#4</t>
  </si>
  <si>
    <t>K20PBRS10#4  DENSO - РЎРІС–С‡РєР° Р·Р°РїР°Р»СЋРІР°РЅРЅСЏ</t>
  </si>
  <si>
    <t>K20PBR-S10#4</t>
  </si>
  <si>
    <t>СѓРїР°Рє.4 С€С‚., Chevrolet Epica 2,0, Lacetti 1,8   05-, Audi 80,90,100,A3,A4,A6,Skoda Fabia,Octavia,VW Golf, Passat,Polo, Seat Cordoba , Toledo, Leon -10, MB 95-03|  Volvo 2,0-2,5  -10</t>
  </si>
  <si>
    <t>K20PRU</t>
  </si>
  <si>
    <t>K20PRU  DENSO - РЎРІС–С‡РєР° Р·Р°РїР°Р»СЋРІР°РЅРЅСЏ</t>
  </si>
  <si>
    <t>41.64</t>
  </si>
  <si>
    <t>K20PR-U</t>
  </si>
  <si>
    <t>СѓРїР°Рє.10 С€С‚., Skoda Favorit/Felicia 1,3  94-98| Dacia Logan 1,4/1,6  2004-|  Citroen C2, C3, Berlingo, Nemo  1,1/1,4  02-   , XM, Xantia, Jumper 1,8/2,0i 94- | Ford Transit 2,0  94-00| Hyundai Accent 1,4/1,6  02-10| Lada 110 2,0i 96-| Mazda 323/626 1,8/  2,0 12V 87-98| Nissan 1.4/1.6 90-95| Peugeot 106/205/206/306/307/309/405/Bipper  1,1/1,4/1,6 .89- |  Renault Kangoo, Laguna, Logan, Megane, Scenic 1,4-2,0  97-\n</t>
  </si>
  <si>
    <t>K20PRU11</t>
  </si>
  <si>
    <t>K20PRU11  DENSO - РЎРІС–С‡РєР° Р·Р°РїР°Р»СЋРІР°РЅРЅСЏ</t>
  </si>
  <si>
    <t>K20PR-U11</t>
  </si>
  <si>
    <t>СѓРїР°Рє.10 С€С‚., Chevrolet AVEO, LACETTI, 1.5/1.6   Daewoo LANOS 1.6 16V, Ford 1.4-2.9 86-98, KIA Rio 00-05, NISSAN ,SUBARU, HONDA, MAZDA , MITSUBISHI LANCER,GALANT, ....</t>
  </si>
  <si>
    <t>K20PRU11#4</t>
  </si>
  <si>
    <t>K20PRU11#4  DENSO - РЎРІС–С‡РєР° Р·Р°РїР°Р»СЋРІР°РЅРЅСЏ</t>
  </si>
  <si>
    <t>39.62</t>
  </si>
  <si>
    <t>K20PR-U11#4</t>
  </si>
  <si>
    <t>СѓРїР°Рє.4 С€С‚., Chevrolet AVEO, LACETTI, 1.5/1.6   Daewoo LANOS 1.6 16V, Ford 1.4-2.9 86-98, KIA Rio 00-05, NISSAN ,SUBARU, HONDA, MAZDA , MITSUBISHI LANCER,GALANT, ....</t>
  </si>
  <si>
    <t>K20PSRB8</t>
  </si>
  <si>
    <t>K20PSRB8  DENSO - РЎРІС–С‡РєР° Р·Р°РїР°Р»СЋРІР°РЅРЅСЏ</t>
  </si>
  <si>
    <t>K20PSR-B8</t>
  </si>
  <si>
    <t>СѓРїР°Рє.10 С€С‚., MITSUBISHI Outlander 2,0 12-| Lancer 1,8 08-</t>
  </si>
  <si>
    <t>K20RU</t>
  </si>
  <si>
    <t>K20RU  DENSO - РЎРІС–С‡РєР° Р·Р°РїР°Р»СЋРІР°РЅРЅСЏ</t>
  </si>
  <si>
    <t>K20R-U</t>
  </si>
  <si>
    <t>СѓРїР°Рє.10 С€С‚., NISSAN Primera, Primastar 2,0 16V  95-02| Toyota Avensis, Carina E, Corolla 1,6/1,8 92-00, Land Cruiser 4,7 / Lexus LX 470 98-| Opel Vectra A 2,0i Turbo 94-95</t>
  </si>
  <si>
    <t>K20RU11</t>
  </si>
  <si>
    <t>K20RU11  DENSO - РЎРІС–С‡РєР° Р·Р°РїР°Р»СЋРІР°РЅРЅСЏ</t>
  </si>
  <si>
    <t>K20R-U11</t>
  </si>
  <si>
    <t xml:space="preserve">СѓРїР°Рє.10 С€С‚., TOYOTA Carina E 2,0 Camry 2,2  92-97 | Yaris 1,0,  RAV-4 II 2,0 99-05| Nissan Almera/Primera 2,0 96-02 </t>
  </si>
  <si>
    <t>K20TT</t>
  </si>
  <si>
    <t>K20TT  DENSO - РЎРІС–С‡РєР° Р·Р°РїР°Р»СЋРІР°РЅРЅСЏ</t>
  </si>
  <si>
    <t>СѓРїР°Рє.4 С€С‚., #ALL (AUDI| BMW вЂ¦.)</t>
  </si>
  <si>
    <t>K20TXR</t>
  </si>
  <si>
    <t>K20TXR  DENSO - РЎРІС–С‡РєР° Р·Р°РїР°Р»СЋРІР°РЅРЅСЏ</t>
  </si>
  <si>
    <t>СѓРїР°Рє.10 С€С‚., BMW 3-,5-,7-,8-, Series , Z3|  Citroen AX, SAXO, Xantia, XM, ZX</t>
  </si>
  <si>
    <t>K20TXR#4</t>
  </si>
  <si>
    <t>K20TXR#4  DENSO - РЎРІС–С‡РєР° Р·Р°РїР°Р»СЋРІР°РЅРЅСЏ</t>
  </si>
  <si>
    <t>76.36</t>
  </si>
  <si>
    <t>СѓРїР°Рє.4 С€С‚., BMW 3-,5-,7-,8-, Series , Z3|  Citroen AX, SAXO, Xantia, XM, ZX</t>
  </si>
  <si>
    <t>KH16TT</t>
  </si>
  <si>
    <t>KH16TT  DENSO - РЎРІС–С‡РєР° Р·Р°РїР°Р»СЋРІР°РЅРЅСЏ</t>
  </si>
  <si>
    <t>СѓРїР°Рє.4 С€С‚., Citroen,Peugeot, 1,0-2,2 99-| Fiat 2,0 16V 00-06| Hyundai/KIA 2,0/2,4 08-| Nissan 1,2-2,5 96-| Renault Laguna, Megane 2,0 16V 99-| Suzuki Grand Vitara 2,4 09-| SX4  1,5  06-| Toyota Aygo, Yaris 1,0 05-</t>
  </si>
  <si>
    <t>KH20TT</t>
  </si>
  <si>
    <t>KH20TT  DENSO - РЎРІС–С‡РєР° Р·Р°РїР°Р»СЋРІР°РЅРЅСЏ</t>
  </si>
  <si>
    <t>46.19</t>
  </si>
  <si>
    <t>KH20TT#4</t>
  </si>
  <si>
    <t>СѓРїР°Рє.4 С€С‚., Citroen C4, C5, C8, Jumpy| Peugeot 206, 307, 308 1,6/1,8/2,0 16V, 2,2   2000-| Mitsubihi Colt 1,1/1,5  04-12| Nissan Primera 2,0 2002-| Smart ForFour 1,1/1,3/1,5 04-06| Toyota FJ Cruiser 4,0 V6 2006-| Volvo C30, C70, S40, V50 2,4i 2004-  (РґРёРІ. РєР°С‚Р°Р»РѕРі)</t>
  </si>
  <si>
    <t>KJ16CR11</t>
  </si>
  <si>
    <t>KJ16CR11  DENSO - РЎРІС–С‡РєР° Р·Р°РїР°Р»СЋРІР°РЅРЅСЏ</t>
  </si>
  <si>
    <t>71.98</t>
  </si>
  <si>
    <t>СѓРїР°Рє.10 С€С‚., Mazda 626 2,2 12V/ 2,5 24V 90-97|  Mazda 929 3,0 87-91|  Mazda MPV 3,0 V6 95-99</t>
  </si>
  <si>
    <t>KJ16CRL11</t>
  </si>
  <si>
    <t>KJ16CRL11  DENSO - РЎРІС–С‡РєР° Р·Р°РїР°Р»СЋРІР°РЅРЅСЏ</t>
  </si>
  <si>
    <t>63.72</t>
  </si>
  <si>
    <t>KJ16CR-L11</t>
  </si>
  <si>
    <t>СѓРїР°Рє.10 С€С‚., Chevrolet  Aveo 1.4| Opel Astra G/H/J, Vectra C, Merriva, Corsa, Zafira 1.0-2.2, Skoda Fabia 1.2 01-07\n</t>
  </si>
  <si>
    <t>KJ20CRL11</t>
  </si>
  <si>
    <t>KJ20CRL11  DENSO - РЎРІС–С‡РєР° Р·Р°РїР°Р»СЋРІР°РЅРЅСЏ</t>
  </si>
  <si>
    <t>70.63</t>
  </si>
  <si>
    <t>KJ20CR-L11</t>
  </si>
  <si>
    <t xml:space="preserve">СѓРїР°Рє.10 С€С‚., Honda  Accord/Civic /Prelude 1.4-2.3   90-12 </t>
  </si>
  <si>
    <t>KJ20DRM11</t>
  </si>
  <si>
    <t>KJ20DRM11  DENSO - РЎРІС–С‡РєР° Р·Р°РїР°Р»СЋРІР°РЅРЅСЏ</t>
  </si>
  <si>
    <t>KJ20DR-M11</t>
  </si>
  <si>
    <t>СѓРїР°Рє.4 С€С‚., VW/Skoda/Seat  1,2/1,4   06-|   HONDA Accord VII, CR-V  2,0/2,4  03-| CR-V/FR-V 2,0  02-</t>
  </si>
  <si>
    <t>MA20PRU</t>
  </si>
  <si>
    <t>MA20PRU  DENSO - РЎРІС–С‡РєР° Р·Р°РїР°Р»СЋРІР°РЅРЅСЏ</t>
  </si>
  <si>
    <t>38.77</t>
  </si>
  <si>
    <t>MA20PR-U</t>
  </si>
  <si>
    <t xml:space="preserve">СѓРїР°Рє.10 С€С‚., Ford, Sierra 1,6-2,0 -93|  Transit 2,0 -94 </t>
  </si>
  <si>
    <t>MA20PU</t>
  </si>
  <si>
    <t>MA20PU  DENSO - РЎРІС–С‡РєР° Р·Р°РїР°Р»СЋРІР°РЅРЅСЏ</t>
  </si>
  <si>
    <t>31.19</t>
  </si>
  <si>
    <t>MA20P-U</t>
  </si>
  <si>
    <t>СѓРїР°Рє.10 С€С‚.,  FORD Siera 1,6/1,8/2,0   -93\n</t>
  </si>
  <si>
    <t>PK16PR11</t>
  </si>
  <si>
    <t>PK16PR11  DENSO - РЎРІС–С‡РєР° Р·Р°РїР°Р»СЋРІР°РЅРЅСЏ</t>
  </si>
  <si>
    <t>СѓРїР°Рє.4 С€С‚.,MB  C/CLK/E/G/S/SL-class 2,6/2,8/3,2/4,3/5,0/5,5 93-|  Subaru Forester/Impreza  2,0 00-|  VW Golf III/IV 2,3/2,9 94-06</t>
  </si>
  <si>
    <t>PK16PRL11</t>
  </si>
  <si>
    <t>PK16PRL11  DENSO - РЎРІС–С‡РєР° Р·Р°РїР°Р»СЋРІР°РЅРЅСЏ</t>
  </si>
  <si>
    <t>PK16PR-L11</t>
  </si>
  <si>
    <t xml:space="preserve">СѓРїР°Рє.10 С€С‚., Hyundai Tucson/Santa Fe/Sonata 2.7/2.5  01-10 | KIA 2.5-3.5 02- | MB C/E/S-classe, Vito  2.4-5.0   98-   </t>
  </si>
  <si>
    <t>PK16PRP11</t>
  </si>
  <si>
    <t>PK16PRP11  DENSO - РЎРІС–С‡РєР° Р·Р°РїР°Р»СЋРІР°РЅРЅСЏ</t>
  </si>
  <si>
    <t xml:space="preserve">СѓРїР°Рє.10 С€С‚., MITSUBISHI  PAJERO II 3,0/3,5 94-   </t>
  </si>
  <si>
    <t>PK20PRL11</t>
  </si>
  <si>
    <t>PK20PRL11  DENSO - РЎРІС–С‡РєР° Р·Р°РїР°Р»СЋРІР°РЅРЅСЏ</t>
  </si>
  <si>
    <t>PK20PR-L11</t>
  </si>
  <si>
    <t>СѓРїР°Рє.10 С€С‚., Chevrolet Epica 2,5 05-, #NISSAN CEDRIC,GLORIA,LEOPARD (TR-X),SUBARU LEGACY,HONDA LEAEND,MITSUBISHI GALANT A-E,LEGNUM,EMERAUDE,DIAMANTE</t>
  </si>
  <si>
    <t>PK20PRP11</t>
  </si>
  <si>
    <t>PK20PRP11  DENSO - РЎРІС–С‡РєР° Р·Р°РїР°Р»СЋРІР°РЅРЅСЏ</t>
  </si>
  <si>
    <t>PK20PR-P11</t>
  </si>
  <si>
    <t>СѓРїР°Рє.10 С€С‚., MITSUBISHI MIRAGE,LANCER,GALANT  2,0/2,5   -96</t>
  </si>
  <si>
    <t>PK20PRP8</t>
  </si>
  <si>
    <t>PK20PRP8  DENSO - РЎРІС–С‡РєР° Р·Р°РїР°Р»СЋРІР°РЅРЅСЏ</t>
  </si>
  <si>
    <t>186.11</t>
  </si>
  <si>
    <t>PK20PR-P8</t>
  </si>
  <si>
    <t>СѓРїР°Рє.10 С€С‚., Audi A3, A4, A6 / VW  Passat, Golf IV, Sharan, Polo| Skoda Octavia  1,8T  97-09|   Opel Astra H, Combo, Zafira A/B, Vivaro| Renault Espace IV, Laguna, II Megane III,  Trafic II  03-  1,6/2,0 16V |  Subaru Forester, Impreza  2,0 94-|  Volvo 2,0/2,0T/2,3T/2,5T  95-10 ....</t>
  </si>
  <si>
    <t>PK22PR8</t>
  </si>
  <si>
    <t>PK22PR8  DENSO - РЎРІС–С‡РєР° Р·Р°РїР°Р»СЋРІР°РЅРЅСЏ</t>
  </si>
  <si>
    <t>187.79</t>
  </si>
  <si>
    <t>СѓРїР°Рє.10 С€С‚., VW/AUDI/SKODA 1.8TSI/FSI/ 2.0TFSI  2004-  |  NISSAN SR20DET,SUBARU IMPREZA,</t>
  </si>
  <si>
    <t>PKJ16CR8</t>
  </si>
  <si>
    <t>PKJ16CR8  DENSO - РЎРІС–С‡РєР° Р·Р°РїР°Р»СЋРІР°РЅРЅСЏ</t>
  </si>
  <si>
    <t>СѓРїР°Рє.10 С€С‚., MAZDA 626 V  1,9/2,0   97-02 | Xedos 9  95-02</t>
  </si>
  <si>
    <t>PKJ20CR8</t>
  </si>
  <si>
    <t>PKJ20CR8  DENSO - РЎРІС–С‡РєР° Р·Р°РїР°Р»СЋРІР°РЅРЅСЏ</t>
  </si>
  <si>
    <t>СѓРїР°Рє.10 С€С‚., #MAZDA 626 1.9/2.0   97-02</t>
  </si>
  <si>
    <t>PT16VR10</t>
  </si>
  <si>
    <t>PT16VR10  DENSO - РЎРІС–С‡РєР° Р·Р°РїР°Р»СЋРІР°РЅРЅСЏ</t>
  </si>
  <si>
    <t>104.01</t>
  </si>
  <si>
    <t>СѓРїР°Рє.4 С€С‚., #FIAT/FORD/MAZDA</t>
  </si>
  <si>
    <t>Q16PRU</t>
  </si>
  <si>
    <t>Q16PRU  DENSO - РЎРІС–С‡РєР° Р·Р°РїР°Р»СЋРІР°РЅРЅСЏ</t>
  </si>
  <si>
    <t>38.27</t>
  </si>
  <si>
    <t>Q16PR-U</t>
  </si>
  <si>
    <t>СѓРїР°Рє.10 С€С‚., Renault Clio 1.2/1.4 90-98, Megane 1.4/1.6 91-99, Skoda Felicia 1.3 -98</t>
  </si>
  <si>
    <t>Q16PRU11</t>
  </si>
  <si>
    <t>Q16PRU11  DENSO - РЎРІС–С‡РєР° Р·Р°РїР°Р»СЋРІР°РЅРЅСЏ</t>
  </si>
  <si>
    <t>Q16PR-U11</t>
  </si>
  <si>
    <t xml:space="preserve">СѓРїР°Рє.10 С€С‚.,  Ssang Young Rexton, Kyron, Actyon, Korando, Musso, Rodius  2,0/2,3/3,2  97- |   Nissan Primera -96, Sunny III 90-95, 2,0 </t>
  </si>
  <si>
    <t>Q16TT</t>
  </si>
  <si>
    <t>Q16TT  DENSO - РЎРІС–С‡РєР° Р·Р°РїР°Р»СЋРІР°РЅРЅСЏ</t>
  </si>
  <si>
    <t>СѓРїР°Рє.4 С€С‚., #PEUGEOT| RENAULT</t>
  </si>
  <si>
    <t>Q20PRU</t>
  </si>
  <si>
    <t>Q20PRU  DENSO - РЎРІС–С‡РєР° Р·Р°РїР°Р»СЋРІР°РЅРЅСЏ</t>
  </si>
  <si>
    <t>33.72</t>
  </si>
  <si>
    <t>Q20PR-U</t>
  </si>
  <si>
    <t>СѓРїР°Рє.10 С€С‚., Skoda Felicia 1.3  94-98| Dacia Logan 1.4/1.6  2004-|  Citroen Berlingo 1.4 02-| Hyundai Accent 1,4/1,6  02-10| Ford Scorpio 2.0/2.4/2.9i  86-94| Mazda 323/626 1,8/2.0 87-98| Nissan 1.4/1.6 90-95| Peugeot 405 1.9i 89-92|  Renault Kangoo 1,6  01- Laguna 1,6/1,8/2,0 01-</t>
  </si>
  <si>
    <t>Q20PRU11</t>
  </si>
  <si>
    <t>Q20PRU11  DENSO - РЎРІС–С‡РєР° Р·Р°РїР°Р»СЋРІР°РЅРЅСЏ</t>
  </si>
  <si>
    <t>36.24</t>
  </si>
  <si>
    <t>Q20PR-U11</t>
  </si>
  <si>
    <t>СѓРїР°Рє.10 С€С‚., Lada Р’РђР— 2110i 16v, Ford Escort , Fiesta 1,4/1,6  89-98 Siera 1,6/1,8 -93|  HONDA Civic, Legend, Prelude 1,3-2,5 88-95|   NISSAN Pathfinder 3,3 97-04| Saab 2,0/2,3</t>
  </si>
  <si>
    <t>Q20PRU11#4</t>
  </si>
  <si>
    <t>Q20PRU11#4  DENSO - РЎРІС–С‡РєР° Р·Р°РїР°Р»СЋРІР°РЅРЅСЏ</t>
  </si>
  <si>
    <t>36.58</t>
  </si>
  <si>
    <t>Q20PR-U11#4</t>
  </si>
  <si>
    <t>СѓРїР°Рє.4 С€С‚., Lada Р’РђР— 2110i 16v, Ford Escort , Fiesta 1,4/1,6  89-98 Siera 1,6/1,8 -93|  HONDA Civic, Legend, Prelude 1,3-2,5 88-95|   NISSAN Pathfinder 3,3 97-04| Saab 2,0/2,3</t>
  </si>
  <si>
    <t>Q20TT</t>
  </si>
  <si>
    <t>Q20TT  DENSO - РЎРІС–С‡РєР° Р·Р°РїР°Р»СЋРІР°РЅРЅСЏ</t>
  </si>
  <si>
    <t>СѓРїР°Рє.4 С€С‚., Lada Р’РђР— 2110i 16v,  Citroen. Fiat, Ford, Honda, Mazda, MB, Nissan ,Peugeot, Skoda, Toyota ....</t>
  </si>
  <si>
    <t>SK20HR11</t>
  </si>
  <si>
    <t>SK20HR11  DENSO - РЎРІС–С‡РєР° Р·Р°РїР°Р»СЋРІР°РЅРЅСЏ</t>
  </si>
  <si>
    <t>СѓРїР°Рє.4 С€С‚., Lexus LS460, 08-| Toyota Land Cruiser 4,0/4,6 10- |   Subaru Justy IV 1,0 07-</t>
  </si>
  <si>
    <t>SK20R11</t>
  </si>
  <si>
    <t>SK20R11  DENSO - РЎРІС–С‡РєР° Р·Р°РїР°Р»СЋРІР°РЅРЅСЏ</t>
  </si>
  <si>
    <t>СѓРїР°Рє.10 С€С‚., Lexus LS/LX/RX//GS 3,0-4,3 97-08| Toyota Land Cruiser 4,7 98-, Corolla 1,8 02-07, Camry  2,4/3,0 01-06| RAV-4  2,0/2,4 00-</t>
  </si>
  <si>
    <t>SKJ20DRM11</t>
  </si>
  <si>
    <t>SKJ20DRM11  DENSO - РЎРІС–С‡РєР° Р·Р°РїР°Р»СЋРІР°РЅРЅСЏ</t>
  </si>
  <si>
    <t>276.29</t>
  </si>
  <si>
    <t>SKJ20DR-M11</t>
  </si>
  <si>
    <t>СѓРїР°Рє.4 С€С‚., HONDA ACCORD VII 2,4,  03-CR-V III 2,0/2,4 07-, Legend IV 2,0/2,4/3,5 06-</t>
  </si>
  <si>
    <t>SKJ20DRM11S</t>
  </si>
  <si>
    <t>SKJ20DRM11S  DENSO - РЎРІС–С‡РєР° Р·Р°РїР°Р»СЋРІР°РЅРЅСЏ</t>
  </si>
  <si>
    <t>SKJ20DR-M11S</t>
  </si>
  <si>
    <t>СѓРїР°Рє.4 С€С‚., HONDA Civic VI,VII 1.8 05- |  Accord 2,0i  08- , FR-V 1,8 07-</t>
  </si>
  <si>
    <t>SXU22HCR11S</t>
  </si>
  <si>
    <t>SXU22HCR11S  DENSO - РЎРІС–С‡РєР° Р·Р°РїР°Р»СЋРІР°РЅРЅСЏ</t>
  </si>
  <si>
    <t>СѓРїР°Рє.4 С€С‚., HONDA ACCORD 2,4 08-</t>
  </si>
  <si>
    <t>T16EPRU</t>
  </si>
  <si>
    <t>T16EPRU  DENSO - РЎРІС–С‡РєР° Р·Р°РїР°Р»СЋРІР°РЅРЅСЏ</t>
  </si>
  <si>
    <t>39.95</t>
  </si>
  <si>
    <t>T16EPR-U</t>
  </si>
  <si>
    <t>СѓРїР°Рє.10 С€С‚., FORD KA, 1.3i  96-08, Scorpio/Sierra 2,9,  87-94</t>
  </si>
  <si>
    <t>T16VRU10</t>
  </si>
  <si>
    <t>T16VRU10  DENSO - РЎРІС–С‡РєР° Р·Р°РїР°Р»СЋРІР°РЅРЅСЏ</t>
  </si>
  <si>
    <t>T16VR-U10</t>
  </si>
  <si>
    <t xml:space="preserve">СѓРїР°Рє.4 С€С‚., FORD Fiesta V,VI, Focus II, III,  Fusion, C-Max, Mondeo IV,  Transit Connect 1,25-2,0  2001- </t>
  </si>
  <si>
    <t>T20EPRU</t>
  </si>
  <si>
    <t>T20EPRU  DENSO - РЎРІС–С‡РєР° Р·Р°РїР°Р»СЋРІР°РЅРЅСЏ</t>
  </si>
  <si>
    <t>T20EPR-U</t>
  </si>
  <si>
    <t xml:space="preserve">СѓРїР°Рє.10 С€С‚., Audi 100, A6, A8, V8 3,6-4,2  -99|  Ford Escort, Fiesta 1,1/1,3   -95,  Scorpio I 2,4|  Renault 25  2,0  -92, Safrane, Master 2,2 -98, Volvo 260, 760 2,7/2,8 -91 </t>
  </si>
  <si>
    <t>T20EPU</t>
  </si>
  <si>
    <t>T20EPU  DENSO - РЎРІС–С‡РєР° Р·Р°РїР°Р»СЋРІР°РЅРЅСЏ</t>
  </si>
  <si>
    <t>33.38</t>
  </si>
  <si>
    <t>T20EP-U</t>
  </si>
  <si>
    <t>СѓРїР°Рє.10 С€С‚., Citroen C15, CX, Visa 1,1/1,4 -96|  MB 190, W124, W123, E/G/S-class, T1   1,8-3,0  -96|  Renault Trafic 2,2 -97</t>
  </si>
  <si>
    <t>T20TT</t>
  </si>
  <si>
    <t>T20TT  DENSO - РЎРІС–С‡РєР° Р·Р°РїР°Р»СЋРІР°РЅРЅСЏ</t>
  </si>
  <si>
    <t>T20TT#4</t>
  </si>
  <si>
    <t>СѓРїР°Рє.4 С€С‚., FORD  1.1-2.4  86-13, Mazda 3/6  1.8/2.0 02-07,  MB 1.8-3.0 84-97, Peugeot 1.1-1.9  86-13, Volvo 1.8/2.0 04-,  ......</t>
  </si>
  <si>
    <t>U20FSU</t>
  </si>
  <si>
    <t>U20FSU  DENSO - РЎРІС–С‡РєР° Р·Р°РїР°Р»СЋРІР°РЅРЅСЏ</t>
  </si>
  <si>
    <t>32.53</t>
  </si>
  <si>
    <t>U20FS-U</t>
  </si>
  <si>
    <t>СѓРїР°Рє.10 С€С‚. Moto, engine 4T</t>
  </si>
  <si>
    <t>U22FSU</t>
  </si>
  <si>
    <t>U22FSU  DENSO - РЎРІС–С‡РєР° Р·Р°РїР°Р»СЋРІР°РЅРЅСЏ</t>
  </si>
  <si>
    <t>U22FS-U</t>
  </si>
  <si>
    <t>СѓРїР°Рє.10 С€С‚., РњРѕС‚РѕС†РёРєР» HONDA c50/70/C.. Yamaha XV, Crypton, Kymco Moto 0,05-0,125    97-</t>
  </si>
  <si>
    <t>VK16</t>
  </si>
  <si>
    <t>VK16  DENSO - РЎРІС–С‡РєР° Р·Р°РїР°Р»СЋРІР°РЅРЅСЏ</t>
  </si>
  <si>
    <t>216.11</t>
  </si>
  <si>
    <t>СѓРїР°Рє.10 С€С‚., Iridium  Tough :  Audi, BMW, Chevrolet Aveo, Chrysler 300C, 300M, Fiat Doblo, Punto, Panda, Geely, Honda,  Hyundai . . . etc.</t>
  </si>
  <si>
    <t>VK22</t>
  </si>
  <si>
    <t>VK22  DENSO - РЎРІС–С‡РєР° Р·Р°РїР°Р»СЋРІР°РЅРЅСЏ</t>
  </si>
  <si>
    <t>303.27</t>
  </si>
  <si>
    <t>СѓРїР°Рє.10 С€С‚., AUDI, VW 1.8/2.0 FSI/TSi ,  FORD, Renault. SEAT, Skoda, Subaru, Porsche</t>
  </si>
  <si>
    <t>VKH16</t>
  </si>
  <si>
    <t>VKH16  DENSO - РЎРІС–С‡РєР° Р·Р°РїР°Р»СЋРІР°РЅРЅСЏ</t>
  </si>
  <si>
    <t>270.06</t>
  </si>
  <si>
    <t>СѓРїР°Рє.10 С€С‚., Citroen C2-C8, Jumpy, Xsara, Fiat Scudo, Hyundai Santa Fe, ix35, Kia Sorento, Sportage, Magentis, Nissan, Peugeot, Renault, Toyota Yaris, Aygo, IQ</t>
  </si>
  <si>
    <t>W16EPRU</t>
  </si>
  <si>
    <t>W16EPRU  DENSO - РЎРІС–С‡РєР° Р·Р°РїР°Р»СЋРІР°РЅРЅСЏ</t>
  </si>
  <si>
    <t>35.40</t>
  </si>
  <si>
    <t>W16EPR-U</t>
  </si>
  <si>
    <t>СѓРїР°Рє.10 С€С‚., Р“РђР— Р’РѕР»РіР°, Р“Р°Р·РµР»СЊ Р—РњР— 406,  BMW3,6,7 -88, Fiat Ducato 2,0 -94|  Mazda 121,323,626   -96|  Mitsubishi -94| Nissan 97, Opel -95| Renault -95| Volvo -90| VW -88</t>
  </si>
  <si>
    <t>W16EPRU11</t>
  </si>
  <si>
    <t>W16EPRU11  DENSO - РЎРІС–С‡РєР° Р·Р°РїР°Р»СЋРІР°РЅРЅСЏ</t>
  </si>
  <si>
    <t>W16EPR-U11</t>
  </si>
  <si>
    <t>СѓРїР°Рє.10 С€С‚.,  KIA Pride, Sephia, 1,1-1,6 90-97| Mazda 1,1-2,2 86-91, Mitsubishi Colt, Lancer, Pajero 1,3/1,5/3,0 92-03| Nissan Sunny 1,6 86-90  ...</t>
  </si>
  <si>
    <t>W16FPRU</t>
  </si>
  <si>
    <t>W16FPRU  DENSO - РЎРІС–С‡РєР° Р·Р°РїР°Р»СЋРІР°РЅРЅСЏ (РєРѕСЂРѕС‚РєР° СЂС–Р·СЊР±Р°)</t>
  </si>
  <si>
    <t>42.48</t>
  </si>
  <si>
    <t>W16FPR-U</t>
  </si>
  <si>
    <t>СѓРїР°Рє.10 С€С‚., Р“РђР—  Р“Р°Р·РµР»СЊ/Р’РѕР»РіР°   2,4 (Р—РњР—-402)   72-93 , РЈРђР— 452/469   2,4   1966-  (РєРѕСЂРѕС‚РєР° СЂС–Р·СЊР±Р°)</t>
  </si>
  <si>
    <t>W16TT</t>
  </si>
  <si>
    <t>W16TT  DENSO - РЎРІС–С‡РєР° Р·Р°РїР°Р»СЋРІР°РЅРЅСЏ</t>
  </si>
  <si>
    <t>44.67</t>
  </si>
  <si>
    <t>СѓРїР°Рє.4 С€С‚., Р“РђР— Р’РѕР»РіР°, Р“Р°Р·РµР»СЊ Р—РњР— 406 СЃ СЂРµР·РёСЃС‚РѕСЂРѕРј, Audi 80,100,A6 86-95|  BMW (E30, E28,E34,E32) 1,8-3,5| Deawoo Tico/Matiz 1,8| Fiat Ducato 2,0 -94| Hyundai H1, Santa Fe 2,4 98-06| KIA Pride,Rio Sephia, Sorento 1,1-2,4 90-04| Landrover 2,5-4,6 85-02| Mazda 121,323,626,929,E2000 -96, Mitsibishi 1,2-3,0  86-03| Nissan 1,0-4,2 86-97| Opel 1,2-2,5 88-00| Renault 19, Clio,Espace, Rapid 1,1/1,2/1,4 85-98| Seat Marbella 0,9 87-98| Auzuki Samurai, SJ, Vitara 1,0/1,3/1,6  -99|  Toyota Camry,Carina,Celica, Corolla, Dyna, Hiace, Hilux, LandCruiser, Liteace, Starlet, Tercel 1,0-4,0 -98| Volvo 340,360,440,460,480,1,4/1,6/1,7/2,0 -96| VW Golf  I - IV, Passat, Scirocco, Taro, T4, Vento 1,3-2,2 -03, Yugo 1,1 91-95</t>
  </si>
  <si>
    <t>W20EPB</t>
  </si>
  <si>
    <t>W20EPB  DENSO - РЎРІС–С‡РєР° Р·Р°РїР°Р»СЋРІР°РЅРЅСЏ</t>
  </si>
  <si>
    <t>64.40</t>
  </si>
  <si>
    <t xml:space="preserve">СѓРїР°Рє.10 С€С‚.,  Audi 80,90,100,200, | VW  -92         </t>
  </si>
  <si>
    <t>W20EPBRS</t>
  </si>
  <si>
    <t>W20EPBRS  DENSO - РЎРІС–С‡РєР° Р·Р°РїР°Р»СЋРІР°РЅРЅСЏ</t>
  </si>
  <si>
    <t>74.00</t>
  </si>
  <si>
    <t>W20EPBR-S</t>
  </si>
  <si>
    <t>СѓРїР°Рє.10 С€С‚., Audi A4,A6,100. 80 1.8-2.3i  86-97|  VW, Seat, Skoda 1,4-2,5 86-03</t>
  </si>
  <si>
    <t>W20EPRU</t>
  </si>
  <si>
    <t>W20EPRU  DENSO - РЎРІС–С‡РєР° Р·Р°РїР°Р»СЋРІР°РЅРЅСЏ</t>
  </si>
  <si>
    <t>W20EPR-U</t>
  </si>
  <si>
    <t>СѓРїР°Рє.10 С€С‚., Lada Р’РђР— 2108-09, 110-112 1,5 8V|   Daewoo Lanos/Nexia 1.5| ZAZ РўР°РІСЂС–СЏ 1,1-1,3|  Fiat 1,0-1,8 -96| Mazda -89| Mitsubishi 1,3-2,0 -96| Opel 1,2-2,0 -95| Renault 1,1-2,0 -03| Volvo 1,7-2,3 -98|  VW 1.3-1.6 -88...</t>
  </si>
  <si>
    <t>W20EPRU#4</t>
  </si>
  <si>
    <t>W20EPRU#4  DENSO - РЎРІС–С‡РєР° Р·Р°РїР°Р»СЋРІР°РЅРЅСЏ</t>
  </si>
  <si>
    <t>32.87</t>
  </si>
  <si>
    <t>W20EPR-U#4</t>
  </si>
  <si>
    <t>СѓРїР°Рє.4 С€С‚., Lada Р’РђР— 2108-09, 110-112 1,5 8V|   Daewoo Lanos/Nexia 1.5| ZAZ РўР°РІСЂС–СЏ 1,1-1,3|  Fiat 1,0-1,8 -96| Mazda -89| Mitsubishi 1,3-2,0 -96| Opel 1,2-2,0 -95| Renault 1,1-2,0 -03| Volvo 1,7-2,3 -98|  VW 1.3-1.6 -88...</t>
  </si>
  <si>
    <t>W20EPRU11</t>
  </si>
  <si>
    <t>W20EPRU11  DENSO - РЎРІС–С‡РєР° Р·Р°РїР°Р»СЋРІР°РЅРЅСЏ</t>
  </si>
  <si>
    <t>W20EPR-U11</t>
  </si>
  <si>
    <t>СѓРїР°Рє.10 С€С‚., Lada Р’РђР— 2108-09i 8v,  Hyundai H1,H100, Lantra, Pony, Santa Fe Santana, Sonata, Trajet 1,5-2,0| Mazada 323 1,6 16V 87-94| Mitsubishi Colt, Galant, L200, L300, Lancer, Sigma, 1,3-3,0 -96| Subaru Justy, Leone, Libero, XT 1,0-1,8 -03</t>
  </si>
  <si>
    <t>W20EPRU11#4</t>
  </si>
  <si>
    <t>W20EPRU11#4  DENSO - РЎРІС–С‡РєР° Р·Р°РїР°Р»СЋРІР°РЅРЅСЏ</t>
  </si>
  <si>
    <t>W20EPR-U11#4</t>
  </si>
  <si>
    <t>СѓРїР°Рє.4 С€С‚., Lada Р’РђР— 2108-09i 8v,  Hyundai H1,H100, Lantra, Pony, Santa Fe Santana, Sonata, Trajet 1,5-2,0| Mazada 323 1,6 16V 87-94| Mitsubishi Colt, Galant, L200, L300, Lancer, Sigma, 1,3-3,0 -96| Subaru Justy, Leone, Libero, XT 1,0-1,8 -03</t>
  </si>
  <si>
    <t>W20EPU</t>
  </si>
  <si>
    <t>W20EPU  DENSO - РЎРІС–С‡РєР° Р·Р°РїР°Р»СЋРІР°РЅРЅСЏ</t>
  </si>
  <si>
    <t>24.61</t>
  </si>
  <si>
    <t>W20EP-U</t>
  </si>
  <si>
    <t>СѓРїР°Рє.10 С€С‚., Lada Р’РђР— 2101-07, 21213,  2108(carb.)  РњРѕСЃРєРІРёС‡ 412 1,5  71-|     Audi  -83| C25 2,0 -94|  Fiat Ducato,Talento,Tipo 1,8/2,0 -94| FSO Polonez 1,3/1,5 -92| MB (W123, W126, T1, -91| Peugeot J7,J9 1,6/2,0| Renault 5, 19, Clio, Laguna, Megane, 1,4-2,0 -03| Saab/Volvo -90| VW -92| Warburg 1,3 88-91</t>
  </si>
  <si>
    <t>W20EPU#4</t>
  </si>
  <si>
    <t>W20EPU#4  DENSO - РЎРІС–С‡РєР° Р·Р°РїР°Р»СЋРІР°РЅРЅСЏ</t>
  </si>
  <si>
    <t>24.95</t>
  </si>
  <si>
    <t>W20EP-U#4</t>
  </si>
  <si>
    <t>СѓРїР°Рє.4 С€С‚., Lada Р’РђР— 2101-07, 21213,  2108(carb.)  РњРѕСЃРєРІРёС‡ 412 1,5  71-|     Audi  -83| C25 2,0 -94|  Fiat Ducato,Talento,Tipo 1,8/2,0 -94| FSO Polonez 1,3/1,5 -92| MB (W123, W126, T1, -91| Peugeot J7,J9 1,6/2,0| Renault 5, 19, Clio, Laguna, Megane, 1,4-2,0 -03| Saab/Volvo -90| VW -92| Warburg 1,3 88-91</t>
  </si>
  <si>
    <t>W20MPU</t>
  </si>
  <si>
    <t>W20MPU  DENSO - РЎРІС–С‡РєР° Р·Р°РїР°Р»СЋРІР°РЅРЅСЏ</t>
  </si>
  <si>
    <t>32.03</t>
  </si>
  <si>
    <t>W20MP-U</t>
  </si>
  <si>
    <t>СѓРїР°Рє.10 С€С‚.</t>
  </si>
  <si>
    <t>W20TT</t>
  </si>
  <si>
    <t>W20TT  DENSO - РЎРІС–С‡РєР° Р·Р°РїР°Р»СЋРІР°РЅРЅСЏ</t>
  </si>
  <si>
    <t>СѓРїР°Рє.4 С€С‚., Twin Tip,  Lada Р’РђР— 2101-07, 21213 ,1111 ,1118/19 РљР°Р»РёРЅР° СЃ СЂРµР·РёСЃС‚РѕСЂРѕРј, ZAZ Tavria 1,1/1,2/1,3,  Aud, BMW Citroen, Deawoo, Fiat, Ford, Hyundai, Honda, KIA, Isuzu, Lancia, Landrover, Mazda, MB, Mitsibishi, Nissan, Opel, Peugeot, Renault, Saab, Seat, Suzuki Subaru, Toyota,Trabant, Volvo, VW, Warburg, Zastava</t>
  </si>
  <si>
    <t>W22FSU</t>
  </si>
  <si>
    <t>W22FSU  DENSO - РЎРІС–С‡РєР° Р·Р°РїР°Р»СЋРІР°РЅРЅСЏ</t>
  </si>
  <si>
    <t>W22FS-U</t>
  </si>
  <si>
    <t xml:space="preserve">СѓРїР°Рє.10 С€С‚. Moto, 2T engine, Jawa Babetta 93-96,  KTM 50  -81. Peugeot Buxy 95-01, Sachs  Reggae 96-97, Simson SR 93-97 </t>
  </si>
  <si>
    <t>W22TT</t>
  </si>
  <si>
    <t>W22TT  DENSO - РЎРІС–С‡РєР° Р·Р°РїР°Р»СЋРІР°РЅРЅСЏ</t>
  </si>
  <si>
    <t>W22TT#4</t>
  </si>
  <si>
    <t>СѓРїР°Рє.4 С€С‚.,</t>
  </si>
  <si>
    <t>XE20HRU9</t>
  </si>
  <si>
    <t>XE20HRU9  DENSO - РЎРІС–С‡РєР° Р·Р°РїР°Р»СЋРІР°РЅРЅСЏ</t>
  </si>
  <si>
    <t>XE20HR-U9</t>
  </si>
  <si>
    <t>СѓРїР°Рє.4 С€С‚., Citroen C2,C3,C4  / Peugeot 1007,206,207,307  1,4 16V 03- |   Renault Clio,Kangoo, Modus, Thalia, Twingo  1,2 16V  01-</t>
  </si>
  <si>
    <t>XU22HDR9</t>
  </si>
  <si>
    <t>XU22HDR9  DENSO - РЎРІС–С‡РєР° Р·Р°РїР°Р»СЋРІР°РЅРЅСЏ</t>
  </si>
  <si>
    <t>82.26</t>
  </si>
  <si>
    <t>СѓРїР°Рє.10 С€С‚.  KIA Ceed/Rio III/Cerato 1,4/1,6  2006-</t>
  </si>
  <si>
    <t>ELF</t>
  </si>
  <si>
    <t>MULTI MOS 2 0,400kg (x24)</t>
  </si>
  <si>
    <t>MULTIPLEX EP 2 0,400kg (x24)</t>
  </si>
  <si>
    <t>94.13</t>
  </si>
  <si>
    <t>GLACELF AUTO SUPRA (N) 1L (x18)</t>
  </si>
  <si>
    <t>102.22</t>
  </si>
  <si>
    <t>TRANSELF TYP B 80W90 2L (x12)</t>
  </si>
  <si>
    <t>229.46</t>
  </si>
  <si>
    <t>ELFMATIC G3 1L (x18)</t>
  </si>
  <si>
    <t>137.16</t>
  </si>
  <si>
    <t>TRANSELF EP 80W90 1L (x18)</t>
  </si>
  <si>
    <t>107.68</t>
  </si>
  <si>
    <t>TRANSELF TYP B 80W90 1L (x18)</t>
  </si>
  <si>
    <t>115.78</t>
  </si>
  <si>
    <t>LHM ELF 1L (x18)</t>
  </si>
  <si>
    <t>135.75</t>
  </si>
  <si>
    <t>TRANSELF NFJ 75W80 1L (x18)</t>
  </si>
  <si>
    <t>172.78</t>
  </si>
  <si>
    <t>EVOLUTION 900 SXR 5W30 1L (x18)</t>
  </si>
  <si>
    <t>147.80</t>
  </si>
  <si>
    <t>EVOLUTION 900 SXR 5W30 5L (x3)</t>
  </si>
  <si>
    <t>650.33</t>
  </si>
  <si>
    <t>EVOLUTION 900 SXR 5W40 1L (x18)</t>
  </si>
  <si>
    <t>146.04</t>
  </si>
  <si>
    <t>EVOLUTION FULLTECH LLX 5W30 1L (x18)</t>
  </si>
  <si>
    <t>190.64</t>
  </si>
  <si>
    <t>EVOLUTION 900 NF 5W40 5L (x3)</t>
  </si>
  <si>
    <t>956.55</t>
  </si>
  <si>
    <t>EVOLUTION 900 NF 5W40 4L (x4)</t>
  </si>
  <si>
    <t>798.24</t>
  </si>
  <si>
    <t>EVOLUTION 900 NF 5W40 1L (x18)</t>
  </si>
  <si>
    <t>223.46</t>
  </si>
  <si>
    <t>EVOLUTION 900 SXR 5W40 5L (x3)</t>
  </si>
  <si>
    <t>642.62</t>
  </si>
  <si>
    <t>EVOLUTION 900 SXR 5W40 4L (x4)</t>
  </si>
  <si>
    <t>525.75</t>
  </si>
  <si>
    <t>EVOLUTION FULLTECH LLX 5W30 5L (x3)</t>
  </si>
  <si>
    <t>838.56</t>
  </si>
  <si>
    <t>EVOLUTION FULLTECH MSX 5W30 5L (x3)</t>
  </si>
  <si>
    <t>730.05</t>
  </si>
  <si>
    <t>EVOLUTION FULLTECH FE 5W30 1L (x18)</t>
  </si>
  <si>
    <t>330.79</t>
  </si>
  <si>
    <t>EVOLUTION FULLTECH FE 5W30 5L (x3)</t>
  </si>
  <si>
    <t>1455.48</t>
  </si>
  <si>
    <t>MOTO 2 OFF ROAD 1L (x18)</t>
  </si>
  <si>
    <t>113.36</t>
  </si>
  <si>
    <t>MOTO 4 ROAD 10W40 1L (x18)</t>
  </si>
  <si>
    <t>117.10</t>
  </si>
  <si>
    <t>TRANSELF NFP 75W80 1L (x18)</t>
  </si>
  <si>
    <t>209.38</t>
  </si>
  <si>
    <t>EVOLUTION 900 SXR 5W30 4L (x4)</t>
  </si>
  <si>
    <t>530.74</t>
  </si>
  <si>
    <t>EVOLUTION 700 STI 10W40 4L (x4)</t>
  </si>
  <si>
    <t>649.89</t>
  </si>
  <si>
    <t>EVOLUTION 700 TURBO DIESEL 10W40 5L (x3)</t>
  </si>
  <si>
    <t>844.57</t>
  </si>
  <si>
    <t>EVOLUTION 700 STI 10W40 5L (x3)</t>
  </si>
  <si>
    <t>794.20</t>
  </si>
  <si>
    <t>EVOLUTION 700 STI 10W40 1L (x18)</t>
  </si>
  <si>
    <t>189.94</t>
  </si>
  <si>
    <t>EVOLUTION 700 TURBO DIESEL 10W40 1L (x18)</t>
  </si>
  <si>
    <t>193.28</t>
  </si>
  <si>
    <t>EVOLUTION 700 TURBO DIESEL 10W40 4L (x4)</t>
  </si>
  <si>
    <t>686.61</t>
  </si>
  <si>
    <t>EVO</t>
  </si>
  <si>
    <t>2T BIO (GREEN) 1L</t>
  </si>
  <si>
    <t>MOTO 2T BIO (GREEN) 1Lx9</t>
  </si>
  <si>
    <t>99.45</t>
  </si>
  <si>
    <t>API TC, JACO FC</t>
  </si>
  <si>
    <t>2T RAC (RED) 1L</t>
  </si>
  <si>
    <t>MOTO 2T RACING (RED) 1Lx9</t>
  </si>
  <si>
    <t>90.82</t>
  </si>
  <si>
    <t>ATF DII 10 L</t>
  </si>
  <si>
    <t>GR ATF DII 10L</t>
  </si>
  <si>
    <t>1041.81</t>
  </si>
  <si>
    <t>Dexron IID, MAN 339 Z1/V1, Allison C4, ZF TE-ML 03D/ 09B/11A/14A, Voith 55.6335, MB 236.1, Caterpillar TO-2</t>
  </si>
  <si>
    <t>ATF DII 1L</t>
  </si>
  <si>
    <t>GR DEXRON IID 1Lx9</t>
  </si>
  <si>
    <t>108.67</t>
  </si>
  <si>
    <t>ATF DIII 1L</t>
  </si>
  <si>
    <t>GR-X DEXRON III 1Lx9</t>
  </si>
  <si>
    <t>120.25</t>
  </si>
  <si>
    <t>GM DEXRON III G-34198, Ford MERCON M-940717, Allison C4-19101793, MB 236.1/236.5, MAN 339 Type F, ZF TE-ML 03/04D/09B/11B/14D, Voith, Caterpillar TO-2, Nissan</t>
  </si>
  <si>
    <t>ATF DIII 20 L</t>
  </si>
  <si>
    <t>GR-X  ATF DIII 20L</t>
  </si>
  <si>
    <t>2193.07</t>
  </si>
  <si>
    <t>CENTRAL GREASE 18KG</t>
  </si>
  <si>
    <t>Central Lubrication Grease 18KG</t>
  </si>
  <si>
    <t>1842.92</t>
  </si>
  <si>
    <t>NLGI 00, ISO 6743-9 L-XE(F)CCA00, MAN 283 Li-P 00, MB 264.0 (DBL 6833), Willy Vogel, Tecalamit, Lincoln</t>
  </si>
  <si>
    <t>CENTRAL GREASE 5KG</t>
  </si>
  <si>
    <t>Central Lubrication Grease 5KGx2</t>
  </si>
  <si>
    <t>656.35</t>
  </si>
  <si>
    <t>CER_GREASE400ml</t>
  </si>
  <si>
    <t>CERAMIC GREASE - 400ml (x12)</t>
  </si>
  <si>
    <t>134.76</t>
  </si>
  <si>
    <t>D3 1L 15W-40 TURBO DIESEL</t>
  </si>
  <si>
    <t>D3 15W-40 TURBO DIESEL 1Lx6</t>
  </si>
  <si>
    <t>106.91</t>
  </si>
  <si>
    <t>API CF, ACEA B3, VW 505.00, MB 229.1</t>
  </si>
  <si>
    <t>D3 5L 15W-40 TURBO DIESEL</t>
  </si>
  <si>
    <t>D3 15W-40 TURBO DIESEL 5Lx3</t>
  </si>
  <si>
    <t>445.68</t>
  </si>
  <si>
    <t>D5 10L 10W-40 TURBO DIESE</t>
  </si>
  <si>
    <t>D5 10W-40 TURBO DIESEL 10L</t>
  </si>
  <si>
    <t>728.34</t>
  </si>
  <si>
    <t>API CF, ACEA B4, MB 229.1, VW 505.00</t>
  </si>
  <si>
    <t>D5 1L 10W-40 TURBO DIESEL</t>
  </si>
  <si>
    <t>D5 10W-40 TURBO DIESEL 1Lx6</t>
  </si>
  <si>
    <t>90.04</t>
  </si>
  <si>
    <t>D5 200L 10W-40 TURBO DIES</t>
  </si>
  <si>
    <t>D5 10W-40 TURBO DIESEL 200L</t>
  </si>
  <si>
    <t>12643.30</t>
  </si>
  <si>
    <t>D5 5L 10W-40 TURBO DIESEL</t>
  </si>
  <si>
    <t>D5 10W-40 TURBO DIESEL 5Lx3</t>
  </si>
  <si>
    <t>370.74</t>
  </si>
  <si>
    <t>D7 10L 5W-40 TURBO DIESE</t>
  </si>
  <si>
    <t>D7 5W-40 TURBO DIESEL 10L</t>
  </si>
  <si>
    <t>990.61</t>
  </si>
  <si>
    <t>API CF, ACEA B4, MB 229.31, VW 505.00/505.01, GM-LL-B-025</t>
  </si>
  <si>
    <t>D7 1L 5W-40 TURBO DIESEL</t>
  </si>
  <si>
    <t>D7 5W-40 TURBO DIESEL 1Lx6</t>
  </si>
  <si>
    <t>116.72</t>
  </si>
  <si>
    <t>D7 5L 5W-40 TURBO DIESEL</t>
  </si>
  <si>
    <t>D7 5W-40 TURBO DIESEL 5Lx3</t>
  </si>
  <si>
    <t>518.84</t>
  </si>
  <si>
    <t>DF 80W-90 10L</t>
  </si>
  <si>
    <t>DF 80W-90 GL-5 10L</t>
  </si>
  <si>
    <t>857.22</t>
  </si>
  <si>
    <t>API GL-5, MB 235.6, ZF TE-ML 05A, 16B/C, 17B, MAN 342 M2, VW TL 727</t>
  </si>
  <si>
    <t>DF 80W-90 1L</t>
  </si>
  <si>
    <t>DF 80W-90 GL-5 Hypo 1Lx9</t>
  </si>
  <si>
    <t>95.33</t>
  </si>
  <si>
    <t>DF 80W-90 20L</t>
  </si>
  <si>
    <t>DF 80W-90 GL-5 20L</t>
  </si>
  <si>
    <t>1664.42</t>
  </si>
  <si>
    <t>E5 10L 10W-40</t>
  </si>
  <si>
    <t>E5 10W-40 SM/CF 10L</t>
  </si>
  <si>
    <t>715.98</t>
  </si>
  <si>
    <t>API SM/CF, ACEA A3/B4, MB 229.1, VW 502.00/505.00</t>
  </si>
  <si>
    <t>E5 1L 10W-40</t>
  </si>
  <si>
    <t>E5 10W-40 SM/CF 1Lx6</t>
  </si>
  <si>
    <t>88.66</t>
  </si>
  <si>
    <t>E5 200L 10W-40</t>
  </si>
  <si>
    <t>E5 10W-40 SM/CF 200L</t>
  </si>
  <si>
    <t>12435.37</t>
  </si>
  <si>
    <t>E5 4L 10W-40</t>
  </si>
  <si>
    <t>E5 10W-40 SM/CF 4Lx4</t>
  </si>
  <si>
    <t>306.99</t>
  </si>
  <si>
    <t>E7 1L 5W-40</t>
  </si>
  <si>
    <t>E7 5W-40 SN/CF 1Lx6</t>
  </si>
  <si>
    <t>113.77</t>
  </si>
  <si>
    <t>API SN/CF, ACEA A3/B4, MB 229.3, VW 502.00/505.00, GM LL-B-025, BMW Longlife-01</t>
  </si>
  <si>
    <t>E7 4L 5W-40</t>
  </si>
  <si>
    <t>E7 5W-40 SN/CF 4Lx4</t>
  </si>
  <si>
    <t>408.01</t>
  </si>
  <si>
    <t>E9 1L 5W-30</t>
  </si>
  <si>
    <t>E9 5W-30 SN/CF 1Lx6</t>
  </si>
  <si>
    <t>124.56</t>
  </si>
  <si>
    <t>API SN/CF, ACEA A3/B4/C3, MB 229.31, VW 502.00/505.00, BMW LL-04, GM Dexos2</t>
  </si>
  <si>
    <t>E9 4L 5W-30</t>
  </si>
  <si>
    <t>E9 5W-30 SN/CF 4Lx4</t>
  </si>
  <si>
    <t>408.99</t>
  </si>
  <si>
    <t>ENG_FLUSH_300ml</t>
  </si>
  <si>
    <t>ENGINE FLUSH 300ml (x12)</t>
  </si>
  <si>
    <t>94.16</t>
  </si>
  <si>
    <t>FLUSHING 3,5Lx4</t>
  </si>
  <si>
    <t>FLUSHING OIL 3,5Lx4</t>
  </si>
  <si>
    <t>207.54</t>
  </si>
  <si>
    <t>GREASE Mult EP2 0,4KG</t>
  </si>
  <si>
    <t>MultiLi EP2, 0,4KGx24</t>
  </si>
  <si>
    <t>61.59</t>
  </si>
  <si>
    <t>NLGI 2, MAN 283 Li-P, Mercedes-Benz 267.0</t>
  </si>
  <si>
    <t>GREASE MultX EP2 0,4KG</t>
  </si>
  <si>
    <t>MultiLiX EP2, 0,4KGx24</t>
  </si>
  <si>
    <t>79.84</t>
  </si>
  <si>
    <t>NLGI 2, ISO 12924: L-XC(F)DIB2, DIN 51502: KP2N-30, NLGI GC-LB, Volvo1277.2</t>
  </si>
  <si>
    <t>GREASE MultX EP2 5KG</t>
  </si>
  <si>
    <t>MultiLiX EP2, 5KGx2</t>
  </si>
  <si>
    <t>827.40</t>
  </si>
  <si>
    <t>M4T 10W-40 1L</t>
  </si>
  <si>
    <t>MOTO M4T 10W-40 1Lx9</t>
  </si>
  <si>
    <t>102.00</t>
  </si>
  <si>
    <t>API SM, JASO MA2 T903:2006 4T</t>
  </si>
  <si>
    <t>Manual 80W-90 1L</t>
  </si>
  <si>
    <t>MG 80W-90 GL-4 Manual 1Lx9</t>
  </si>
  <si>
    <t>88.08</t>
  </si>
  <si>
    <t>API GL-4, MB 235.5, ZF TE-ML 02B/17A, MAN 341 Z, VW TL 726</t>
  </si>
  <si>
    <t>MG-X 75W-90 1L</t>
  </si>
  <si>
    <t>MG-X 75W-90 GL-4/5 Manual 1Lx9</t>
  </si>
  <si>
    <t>159.28</t>
  </si>
  <si>
    <t>API GL-4/GL-5, MB 235.6, ZF TE-ML 05A/07A/16B/17A, MAN 342 M2, MAN 341 Z1, SCANIA STO 1:0</t>
  </si>
  <si>
    <t>MG-X 75W-90 20L</t>
  </si>
  <si>
    <t>MG-X 75W-90 GL-4/5 Manual 20L</t>
  </si>
  <si>
    <t>2842.95</t>
  </si>
  <si>
    <t>MULTITYPE1L</t>
  </si>
  <si>
    <t>MULTITYPE ATF 1Lx9</t>
  </si>
  <si>
    <t>147.12</t>
  </si>
  <si>
    <t>Meets requirements : Toyota ATF T-III/T-IV/D-II/WS, Nissan Matic Fluid C/D/J/K, Honda ATF-Z1 (except in CVT), Mazda ATF M-V, Mitsubishi/Hyundai/Kia SP-II/SP-III, Suzuki ATF 3314, Subaru ATF/ATF 5AT/ATF HP, GM Dexron IID/IIE/IIIG/IIIH, TASA, Ford Mercon/M2C 138CJ/166H/922A1/924A, Aisin Warner JWS 3309/3324, Isuzu Besco ATF II/III, Allison C4/TES-228, JASO M 315-2013 Type 1A, MB 236.1/236.6/236.7/236.8/236.9/236.10, BMW 7045E/8072B, Chrysler ATF+3/ATF+4, VAG G-055-025, Volvo 1161540, ZF TE-ML 09/11A/11B</t>
  </si>
  <si>
    <t>R_STOP_LEAK_300ml</t>
  </si>
  <si>
    <t>RADIATOR STOP LEAK - 300ml (x12)</t>
  </si>
  <si>
    <t>96.90</t>
  </si>
  <si>
    <t>SIL_SPRAY400ml</t>
  </si>
  <si>
    <t>SILICONE SPRAY - 400ml (x12)</t>
  </si>
  <si>
    <t>80.43</t>
  </si>
  <si>
    <t>S_CL_UP_DIESEL_300ml</t>
  </si>
  <si>
    <t>SYSTEM CLEAN UP DIESEL - 300ml (x12)</t>
  </si>
  <si>
    <t>94.75</t>
  </si>
  <si>
    <t>S_CL_UP_PETROL_300ml</t>
  </si>
  <si>
    <t>SYSTEM CLEAN UP PETROL - 300ml (x12)</t>
  </si>
  <si>
    <t>92.98</t>
  </si>
  <si>
    <t>TRD3 200L</t>
  </si>
  <si>
    <t>TRD3 TRUCK DIESEL 15W-40 200L</t>
  </si>
  <si>
    <t>13794.76</t>
  </si>
  <si>
    <t>API CI-4/SL, ACEA E3/E7/B3/B4/A3\nCorresponds MB 228.3/229.1, VDS-3, MAN M3275, Cummins CES 20076/20077/20078, Mack EO-N/EO-M+, Global\nDHD-1, CAT ECF-1-a/ECF-2, Deutz DQC III-10, MTU Type 2</t>
  </si>
  <si>
    <t>TRD3 20L</t>
  </si>
  <si>
    <t>TRD3 TRUCK DIESEL 15W-40 20L</t>
  </si>
  <si>
    <t>1526.12</t>
  </si>
  <si>
    <t>TRD5 200L</t>
  </si>
  <si>
    <t>TRD5 TRUCK DIESEL 10W-40 200L</t>
  </si>
  <si>
    <t>13717.47</t>
  </si>
  <si>
    <t>API CI-4/SL, ACEA E3/E5/E7/B3/B4/A3\nCorresponds: MB 228.3/229.1, Scania LDF/LDF-2, MAN M 3275, Volvo VDS-3, Renault RVI RLD-2, DAF HP-1/HP-2, MTU Type 2, Caterpillar EFC-1a/ECF-2, Cummins CES 20072/20076/20077/20078, Global DHD-1, Mack\nEO-M+, Deutz DCQ III-10</t>
  </si>
  <si>
    <t>TRD5 20L</t>
  </si>
  <si>
    <t>TRD5 TRUCK DIESEL 10W-40 20L</t>
  </si>
  <si>
    <t>1515.34</t>
  </si>
  <si>
    <t>U E 1L 5W-50</t>
  </si>
  <si>
    <t>ULTIMATE Extreme 5W50 1Lx9</t>
  </si>
  <si>
    <t>API SN/CF, ACEA A3/B4, VW 502.00/505.00, MB 229.3, Porsche</t>
  </si>
  <si>
    <t>U F 1L 5W-30</t>
  </si>
  <si>
    <t>ULTIMATE F 5W30 1Lx9</t>
  </si>
  <si>
    <t>130.45</t>
  </si>
  <si>
    <t>API SN/CF| ACEA A1/B1, A5/B5| Ford WSS-M2C913-D| ILSAC GF-4</t>
  </si>
  <si>
    <t>U F 4L 5W-30</t>
  </si>
  <si>
    <t>ULTIMATE F 5W30 4Lx4</t>
  </si>
  <si>
    <t>428.61</t>
  </si>
  <si>
    <t>U I 1L 0W-40</t>
  </si>
  <si>
    <t>ULTIMATE Iconic 0W40 1Lx9</t>
  </si>
  <si>
    <t>196.16</t>
  </si>
  <si>
    <t>API SN/CF, ACEA A3/B4, MB 229.3/229.5, VW 502.00/505.00, BMW LL-01, GM-LL-A-025/GM-LL-B-025, RN 710, Porsche A40</t>
  </si>
  <si>
    <t>U I 4L 0W-40</t>
  </si>
  <si>
    <t>ULTIMATE Iconic 0W40 4Lx4</t>
  </si>
  <si>
    <t>758.55</t>
  </si>
  <si>
    <t>U J 1L 5W-30</t>
  </si>
  <si>
    <t>ULTIMATE J 5W30 1Lx9</t>
  </si>
  <si>
    <t>117.70</t>
  </si>
  <si>
    <t>API SN/CF, ACEA A1/B1, A5/B5, ILSAC GF-5</t>
  </si>
  <si>
    <t>U J 4L 5W-30</t>
  </si>
  <si>
    <t>ULTIMATE J 5W30 4Lx4</t>
  </si>
  <si>
    <t>382.51</t>
  </si>
  <si>
    <t>U LL 1L 5W-30</t>
  </si>
  <si>
    <t>ULTIMATE LongLife 5W30 1Lx9</t>
  </si>
  <si>
    <t>163.79</t>
  </si>
  <si>
    <t>API SN/CF, ACEA A3/B4/C3, VW 504.00/507.00, MB 229.31/229.51, BMW LL-04, Porsche C30</t>
  </si>
  <si>
    <t>U LL 200L 5W-30</t>
  </si>
  <si>
    <t>ULTIMATE LongLife 5W30 200L</t>
  </si>
  <si>
    <t>22885.20</t>
  </si>
  <si>
    <t>U LL 4L 5W-30</t>
  </si>
  <si>
    <t>ULTIMATE LongLife 5W30 4Lx4</t>
  </si>
  <si>
    <t>595.35</t>
  </si>
  <si>
    <t>FEBI - РђСЃРѕСЂС‚РёРјРµРЅС‚</t>
  </si>
  <si>
    <t>FEBI BILSTEIN</t>
  </si>
  <si>
    <t>BMW 3 (E36) rear</t>
  </si>
  <si>
    <t>BMW E36, E46 rear</t>
  </si>
  <si>
    <t>MB W123, W201, W124 rear L/R, d=13mm</t>
  </si>
  <si>
    <t>234.63</t>
  </si>
  <si>
    <t>VW Passat, Golf, Vento 1.4/1.6/1.8/1.9D  88-99 left</t>
  </si>
  <si>
    <t>AUDI A3| SKODA Octavia| VW Golf, Passat 94- Front L/R</t>
  </si>
  <si>
    <t>173.80</t>
  </si>
  <si>
    <t>FORD Galaxy, SEAT Alhambra 96-, VW Sharan 95-  Front L/R</t>
  </si>
  <si>
    <t>72.15</t>
  </si>
  <si>
    <t>VW T4 L/R /945409R/</t>
  </si>
  <si>
    <t>VW Golf II, SEAT Toledo I  -99 (74mm)</t>
  </si>
  <si>
    <t>135.87</t>
  </si>
  <si>
    <t>VW Golf 3  91-98 rear L/R</t>
  </si>
  <si>
    <t>239.17</t>
  </si>
  <si>
    <t>VW Passat Variant (B3, B4)  88-97 rear</t>
  </si>
  <si>
    <t>40.71</t>
  </si>
  <si>
    <t>OPEL Vectra A, B, Astra F, G</t>
  </si>
  <si>
    <t>OPEL  76-03</t>
  </si>
  <si>
    <t>VW Golf 3, T4</t>
  </si>
  <si>
    <t>74.77</t>
  </si>
  <si>
    <t>VW Passat (B3, B4), T4</t>
  </si>
  <si>
    <t>#Universell verwendbar (z.B. DIN)</t>
  </si>
  <si>
    <t>407.28</t>
  </si>
  <si>
    <t>MB W201, W202</t>
  </si>
  <si>
    <t>390.76</t>
  </si>
  <si>
    <t>VW/AUDI 1.3-2.0/2.0i/1.6/1.9D/TD  81-97</t>
  </si>
  <si>
    <t>81.59</t>
  </si>
  <si>
    <t>MB W124, W201, W140, W202, W210 rear inner L/R</t>
  </si>
  <si>
    <t>44.00</t>
  </si>
  <si>
    <t>MB W201, W124, W202, W210 rear L/R outer</t>
  </si>
  <si>
    <t>58.53</t>
  </si>
  <si>
    <t>FORD Mondeo  93-99 front rear L/R 45.5mm</t>
  </si>
  <si>
    <t>296.82</t>
  </si>
  <si>
    <t>AUDI A6  94-97 Front L/R</t>
  </si>
  <si>
    <t>62.02</t>
  </si>
  <si>
    <t>SKODA Octavia (1U) front L/R</t>
  </si>
  <si>
    <t>88.75</t>
  </si>
  <si>
    <t>FORD Scorpio I, Sierra  83-94 (r=50mm, white)\n</t>
  </si>
  <si>
    <t>81.94</t>
  </si>
  <si>
    <t>FORD Scorpio I, Sierra  83-94 (r=45mm, yellow)</t>
  </si>
  <si>
    <t>73.03</t>
  </si>
  <si>
    <t>FORD Transit  91-00 (r=50mm)</t>
  </si>
  <si>
    <t>69.71</t>
  </si>
  <si>
    <t>FORD Escort, Fiesta, Orion -90 (r=50mm)</t>
  </si>
  <si>
    <t>FORD Escort, Fiesta, Orion 91-95 (r=55mm)</t>
  </si>
  <si>
    <t>240.22</t>
  </si>
  <si>
    <t>MB W202 W210 S210  93-03 front L/R</t>
  </si>
  <si>
    <t>171.74</t>
  </si>
  <si>
    <t>OPEL Astra, Vectra A/B, Zafira  91-05 outer L/R</t>
  </si>
  <si>
    <t>21.58</t>
  </si>
  <si>
    <t>MB Sprinter I/II, Vario  96- rear</t>
  </si>
  <si>
    <t>13.63</t>
  </si>
  <si>
    <t>(С†С–РЅР° Р·Р° 1 С€С‚.) MB (R107) 280 SL-560 SL (71-89) MB (R129) SL-Klasse (89-93) MB (R129) SL-Klasse (89-93) MB (W116) 280 S-450 SEL 69 (72-80)MB (W123) 200-300 TD Turbo (76-85) MB (W124) E-Klasse (85-93)</t>
  </si>
  <si>
    <t>312.20</t>
  </si>
  <si>
    <t>MB 407D-104D, Sprinter 4t  -06 rear L/R rear</t>
  </si>
  <si>
    <t>58.88</t>
  </si>
  <si>
    <t>VAG 84-01 (62.5x55x10)</t>
  </si>
  <si>
    <t>24.98</t>
  </si>
  <si>
    <t>VW Golf II, LT, Passat  -91</t>
  </si>
  <si>
    <t>#Mercedes-Benz LKW</t>
  </si>
  <si>
    <t>53.46</t>
  </si>
  <si>
    <t>BMW 5 (E34) front (d=24mm)</t>
  </si>
  <si>
    <t>40.36</t>
  </si>
  <si>
    <t>BMW 5 (E34) front (d=23mm)</t>
  </si>
  <si>
    <t>19.92</t>
  </si>
  <si>
    <t>BMW 3 (E36) rear (d=15mm)</t>
  </si>
  <si>
    <t>197.40</t>
  </si>
  <si>
    <t>OPEL Omega A, B</t>
  </si>
  <si>
    <t>FORD Escort, Fiesta, Mondeo, Sierra  82-00</t>
  </si>
  <si>
    <t>73.90</t>
  </si>
  <si>
    <t>BMW E34, E36, E39 front</t>
  </si>
  <si>
    <t>67.94</t>
  </si>
  <si>
    <t>OPEL Vectra A  Ch.--P 2603822 / P 8146889 front L/R rear</t>
  </si>
  <si>
    <t>40.80</t>
  </si>
  <si>
    <t>OPEL Astra F, Vectra A front front L/R</t>
  </si>
  <si>
    <t>OPEL Omega B  94-03 outer right</t>
  </si>
  <si>
    <t>OPEL Omega B  94-03 outer left</t>
  </si>
  <si>
    <t>OPEL Omega B</t>
  </si>
  <si>
    <t>96.44</t>
  </si>
  <si>
    <t>VOLVO 240/260  rear L/R upper</t>
  </si>
  <si>
    <t>OPEL Vectra A</t>
  </si>
  <si>
    <t>210.72</t>
  </si>
  <si>
    <t>AUDI 100/A6  91-97 front</t>
  </si>
  <si>
    <t>67.96</t>
  </si>
  <si>
    <t>VW LT - 96 front L/R</t>
  </si>
  <si>
    <t>71.14</t>
  </si>
  <si>
    <t>AUDI 100  76-90 front L/R inner</t>
  </si>
  <si>
    <t>AUDI 100  -91 front L/R rear</t>
  </si>
  <si>
    <t>49.79</t>
  </si>
  <si>
    <t>AUDI A6, VW Passat  -00 front</t>
  </si>
  <si>
    <t>28.48</t>
  </si>
  <si>
    <t>AUDI 100/200  -91 front</t>
  </si>
  <si>
    <t>224.67</t>
  </si>
  <si>
    <t>AUDI 100/A6  77-97</t>
  </si>
  <si>
    <t>VW  -98</t>
  </si>
  <si>
    <t>273.24</t>
  </si>
  <si>
    <t>MB W140</t>
  </si>
  <si>
    <t>210.69</t>
  </si>
  <si>
    <t>OPEL Astra F  91-98 front L/R</t>
  </si>
  <si>
    <t>OPEL Vectra A  Ch.R 2587416 / R 5111735 / R 8145950-- front L/R rear</t>
  </si>
  <si>
    <t>306.78</t>
  </si>
  <si>
    <t>OPEL Corsa B  93-00 right</t>
  </si>
  <si>
    <t>293.68</t>
  </si>
  <si>
    <t>OPEL Omega A/B  -03 front L/R</t>
  </si>
  <si>
    <t>OPEL Corsa A/B Combo  94-01 L/R</t>
  </si>
  <si>
    <t>251.40</t>
  </si>
  <si>
    <t>AUDI 80  92-96 left (19mm)\n</t>
  </si>
  <si>
    <t>AUDI 80  92-96 right (19mm)</t>
  </si>
  <si>
    <t>21.31</t>
  </si>
  <si>
    <t>RENAULT R19, Kangoo</t>
  </si>
  <si>
    <t>OPEL Vectra A front L/R (h=67mm)</t>
  </si>
  <si>
    <t>68.13</t>
  </si>
  <si>
    <t>OPEL Vectra B  95-03 front front L/R</t>
  </si>
  <si>
    <t>106.05</t>
  </si>
  <si>
    <t>VAG  82-03</t>
  </si>
  <si>
    <t>MB W201, W124, W202, W210, W140\n</t>
  </si>
  <si>
    <t>229.21</t>
  </si>
  <si>
    <t>VW T3  79-90 upper L/R</t>
  </si>
  <si>
    <t>65.69</t>
  </si>
  <si>
    <t>33.54</t>
  </si>
  <si>
    <t>VAG  82-01</t>
  </si>
  <si>
    <t>VAG  76-04</t>
  </si>
  <si>
    <t>VAG  76-01</t>
  </si>
  <si>
    <t>93.73</t>
  </si>
  <si>
    <t>OPEL Omega B  94-03 front front L/R</t>
  </si>
  <si>
    <t>83.61</t>
  </si>
  <si>
    <t>OPEL Omega A front rear L/R</t>
  </si>
  <si>
    <t>SEAT Toledo VW Golf II/III Passat  89-99 right</t>
  </si>
  <si>
    <t>409.97</t>
  </si>
  <si>
    <t>MB W123, W124, W201, W202, W210  85 -  (РѕР±РІРѕРґ. ALT)</t>
  </si>
  <si>
    <t>238.70</t>
  </si>
  <si>
    <t>MB W123, W124, W201, W202, W210  85 -  (РЅР°С‚. ALT)</t>
  </si>
  <si>
    <t>190.49</t>
  </si>
  <si>
    <t>OPEL Omega B front rear L/R</t>
  </si>
  <si>
    <t>AUDI 80/90  78-95, VW Passat  80-88 L/R</t>
  </si>
  <si>
    <t>43.66</t>
  </si>
  <si>
    <t>VAG  77-02</t>
  </si>
  <si>
    <t>207.52</t>
  </si>
  <si>
    <t>OPEL Astra G, Omega B, Vectra B  94- L/R</t>
  </si>
  <si>
    <t>24.46</t>
  </si>
  <si>
    <t>FORD Escort, Orion, Sierra</t>
  </si>
  <si>
    <t>91.89</t>
  </si>
  <si>
    <t>MB W123, W126  76-91 front L/R (plastic)</t>
  </si>
  <si>
    <t>MB W123, W126</t>
  </si>
  <si>
    <t>MB W201, W124  82-98 L/R</t>
  </si>
  <si>
    <t>160.90</t>
  </si>
  <si>
    <t>MB W124  84-98 L/R !!!RHD M14x1,5 LHT</t>
  </si>
  <si>
    <t>141.34</t>
  </si>
  <si>
    <t>MB W124  84-98 L/R !!!RHD M14x1,5 RHT</t>
  </si>
  <si>
    <t>60.18</t>
  </si>
  <si>
    <t>VW T4  90-03 front upper front L/R</t>
  </si>
  <si>
    <t>138.72</t>
  </si>
  <si>
    <t>VW T3  79-92 rear L/R</t>
  </si>
  <si>
    <t>115.31</t>
  </si>
  <si>
    <t>AUDI 80  79-96 front L/R</t>
  </si>
  <si>
    <t>730.44</t>
  </si>
  <si>
    <t>MB OM601-OM603</t>
  </si>
  <si>
    <t>62.89</t>
  </si>
  <si>
    <t>VW Golf I, Caddy  -91 left</t>
  </si>
  <si>
    <t>d=34mm</t>
  </si>
  <si>
    <t>441.67</t>
  </si>
  <si>
    <t>VAG  82- (РѕР±РІ. Р“Р Рњ)</t>
  </si>
  <si>
    <t>610.58</t>
  </si>
  <si>
    <t>BMW 3 (E30, E36, E90), 5 (E28, E34, E60)</t>
  </si>
  <si>
    <t>OPEL Ascona C, Astra F, Vectra A 1.3-1.6 outer</t>
  </si>
  <si>
    <t>188.30</t>
  </si>
  <si>
    <t>DAEWOO Lanos, Espero, Nexia  94- L/R</t>
  </si>
  <si>
    <t>DAEWOO Lanos, Espero, Nexia  94- left</t>
  </si>
  <si>
    <t>131.49</t>
  </si>
  <si>
    <t>DAEWOO Lanos, Espero, Nexia  94- right</t>
  </si>
  <si>
    <t>123.17</t>
  </si>
  <si>
    <t>BMW 5 (E28, E34, E60), 7 (E32), X3 (E83), X5 (E53)  front L/R rear arm</t>
  </si>
  <si>
    <t>OPEL Astra F, Kadett E, Vectra A 1.6-2.0  82-98 outer</t>
  </si>
  <si>
    <t>OPEL Astra F/G, Corsa A/B/C inner</t>
  </si>
  <si>
    <t>VAG  00- (6mm)</t>
  </si>
  <si>
    <t>358.05</t>
  </si>
  <si>
    <t>VW Golf 2, Passat  -96 front</t>
  </si>
  <si>
    <t>125.96</t>
  </si>
  <si>
    <t>VW Golf 2, Passat  -88</t>
  </si>
  <si>
    <t>DAEWOO/CHEVROLET  Lanos, Aveo, Lacetti</t>
  </si>
  <si>
    <t>332.94</t>
  </si>
  <si>
    <t>CHEVROLET Aveo, DAEWOO Lanos 13"</t>
  </si>
  <si>
    <t>95.21</t>
  </si>
  <si>
    <t>MB W201, W124, W202, W210  82-02 rear L/R</t>
  </si>
  <si>
    <t>112.44</t>
  </si>
  <si>
    <t>VW Caddy Golf Jetta Vento  83-04 L/R 19mm</t>
  </si>
  <si>
    <t>13.98</t>
  </si>
  <si>
    <t>OPEL Kadett E front L/R inner (d=17.5mm)\n</t>
  </si>
  <si>
    <t>168.59</t>
  </si>
  <si>
    <t>DAEWOO Lanos rear</t>
  </si>
  <si>
    <t>129.11</t>
  </si>
  <si>
    <t>OPEL Kadett E front front L/R</t>
  </si>
  <si>
    <t>90.02</t>
  </si>
  <si>
    <t>DAEWOO Lanos front L/R front</t>
  </si>
  <si>
    <t>88.16</t>
  </si>
  <si>
    <t>DAEWOO Lanos front L/R rear</t>
  </si>
  <si>
    <t>44.03</t>
  </si>
  <si>
    <t>20.79</t>
  </si>
  <si>
    <t>MB Sprinter  95-06</t>
  </si>
  <si>
    <t>OPEL Kadett E, Vectra A (-P/S)  -94 L/R</t>
  </si>
  <si>
    <t>257.08</t>
  </si>
  <si>
    <t>DAEWOO Lanos front (Rim Size [in] 14)</t>
  </si>
  <si>
    <t>286.91</t>
  </si>
  <si>
    <t>OPEL Kadett E Diesel, 1.6S, 1.8, 2.0, DAEWOO Espero front L/R</t>
  </si>
  <si>
    <t>OPEL Ascona C, Kadett E, Vectra A, B, Omega A, B, Astra F (d=25mm)</t>
  </si>
  <si>
    <t>OPEL Ascona C, Kadett E, Vectra A, B, Omega A, B, Astra F (d=30mm)</t>
  </si>
  <si>
    <t>98.78</t>
  </si>
  <si>
    <t>DAEWOO Lanos front L/R</t>
  </si>
  <si>
    <t>DAEWOO Lanos front L/R outer\n</t>
  </si>
  <si>
    <t>DAEWOO Nexia, OPEL Kadett E front</t>
  </si>
  <si>
    <t>(12-7x5.5)\n</t>
  </si>
  <si>
    <t>54.86</t>
  </si>
  <si>
    <t>FORD Scorpio, Sierra  88-94 L/R</t>
  </si>
  <si>
    <t>91.87</t>
  </si>
  <si>
    <t>FORD Scorpio, Sierra  -94 rear inner/outer</t>
  </si>
  <si>
    <t>VW Golf 3, Passat B3/B4  91-97 inner left</t>
  </si>
  <si>
    <t>183.09</t>
  </si>
  <si>
    <t>VAG 1.6, 1.8  -91\n</t>
  </si>
  <si>
    <t>(d=8mm)</t>
  </si>
  <si>
    <t>DAEWOO Lanos 1.4, 1.5 (d=6mm)\n</t>
  </si>
  <si>
    <t>185.94</t>
  </si>
  <si>
    <t>OPEL Vectra B, Astra G, Corsa C, Zafira  99- front L/R</t>
  </si>
  <si>
    <t>149.19</t>
  </si>
  <si>
    <t>VW Golf III, Passat -96 front L/R</t>
  </si>
  <si>
    <t>14.50</t>
  </si>
  <si>
    <t>AUDI 80  -91, VW Passat  -88 outer (d=19mm)</t>
  </si>
  <si>
    <t>129.97</t>
  </si>
  <si>
    <t>AUDI 100 (44)  -91 front L/R</t>
  </si>
  <si>
    <t>VAG  83-06 front L/R rear</t>
  </si>
  <si>
    <t>147.28</t>
  </si>
  <si>
    <t>SEAT Toledo VW Golf II/III Passat  89-99 left</t>
  </si>
  <si>
    <t>143.61</t>
  </si>
  <si>
    <t>VW Golf 3, Vento  -99 outer</t>
  </si>
  <si>
    <t>28.65</t>
  </si>
  <si>
    <t>VAG  82-03 (47x32x10)</t>
  </si>
  <si>
    <t>217.12</t>
  </si>
  <si>
    <t>VAG 1.6-2.0  85-02</t>
  </si>
  <si>
    <t>VW Golf II, Jetta I, SEAT Toledo I 83-  Rear L/R</t>
  </si>
  <si>
    <t>VAG  76-10</t>
  </si>
  <si>
    <t>BMW E36 L/R long</t>
  </si>
  <si>
    <t>18.17</t>
  </si>
  <si>
    <t>OPEL Omega A front L/R\n</t>
  </si>
  <si>
    <t>777.09</t>
  </si>
  <si>
    <t>MB W201, W124, W202</t>
  </si>
  <si>
    <t>71.63</t>
  </si>
  <si>
    <t>OPEL Ascona C, Kadett E, Vectra A, B 1.4, 1.6</t>
  </si>
  <si>
    <t>622.04</t>
  </si>
  <si>
    <t>MB W202 C180 - C220D</t>
  </si>
  <si>
    <t>774.82</t>
  </si>
  <si>
    <t>MB W124, W202, W210 (РјРµС…. РЅР°С‚.)</t>
  </si>
  <si>
    <t>159.51</t>
  </si>
  <si>
    <t>OPEL Kadett E, Astra F</t>
  </si>
  <si>
    <t>408.63</t>
  </si>
  <si>
    <t>RENAULT/VOLVO 1.7-2.0 1.9D/TD/DI  90- (РЅР°С‚. Р“Р Рњ)</t>
  </si>
  <si>
    <t>205.28</t>
  </si>
  <si>
    <t>OPEL Omega A</t>
  </si>
  <si>
    <t>22.71</t>
  </si>
  <si>
    <t>OPEl Vectra A, Astra F front inner d=22mm</t>
  </si>
  <si>
    <t>105.53</t>
  </si>
  <si>
    <t>OPEL Vectra A,  Astra F  88-98 rear L/R</t>
  </si>
  <si>
    <t>158.63</t>
  </si>
  <si>
    <t>AUDI 100/A6 Ch.4A-P-001984&gt;&gt;  91-97 left</t>
  </si>
  <si>
    <t>181.17</t>
  </si>
  <si>
    <t>AUDI 100/A6 Ch.4A-P-001984&gt;&gt;  91-97 right</t>
  </si>
  <si>
    <t>72.50</t>
  </si>
  <si>
    <t>BMW 3 (E30), 5 (E28), MB Sprinter I, Vito (W638)\n</t>
  </si>
  <si>
    <t>16.77</t>
  </si>
  <si>
    <t>OPEL Omega B rear L/R inner\n</t>
  </si>
  <si>
    <t>242.32</t>
  </si>
  <si>
    <t>AUDI 100/200  -91, BMW 3 (E30)  rear</t>
  </si>
  <si>
    <t>26.90</t>
  </si>
  <si>
    <t>OPEL Ascona C, Kadett E, Vectra A, Omega A, Astra F 1.6-2.0</t>
  </si>
  <si>
    <t>643.79</t>
  </si>
  <si>
    <t>MB 207D-310D Ch.--A 280963 L/R (РЅР° РІС‚СѓР»РєР°С…)\n</t>
  </si>
  <si>
    <t>204.82</t>
  </si>
  <si>
    <t>BMW 3 (E36) 5 (E28 E34) 7 (E32)  80-97 front L/R</t>
  </si>
  <si>
    <t>OPEL Kadett E, Astra F, DAEWOO Espero\n</t>
  </si>
  <si>
    <t>OPEL Kadett E, Vectra A, Omega A\n</t>
  </si>
  <si>
    <t>OPEL Ascona C, Kadett E, Vectra A, B,  Astra F, DAEWOO Lanos, Espero\n</t>
  </si>
  <si>
    <t>OPEL Ascona C, Kadett E, Vectra A, B, Omega A, B, Astra F</t>
  </si>
  <si>
    <t>74.34</t>
  </si>
  <si>
    <t>AUDI 100  -91 rear L/R</t>
  </si>
  <si>
    <t>VW T4\n</t>
  </si>
  <si>
    <t>42.63</t>
  </si>
  <si>
    <t>VW T4  91-03 front L/R lower front</t>
  </si>
  <si>
    <t>AUDI 100  -91 front L/R front</t>
  </si>
  <si>
    <t>MB W140\n</t>
  </si>
  <si>
    <t>73.38</t>
  </si>
  <si>
    <t>AUDI 100/A6  -97 front</t>
  </si>
  <si>
    <t>MB W124</t>
  </si>
  <si>
    <t>149.55</t>
  </si>
  <si>
    <t>VW LT  -96 front L/R upper front/rear (2x2pcs.)\n</t>
  </si>
  <si>
    <t>46.36</t>
  </si>
  <si>
    <t>VW Passat B3/B4, Golf 3  -99 L/R (TRW servo)</t>
  </si>
  <si>
    <t>79.14</t>
  </si>
  <si>
    <t>OPEL Kadett E, Vectra A, B, Astra F, G (98x80x10)\n</t>
  </si>
  <si>
    <t>OPEL Ascona C, Kadett E, Vectra A, B, Omega A, B, Astra F, G (48x35x7)</t>
  </si>
  <si>
    <t>DAEWOO Lanos 1.4, 1.5\n</t>
  </si>
  <si>
    <t>292.28</t>
  </si>
  <si>
    <t>OPEL Vectra A, Astra F left</t>
  </si>
  <si>
    <t>VAG  -94 (d=6mm, green)</t>
  </si>
  <si>
    <t>172.12</t>
  </si>
  <si>
    <t>OPEL Vectra A,  Astra F  L/R</t>
  </si>
  <si>
    <t>OPEL Omega A  86-94 right</t>
  </si>
  <si>
    <t>278.13</t>
  </si>
  <si>
    <t>OPEL Omega A  86-94 left</t>
  </si>
  <si>
    <t>158.46</t>
  </si>
  <si>
    <t>OPEL Vectra A, Astra F  88- right</t>
  </si>
  <si>
    <t>90.15</t>
  </si>
  <si>
    <t>VOLVO 240/260, 740/760, 940  Panhard left</t>
  </si>
  <si>
    <t>151.29</t>
  </si>
  <si>
    <t>VOLVO 740/760, 940/960 front L/R outer</t>
  </si>
  <si>
    <t>377.01</t>
  </si>
  <si>
    <t>MB W201, W124, W202, W210  82-02 rear L/R lower</t>
  </si>
  <si>
    <t>311.32</t>
  </si>
  <si>
    <t>AUDI 80/90, VW Passat  86-00 front L/R</t>
  </si>
  <si>
    <t>520.97</t>
  </si>
  <si>
    <t>MB W140 front L/R lower</t>
  </si>
  <si>
    <t>304.86</t>
  </si>
  <si>
    <t>FORD Sierra 2 -93 front left</t>
  </si>
  <si>
    <t>316.74</t>
  </si>
  <si>
    <t>RENAULT Clio 1/2 front L/R (d=65mm)</t>
  </si>
  <si>
    <t>369.52</t>
  </si>
  <si>
    <t>RENAULT Kangoo I  97-10 front L/R</t>
  </si>
  <si>
    <t>307.13</t>
  </si>
  <si>
    <t>PEUGEOT 106, 205, 306 front L/R (-ABS)</t>
  </si>
  <si>
    <t>448.47</t>
  </si>
  <si>
    <t>MB W201, W124, W202, W210 rear L/R</t>
  </si>
  <si>
    <t>77.39</t>
  </si>
  <si>
    <t>FORD, MB, OPEL, VOLVO</t>
  </si>
  <si>
    <t>FORD Transit  85-99 L/R (-P/S)</t>
  </si>
  <si>
    <t>159.81</t>
  </si>
  <si>
    <t>FORD Scorpio, Sierra  -94 rear L/R\n</t>
  </si>
  <si>
    <t>28.99</t>
  </si>
  <si>
    <t>MB 507-914</t>
  </si>
  <si>
    <t>15.37</t>
  </si>
  <si>
    <t>OPEL Ascona C, Kadett E, Vectra A, B, Omega A, B, Astra F, G, H\n</t>
  </si>
  <si>
    <t>OPEL Ascona C, Kadett E, Vectra A, B, Omega A, B, Astra F 1.6-2.0</t>
  </si>
  <si>
    <t>87.88</t>
  </si>
  <si>
    <t>BMW  03- (M12x1.5. black)\n</t>
  </si>
  <si>
    <t>357.10</t>
  </si>
  <si>
    <t>MB W201 front L/R</t>
  </si>
  <si>
    <t>122.29</t>
  </si>
  <si>
    <t>FORD Escort  91-99 inner</t>
  </si>
  <si>
    <t>34.42</t>
  </si>
  <si>
    <t>FORD Scorpio, Sierra  82-93 fornt L/R outer</t>
  </si>
  <si>
    <t>255.94</t>
  </si>
  <si>
    <t>OPEL Omega A  86-94 right outer (long)</t>
  </si>
  <si>
    <t>178.90</t>
  </si>
  <si>
    <t>OPEl Omega A, B right inner</t>
  </si>
  <si>
    <t>OPEl Omega A, B left inner</t>
  </si>
  <si>
    <t>28.13</t>
  </si>
  <si>
    <t>45.52</t>
  </si>
  <si>
    <t>1323.65</t>
  </si>
  <si>
    <t>MB W124, W202 260-320 -series -00</t>
  </si>
  <si>
    <t>1209.66</t>
  </si>
  <si>
    <t>MB 207D-310D  -96 (d=45mm)\n</t>
  </si>
  <si>
    <t>FORD Sierra 2.0  87-93 (d=7mm)</t>
  </si>
  <si>
    <t>130.81</t>
  </si>
  <si>
    <t>360.41</t>
  </si>
  <si>
    <t>VW Golf 3, Passat B3, B4 front 256X20</t>
  </si>
  <si>
    <t>514.33</t>
  </si>
  <si>
    <t>MB OM601/602/603</t>
  </si>
  <si>
    <t>430.47</t>
  </si>
  <si>
    <t>MB W123 L/R</t>
  </si>
  <si>
    <t>17.65</t>
  </si>
  <si>
    <t>MB M102, M103, M117\n</t>
  </si>
  <si>
    <t>63.89</t>
  </si>
  <si>
    <t>MB 609D-811D, Sprinter II  rear L/R</t>
  </si>
  <si>
    <t>130.31</t>
  </si>
  <si>
    <t>RENAULT 19, Kangoo  -03 L/R</t>
  </si>
  <si>
    <t>VW Golf 3, Passat (B3, B4)\n</t>
  </si>
  <si>
    <t>504.88</t>
  </si>
  <si>
    <t>OPEL Astra, Vectra A  1.2-1.6  88- (РЅР°С‚. Р“Р Рњ)</t>
  </si>
  <si>
    <t>DAEWOO Lanos, CHEVROLET Lacetti\n</t>
  </si>
  <si>
    <t>#VW-Audi</t>
  </si>
  <si>
    <t>BMW, RENAULT Kangoo II, Logan</t>
  </si>
  <si>
    <t>AUDI 80  86-96 front L/R front</t>
  </si>
  <si>
    <t>MB 207D-410D front/rear outer, Sprinter I rear outer</t>
  </si>
  <si>
    <t>(20x14x1.5)\n</t>
  </si>
  <si>
    <t>VAG  76-03 (d=36.6mm)</t>
  </si>
  <si>
    <t>BMW, DAF (d=45mm)\n</t>
  </si>
  <si>
    <t>550.57</t>
  </si>
  <si>
    <t>MB Sprinter I, VW LT 95- front 276X22</t>
  </si>
  <si>
    <t>29.53</t>
  </si>
  <si>
    <t>MB  82-\n</t>
  </si>
  <si>
    <t>VAG  78-00 (d=16mm)\n</t>
  </si>
  <si>
    <t>689.21</t>
  </si>
  <si>
    <t>MB W123</t>
  </si>
  <si>
    <t>94.69</t>
  </si>
  <si>
    <t>VW Golf 2, SEAT Toledo I 1.6-2.0</t>
  </si>
  <si>
    <t>36.16</t>
  </si>
  <si>
    <t>AUDI 80, VW Passat  81-88 (-P/S) front L/R front/rear</t>
  </si>
  <si>
    <t>43.16</t>
  </si>
  <si>
    <t>AUDI 80  78-95, VW Passat  80-88 (+P/S) front L/R front/rear</t>
  </si>
  <si>
    <t>VW T3  79-92 front L/R upper</t>
  </si>
  <si>
    <t>AUDI 80  79-91 rear L/R</t>
  </si>
  <si>
    <t>AUDI 100/A6  91-97 rear L/R</t>
  </si>
  <si>
    <t>42.31</t>
  </si>
  <si>
    <t>AUDI 100/A6  91-97 front L/R outer (2x2pcs.)</t>
  </si>
  <si>
    <t>123.90</t>
  </si>
  <si>
    <t>VW Passat  -88 rear L/R</t>
  </si>
  <si>
    <t>29.87</t>
  </si>
  <si>
    <t>CHEVROLET Aveo\n</t>
  </si>
  <si>
    <t>139.94</t>
  </si>
  <si>
    <t>MB W124, W201 (23mm)</t>
  </si>
  <si>
    <t>141.86</t>
  </si>
  <si>
    <t>VW Golf 3 Variant rear L/R</t>
  </si>
  <si>
    <t>VW Golf 2, 3 front L/R rear /985411R/</t>
  </si>
  <si>
    <t>SKODA Fabia (5J), Octavia (1U)  front L/R front</t>
  </si>
  <si>
    <t>71.64</t>
  </si>
  <si>
    <t>VW Golf 2, 3 front L/R</t>
  </si>
  <si>
    <t>159.30</t>
  </si>
  <si>
    <t>FORD Escort, Fiesta, Orion, Focus  90-04 front L/R</t>
  </si>
  <si>
    <t>172.61</t>
  </si>
  <si>
    <t>VW T4 All inner\n</t>
  </si>
  <si>
    <t>53.98</t>
  </si>
  <si>
    <t>AUDI 80  79-96</t>
  </si>
  <si>
    <t>310.28</t>
  </si>
  <si>
    <t>MB W140 L/R</t>
  </si>
  <si>
    <t>351.31</t>
  </si>
  <si>
    <t>MB 307D-410D front</t>
  </si>
  <si>
    <t>209.37</t>
  </si>
  <si>
    <t>OPEL Omega A (d=55mm)\n</t>
  </si>
  <si>
    <t>MB  88- (M14x1.5)\n\n</t>
  </si>
  <si>
    <t>575.35</t>
  </si>
  <si>
    <t>AUDI 100, A4, A6, VW Passat  98-05 front 288X25</t>
  </si>
  <si>
    <t>VAG  76- (d=24mm)\n</t>
  </si>
  <si>
    <t>DAEWOO Lanos\n</t>
  </si>
  <si>
    <t>MB W123, W126 front L/R outer (2x2pcs.)</t>
  </si>
  <si>
    <t>VAG  82- (M10x1, grey)</t>
  </si>
  <si>
    <t>VAG  76-03 (M10x1, blue)</t>
  </si>
  <si>
    <t>MB, VAG  74-11\n</t>
  </si>
  <si>
    <t>VAG  82-03 (M10x1, black)</t>
  </si>
  <si>
    <t>VAG  82-03 (M10x1, white)</t>
  </si>
  <si>
    <t>183.96</t>
  </si>
  <si>
    <t>W124 2.0-4.0  85-98</t>
  </si>
  <si>
    <t>264.49</t>
  </si>
  <si>
    <t>MB W124 front L/R</t>
  </si>
  <si>
    <t>MB W123, W126, W201, W124, W202, W210</t>
  </si>
  <si>
    <t>MB W201, W124, W202, W210, W203 rear L/R</t>
  </si>
  <si>
    <t>265.03</t>
  </si>
  <si>
    <t>MB W201, W124 front L/R</t>
  </si>
  <si>
    <t>MB W123, W124, W126, W201, W202, W210</t>
  </si>
  <si>
    <t>266.95</t>
  </si>
  <si>
    <t>AUDI 80  91-94  (Rear, L/R)</t>
  </si>
  <si>
    <t>VW Golf 2, 3 front L/R outer (for 07863)\n</t>
  </si>
  <si>
    <t>612.94</t>
  </si>
  <si>
    <t>MB Sprinter I, VW LT II  95- rear 272X16</t>
  </si>
  <si>
    <t>FORD Escort  91-99 front L/R rear</t>
  </si>
  <si>
    <t>39.11</t>
  </si>
  <si>
    <t>FORD Escort  91-99 front L/R front</t>
  </si>
  <si>
    <t>RENAULT Espace 2  91-96 front L/R front</t>
  </si>
  <si>
    <t>135.40</t>
  </si>
  <si>
    <t>AUDI A3, VW Golf IV, Bora, SKODA Octavia (1U)  97- front L/R</t>
  </si>
  <si>
    <t>135.05</t>
  </si>
  <si>
    <t>CITROEN Berlingo, PEUGEOT Partner  96- L/R</t>
  </si>
  <si>
    <t>39.83</t>
  </si>
  <si>
    <t>PEUGEOT 405  87-96 front L/R front</t>
  </si>
  <si>
    <t>С†С–РЅР° Р·Р° 1Рј., РЅР° РєРѕС‚СѓС€С†С– 30Рј.</t>
  </si>
  <si>
    <t>VW Golf 2, 3 front L/R inner (d=17mm)</t>
  </si>
  <si>
    <t>61.67</t>
  </si>
  <si>
    <t>AUDI 100/A6  82-97 rear L/R</t>
  </si>
  <si>
    <t>60.69</t>
  </si>
  <si>
    <t>RENAULT 19, Megane  89-02 front L/R front/rear (2x2pcs.)</t>
  </si>
  <si>
    <t>25.33</t>
  </si>
  <si>
    <t>BMW M50B25, M52B25/B28  90-99</t>
  </si>
  <si>
    <t>270.44</t>
  </si>
  <si>
    <t>BMW M50B25  90-99</t>
  </si>
  <si>
    <t>VAG  76- (M14x1.5)</t>
  </si>
  <si>
    <t>31.80</t>
  </si>
  <si>
    <t>MB Vito (W638)</t>
  </si>
  <si>
    <t>10016FE</t>
  </si>
  <si>
    <t>10016  FEBI - РЎР°Р№Р»РµРЅС‚Р±Р»РѕРє Р±Р°Р»РєРё</t>
  </si>
  <si>
    <t>AUDI 100/A6  91-97 front left rear</t>
  </si>
  <si>
    <t>10017FE</t>
  </si>
  <si>
    <t>10017  FEBI - РЎР°Р№Р»РµРЅС‚Р±Р»РѕРє Р±Р°Р»РєРё</t>
  </si>
  <si>
    <t>222.69</t>
  </si>
  <si>
    <t>AUDI 100/A6  91-97 front right rear</t>
  </si>
  <si>
    <t>10021FE</t>
  </si>
  <si>
    <t>10021  FEBI - РЎР°Р№Р»РµРЅС‚Р±Р»РѕРє</t>
  </si>
  <si>
    <t>VW Sharan  95-10 front L/R rear</t>
  </si>
  <si>
    <t>10022FE</t>
  </si>
  <si>
    <t>10022  FEBI - Р’С‚СѓР»РєР° СЃС‚Р°Р±С–Р»С–Р·Р°С‚РѕСЂР°</t>
  </si>
  <si>
    <t>AUDI A4, VW Passat  96-  front L/R (d=24.8mm)</t>
  </si>
  <si>
    <t>10023FE</t>
  </si>
  <si>
    <t>10023  FEBI - Р’С‚СѓР»РєР° СЃС‚Р°Р±С–Р»С–Р·Р°С‚РѕСЂР°</t>
  </si>
  <si>
    <t>34.07</t>
  </si>
  <si>
    <t>AUDI A4, VW Passat  96-  front L/R (d=27mm)</t>
  </si>
  <si>
    <t>10035FE</t>
  </si>
  <si>
    <t>10035  FEBI - РўСЏРіР° СЃС‚Р°Р±С–Р»С–Р·Р°С‚РѕСЂР°</t>
  </si>
  <si>
    <t>BMW 5 (E39) Ex.535i, 540i, M5  95-04 front left</t>
  </si>
  <si>
    <t>10036FE</t>
  </si>
  <si>
    <t>10036  FEBI - РўСЏРіР° СЃС‚Р°Р±С–Р»С–Р·Р°С‚РѕСЂР°</t>
  </si>
  <si>
    <t>242.41</t>
  </si>
  <si>
    <t>BMW 5 (E39) Ex.535i, 540i, M5  95-04 front right</t>
  </si>
  <si>
    <t>10038FE</t>
  </si>
  <si>
    <t>10038  FEBI - РўСЏРіР° СЃС‚Р°Р±С–Р»С–Р·Р°С‚РѕСЂР°</t>
  </si>
  <si>
    <t>BMW 5 (E39)  95-04 rear L/R</t>
  </si>
  <si>
    <t>10039FE</t>
  </si>
  <si>
    <t>10039  FEBI - РљСЂС–РїР»РµРЅРЅСЏ РіР»СѓС€РЅРёРєР°</t>
  </si>
  <si>
    <t>49.44</t>
  </si>
  <si>
    <t>MB W202 (2pcs.)\n</t>
  </si>
  <si>
    <t>10041FE</t>
  </si>
  <si>
    <t>10041  FEBI - РљСЂС–РїР»РµРЅРЅСЏ РіР»СѓС€РЅРёРєР°</t>
  </si>
  <si>
    <t>MB W202 right\n</t>
  </si>
  <si>
    <t>10044FE</t>
  </si>
  <si>
    <t>10044  FEBI - РљСЂС–РїР»РµРЅРЅСЏ РіР»СѓС€РЅРёРєР°</t>
  </si>
  <si>
    <t>20.44</t>
  </si>
  <si>
    <t>MB W126, W124</t>
  </si>
  <si>
    <t>10072FE</t>
  </si>
  <si>
    <t>10072  FEBI - РџСЂРѕРєР»Р°РґРєР° РђРљРџРџ</t>
  </si>
  <si>
    <t>75.30</t>
  </si>
  <si>
    <t>MB W202, W210, W140, W220, W211</t>
  </si>
  <si>
    <t>10087FE</t>
  </si>
  <si>
    <t>10087  FEBI - РћРїРѕСЂР° Р°РјРѕСЂС‚РёР·Р°С‚РѕСЂР°</t>
  </si>
  <si>
    <t>433.62</t>
  </si>
  <si>
    <t>RENAULT R19 (ex.) 1.8 16v  89-95 front L/R</t>
  </si>
  <si>
    <t>10098FE</t>
  </si>
  <si>
    <t>10098  FEBI - РљРѕРјРїР»РµРєС‚ С„РёР»СЊС‚СЂР° РђРљРџРџ</t>
  </si>
  <si>
    <t>197.07</t>
  </si>
  <si>
    <t>MB AT 722.600-722.699 (5 speed, RWD)  93-</t>
  </si>
  <si>
    <t>10159FE</t>
  </si>
  <si>
    <t>10159  FEBI - РќР°РєС–РЅРµС‡РЅРёРє РєРµСЂРјРѕРІРѕС— С‚СЏРіРё</t>
  </si>
  <si>
    <t>227.47</t>
  </si>
  <si>
    <t>FORD Transit  91-00 L/R</t>
  </si>
  <si>
    <t>10162FE</t>
  </si>
  <si>
    <t>10162  FEBI - РљСѓР»СЊРѕРІР° РѕРїРѕСЂР°</t>
  </si>
  <si>
    <t>10248FE</t>
  </si>
  <si>
    <t>10248  FEBI - Р’С‚СѓР»РєР° СЃС‚Р°Р±С–Р»С–Р·Р°С‚РѕСЂР°</t>
  </si>
  <si>
    <t>38.44</t>
  </si>
  <si>
    <t>MB 407-410D  82-95 rear L/R inner</t>
  </si>
  <si>
    <t>10251FE</t>
  </si>
  <si>
    <t>10251  FEBI - РЎР°Р№Р»РµРЅС‚Р±Р»РѕРє</t>
  </si>
  <si>
    <t>82.98</t>
  </si>
  <si>
    <t>CITROEN XM| PEUGEOT 605, 607 2.0-3.0  89-  (Front, L/R)</t>
  </si>
  <si>
    <t>10300FE</t>
  </si>
  <si>
    <t>10300  FEBI - РЎР°Р№Р»РµРЅС‚Р±Р»РѕРє Р±Р°Р»РєРё</t>
  </si>
  <si>
    <t>323.66</t>
  </si>
  <si>
    <t>MB W638 front L/R rear</t>
  </si>
  <si>
    <t>10301FE</t>
  </si>
  <si>
    <t>10301  FEBI - РЎР°Р№Р»РµРЅС‚Р±Р»РѕРє Р±Р°Р»РєРё</t>
  </si>
  <si>
    <t>367.06</t>
  </si>
  <si>
    <t>MB W638 front L/R front /22934 01/\n</t>
  </si>
  <si>
    <t>10302FE</t>
  </si>
  <si>
    <t>10302  FEBI - РљСЂРѕРЅС€С‚РµР№РЅ РіР»СѓС€РЅРёРєР°</t>
  </si>
  <si>
    <t>RENAULT 19 88-96</t>
  </si>
  <si>
    <t>10305FE</t>
  </si>
  <si>
    <t>10305  FEBI - РљСЂРѕРЅС€С‚РµР№РЅ РіР»СѓС€РЅРёРєР°</t>
  </si>
  <si>
    <t>RENAULT Kangoo  97-</t>
  </si>
  <si>
    <t>10379FE</t>
  </si>
  <si>
    <t>10379  FEBI - Р РµРјРєРѕРјРїР»РµРєС‚ РІР°Р¶РµР»СЏ РїС–РґРІС–СЃРєРё</t>
  </si>
  <si>
    <t>544.21</t>
  </si>
  <si>
    <t>MB W202 Ch.-A443812 / F500865 front L/R lower  (10356(1)+08905(2))</t>
  </si>
  <si>
    <t>10407FE</t>
  </si>
  <si>
    <t>10407  FEBI - Р—Р°СЃРїРѕРєРѕСЋРІР°С‡ Р»Р°РЅС†СЋРіР° Р“Р Рњ</t>
  </si>
  <si>
    <t>MB OM601-OM606</t>
  </si>
  <si>
    <t>10408FE</t>
  </si>
  <si>
    <t>10408  FEBI - Р—Р°СЃРїРѕРєРѕСЋРІР°С‡ Р»Р°РЅС†СЋРіР° Р“Р Рњ</t>
  </si>
  <si>
    <t>MB OM601-OM603\n</t>
  </si>
  <si>
    <t>10431FE</t>
  </si>
  <si>
    <t>10431  FEBI - Р“С–Р»СЊР·Р° СЃР°Р№Р»РµРЅС‚Р±Р»РѕРєР°</t>
  </si>
  <si>
    <t>OPEL Vectra A, Astra F front L/R rear\n</t>
  </si>
  <si>
    <t>10517FE</t>
  </si>
  <si>
    <t>10517  FEBI - РўСЏРіР° СЃС‚Р°Р±С–Р»С–Р·Р°С‚РѕСЂР°</t>
  </si>
  <si>
    <t>156.36</t>
  </si>
  <si>
    <t>OPEL Vectra A, Astra F  88- front L/R (joint)</t>
  </si>
  <si>
    <t>10577FE</t>
  </si>
  <si>
    <t>10577  FEBI - РљСѓР»СЊРѕРІР° РѕРїРѕСЂР°</t>
  </si>
  <si>
    <t>225.38</t>
  </si>
  <si>
    <t>VW T4 Ch.--70-T-199999 L/R upper</t>
  </si>
  <si>
    <t>10578FE</t>
  </si>
  <si>
    <t>10578  FEBI - РљСѓР»СЊРѕРІР° РѕРїРѕСЂР°</t>
  </si>
  <si>
    <t>235.68</t>
  </si>
  <si>
    <t>VW T4 Ch.--70-T-199999 L/R lower (Р· РІРёСЃС‚СѓРїРѕРј)</t>
  </si>
  <si>
    <t>10583FE</t>
  </si>
  <si>
    <t>10583  FEBI - РќР°РєС–РЅРµС‡РЅРёРє РєРµСЂРјРѕРІРѕС— С‚СЏРіРё</t>
  </si>
  <si>
    <t>VW T4 Ch.70-S-002792 - - 70-T-199999  90-03 right</t>
  </si>
  <si>
    <t>10639FE</t>
  </si>
  <si>
    <t>10639  FEBI - Р”РёСЃРє РіР°Р»СЊРјС–РІРЅРёР№</t>
  </si>
  <si>
    <t>670.76</t>
  </si>
  <si>
    <t>MB Sprinter 4-t  96-06 rear (285X22)</t>
  </si>
  <si>
    <t>10642FE</t>
  </si>
  <si>
    <t>10642  FEBI - Р”РёСЃРє РіР°Р»СЊРјС–РІРЅРёР№</t>
  </si>
  <si>
    <t>578.55</t>
  </si>
  <si>
    <t>MB Vito (W638)  front (276x22)</t>
  </si>
  <si>
    <t>10659FE</t>
  </si>
  <si>
    <t>10659  FEBI - РќР°РєС–РЅРµС‡РЅРёРє РєРµСЂРјРѕРІРѕС— С‚СЏРіРё</t>
  </si>
  <si>
    <t>164.92</t>
  </si>
  <si>
    <t>PEUGEOT 605, 206, 307 right (M10x1,25)</t>
  </si>
  <si>
    <t>10660FE</t>
  </si>
  <si>
    <t>10660  FEBI - РќР°РєС–РЅРµС‡РЅРёРє РєРµСЂРјРѕРІРѕС— С‚СЏРіРё</t>
  </si>
  <si>
    <t>PEUGEOT 605, 206, 307 left (M10x1,25)\n</t>
  </si>
  <si>
    <t>10667FE</t>
  </si>
  <si>
    <t>10667  FEBI - РќР°РїСЂР°РІР»СЏСЋС‡Р° РєР»Р°РїР°РЅР°</t>
  </si>
  <si>
    <t>50.66</t>
  </si>
  <si>
    <t>VAG  91-03 (d=6.9mm)</t>
  </si>
  <si>
    <t>10797FE</t>
  </si>
  <si>
    <t>10797  FEBI - Р’Р°Р¶С–Р»СЊ РїС–РґРІС–СЃРєРё</t>
  </si>
  <si>
    <t>909.12</t>
  </si>
  <si>
    <t>MB W202, W210 Ex.4-matic  95-03 front left upper</t>
  </si>
  <si>
    <t>10814FE</t>
  </si>
  <si>
    <t>10814  FEBI - РЎР°Р№Р»РµРЅС‚Р±Р»РѕРє</t>
  </si>
  <si>
    <t>SKODA Octavia (1U)  97- front L/R rear</t>
  </si>
  <si>
    <t>10818FE</t>
  </si>
  <si>
    <t>10818  FEBI - РЎР°Р№Р»РµРЅС‚Р±Р»РѕРє</t>
  </si>
  <si>
    <t>PEUGEOT 605, 607 rear L/R lower rear</t>
  </si>
  <si>
    <t>10849FE</t>
  </si>
  <si>
    <t>10849  FEBI - РџРёР»СЊРѕРІРёРє РєРµСЂРјРѕРІРѕС— С‚СЏРіРё</t>
  </si>
  <si>
    <t>VW Polo (6N, 6N2) +P/S  95-02 L/R</t>
  </si>
  <si>
    <t>10852FE</t>
  </si>
  <si>
    <t>10852  FEBI - РЎР°Р№Р»РµРЅС‚Р±Р»РѕРє</t>
  </si>
  <si>
    <t>VW T4  91-03 front L/R lower rear</t>
  </si>
  <si>
    <t>10887FE</t>
  </si>
  <si>
    <t>10887  FEBI - РќР°РєС–РЅРµС‡РЅРёРє РєРµСЂРјРѕРІРѕС— С‚СЏРіРё</t>
  </si>
  <si>
    <t>228.59</t>
  </si>
  <si>
    <t>VW T4 Ch.70-T-200000--  -03 right</t>
  </si>
  <si>
    <t>10888FE</t>
  </si>
  <si>
    <t>10888  FEBI - РќР°РєС–РЅРµС‡РЅРёРє РєРµСЂРјРѕРІРѕС— С‚СЏРіРё</t>
  </si>
  <si>
    <t>VW T4 Ch.70-T-200000--  -03 left</t>
  </si>
  <si>
    <t>11022FE</t>
  </si>
  <si>
    <t>11022  FEBI - РўСЏРіР° СЃС‚Р°Р±С–Р»С–Р·Р°С‚РѕСЂР°</t>
  </si>
  <si>
    <t>131.90</t>
  </si>
  <si>
    <t>MB W210  95-03 front left</t>
  </si>
  <si>
    <t>11023FE</t>
  </si>
  <si>
    <t>11023  FEBI - РўСЏРіР° СЃС‚Р°Р±С–Р»С–Р·Р°С‚РѕСЂР°</t>
  </si>
  <si>
    <t>MB W210  95-03 front right</t>
  </si>
  <si>
    <t>11089FE</t>
  </si>
  <si>
    <t>11089  FEBI - РўРµРїР»РѕРѕР±РјС–РЅРЅРёРє</t>
  </si>
  <si>
    <t>307.66</t>
  </si>
  <si>
    <t>VAG  96-</t>
  </si>
  <si>
    <t>11136FE</t>
  </si>
  <si>
    <t>11136  FEBI - РЎР°Р№Р»РµРЅС‚Р±Р»РѕРє</t>
  </si>
  <si>
    <t>MB W201, W124, W202, W210, W203 rear L/R inner</t>
  </si>
  <si>
    <t>11138FE</t>
  </si>
  <si>
    <t>11138  FEBI - Р’Р°Р¶С–Р»СЊ РїС–РґРІС–СЃРєРё</t>
  </si>
  <si>
    <t>490.38</t>
  </si>
  <si>
    <t>AUDI A4, A6, VW Passat  96- front right upper front</t>
  </si>
  <si>
    <t>11155FE</t>
  </si>
  <si>
    <t>11155  FEBI - Р РµРјРєРѕРјРїР»РµРєС‚ РІР°Р¶РµР»СЏ РїС–РґРІС–СЃРєРё</t>
  </si>
  <si>
    <t>598.02</t>
  </si>
  <si>
    <t>MB W210 front L/R lower (11153 + 2x11152)</t>
  </si>
  <si>
    <t>11275FE</t>
  </si>
  <si>
    <t>11275  FEBI - РњРµС…Р°РЅС–Р·Рј РЅР°С‚СЏРіСѓ СЂРµРјРµРЅСЏ</t>
  </si>
  <si>
    <t>711.72</t>
  </si>
  <si>
    <t>MB C-Class (W202, W203), E-Class (W210, W211), G (W461, G463) 2.1-3.2D| JEEP Grand Cherokee 2.7CRD 93-</t>
  </si>
  <si>
    <t>11276FE</t>
  </si>
  <si>
    <t>11276  FEBI - РћР±РІС–РґРЅРёР№ СЂРѕР»РёРє</t>
  </si>
  <si>
    <t>BMW, VAG, MB W202, W203, W210, W638  00- (РѕР±РІ. ALT)</t>
  </si>
  <si>
    <t>11280FE</t>
  </si>
  <si>
    <t>11280  FEBI - РќР°РєС–РЅРµС‡РЅРёРє РєРµСЂРјРѕРІРѕС— С‚СЏРіРё</t>
  </si>
  <si>
    <t>184.49</t>
  </si>
  <si>
    <t>FIAT Scudo, PEUGEOT Expert  96-03 L/R</t>
  </si>
  <si>
    <t>11281FE</t>
  </si>
  <si>
    <t>11281  FEBI - РќР°РєС–РЅРµС‡РЅРёРє РєРµСЂРјРѕРІРѕС— С‚СЏРіРё</t>
  </si>
  <si>
    <t>FIAT Ducato, PEUGEOT Boxer  89-02 L/R</t>
  </si>
  <si>
    <t>11350FE</t>
  </si>
  <si>
    <t>11350  FEBI - Р’Р°Р¶С–Р»СЊ РїС–РґРІС–СЃРєРё</t>
  </si>
  <si>
    <t>889.23</t>
  </si>
  <si>
    <t>AUDI A4, A6, VW Passat  96- front L/R lower front</t>
  </si>
  <si>
    <t>11352FE</t>
  </si>
  <si>
    <t>11352  FEBI - Р’Р°Р¶С–Р»СЊ РїС–РґРІС–СЃРєРё</t>
  </si>
  <si>
    <t>973.35</t>
  </si>
  <si>
    <t>AUDI A4, A6, VW Passat  96- front left lower rear</t>
  </si>
  <si>
    <t>11417FE</t>
  </si>
  <si>
    <t>11417  FEBI - РљСѓР»СЊРѕРІР° РѕРїРѕСЂР°</t>
  </si>
  <si>
    <t>165.45</t>
  </si>
  <si>
    <t>PEUGEOT 305, 405  82-95 L/R</t>
  </si>
  <si>
    <t>11423FE</t>
  </si>
  <si>
    <t>11423  FEBI - РўСЏРіР° СЃС‚Р°Р±С–Р»С–Р·Р°С‚РѕСЂР°</t>
  </si>
  <si>
    <t>196.90</t>
  </si>
  <si>
    <t>CITROEN Berlingo, PEUGEOT Partner  96- front L/R</t>
  </si>
  <si>
    <t>11439FE</t>
  </si>
  <si>
    <t>11439  FEBI - Р РµРіСѓР»СЏС‚РѕСЂ Р·С‡РµРїР»РµРЅРЅСЏ</t>
  </si>
  <si>
    <t>FORD Escort  95-99 (r=58mm)\n</t>
  </si>
  <si>
    <t>11443FE</t>
  </si>
  <si>
    <t>11443  FEBI - РџСЂРѕРєР»Р°РґРєР°</t>
  </si>
  <si>
    <t>BMW 3 (E30, E36), 5 (E28, E34, E39), 7 (E32, E38)\n</t>
  </si>
  <si>
    <t>11500FE</t>
  </si>
  <si>
    <t>11500  FEBI - РЎР°Р№Р»РµРЅС‚Р±Р»РѕРє</t>
  </si>
  <si>
    <t>133.65</t>
  </si>
  <si>
    <t>FORD Transit  91-00 L/R rear</t>
  </si>
  <si>
    <t>11574FE</t>
  </si>
  <si>
    <t>11574  FEBI - Р РµР»Рµ</t>
  </si>
  <si>
    <t>83.51</t>
  </si>
  <si>
    <t>VAG  76-98</t>
  </si>
  <si>
    <t>11700FE</t>
  </si>
  <si>
    <t>11700  FEBI - РџР»Р°РЅРєР° РЅР°С‚СЏРіСѓРІР°С‡Р° СЂРµРјРµРЅСЏ</t>
  </si>
  <si>
    <t>659.16</t>
  </si>
  <si>
    <t>MB C-Class (W202), E-Class (W124, W210), G-Class (W463), Sprinter  2.0-3.0  88-06</t>
  </si>
  <si>
    <t>11864FE</t>
  </si>
  <si>
    <t>11864  FEBI - Р’С‚СѓР»РєР° СЃС‚Р°Р±С–Р»С–Р·Р°С‚РѕСЂР°</t>
  </si>
  <si>
    <t>23.94</t>
  </si>
  <si>
    <t>MB Sprinter 2-t, 3-t  95-06 rear L/R inner (d=23mm)</t>
  </si>
  <si>
    <t>11958FE</t>
  </si>
  <si>
    <t>11958  FEBI - РўСЏРіР° РєРµСЂРјРѕРІР°</t>
  </si>
  <si>
    <t>319.01</t>
  </si>
  <si>
    <t>MB W210 EX.4-matic  96-03 L/R</t>
  </si>
  <si>
    <t>11970FE</t>
  </si>
  <si>
    <t>11970  FEBI - РћРїРѕСЂР° Р°РјРѕСЂС‚РёР·Р°С‚РѕСЂР°</t>
  </si>
  <si>
    <t>462.62</t>
  </si>
  <si>
    <t>CITROEN Jumpy, PEUGEOT Expert  94-07 front left</t>
  </si>
  <si>
    <t>11971FE</t>
  </si>
  <si>
    <t>11971  FEBI - РћРїРѕСЂР° Р°РјРѕСЂС‚РёР·Р°С‚РѕСЂР°</t>
  </si>
  <si>
    <t>472.58</t>
  </si>
  <si>
    <t>CITROEN Jumpy, PEUGEOT Expert  94-07 front right</t>
  </si>
  <si>
    <t>12025FE</t>
  </si>
  <si>
    <t>12025  FEBI - РўСЏРіР° РєРµСЂРјРѕРІР°</t>
  </si>
  <si>
    <t>FIAT Ducato, PEUGEOT Boxer  02- L/R</t>
  </si>
  <si>
    <t>12080FE</t>
  </si>
  <si>
    <t>12080  FEBI - РўСЏРіР° СЃС‚Р°Р±С–Р»С–Р·Р°С‚РѕСЂР°</t>
  </si>
  <si>
    <t>286.34</t>
  </si>
  <si>
    <t>CITROEN Jumpy, FIAT Scudo, PEUGEOT 306, Expert  96-07 front L/R</t>
  </si>
  <si>
    <t>12164FE</t>
  </si>
  <si>
    <t>12164  FEBI - РўСЏРіР° СЃС‚Р°Р±С–Р»С–Р·Р°С‚РѕСЂР°</t>
  </si>
  <si>
    <t>68.44</t>
  </si>
  <si>
    <t>RENAULT Kangoo I, Symbol, Rapid  85- front L/R</t>
  </si>
  <si>
    <t>12194FE</t>
  </si>
  <si>
    <t>12194  FEBI - РќР°РєС–РЅРµС‡РЅРёРє РєРµСЂРјРѕРІРѕС— С‚СЏРіРё</t>
  </si>
  <si>
    <t>234.15</t>
  </si>
  <si>
    <t>MB Vito (W638)  96-03 L/R</t>
  </si>
  <si>
    <t>12196FE</t>
  </si>
  <si>
    <t>12196  FEBI - РљСѓР»СЊРѕРІР° РѕРїРѕСЂР°</t>
  </si>
  <si>
    <t>MB Sprinter I  95-06 L/R</t>
  </si>
  <si>
    <t>12197FE</t>
  </si>
  <si>
    <t>12197  FEBI - РќР°РєС–РЅРµС‡РЅРёРє РєРµСЂРјРѕРІРѕС— С‚СЏРіРё</t>
  </si>
  <si>
    <t>MB Sprinter  95-06 L/R</t>
  </si>
  <si>
    <t>12198FE</t>
  </si>
  <si>
    <t>12198  FEBI - РўСЏРіР° РєРµСЂРјРѕРІР°</t>
  </si>
  <si>
    <t>282.36</t>
  </si>
  <si>
    <t>12281FE</t>
  </si>
  <si>
    <t>12281  FEBI - РљРѕСЂРѕРє РјР°СЃР»СЏРЅРѕРіРѕ РїС–РґРґРѕРЅР°</t>
  </si>
  <si>
    <t>VAG  78-03 (M14x1.5)\n</t>
  </si>
  <si>
    <t>12368FE</t>
  </si>
  <si>
    <t>12368  FEBI - РЎР°Р№Р»РµРЅС‚Р±Р»РѕРє Р±Р°Р»РєРё</t>
  </si>
  <si>
    <t>88.67</t>
  </si>
  <si>
    <t>PEUGEOT Expert I/II, CITROEN Jumpy I/II  94-07 rear L/R</t>
  </si>
  <si>
    <t>12373FE</t>
  </si>
  <si>
    <t>12373  FEBI - Р’С‚СѓР»РєР° СЃС‚Р°Р±С–Р»С–Р·Р°С‚РѕСЂР°</t>
  </si>
  <si>
    <t>RENAULT Megane, Clio Symbol  96- front L/R inner (d=23mm)</t>
  </si>
  <si>
    <t>12408FE</t>
  </si>
  <si>
    <t>12408  FEBI - Р•Р»РµРјРµРЅС‚ РєСЂС–РїР»РµРЅРЅСЏ</t>
  </si>
  <si>
    <t>VAG  82-</t>
  </si>
  <si>
    <t>12409FE</t>
  </si>
  <si>
    <t>12409  FEBI - РЈС‰С–Р»СЊРЅСЋСЋС‡Рµ РєС–Р»СЊС†Рµ</t>
  </si>
  <si>
    <t>VAG  83- (d=19.5mm)</t>
  </si>
  <si>
    <t>12528FE</t>
  </si>
  <si>
    <t>12528  FEBI - Р’Р°Р¶С–Р»СЊ РїС–РґРІС–СЃРєРё</t>
  </si>
  <si>
    <t>1572.47</t>
  </si>
  <si>
    <t>BMW 3 (E46)  98-05 front left</t>
  </si>
  <si>
    <t>12554FE</t>
  </si>
  <si>
    <t>12554  FEBI - РџР°С‚СЂСѓР±РѕРє</t>
  </si>
  <si>
    <t>BMW 3 (E30), 5 (E28, E34)\n</t>
  </si>
  <si>
    <t>12565FE</t>
  </si>
  <si>
    <t>12565  FEBI - РќР°РєС–РЅРµС‡РЅРёРє РєРµСЂРјРѕРІРѕС— С‚СЏРіРё</t>
  </si>
  <si>
    <t>228.86</t>
  </si>
  <si>
    <t>MB A-Klasse (BM 168) left</t>
  </si>
  <si>
    <t>12576FE</t>
  </si>
  <si>
    <t>12576  FEBI - Р РµРјРєРѕРјРїР»РµРєС‚ РІР°Р¶РµР»СЏ РїС–РґРІС–СЃРєРё</t>
  </si>
  <si>
    <t>373.73</t>
  </si>
  <si>
    <t>BMW 5 (E39) front L/R upper (2x12577)</t>
  </si>
  <si>
    <t>12642FE</t>
  </si>
  <si>
    <t>12642  FEBI - РџРёР»СЊРѕРІРёРє РєРµСЂРјРѕРІРѕС— С‚СЏРіРё</t>
  </si>
  <si>
    <t>84.96</t>
  </si>
  <si>
    <t>BMW 5 (E39) L/R</t>
  </si>
  <si>
    <t>12646FE</t>
  </si>
  <si>
    <t>12646  FEBI - РџРёР»СЊРѕРІРёРє РєРµСЂРјРѕРІРѕС— С‚СЏРіРё</t>
  </si>
  <si>
    <t>78.44</t>
  </si>
  <si>
    <t>BMW 3 (E36) L/R</t>
  </si>
  <si>
    <t>12660FE</t>
  </si>
  <si>
    <t>12660  FEBI - РљСѓР»СЊРѕРІР° РѕРїРѕСЂР°</t>
  </si>
  <si>
    <t>169.99</t>
  </si>
  <si>
    <t>AUDI A3, VW Golf IV, SKODA Octavia (1U)  96- right</t>
  </si>
  <si>
    <t>12702FE</t>
  </si>
  <si>
    <t>12702  FEBI - РћРїРѕСЂР° Р°РјРѕСЂС‚РёР·Р°С‚РѕСЂР°</t>
  </si>
  <si>
    <t>113.21</t>
  </si>
  <si>
    <t>BMW 3 (E30, E36, E46) Rear L/R</t>
  </si>
  <si>
    <t>12740FE</t>
  </si>
  <si>
    <t>12740  FEBI - РњР°СЃР»СЏРЅРёР№ РЅР°СЃРѕСЃ</t>
  </si>
  <si>
    <t>2947.27</t>
  </si>
  <si>
    <t>MB Sprinter (OM602.940, OM 602.980) 96-</t>
  </si>
  <si>
    <t>12763FE</t>
  </si>
  <si>
    <t>12763  FEBI - Р’С‚СѓР»РєР° СЂРµСЃРѕСЂРё</t>
  </si>
  <si>
    <t>76.52</t>
  </si>
  <si>
    <t>CITROEN Jumper, FIAT Ducato, PEUGEOT Boxer  94-06 rear L/R rear (2x2pcs)</t>
  </si>
  <si>
    <t>12764FE</t>
  </si>
  <si>
    <t>12764  FEBI - Р’С‚СѓР»РєР° СЂРµСЃРѕСЂРё</t>
  </si>
  <si>
    <t>CITROEN Jumper, FIAT Ducato, PEUGEOT Boxer  94-06 rear L/R front</t>
  </si>
  <si>
    <t>12779FE</t>
  </si>
  <si>
    <t>12779  FEBI - РќР°РєС–РЅРµС‡РЅРёРє РєРµСЂРјРѕРІРѕС— С‚СЏРіРё</t>
  </si>
  <si>
    <t>206.67</t>
  </si>
  <si>
    <t>OPEL Astra F, Zafira A  99-05 L/R</t>
  </si>
  <si>
    <t>12780FE</t>
  </si>
  <si>
    <t>12780  FEBI - РўСЏРіР° РєРµСЂРјРѕРІР°</t>
  </si>
  <si>
    <t>OPEL Astra G, Zafira A  99-05 L/R 300mm</t>
  </si>
  <si>
    <t>12833FE</t>
  </si>
  <si>
    <t>12833  FEBI - РќР°РєР»Р°РґРєР° РЅР° РїРµРґР°Р»СЊ</t>
  </si>
  <si>
    <t>#Fiat PKW</t>
  </si>
  <si>
    <t>12934FE</t>
  </si>
  <si>
    <t>12934  FEBI - РљРѕРјРїР»РµРєС‚ РїС–РґС€РёРїРЅРёРєР° СЃС‚СѓРїРёС†С–</t>
  </si>
  <si>
    <t>AUDI 80/90, 100  76-91, VW Golf I-III,  Passat  73-97 rear L/R</t>
  </si>
  <si>
    <t>14038FE</t>
  </si>
  <si>
    <t>14038  FEBI - РћРїРѕСЂР° Р°РјРѕСЂС‚РёР·Р°С‚РѕСЂР°</t>
  </si>
  <si>
    <t>99.23</t>
  </si>
  <si>
    <t>AUDI A4, A6, VW Passat  96-05 front L/R</t>
  </si>
  <si>
    <t>14081FE</t>
  </si>
  <si>
    <t>14081  FEBI - РЎР°Р№Р»РµРЅС‚Р±Р»РѕРє</t>
  </si>
  <si>
    <t>55.73</t>
  </si>
  <si>
    <t>14087FE</t>
  </si>
  <si>
    <t>14087  FEBI - РџРёР»СЊРѕРІРёРє РїСЂРёРІС–РґРЅРѕРіРѕ РІР°Р»Р°</t>
  </si>
  <si>
    <t>189.14</t>
  </si>
  <si>
    <t>MB Vito (W628) Ex.V280  inner L/R</t>
  </si>
  <si>
    <t>14099FE</t>
  </si>
  <si>
    <t>14099  FEBI - Р“Р°Р№РєР°</t>
  </si>
  <si>
    <t>26.21</t>
  </si>
  <si>
    <t>14116FE</t>
  </si>
  <si>
    <t>14116  FEBI - РљРѕРјРїР»РµРєС‚ РѕРїРѕСЂРё Р°РјРѕСЂС‚РёР·Р°С‚РѕСЂР°</t>
  </si>
  <si>
    <t>138.19</t>
  </si>
  <si>
    <t>FORD Galaxy| SEAT Cordoba, Ibiza II, III, Toledo I, II| VW Caddy II, Golf III, IV  1.0-2.9  88-06  (Front, L/R)</t>
  </si>
  <si>
    <t>14146FE</t>
  </si>
  <si>
    <t>14146  FEBI - Р’С‚СѓР»РєР° СЃС‚Р°Р±С–Р»С–Р·Р°С‚РѕСЂР°</t>
  </si>
  <si>
    <t>17.30</t>
  </si>
  <si>
    <t>AUDI 80  -91, VW Passat  -88 front L/R inner (d=20mm)</t>
  </si>
  <si>
    <t>14158FE</t>
  </si>
  <si>
    <t>14158  FEBI - РћРїРѕСЂР° Р°РјРѕСЂС‚РёР·Р°С‚РѕСЂР°</t>
  </si>
  <si>
    <t>27.25</t>
  </si>
  <si>
    <t>AUDI 80  92-96 front L/R lower\n</t>
  </si>
  <si>
    <t>14180FE</t>
  </si>
  <si>
    <t>14180  FEBI - РќР°РєС–РЅРµС‡РЅРёРє РєРµСЂРјРѕРІРѕС— С‚СЏРіРё</t>
  </si>
  <si>
    <t>SKODA Octavia (1U) Ch.1U-W-061001--  96- left</t>
  </si>
  <si>
    <t>14182FE</t>
  </si>
  <si>
    <t>14182  FEBI - РќР°РєС–РЅРµС‡РЅРёРє РєРµСЂРјРѕРІРѕС— С‚СЏРіРё</t>
  </si>
  <si>
    <t>SKODA Octavia (1U) Ch.1U-W-061001--  96- right</t>
  </si>
  <si>
    <t>14226FE</t>
  </si>
  <si>
    <t>14226  FEBI - Р’Р°Р¶С–Р»СЊ РїС–РґРІС–СЃРєРё</t>
  </si>
  <si>
    <t>1632.14</t>
  </si>
  <si>
    <t>MB W140 front right upper</t>
  </si>
  <si>
    <t>14227FE</t>
  </si>
  <si>
    <t>14227  FEBI - Р’Р°Р¶С–Р»СЊ РїС–РґРІС–СЃРєРё</t>
  </si>
  <si>
    <t>MB W140 front left upper</t>
  </si>
  <si>
    <t>14250FE</t>
  </si>
  <si>
    <t>14250  FEBI - РљРѕРјРїР»РµРєС‚ РїС–РґС€РёРїРЅРёРєР° СЃС‚СѓРїРёС†С–</t>
  </si>
  <si>
    <t>353.50</t>
  </si>
  <si>
    <t>VW Bora, Golf IV  96- front L/R</t>
  </si>
  <si>
    <t>14256FE</t>
  </si>
  <si>
    <t>14256  FEBI - Р¤С–Р»СЊС‚СЂ РђРљРџРџ</t>
  </si>
  <si>
    <t>159.86</t>
  </si>
  <si>
    <t>VAG  91-05</t>
  </si>
  <si>
    <t>14266FE</t>
  </si>
  <si>
    <t>14266  FEBI - Р¤С–Р»СЊС‚СЂ РђРљРџРџ</t>
  </si>
  <si>
    <t>AUDI 100, A6, A8  91-98</t>
  </si>
  <si>
    <t>14440FE</t>
  </si>
  <si>
    <t>14440  FEBI - РљСѓР»СЊРѕРІР° РѕРїРѕСЂР°</t>
  </si>
  <si>
    <t>AUDI A3, VW Golf IV, SKODA Octavia (1U)  96- left</t>
  </si>
  <si>
    <t>14444FE</t>
  </si>
  <si>
    <t>14444  FEBI - РљСѓР»СЊРѕРІР° РѕРїРѕСЂР°</t>
  </si>
  <si>
    <t>14491FE</t>
  </si>
  <si>
    <t>14491  FEBI - РћРїРѕСЂР° РљРџРџ</t>
  </si>
  <si>
    <t>CITROEN Jumper, FIAT Ducato, PEUGEOT Boxer  94-02 rear (to car body)</t>
  </si>
  <si>
    <t>14499FE</t>
  </si>
  <si>
    <t>14499  FEBI - РљРѕРјРїР»РµРєС‚ РїС–РґС€РёРїРЅРёРєР° СЃС‚СѓРїРёС†С–</t>
  </si>
  <si>
    <t>323.90</t>
  </si>
  <si>
    <t>FORD Transit  85-00 front L/R</t>
  </si>
  <si>
    <t>14505FE</t>
  </si>
  <si>
    <t>14505  FEBI - РћРїРѕСЂР° Р°РјРѕСЂС‚РёР·Р°С‚РѕСЂР°</t>
  </si>
  <si>
    <t>FORD Transit  91-00 front L/R</t>
  </si>
  <si>
    <t>14520FE</t>
  </si>
  <si>
    <t>14520  FEBI - РЎР°Р№Р»РµРЅС‚Р±Р»РѕРє</t>
  </si>
  <si>
    <t>54.11</t>
  </si>
  <si>
    <t>VW Golf 2, 3 front L/R rear</t>
  </si>
  <si>
    <t>14530FE</t>
  </si>
  <si>
    <t>14530  FEBI - РЎР°Р№Р»РµРЅС‚Р±Р»РѕРє</t>
  </si>
  <si>
    <t>59.75</t>
  </si>
  <si>
    <t>14558FE</t>
  </si>
  <si>
    <t>14558  FEBI - РўСЏРіР° СЃС‚Р°Р±С–Р»С–Р·Р°С‚РѕСЂР°</t>
  </si>
  <si>
    <t>OPEl Astra G, H, Zafira A, B  98-11 front L/R (plastic)</t>
  </si>
  <si>
    <t>14716FE</t>
  </si>
  <si>
    <t>14716  FEBI - Р’С‚СѓР»РєР° СЃС‚Р°Р±С–Р»С–Р·Р°С‚РѕСЂР°</t>
  </si>
  <si>
    <t>23.93</t>
  </si>
  <si>
    <t>AUDI A3, A4, SKODA Octavia (1U), VW GOLF IV  97- front L/R (d=21mm)</t>
  </si>
  <si>
    <t>14739FE</t>
  </si>
  <si>
    <t>14739  FEBI - РЎР°Р№Р»РµРЅС‚Р±Р»РѕРє</t>
  </si>
  <si>
    <t>FORD Transit  91-00 L/R front</t>
  </si>
  <si>
    <t>14897FE</t>
  </si>
  <si>
    <t>14897  FEBI - РЎР°Р№Р»РµРЅС‚Р±Р»РѕРє Р±Р°Р»РєРё</t>
  </si>
  <si>
    <t>346.59</t>
  </si>
  <si>
    <t>MB W210 rear L/R front</t>
  </si>
  <si>
    <t>14906FE</t>
  </si>
  <si>
    <t>14906  FEBI - РџРёР»СЊРѕРІРёРє РїСЂРёРІС–РґРЅРѕРіРѕ РІР°Р»Р°</t>
  </si>
  <si>
    <t>CITROEN Jumper I/II, FIAT Ducato, PEUGEOT Boxer I/II Ex.1.8t  94-06 inner</t>
  </si>
  <si>
    <t>14942FE</t>
  </si>
  <si>
    <t>14942  FEBI - Р’С‚СѓР»РєР° СЃС‚Р°Р±С–Р»С–Р·Р°С‚РѕСЂР°</t>
  </si>
  <si>
    <t>39.48</t>
  </si>
  <si>
    <t>MB W201, W124, W202 front L/R outer (d=18mm)</t>
  </si>
  <si>
    <t>14949FE</t>
  </si>
  <si>
    <t>14949  FEBI - РЎР°Р№Р»РµРЅС‚Р±Р»РѕРє</t>
  </si>
  <si>
    <t>84.46</t>
  </si>
  <si>
    <t>RENAULT Kangoo, Clio Symbol  96- front L/R front/rear</t>
  </si>
  <si>
    <t>14952FE</t>
  </si>
  <si>
    <t>14952  FEBI - Р’С‚СѓР»РєР° СЃС‚Р°Р±С–Р»С–Р·Р°С‚РѕСЂР°</t>
  </si>
  <si>
    <t>56.26</t>
  </si>
  <si>
    <t>MB W2101, W124 front L/R outer (d=22.5mm)\n</t>
  </si>
  <si>
    <t>14954FE</t>
  </si>
  <si>
    <t>14954  FEBI - РћРїРѕСЂР° Р°РјРѕСЂС‚РёР·Р°С‚РѕСЂР°</t>
  </si>
  <si>
    <t>VW Golf 2, 3 front L/R lower\n</t>
  </si>
  <si>
    <t>14956FE</t>
  </si>
  <si>
    <t>14956  FEBI - РћРїРѕСЂР° Р°РјРѕСЂС‚РёР·Р°С‚РѕСЂР°</t>
  </si>
  <si>
    <t>19.57</t>
  </si>
  <si>
    <t>VW Golf 2, 3 front L/R upper\n</t>
  </si>
  <si>
    <t>15068FE</t>
  </si>
  <si>
    <t>15068  FEBI - РљСѓР»СЊРѕРІР° РѕРїРѕСЂР°</t>
  </si>
  <si>
    <t>314.82</t>
  </si>
  <si>
    <t>MITSUBISHI Pajero Sport  98- left lower</t>
  </si>
  <si>
    <t>15069FE</t>
  </si>
  <si>
    <t>15069  FEBI - РљСѓР»СЊРѕРІР° РѕРїРѕСЂР°</t>
  </si>
  <si>
    <t>MITSUBISHI Pajero Sport  98- right lower\n</t>
  </si>
  <si>
    <t>15381FE</t>
  </si>
  <si>
    <t>15381  FEBI - Р’С‚СѓР»РєР° СЃС‚Р°Р±С–Р»С–Р·Р°С‚РѕСЂР°</t>
  </si>
  <si>
    <t>84.21</t>
  </si>
  <si>
    <t>MB W210 Ex.Sport, Ch.A 394036-- front L/R (d=26mm)</t>
  </si>
  <si>
    <t>15386FE</t>
  </si>
  <si>
    <t>15386  FEBI - РџСЂРѕРєР»Р°РґРєР° РєСЂРёС€РєРё РіРѕР»РѕРІРєРё Р±Р»РѕРєСѓ</t>
  </si>
  <si>
    <t>138.54</t>
  </si>
  <si>
    <t>AUDI 80, 100, A3, A4, A6| SKODA Octavia, Superb| VW Bora, Caddy II, Golf II, III, IV, Passat 1.6, 1.8, 2.0  90-08</t>
  </si>
  <si>
    <t>15431FE</t>
  </si>
  <si>
    <t>15431  FEBI - РћРїРѕСЂР° Р°РјРѕСЂС‚РёР·Р°С‚РѕСЂР°</t>
  </si>
  <si>
    <t>241.97</t>
  </si>
  <si>
    <t>VOLVO 850, S60, S80  91- front L/R lower</t>
  </si>
  <si>
    <t>15493FE</t>
  </si>
  <si>
    <t>15493  FEBI - Р—Р°СЃРїРѕРєРѕСЋРІР°С‡ Р»Р°РЅС†СЋРіР° Р“Р Рњ</t>
  </si>
  <si>
    <t>519.22</t>
  </si>
  <si>
    <t>MB OM601 - OM603</t>
  </si>
  <si>
    <t>15620FE</t>
  </si>
  <si>
    <t>15620  FEBI - Р’С‚СѓР»РєР° СЃС‚Р°Р±С–Р»С–Р·Р°С‚РѕСЂР°</t>
  </si>
  <si>
    <t>OPEL Combo, Corsa B, Tigra 1.0-1.7D  93-01  (Front, L/R)  (21,5mm)</t>
  </si>
  <si>
    <t>15655FE</t>
  </si>
  <si>
    <t>15655  FEBI - Р‘РѕР»С‚ РєРѕР»С–СЃРЅРёР№</t>
  </si>
  <si>
    <t>MB W201, W124, W202, W210 (M12x1.5)</t>
  </si>
  <si>
    <t>15676FE</t>
  </si>
  <si>
    <t>15676  FEBI - Р¤С–РєСЃР°С‚РѕСЂ Р·Р°РјРєР°</t>
  </si>
  <si>
    <t>15870FE</t>
  </si>
  <si>
    <t>15870  FEBI - РћРїРѕСЂР° Р°РјРѕСЂС‚РёР·Р°С‚РѕСЂР°</t>
  </si>
  <si>
    <t>229.60</t>
  </si>
  <si>
    <t>SKODA Fabia (6Y)  00-08 front L/R</t>
  </si>
  <si>
    <t>15880FE</t>
  </si>
  <si>
    <t>15880  FEBI - РћРїРѕСЂР° РґРІРёРіСѓРЅР°</t>
  </si>
  <si>
    <t>95.92</t>
  </si>
  <si>
    <t>CITROEN, PEUGEOT  96- rear</t>
  </si>
  <si>
    <t>15920FE</t>
  </si>
  <si>
    <t>15920  FEBI - РљР»Р°РїР°РЅ СЂРµРіСѓР»СЋРІР°Р»СЊРЅРёР№</t>
  </si>
  <si>
    <t>63.42</t>
  </si>
  <si>
    <t>VAG  -91</t>
  </si>
  <si>
    <t>15956FE</t>
  </si>
  <si>
    <t>15956  FEBI - РЎРІС–С‡РєР° СЂРѕР·Р¶Р°СЂСЋРІР°РЅРЅСЏ</t>
  </si>
  <si>
    <t>95.58</t>
  </si>
  <si>
    <t>VAG 78-00 11V (M12x1,25 L=62/20)</t>
  </si>
  <si>
    <t>15960FE</t>
  </si>
  <si>
    <t>15960  FEBI - РЎРІС–С‡РєР° СЂРѕР·Р¶Р°СЂСЋРІР°РЅРЅСЏ</t>
  </si>
  <si>
    <t>PSA diesel, MB OM601-603, 615-617 11V (M12x1,25 L=71/25)</t>
  </si>
  <si>
    <t>15962FE</t>
  </si>
  <si>
    <t>15962  FEBI - РЎРІС–С‡РєР° СЂРѕР·Р¶Р°СЂСЋРІР°РЅРЅСЏ</t>
  </si>
  <si>
    <t>FIAT Ducato 2.5D/TDi  94-02 11.5V (M12x1,25 L=66/20)</t>
  </si>
  <si>
    <t>15978FE</t>
  </si>
  <si>
    <t>15978  FEBI - Р’С‚СѓР»РєР° СЃС‚Р°Р±С–Р»С–Р·Р°С‚РѕСЂР°</t>
  </si>
  <si>
    <t>VW Passat (B3, B4) front left (d=21mm)\n</t>
  </si>
  <si>
    <t>15980FE</t>
  </si>
  <si>
    <t>15980  FEBI - Р’С‚СѓР»РєР° СЃС‚Р°Р±С–Р»С–Р·Р°С‚РѕСЂР°</t>
  </si>
  <si>
    <t>23.59</t>
  </si>
  <si>
    <t>VW Passat (B3, B4) front right (d=21mm)\n</t>
  </si>
  <si>
    <t>15982FE</t>
  </si>
  <si>
    <t>15982  FEBI - Р’С‚СѓР»РєР° СЃС‚Р°Р±С–Р»С–Р·Р°С‚РѕСЂР°</t>
  </si>
  <si>
    <t>22.93</t>
  </si>
  <si>
    <t>VW Passat (B3, B4) front left (d=22.7mm)\n</t>
  </si>
  <si>
    <t>15984FE</t>
  </si>
  <si>
    <t>15984  FEBI - Р’С‚СѓР»РєР° СЃС‚Р°Р±С–Р»С–Р·Р°С‚РѕСЂР°</t>
  </si>
  <si>
    <t>23.26</t>
  </si>
  <si>
    <t>VW Passat (B3, B4) front right (d=22.7mm)\n</t>
  </si>
  <si>
    <t>15986FE</t>
  </si>
  <si>
    <t>15986  FEBI - Р’С‚СѓР»РєР° СЃС‚Р°Р±С–Р»С–Р·Р°С‚РѕСЂР°</t>
  </si>
  <si>
    <t>AUDI 80  -91, VW Passat  -88 front L/R inner (d=19mm)</t>
  </si>
  <si>
    <t>15998FE</t>
  </si>
  <si>
    <t>15998  FEBI - РўСЏРіР° СЃС‚Р°Р±С–Р»С–Р·Р°С‚РѕСЂР°</t>
  </si>
  <si>
    <t>VW Passat (B3/B4)  88-96 front L/R 20mm</t>
  </si>
  <si>
    <t>17000FE</t>
  </si>
  <si>
    <t>17000  FEBI - Р¦РёР»С–РЅРґСЂ Р·Р°РјРєР°</t>
  </si>
  <si>
    <t>VW Golf 2, 3</t>
  </si>
  <si>
    <t>17119FE</t>
  </si>
  <si>
    <t>17119  FEBI - РљСѓР»СЊРѕРІР° РѕРїРѕСЂР°</t>
  </si>
  <si>
    <t>FORD Escort  90-00 L/R</t>
  </si>
  <si>
    <t>17126FE</t>
  </si>
  <si>
    <t>17126  FEBI - РџРёР»СЊРѕРІРёРє РїСЂРёРІС–РґРЅРѕРіРѕ РІР°Р»Р°</t>
  </si>
  <si>
    <t>258.21</t>
  </si>
  <si>
    <t>MB Vito (W638) outer L/R\n</t>
  </si>
  <si>
    <t>17127FE</t>
  </si>
  <si>
    <t>17127  FEBI - РџРёР»СЊРѕРІРёРє РїСЂРёРІС–РґРЅРѕРіРѕ РІР°Р»Р°</t>
  </si>
  <si>
    <t>MB Vito (W638) inner L/R</t>
  </si>
  <si>
    <t>17202FE</t>
  </si>
  <si>
    <t>17202  FEBI - Р РµР»Рµ-СЂРµРіСѓР»СЏС‚РѕСЂ РіРµРЅРµСЂР°С‚РѕСЂР°</t>
  </si>
  <si>
    <t>VAG  -03</t>
  </si>
  <si>
    <t>17214FE</t>
  </si>
  <si>
    <t>17214  FEBI - РўСЏРіР° СЃС‚Р°Р±С–Р»С–Р·Р°С‚РѕСЂР°</t>
  </si>
  <si>
    <t>242.92</t>
  </si>
  <si>
    <t>AUDI A4, A6, VW Passat  96-05 front right</t>
  </si>
  <si>
    <t>17216FE</t>
  </si>
  <si>
    <t>17216  FEBI - РўСЏРіР° СЃС‚Р°Р±С–Р»С–Р·Р°С‚РѕСЂР°</t>
  </si>
  <si>
    <t>AUDI A4, A6, VW Passat  96-05 front left</t>
  </si>
  <si>
    <t>17265FE</t>
  </si>
  <si>
    <t>17265  FEBI - Р’Р°Р¶С–Р»СЊ РїС–РґРІС–СЃРєРё</t>
  </si>
  <si>
    <t>345.22</t>
  </si>
  <si>
    <t>MB W201 W124 W202 W210  82-02 rear L/R</t>
  </si>
  <si>
    <t>17286FE</t>
  </si>
  <si>
    <t>17286  FEBI - Р’С–РґР±С–Р№РЅРёРє Р°РјРѕСЂС‚РёР·Р°С‚РѕСЂР°</t>
  </si>
  <si>
    <t>BMW 3 (E36, E46) rear</t>
  </si>
  <si>
    <t>17317FE</t>
  </si>
  <si>
    <t>17317  FEBI - РћРїРѕСЂР° Р°РјРѕСЂС‚РёР·Р°С‚РѕСЂР°</t>
  </si>
  <si>
    <t>534.60</t>
  </si>
  <si>
    <t>MB Vito (W638) front L/R</t>
  </si>
  <si>
    <t>17321FE</t>
  </si>
  <si>
    <t>17321  FEBI - РЎР°Р№Р»РµРЅС‚Р±Р»РѕРє</t>
  </si>
  <si>
    <t>85.26</t>
  </si>
  <si>
    <t>OPEL Vectra A  Ch.P 2603823 -- R 2587415 / P 8146890 -- R 8145949 front L/R rear</t>
  </si>
  <si>
    <t>17376FE</t>
  </si>
  <si>
    <t>17376  FEBI - РЎР°Р№Р»РµРЅС‚Р±Р»РѕРє</t>
  </si>
  <si>
    <t>OPEL Vectra B  95-03 rear L/R outer</t>
  </si>
  <si>
    <t>17473FE</t>
  </si>
  <si>
    <t>17473  FEBI - Р’С‚СѓР»РєР° СЃС‚Р°Р±С–Р»С–Р·Р°С‚РѕСЂР°</t>
  </si>
  <si>
    <t>48.04</t>
  </si>
  <si>
    <t>MB W202 Ex.Sport front L/R inner</t>
  </si>
  <si>
    <t>17635FE</t>
  </si>
  <si>
    <t>17635  FEBI - Р¤С–Р»СЊС‚СЂ РїР°Р»РёРІР°</t>
  </si>
  <si>
    <t>OPEL Omega B 2.0-3.2, Vectra B 1.6-2.6 95-</t>
  </si>
  <si>
    <t>17665FE</t>
  </si>
  <si>
    <t>17665  FEBI - Р”Р°С‚С‡РёРє С‚РёСЃРєСѓ РјР°СЃР»Р°</t>
  </si>
  <si>
    <t>OPEL Vectra C, Astra H, CHEVROLET Aveo, Cruze</t>
  </si>
  <si>
    <t>17695FE</t>
  </si>
  <si>
    <t>17695  FEBI - Р”Р°С‚С‡РёРє С‚РµРјРїРµСЂР°С‚СѓСЂРё</t>
  </si>
  <si>
    <t>#Opel PKW</t>
  </si>
  <si>
    <t>17706FE</t>
  </si>
  <si>
    <t>17706  FEBI - Р‘РѕР»С‚</t>
  </si>
  <si>
    <t>OPEL Ascona C, Kadett E, Vectra A, Omega A, Astra F\n</t>
  </si>
  <si>
    <t>17723FE</t>
  </si>
  <si>
    <t>17723  FEBI - РљСѓР»СЊРѕРІР° РѕРїРѕСЂР°</t>
  </si>
  <si>
    <t>202.13</t>
  </si>
  <si>
    <t>CITROEN Berlingo, PEUGEOT Partner  96-99 L/R (16mm)</t>
  </si>
  <si>
    <t>17729FE</t>
  </si>
  <si>
    <t>17729  FEBI - Р’С‚СѓР»РєР° СЃС‚Р°Р±С–Р»С–Р·Р°С‚РѕСЂР°</t>
  </si>
  <si>
    <t>OPEL Vectra B, Astra G, Corsa C front L/R (d=16mm)</t>
  </si>
  <si>
    <t>17730FE</t>
  </si>
  <si>
    <t>17730  FEBI - Р’С‚СѓР»РєР° СЃС‚Р°Р±С–Р»С–Р·Р°С‚РѕСЂР°</t>
  </si>
  <si>
    <t>OPELAstra G front L/R (d=18mm)</t>
  </si>
  <si>
    <t>17766FE</t>
  </si>
  <si>
    <t>17766  FEBI - РўСЏРіР° РєРµСЂРјРѕРІР°</t>
  </si>
  <si>
    <t>226.07</t>
  </si>
  <si>
    <t>CITROEN Berlingo I/II, PEUGEOT Partner I/II  96-08 L/R</t>
  </si>
  <si>
    <t>17781FE</t>
  </si>
  <si>
    <t>17781  FEBI - РЎР°Р№Р»РµРЅС‚Р±Р»РѕРє</t>
  </si>
  <si>
    <t>CITROEN Berlingo, PEUGEOT Partner  96-02 front L/R rear</t>
  </si>
  <si>
    <t>17979FE</t>
  </si>
  <si>
    <t>17979  FEBI - РЎРІС–С‡РєР° СЂРѕР·Р¶Р°СЂСЋРІР°РЅРЅСЏ</t>
  </si>
  <si>
    <t>VAG 1.9TDi, 2.5TDi, RENAULT 1.9dCi/dTi  11V (M10x1 L=92/24)</t>
  </si>
  <si>
    <t>18075FE</t>
  </si>
  <si>
    <t>18075  FEBI - Р’С‚СѓР»РєР° СЃС‚Р°Р±С–Р»С–Р·Р°С‚РѕСЂР°</t>
  </si>
  <si>
    <t>41.93</t>
  </si>
  <si>
    <t>MB Vito (W638, W639), Sprinter II rear L/R inner (d=24mm)</t>
  </si>
  <si>
    <t>18076FE</t>
  </si>
  <si>
    <t>18076  FEBI - РўСЏРіР° СЃС‚Р°Р±С–Р»С–Р·Р°С‚РѕСЂР°</t>
  </si>
  <si>
    <t>FORD Transit  85-00 front right</t>
  </si>
  <si>
    <t>18077FE</t>
  </si>
  <si>
    <t>18077  FEBI - РўСЏРіР° СЃС‚Р°Р±С–Р»С–Р·Р°С‚РѕСЂР°</t>
  </si>
  <si>
    <t>FORD Transit  85-00 front left</t>
  </si>
  <si>
    <t>18107FE</t>
  </si>
  <si>
    <t>18107  FEBI - РўСЏРіР° СЃС‚Р°Р±С–Р»С–Р·Р°С‚РѕСЂР°</t>
  </si>
  <si>
    <t>177.67</t>
  </si>
  <si>
    <t>TOYOTA Corolla (E10, E11)  92-02 front L/R</t>
  </si>
  <si>
    <t>18179FE</t>
  </si>
  <si>
    <t>18179  FEBI - РЎР°Р№Р»РµРЅС‚Р±Р»РѕРє</t>
  </si>
  <si>
    <t>83.86</t>
  </si>
  <si>
    <t>CITROEN C4 I/II, Berlingo III, PEUGEOT 206, 307, 308, Partner III  98- front L/R rear</t>
  </si>
  <si>
    <t>18191FE</t>
  </si>
  <si>
    <t>18191  FEBI - РљРѕРјРїР»РµРєС‚ РїС–РґС€РёРїРЅРёРєР° СЃС‚СѓРїРёС†С–</t>
  </si>
  <si>
    <t>448.99</t>
  </si>
  <si>
    <t>CITROEN C2, C3, PEUGEOT 106, 206, 306 front L/R</t>
  </si>
  <si>
    <t>18264FE</t>
  </si>
  <si>
    <t>18264  FEBI - РўСЏРіР° СЃС‚Р°Р±С–Р»С–Р·Р°С‚РѕСЂР°</t>
  </si>
  <si>
    <t>152.90</t>
  </si>
  <si>
    <t>AUDI A3, SEAT Toledo, VW Golf  98-04 front L/R plastik</t>
  </si>
  <si>
    <t>18299FE</t>
  </si>
  <si>
    <t>18299  FEBI - Р’С‚СѓР»РєР° СЃС‚Р°Р±С–Р»С–Р·Р°С‚РѕСЂР°</t>
  </si>
  <si>
    <t>16.52</t>
  </si>
  <si>
    <t>MERCEDES Sprinter I, VW LT  95-06  front L/R outer (2x2pcs.) /37740 01/</t>
  </si>
  <si>
    <t>18300FE</t>
  </si>
  <si>
    <t>18300  FEBI - РћРїРѕСЂР° РєР°СЂРґР°РЅРЅРѕРіРѕ РІР°Р»Р°</t>
  </si>
  <si>
    <t>579.50</t>
  </si>
  <si>
    <t>FORD Transit  91- (d=30mm)</t>
  </si>
  <si>
    <t>18365FE</t>
  </si>
  <si>
    <t>18365  FEBI - Р’С–РґР±С–Р№РЅРёРє Р°РјРѕСЂС‚РёР·Р°С‚РѕСЂР°</t>
  </si>
  <si>
    <t>AUDI A3 (8L), SKODA Octavia (1U), VW Golf 3 Ex.Sport front L/R (h=63mm)</t>
  </si>
  <si>
    <t>18400FE</t>
  </si>
  <si>
    <t>18400  FEBI - Р’С–РґР±С–Р№РЅРёРє Р°РјРѕСЂС‚РёР·Р°С‚РѕСЂР°</t>
  </si>
  <si>
    <t>SKODA Octavia (1U) !!!HD rear L/R (h=143mm)</t>
  </si>
  <si>
    <t>18404FE</t>
  </si>
  <si>
    <t>18404  FEBI - РЎРІС–С‡РєР° СЂРѕР·Р¶Р°СЂСЋРІР°РЅРЅСЏ</t>
  </si>
  <si>
    <t>MB Sprinter 2010D-412D  95-06 11.5V (M12x1,25 L=87/27)</t>
  </si>
  <si>
    <t>18492FE</t>
  </si>
  <si>
    <t>18492  FEBI - РЎР°Р№Р»РµРЅС‚Р±Р»РѕРє</t>
  </si>
  <si>
    <t>168.07</t>
  </si>
  <si>
    <t>AUDI 80/100/A6 Quattro  85-97 rear L/R inner</t>
  </si>
  <si>
    <t>18497FE</t>
  </si>
  <si>
    <t>18497  FEBI - РЎР°Р№Р»РµРЅС‚Р±Р»РѕРє</t>
  </si>
  <si>
    <t>194.45</t>
  </si>
  <si>
    <t>FORD Focus  98-04 front L/R rear</t>
  </si>
  <si>
    <t>18572FE</t>
  </si>
  <si>
    <t>18572  FEBI - Р“Р°Р»СЊРјС–РІРЅРёР№ С€Р»Р°РЅРі</t>
  </si>
  <si>
    <t>MB Sprinter 95-06 front/rear 412mm</t>
  </si>
  <si>
    <t>18604FE</t>
  </si>
  <si>
    <t>18604  FEBI - Р’С‚СѓР»РєР° СЃС‚Р°Р±С–Р»С–Р·Р°С‚РѕСЂР°</t>
  </si>
  <si>
    <t>MB Sprinter 2-3t  95-06  front L/R inner (d=22mm) /37741 01/\n</t>
  </si>
  <si>
    <t>18740FE</t>
  </si>
  <si>
    <t>18740  FEBI - РљСѓР»СЊРѕРІР° РѕРїРѕСЂР°</t>
  </si>
  <si>
    <t>255.22</t>
  </si>
  <si>
    <t>VW T4 Ch.70-T-200000-- L/R lower</t>
  </si>
  <si>
    <t>18776FE</t>
  </si>
  <si>
    <t>18776  FEBI - РЈС‰С–Р»СЊРЅСЋСЋС‡Рµ РєС–Р»СЊС†Рµ</t>
  </si>
  <si>
    <t>29.84</t>
  </si>
  <si>
    <t>VAG  81- (d=60mm)\n</t>
  </si>
  <si>
    <t>18778FE</t>
  </si>
  <si>
    <t>18778  FEBI - РЈС‰С–Р»СЊРЅСЋСЋС‡Рµ РєС–Р»СЊС†Рµ</t>
  </si>
  <si>
    <t>30.40</t>
  </si>
  <si>
    <t>VAG  90-10</t>
  </si>
  <si>
    <t>18866FE</t>
  </si>
  <si>
    <t>18866  FEBI - Р’С–РґР±С–Р№РЅРёРє</t>
  </si>
  <si>
    <t>65.24</t>
  </si>
  <si>
    <t>VW T4</t>
  </si>
  <si>
    <t>18874FE</t>
  </si>
  <si>
    <t>18874  FEBI - Р’С‚СѓР»РєР° СЃС‚Р°Р±С–Р»С–Р·Р°С‚РѕСЂР°</t>
  </si>
  <si>
    <t>26.63</t>
  </si>
  <si>
    <t>MB Sprinter 2-3t  95-06  front L/R inner (d=25mm)</t>
  </si>
  <si>
    <t>18875FE</t>
  </si>
  <si>
    <t>18875  FEBI - Р’С‚СѓР»РєР° СЃС‚Р°Р±С–Р»С–Р·Р°С‚РѕСЂР°</t>
  </si>
  <si>
    <t>42.10</t>
  </si>
  <si>
    <t>MB Sprinter 4t  95-06  rear L/R inner</t>
  </si>
  <si>
    <t>18901FE</t>
  </si>
  <si>
    <t>18901  FEBI - РЎР°Р№Р»РµРЅС‚Р±Р»РѕРє</t>
  </si>
  <si>
    <t>373.87</t>
  </si>
  <si>
    <t>BMW 5 (E39, E60), 7 (E38, E65), X5 (E53)  rear L/R joint</t>
  </si>
  <si>
    <t>18917FE</t>
  </si>
  <si>
    <t>18917  FEBI - Р’С‚СѓР»РєР° СЃС‚Р°Р±С–Р»С–Р·Р°С‚РѕСЂР°</t>
  </si>
  <si>
    <t>VOLVO 240/260, 740/760, 940  81-98 front L/R outer (2x2pcs.)\n</t>
  </si>
  <si>
    <t>18984FE</t>
  </si>
  <si>
    <t>18984  FEBI - РўСЏРіР° СЃС‚Р°Р±С–Р»С–Р·Р°С‚РѕСЂР°</t>
  </si>
  <si>
    <t>VW T4 front L/R (d=23mm)</t>
  </si>
  <si>
    <t>19099FE</t>
  </si>
  <si>
    <t>19099  FEBI - РЎРІС–С‡РєР° СЂРѕР·Р¶Р°СЂСЋРІР°РЅРЅСЏ</t>
  </si>
  <si>
    <t>136.44</t>
  </si>
  <si>
    <t>PSA 1.9D  98- 11V (M10x1 L=90/30)</t>
  </si>
  <si>
    <t>19186FE</t>
  </si>
  <si>
    <t>19186  FEBI - Р”Р°С‚С‡РёРє Р·РЅРѕСЃСѓ РіР°Р»СЊРјС–РІРЅРёС… РєРѕР»РѕРґРѕРє</t>
  </si>
  <si>
    <t>MB W203, W204, W211, W220 94mm</t>
  </si>
  <si>
    <t>19223FE</t>
  </si>
  <si>
    <t>19223  FEBI - РЎРІС–С‡РєР° СЂРѕР·Р¶Р°СЂСЋРІР°РЅРЅСЏ</t>
  </si>
  <si>
    <t>MB OM601-OM603  86-00 11.5V (M12x1,25 L=69/22)</t>
  </si>
  <si>
    <t>19225FE</t>
  </si>
  <si>
    <t>19225  FEBI - РўСЏРіР° СЃС‚Р°Р±С–Р»С–Р·Р°С‚РѕСЂР°</t>
  </si>
  <si>
    <t>204.40</t>
  </si>
  <si>
    <t>CITROEN Xantia, C5, PEUGEOT 406, 607  93- front L/R</t>
  </si>
  <si>
    <t>19249FE</t>
  </si>
  <si>
    <t>19249  FEBI - РЎРІС–С‡РєР° СЂРѕР·Р¶Р°СЂСЋРІР°РЅРЅСЏ</t>
  </si>
  <si>
    <t>RENAULT 1.9D 11V (M10x1 L=93/25)</t>
  </si>
  <si>
    <t>19267FE</t>
  </si>
  <si>
    <t>19267  FEBI - РўСЂРѕСЃ СЃРїС–РґРѕРјРµС‚СЂР°</t>
  </si>
  <si>
    <t>441.83</t>
  </si>
  <si>
    <t>MB W124 1430mm</t>
  </si>
  <si>
    <t>19286FE</t>
  </si>
  <si>
    <t>19286  FEBI - РџРёР»СЊРѕРІРёРє Р°РјРѕСЂС‚РёР·Р°С‚РѕСЂР°</t>
  </si>
  <si>
    <t>AUDI A3, SKODA Fabia (6Y), Rapid, VW Golf IV  97-03 rear L/R</t>
  </si>
  <si>
    <t>19294FE</t>
  </si>
  <si>
    <t>19294  FEBI - РљРѕСЂРѕРє РјР°СЃР»СЏРЅРѕРіРѕ РїС–РґРґРѕРЅР°</t>
  </si>
  <si>
    <t>VAG  76-03</t>
  </si>
  <si>
    <t>19332FE</t>
  </si>
  <si>
    <t>19332  FEBI - РўСЏРіР° СЃС‚Р°Р±С–Р»С–Р·Р°С‚РѕСЂР°</t>
  </si>
  <si>
    <t>MB A-Klasse (W168) front L/R\n</t>
  </si>
  <si>
    <t>19333FE</t>
  </si>
  <si>
    <t>19333  FEBI - РўСЏРіР° СЃС‚Р°Р±С–Р»С–Р·Р°С‚РѕСЂР°</t>
  </si>
  <si>
    <t>233.06</t>
  </si>
  <si>
    <t>MB W203 Ex.Sport Susp., Ex.4-matic  front L/R</t>
  </si>
  <si>
    <t>19341FE</t>
  </si>
  <si>
    <t>19341  FEBI - Р‘РѕР»С‚ РєРѕР»С–СЃРЅРёР№</t>
  </si>
  <si>
    <t>FIAT  97- (M12x1.25)</t>
  </si>
  <si>
    <t>19381FE</t>
  </si>
  <si>
    <t>19381  FEBI - РўР°СЂС–Р»РєР° РїСЂСѓР¶РёРЅРё</t>
  </si>
  <si>
    <t>97.83</t>
  </si>
  <si>
    <t>VW Golf 2, 3 rear L/R</t>
  </si>
  <si>
    <t>19397FE</t>
  </si>
  <si>
    <t>19397  FEBI - РўСЏРіР° СЃС‚Р°Р±С–Р»С–Р·Р°С‚РѕСЂР°</t>
  </si>
  <si>
    <t>CITROEN Berlingo III, C4, PEUGEOT 307, 308, Partner III front  01- L/R</t>
  </si>
  <si>
    <t>19422FE</t>
  </si>
  <si>
    <t>19422  FEBI - РЈС‰С–Р»СЊРЅСЋСЋС‡Рµ РєС–Р»СЊС†Рµ</t>
  </si>
  <si>
    <t>VW T4 (d=26mm)</t>
  </si>
  <si>
    <t>19447FE</t>
  </si>
  <si>
    <t>19447  FEBI - РЎРІС–С‡РєР° СЂРѕР·Р¶Р°СЂСЋРІР°РЅРЅСЏ</t>
  </si>
  <si>
    <t>FORD 1.8 diesel 11V (M10x1 L=95/25)</t>
  </si>
  <si>
    <t>19452FE</t>
  </si>
  <si>
    <t>19452  FEBI - Р’С‚СѓР»РєР° СЃС‚Р°Р±С–Р»С–Р·Р°С‚РѕСЂР°</t>
  </si>
  <si>
    <t>51.19</t>
  </si>
  <si>
    <t>FORD Focus  98-04 front L/R</t>
  </si>
  <si>
    <t>19453FE</t>
  </si>
  <si>
    <t>19453  FEBI - Р’С‚СѓР»РєР° СЃС‚Р°Р±С–Р»С–Р·Р°С‚РѕСЂР°</t>
  </si>
  <si>
    <t>65.16</t>
  </si>
  <si>
    <t>FORD Galaxy, VW Sharan  95-10 front L/R\n</t>
  </si>
  <si>
    <t>19518FE</t>
  </si>
  <si>
    <t>19518  FEBI - РўСЏРіР° СЃС‚Р°Р±С–Р»С–Р·Р°С‚РѕСЂР°</t>
  </si>
  <si>
    <t>245.61</t>
  </si>
  <si>
    <t>AUDI A2, SKODA Fabia (6Y), VW Polo  00- front L/R</t>
  </si>
  <si>
    <t>19524FE</t>
  </si>
  <si>
    <t>19524  FEBI - Р•Р»РµРјРµРЅС‚ РєСЂС–РїР»РµРЅРЅСЏ</t>
  </si>
  <si>
    <t>VAG  90-</t>
  </si>
  <si>
    <t>19562FE</t>
  </si>
  <si>
    <t>19562  FEBI - РљСѓР»СЊРѕРІР° РѕРїРѕСЂР°</t>
  </si>
  <si>
    <t>316.75</t>
  </si>
  <si>
    <t>19604FE</t>
  </si>
  <si>
    <t>19604  FEBI - РќР°РєС–РЅРµС‡РЅРёРє РєРµСЂРјРѕРІРѕС— С‚СЏРіРё</t>
  </si>
  <si>
    <t>184.59</t>
  </si>
  <si>
    <t>RENAULT Kangoo  99-08 right</t>
  </si>
  <si>
    <t>19605FE</t>
  </si>
  <si>
    <t>19605  FEBI - РќР°РєС–РЅРµС‡РЅРёРє РєРµСЂРјРѕРІРѕС— С‚СЏРіРё</t>
  </si>
  <si>
    <t>RENAULT Kangoo  99-08 left</t>
  </si>
  <si>
    <t>19618FE</t>
  </si>
  <si>
    <t>19618  FEBI - Р’С–РґР±С–Р№РЅРёРє Р°РјРѕСЂС‚РёР·Р°С‚РѕСЂР°</t>
  </si>
  <si>
    <t>CITROEN Berlingo, Xsara, Zx| PEUGEOT 205, 309, 405 II, Partner 1.1-2.0HDI  84-  (Front, L/R)</t>
  </si>
  <si>
    <t>19667FE</t>
  </si>
  <si>
    <t>19667  FEBI - РўСЏРіР° СЃС‚Р°Р±С–Р»С–Р·Р°С‚РѕСЂР°</t>
  </si>
  <si>
    <t>BMW X5 (E53)  00- front left</t>
  </si>
  <si>
    <t>19668FE</t>
  </si>
  <si>
    <t>19668  FEBI - РўСЏРіР° СЃС‚Р°Р±С–Р»С–Р·Р°С‚РѕСЂР°</t>
  </si>
  <si>
    <t>BMW X5 (E53)  00- front right</t>
  </si>
  <si>
    <t>19675FE</t>
  </si>
  <si>
    <t>19675  FEBI - РћРїРѕСЂР° Р°РјРѕСЂС‚РёР·Р°С‚РѕСЂР°</t>
  </si>
  <si>
    <t>FORD Focus, Connect  98-13 front L/R\n</t>
  </si>
  <si>
    <t>19685FE</t>
  </si>
  <si>
    <t>19685  FEBI - РўСЏРіР° СЃС‚Р°Р±С–Р»С–Р·Р°С‚РѕСЂР°</t>
  </si>
  <si>
    <t>MB W203 Sport  00-07 front L/R (M12x1,5)</t>
  </si>
  <si>
    <t>19702FE</t>
  </si>
  <si>
    <t>19702  FEBI - РўСЏРіР° СЃС‚Р°Р±С–Р»С–Р·Р°С‚РѕСЂР°</t>
  </si>
  <si>
    <t>19704FE</t>
  </si>
  <si>
    <t>19704  FEBI - РўСЏРіР° СЃС‚Р°Р±С–Р»С–Р·Р°С‚РѕСЂР°</t>
  </si>
  <si>
    <t>19804FE</t>
  </si>
  <si>
    <t>19804  FEBI - РћРїРѕСЂР° РљРџРџ</t>
  </si>
  <si>
    <t>200.21</t>
  </si>
  <si>
    <t>AUDI 80  87-96 rear L/R</t>
  </si>
  <si>
    <t>19882FE</t>
  </si>
  <si>
    <t>19882  FEBI - РЎРІС–С‡РєР° СЂРѕР·Р¶Р°СЂСЋРІР°РЅРЅСЏ</t>
  </si>
  <si>
    <t>166.32</t>
  </si>
  <si>
    <t>BMW M57D25, M57D30  98- 11V (M10x1 L=107/33)</t>
  </si>
  <si>
    <t>19897FE</t>
  </si>
  <si>
    <t>19897  FEBI - РљРѕРјРїР»РµРєС‚ РїС–РґС€РёРїРЅРёРєР° СЃС‚СѓРїРёС†С–</t>
  </si>
  <si>
    <t>479.26</t>
  </si>
  <si>
    <t>RENAULT Kangoo I  97-10 rear (not for increased payload)</t>
  </si>
  <si>
    <t>19926FE</t>
  </si>
  <si>
    <t>19926  FEBI - РЎР°Р№Р»РµРЅС‚Р±Р»РѕРє</t>
  </si>
  <si>
    <t>VAG 4x4  97- front L/R upper front</t>
  </si>
  <si>
    <t>19932FE</t>
  </si>
  <si>
    <t>19932  FEBI - Р’Р°Р¶С–Р»СЊ РїС–РґРІС–СЃРєРё</t>
  </si>
  <si>
    <t>AUDI A4, A6, A8, VW Passat  96- front L/R lower front</t>
  </si>
  <si>
    <t>19945FE</t>
  </si>
  <si>
    <t>19945  FEBI - РџС–РґС€РёРїРЅРёРє РїС–РІРІС–СЃС–</t>
  </si>
  <si>
    <t>495.44</t>
  </si>
  <si>
    <t>FORD B-Max, C-Max I, II, Fiesta IV, V, VI, Focus I, II, III, Fusion, Galaxy 1.0-3.2D  95-  (75x45x19)</t>
  </si>
  <si>
    <t>19953FE</t>
  </si>
  <si>
    <t>19953  FEBI - Р’С‚СѓР»РєР° РљРџРџ</t>
  </si>
  <si>
    <t>MB W123, W201, W124, W202, W210, W220, W211</t>
  </si>
  <si>
    <t>21015FE</t>
  </si>
  <si>
    <t>21015  FEBI - РўСЏРіР° СЃС‚Р°Р±С–Р»С–Р·Р°С‚РѕСЂР°</t>
  </si>
  <si>
    <t>259.61</t>
  </si>
  <si>
    <t>RENAULT Megane II, Scinic II, Kangoo II  02- front L/R (L=285mm)</t>
  </si>
  <si>
    <t>21021FE</t>
  </si>
  <si>
    <t>21021  FEBI - РўСЏРіР° СЃС‚Р°Р±С–Р»С–Р·Р°С‚РѕСЂР°</t>
  </si>
  <si>
    <t>213.42</t>
  </si>
  <si>
    <t>FORD Fiesta, Fusion  01- front L/R</t>
  </si>
  <si>
    <t>21033FE</t>
  </si>
  <si>
    <t>21033  FEBI - РћР±РІС–РґРЅРёР№ СЂРѕР»РёРє</t>
  </si>
  <si>
    <t>320.41</t>
  </si>
  <si>
    <t>DACIA Logan, Sandero| MITSUBISHI Carisma| NISSAN Iinterstar, Primastar| OPEL Movano, Vivaro 1.4-2.0  96-</t>
  </si>
  <si>
    <t>21107FE</t>
  </si>
  <si>
    <t>21107  FEBI - Р’С–РґР±С–Р№РЅРёРє Р°РјРѕСЂС‚РёР·Р°С‚РѕСЂР°</t>
  </si>
  <si>
    <t>124.22</t>
  </si>
  <si>
    <t>BMW 5 (E39), 7 (E38) rear</t>
  </si>
  <si>
    <t>21124FE</t>
  </si>
  <si>
    <t>21124  FEBI - Р’С‚СѓР»РєР° СЃС‚Р°Р±С–Р»С–Р·Р°С‚РѕСЂР°</t>
  </si>
  <si>
    <t>OPEL Omega B front L/R\n\n</t>
  </si>
  <si>
    <t>21171FE</t>
  </si>
  <si>
    <t>21171  FEBI - РџРёР»СЊРѕРІРёРє РєРµСЂРјРѕРІРѕС— С‚СЏРіРё</t>
  </si>
  <si>
    <t>70.23</t>
  </si>
  <si>
    <t>RENAULT Kangoo  97-08 L/R (SMI)</t>
  </si>
  <si>
    <t>21172FE</t>
  </si>
  <si>
    <t>21172  FEBI - РџРёР»СЊРѕРІРёРє РєРµСЂРјРѕРІРѕС— С‚СЏРіРё</t>
  </si>
  <si>
    <t>RENAULT Laguna I  96-01 L/R</t>
  </si>
  <si>
    <t>21175FE</t>
  </si>
  <si>
    <t>21175  FEBI - Р‘РѕР»С‚ РєРѕР»С–СЃРЅРёР№</t>
  </si>
  <si>
    <t>PSA  96- (M12x1.25)</t>
  </si>
  <si>
    <t>21196FE</t>
  </si>
  <si>
    <t>21196  FEBI - Р’Р°Р¶С–Р»СЊ РїС–РґРІС–СЃРєРё</t>
  </si>
  <si>
    <t>1037.58</t>
  </si>
  <si>
    <t>21198FE</t>
  </si>
  <si>
    <t>21198  FEBI - Р’Р°Р¶С–Р»СЊ РїС–РґРІС–СЃРєРё</t>
  </si>
  <si>
    <t>966.44</t>
  </si>
  <si>
    <t>AUDI A4, A6, VW Passat  96- front right lower rear</t>
  </si>
  <si>
    <t>21231FE</t>
  </si>
  <si>
    <t>21231  FEBI - Р—Р°СЃРїРѕРєРѕСЋРІР°С‡ Р»Р°РЅС†СЋРіР° Р“Р Рњ</t>
  </si>
  <si>
    <t>563.25</t>
  </si>
  <si>
    <t>MB M112, M113  97-</t>
  </si>
  <si>
    <t>21240FE</t>
  </si>
  <si>
    <t>21240  FEBI - РћРїРѕСЂР° РґРІРёРіСѓРЅР°</t>
  </si>
  <si>
    <t>438.46</t>
  </si>
  <si>
    <t>AUDI A4, A6, VW Passat 2.4-2.8 V6  94-05 L/R</t>
  </si>
  <si>
    <t>21245FE</t>
  </si>
  <si>
    <t>21245  FEBI - РџРёР»СЊРѕРІРёРє РїСЂРёРІС–РґРЅРѕРіРѕ РІР°Р»Р°</t>
  </si>
  <si>
    <t>OPEL Zafira, Vectra C  1.8 16V, 2.0DTI, 2.2i   00-  (L=110, O1=26, O2=87)</t>
  </si>
  <si>
    <t>21257FE</t>
  </si>
  <si>
    <t>21257  FEBI - РџРёР»СЊРѕРІРёРє РєРµСЂРјРѕРІРѕС— С‚СЏРіРё</t>
  </si>
  <si>
    <t>82.46</t>
  </si>
  <si>
    <t>FORD Focus  98-04 L/R</t>
  </si>
  <si>
    <t>21284FE</t>
  </si>
  <si>
    <t>21284  FEBI - РќР°РєС–РЅРµС‡РЅРёРє РєРµСЂРјРѕРІРѕС— С‚СЏРіРё</t>
  </si>
  <si>
    <t>247.97</t>
  </si>
  <si>
    <t>OPEL Vivaro, RENAULT Trafic  01- right</t>
  </si>
  <si>
    <t>21332FE</t>
  </si>
  <si>
    <t>21332  FEBI - РЎР°Р№Р»РµРЅС‚Р±Р»РѕРє</t>
  </si>
  <si>
    <t>OPEL Vectra B  95-02 rear L/R inner</t>
  </si>
  <si>
    <t>21357FE</t>
  </si>
  <si>
    <t>21357  FEBI - РўСЏРіР° СЃС‚Р°Р±С–Р»С–Р·Р°С‚РѕСЂР°</t>
  </si>
  <si>
    <t>404.09</t>
  </si>
  <si>
    <t>MB W211 front left\n</t>
  </si>
  <si>
    <t>21358FE</t>
  </si>
  <si>
    <t>21358  FEBI - РўСЏРіР° СЃС‚Р°Р±С–Р»С–Р·Р°С‚РѕСЂР°</t>
  </si>
  <si>
    <t>MB W211 front right\n</t>
  </si>
  <si>
    <t>21410FE</t>
  </si>
  <si>
    <t>21410  FEBI - РЎР°Р№Р»РµРЅС‚Р±Р»РѕРє</t>
  </si>
  <si>
    <t>274.11</t>
  </si>
  <si>
    <t>MB W211 front L/R lower inner</t>
  </si>
  <si>
    <t>21490FE</t>
  </si>
  <si>
    <t>21490  FEBI - РљСѓР»СЊРѕРІР° РѕРїРѕСЂР°</t>
  </si>
  <si>
    <t>205.63</t>
  </si>
  <si>
    <t>CITROEN Berlingo III, C4, PEUGEOT 307, Partner III  01- L/R</t>
  </si>
  <si>
    <t>21493FE</t>
  </si>
  <si>
    <t>21493  FEBI - РќР°РєС–РЅРµС‡РЅРёРє РєРµСЂРјРѕРІРѕС— С‚СЏРіРё</t>
  </si>
  <si>
    <t>342.07</t>
  </si>
  <si>
    <t>RENAULT Master  98-10 left</t>
  </si>
  <si>
    <t>21494FE</t>
  </si>
  <si>
    <t>21494  FEBI - РќР°РєС–РЅРµС‡РЅРёРє РєРµСЂРјРѕРІРѕС— С‚СЏРіРё</t>
  </si>
  <si>
    <t>RENAULT Master  98-10 right</t>
  </si>
  <si>
    <t>21517FE</t>
  </si>
  <si>
    <t>21517  FEBI - РЎР°Р№Р»РµРЅС‚Р±Р»РѕРє</t>
  </si>
  <si>
    <t>336.66</t>
  </si>
  <si>
    <t>BMW X5 (E53) front L/R front arm</t>
  </si>
  <si>
    <t>21588FE</t>
  </si>
  <si>
    <t>21588  FEBI - Р‘РѕР»С‚ РєРѕР»С–СЃРЅРёР№</t>
  </si>
  <si>
    <t>48.39</t>
  </si>
  <si>
    <t>AUDI Q7, VW Touareg, T5 (M14x1.5)</t>
  </si>
  <si>
    <t>21600FE</t>
  </si>
  <si>
    <t>21600  FEBI - Р¤С–Р»СЊС‚СЂ РїР°Р»РёРІР°</t>
  </si>
  <si>
    <t>VW Bora, Caddy I, II, GOLF II-IV, Jetta II, LT 28-35 I, LT 40-55 I, Passat, Polo, Sharan  1.3D-4.3D  78-10</t>
  </si>
  <si>
    <t>21611FE</t>
  </si>
  <si>
    <t>21611  FEBI - РЎР°Р№Р»РµРЅС‚Р±Р»РѕРє</t>
  </si>
  <si>
    <t>198.75</t>
  </si>
  <si>
    <t>CITROEN Jumper, FIAT Ducato, PEUGEOT Boxer  94-02 front L/R rear</t>
  </si>
  <si>
    <t>21613FE</t>
  </si>
  <si>
    <t>21613  FEBI - РЎР°Р№Р»РµРЅС‚Р±Р»РѕРє</t>
  </si>
  <si>
    <t>CITROEN Jumper, FIAT Ducato, PEUGEOT Boxer  94-02 front L/R front</t>
  </si>
  <si>
    <t>21694FE</t>
  </si>
  <si>
    <t>21694  FEBI - РџРёР»СЊРѕРІРёРє РєРµСЂРјРѕРІРѕС— С‚СЏРіРё</t>
  </si>
  <si>
    <t>VW T4 L/R</t>
  </si>
  <si>
    <t>21698FE</t>
  </si>
  <si>
    <t>21698  FEBI - РџРёР»СЊРѕРІРёРє РєРµСЂРјРѕРІРѕС— С‚СЏРіРё</t>
  </si>
  <si>
    <t>SKODA Octavia (1U) L/R</t>
  </si>
  <si>
    <t>21700FE</t>
  </si>
  <si>
    <t>21700  FEBI - РџРёР»СЊРѕРІРёРє РєРµСЂРјРѕРІРѕС— С‚СЏРіРё</t>
  </si>
  <si>
    <t>SKODA Fabia (6Y) L/R</t>
  </si>
  <si>
    <t>21750FE</t>
  </si>
  <si>
    <t>21750  FEBI - Р РµРјРєРѕРјРїР»РµРєС‚ С‚СЏРіРё СЃС‚Р°Р±С–Р»С–Р·Р°С‚РѕСЂР°</t>
  </si>
  <si>
    <t>516.43</t>
  </si>
  <si>
    <t>FORD Transit Serie 260/280/300  00- front L/R (2С€С‚.)\n</t>
  </si>
  <si>
    <t>21799FE</t>
  </si>
  <si>
    <t>21799  FEBI - РўСЏРіР° СЃС‚Р°Р±С–Р»С–Р·Р°С‚РѕСЂР°</t>
  </si>
  <si>
    <t>232.01</t>
  </si>
  <si>
    <t>MB Vito (W638) CDI (L=230mm) front right /22422FE/</t>
  </si>
  <si>
    <t>21801FE</t>
  </si>
  <si>
    <t>21801  FEBI - РўСЏРіР° СЃС‚Р°Р±С–Р»С–Р·Р°С‚РѕСЂР°</t>
  </si>
  <si>
    <t>MB Vito (W638) CDI (L=230mm) front left /22423FE/</t>
  </si>
  <si>
    <t>21818FE</t>
  </si>
  <si>
    <t>21818  FEBI - Р’С‚СѓР»РєР° СЃС‚Р°Р±С–Р»С–Р·Р°С‚РѕСЂР°</t>
  </si>
  <si>
    <t>CITROEN Berlingo I, PEUGEOT Partner I  96-02 front L/R (d=22mm)</t>
  </si>
  <si>
    <t>21840FE</t>
  </si>
  <si>
    <t>21840  FEBI - РќР°РєС–РЅРµС‡РЅРёРє РєРµСЂРјРѕРІРѕС— С‚СЏРіРё</t>
  </si>
  <si>
    <t>400.95</t>
  </si>
  <si>
    <t>AUDI A4 (8D, 8E, 8H), A6 (4F) L/R  95-11</t>
  </si>
  <si>
    <t>21852FE</t>
  </si>
  <si>
    <t>21852  FEBI - РЎР°Р№Р»РµРЅС‚Р±Р»РѕРє</t>
  </si>
  <si>
    <t>277.31</t>
  </si>
  <si>
    <t>MB Vito (W638)  97-03 front L/R rear</t>
  </si>
  <si>
    <t>21855FE</t>
  </si>
  <si>
    <t>21855  FEBI - Р’С‚СѓР»РєР° СЃС‚Р°Р±С–Р»С–Р·Р°С‚РѕСЂР°</t>
  </si>
  <si>
    <t>FORD Mondeo  93-00 front L/R</t>
  </si>
  <si>
    <t>21906FE</t>
  </si>
  <si>
    <t>21906  FEBI - Р’Р°Р¶С–Р»СЊ РїС–РґРІС–СЃРєРё</t>
  </si>
  <si>
    <t>523.24</t>
  </si>
  <si>
    <t>AUDI A4, A6, A8, VW Passat  96- front right upper rear</t>
  </si>
  <si>
    <t>21985FE</t>
  </si>
  <si>
    <t>21985  FEBI - РџС–РґС€РёРїРЅРёРє РїС–РІРІС–СЃС–</t>
  </si>
  <si>
    <t>144.64</t>
  </si>
  <si>
    <t>RENAULT Kangoo, Laguna, Logan, Trafic II (62x35x14)</t>
  </si>
  <si>
    <t>21999FE</t>
  </si>
  <si>
    <t>21999  FEBI - РљСѓР»СЊРѕРІР° РѕРїРѕСЂР°</t>
  </si>
  <si>
    <t>FORD Transit Ex.high axle load  00- L/R</t>
  </si>
  <si>
    <t>22044FE</t>
  </si>
  <si>
    <t>22044  FEBI - РќР°РєС–РЅРµС‡РЅРёРє РєРµСЂРјРѕРІРѕС— С‚СЏРіРё</t>
  </si>
  <si>
    <t>AUDI A4, A6, A8, VW Passat  96-05 L/R</t>
  </si>
  <si>
    <t>22102FE</t>
  </si>
  <si>
    <t>22102  FEBI - РЎР°Р№Р»РµРЅС‚Р±Р»РѕРє</t>
  </si>
  <si>
    <t>458.60</t>
  </si>
  <si>
    <t>FIAT Scudo, PEUGEOT Expert I/II  96-07 front left</t>
  </si>
  <si>
    <t>22153FE</t>
  </si>
  <si>
    <t>22153  FEBI - РЎР°Р№Р»РµРЅС‚Р±Р»РѕРє</t>
  </si>
  <si>
    <t>FORD Transit  00- front L/R rear</t>
  </si>
  <si>
    <t>22155FE</t>
  </si>
  <si>
    <t>22155  FEBI - РЎР°Р№Р»РµРЅС‚Р±Р»РѕРє</t>
  </si>
  <si>
    <t>106.92</t>
  </si>
  <si>
    <t>FORD Transit  00- front L/R front /37771 01/</t>
  </si>
  <si>
    <t>22265FE</t>
  </si>
  <si>
    <t>22265  FEBI - РљСѓР»СЊРѕРІР° РѕРїРѕСЂР°</t>
  </si>
  <si>
    <t>OPEL Vivaro, RENAULT Laguna, Trafic, Espace  01-06 L/R (d=10mm)</t>
  </si>
  <si>
    <t>22267FE</t>
  </si>
  <si>
    <t>22267  FEBI - РљСѓР»СЊРѕРІР° РѕРїРѕСЂР°</t>
  </si>
  <si>
    <t>284.94</t>
  </si>
  <si>
    <t>CITROEN Jumper II, FIAT Ducato, PEUGEOT Boxer II Ex.1.8t  01-06 L/R (M16x1,5)</t>
  </si>
  <si>
    <t>22379FE</t>
  </si>
  <si>
    <t>22379  FEBI - РўСЏРіР° СЃС‚Р°Р±С–Р»С–Р·Р°С‚РѕСЂР°</t>
  </si>
  <si>
    <t>254.55</t>
  </si>
  <si>
    <t>OPEL Vectra C Ex.IDS  02- front L/R</t>
  </si>
  <si>
    <t>22410FE</t>
  </si>
  <si>
    <t>22410  FEBI - РљСѓР»СЊРѕРІР° РѕРїРѕСЂР°</t>
  </si>
  <si>
    <t>182.57</t>
  </si>
  <si>
    <t>RENAULT Scenic  96-03 L/R</t>
  </si>
  <si>
    <t>22469FE</t>
  </si>
  <si>
    <t>22469  FEBI - РўСЏРіР° РєРµСЂРјРѕРІР°</t>
  </si>
  <si>
    <t>360.24</t>
  </si>
  <si>
    <t>FORD Transit  00- left (M16)</t>
  </si>
  <si>
    <t>22470FE</t>
  </si>
  <si>
    <t>22470  FEBI - РўСЏРіР° РєРµСЂРјРѕРІР°</t>
  </si>
  <si>
    <t>FORD Transit  00- right (M20)</t>
  </si>
  <si>
    <t>22498FE</t>
  </si>
  <si>
    <t>22498  FEBI - РџС–РґС€РёРїРЅРёРє РѕРїРѕСЂРё СЃС‚С–Р№РєРё Р°РјРѕСЂС‚РёР·Р°С‚РѕСЂР°</t>
  </si>
  <si>
    <t>204.31</t>
  </si>
  <si>
    <t>VAG  04- front LR</t>
  </si>
  <si>
    <t>22500FE</t>
  </si>
  <si>
    <t>22500  FEBI - РћРїРѕСЂР° Р°РјРѕСЂС‚РёР·Р°С‚РѕСЂР°</t>
  </si>
  <si>
    <t>AUDI A3,  SKODA Octavia (1Z), VW Caddy (2K), Golf V/VI  04- front L/R</t>
  </si>
  <si>
    <t>22620FE</t>
  </si>
  <si>
    <t>22620  FEBI - РўСЏРіР° РєРµСЂРјРѕРІР°</t>
  </si>
  <si>
    <t>263.98</t>
  </si>
  <si>
    <t>MB W220, W203, W211  98- L/R</t>
  </si>
  <si>
    <t>22661FE</t>
  </si>
  <si>
    <t>22661  FEBI - РЎР°Р№Р»РµРЅС‚Р±Р»РѕРє</t>
  </si>
  <si>
    <t>MB W201, W202, W203 rear L/R</t>
  </si>
  <si>
    <t>22670FE</t>
  </si>
  <si>
    <t>22670  FEBI - РЎР°Р№Р»РµРЅС‚Р±Р»РѕРє</t>
  </si>
  <si>
    <t>130.85</t>
  </si>
  <si>
    <t>MB W140 rear L/R upper rear outer/inner (2x2pcs.)</t>
  </si>
  <si>
    <t>22709FE</t>
  </si>
  <si>
    <t>22709  FEBI - Р’С–РґР±С–Р№РЅРёРє Р°РјРѕСЂС‚РёР·Р°С‚РѕСЂР°</t>
  </si>
  <si>
    <t>VOLVO S60, S80, V70, XC70 front L/R</t>
  </si>
  <si>
    <t>22710FE</t>
  </si>
  <si>
    <t>22710  FEBI - РљСѓР»СЊРѕРІР° РѕРїРѕСЂР°</t>
  </si>
  <si>
    <t>OPEL Movano, RENAULT Master  98-10 L/R upper</t>
  </si>
  <si>
    <t>22714FE</t>
  </si>
  <si>
    <t>22714  FEBI - Р’С‚СѓР»РєР° СЃС‚Р°Р±С–Р»С–Р·Р°С‚РѕСЂР°</t>
  </si>
  <si>
    <t>60.27</t>
  </si>
  <si>
    <t>PEUGEOT 307 front L/R (d=21mm)</t>
  </si>
  <si>
    <t>22715FE</t>
  </si>
  <si>
    <t>22715  FEBI - Р’С‚СѓР»РєР° СЃС‚Р°Р±С–Р»С–Р·Р°С‚РѕСЂР°</t>
  </si>
  <si>
    <t>CITROEN C4 I, PEUGEOT 307  01-09 front L/R</t>
  </si>
  <si>
    <t>22794FE</t>
  </si>
  <si>
    <t>22794  FEBI - Р’С‚СѓР»РєР° СЃС‚Р°Р±С–Р»С–Р·Р°С‚РѕСЂР°</t>
  </si>
  <si>
    <t>SKODA Octavia (1U)  Ch.--1U-4A022800, --1U-42948654, --1U-48756165 (d=19mm)</t>
  </si>
  <si>
    <t>22804FE</t>
  </si>
  <si>
    <t>22804  FEBI - Р’С‚СѓР»РєР° СЃС‚Р°Р±С–Р»С–Р·Р°С‚РѕСЂР°</t>
  </si>
  <si>
    <t>AUDI A3, A4, SKODA Octavia (1U), VW GOLF IV  97- front L/R (d=18mm)</t>
  </si>
  <si>
    <t>22822FE</t>
  </si>
  <si>
    <t>22822  FEBI - РЎР°Р№Р»РµРЅС‚Р±Р»РѕРє</t>
  </si>
  <si>
    <t>135.03</t>
  </si>
  <si>
    <t>OPEL Vivaro, RENAULT Espace, Trafic II  01- front L/R rear</t>
  </si>
  <si>
    <t>22836FE</t>
  </si>
  <si>
    <t>22836  FEBI - РЎРІС–С‡РєР° СЂРѕР·Р¶Р°СЂСЋРІР°РЅРЅСЏ</t>
  </si>
  <si>
    <t>MB 2.2CDi - 2.7CDi 11V (M10x1 L=131/27)</t>
  </si>
  <si>
    <t>22865FE</t>
  </si>
  <si>
    <t>22865  FEBI - РЎР°Р№Р»РµРЅС‚Р±Р»РѕРє</t>
  </si>
  <si>
    <t>77.04</t>
  </si>
  <si>
    <t>NISSAN Micra (K12), RENAULT Clio 3, Modus  04- front L/R front</t>
  </si>
  <si>
    <t>22930FE</t>
  </si>
  <si>
    <t>22930  FEBI - РћРїРѕСЂР° Р°РјРѕСЂС‚РёР·Р°С‚РѕСЂР°</t>
  </si>
  <si>
    <t>275.86</t>
  </si>
  <si>
    <t>SKODA Fabia (6Y), Roomster (5J), VW Polo 4 (6K, 9N)  97- front L/R</t>
  </si>
  <si>
    <t>22939FE</t>
  </si>
  <si>
    <t>22939  FEBI - РЎР°Р№Р»РµРЅС‚Р±Р»РѕРє</t>
  </si>
  <si>
    <t>VOLVO 740/760, 940/960 front L/R inner</t>
  </si>
  <si>
    <t>22988FE</t>
  </si>
  <si>
    <t>22988  FEBI - РЎР°Р№Р»РµРЅС‚Р±Р»РѕРє</t>
  </si>
  <si>
    <t>48.92</t>
  </si>
  <si>
    <t>VW Sharan  95-10 front/rear L/R</t>
  </si>
  <si>
    <t>23116FE</t>
  </si>
  <si>
    <t>23116  FEBI - РћРїРѕСЂР° Р°РјРѕСЂС‚РёР·Р°С‚РѕСЂР°</t>
  </si>
  <si>
    <t>233.41</t>
  </si>
  <si>
    <t>VW T5  03- front L/R\n</t>
  </si>
  <si>
    <t>23229FE</t>
  </si>
  <si>
    <t>23229  FEBI - РљСѓР»СЊРѕРІР° РѕРїРѕСЂР°</t>
  </si>
  <si>
    <t>BMW X5 (E53) L/R</t>
  </si>
  <si>
    <t>23257FE</t>
  </si>
  <si>
    <t>23257  FEBI - РўСЏРіР° СЃС‚Р°Р±С–Р»С–Р·Р°С‚РѕСЂР°</t>
  </si>
  <si>
    <t>FORD Connect  02- front L/R</t>
  </si>
  <si>
    <t>23356FE</t>
  </si>
  <si>
    <t>23356  FEBI - Р’С‚СѓР»РєР° СЃС‚Р°Р±С–Р»С–Р·Р°С‚РѕСЂР°</t>
  </si>
  <si>
    <t>SKODA Octavia (1Z)  04-07 rear L/R (d=18.5mm)</t>
  </si>
  <si>
    <t>23358FE</t>
  </si>
  <si>
    <t>23358  FEBI - Р’С‚СѓР»РєР° СЃС‚Р°Р±С–Р»С–Р·Р°С‚РѕСЂР°</t>
  </si>
  <si>
    <t>SKODA Octavia (1Z)  04-07 rear L/R (d=20.7mm)</t>
  </si>
  <si>
    <t>23360FE</t>
  </si>
  <si>
    <t>23360  FEBI - Р”Р°С‚С‡РёРє Р·РЅРѕСЃСѓ РіР°Р»СЊРјС–РІРЅРёС… РєРѕР»РѕРґРѕРє</t>
  </si>
  <si>
    <t>116.00</t>
  </si>
  <si>
    <t>AUDI Q7, VW Touareg  03-10 front L/R 420mm</t>
  </si>
  <si>
    <t>23362FE</t>
  </si>
  <si>
    <t>23362  FEBI - Р”Р°С‚С‡РёРє Р·РЅРѕСЃСѓ РіР°Р»СЊРјС–РІРЅРёС… РєРѕР»РѕРґРѕРє</t>
  </si>
  <si>
    <t>AUDI Q7, VW Touareg  03-10 rear L/R 255mm</t>
  </si>
  <si>
    <t>23410FE</t>
  </si>
  <si>
    <t>23410  FEBI - Р’С–РґР±С–Р№РЅРёРє Р°РјРѕСЂС‚РёР·Р°С‚РѕСЂР°</t>
  </si>
  <si>
    <t>121.94</t>
  </si>
  <si>
    <t>SKODA Fabia (6Y, 5J)  rear L/R (HD, h=127mm)\n</t>
  </si>
  <si>
    <t>23430FE</t>
  </si>
  <si>
    <t>23430  FEBI - Р’С–РґР±С–Р№РЅРёРє Р°РјРѕСЂС‚РёР·Р°С‚РѕСЂР°</t>
  </si>
  <si>
    <t>206.15</t>
  </si>
  <si>
    <t>VW Passat (B6)  06-11 rear L/R (h=133m)</t>
  </si>
  <si>
    <t>23489FE</t>
  </si>
  <si>
    <t>23489  FEBI - РљРѕРјРїР»РµРєС‚ РїС–РґС€РёРїРЅРёРєР° СЃС‚СѓРїРёС†С–</t>
  </si>
  <si>
    <t>1069.27</t>
  </si>
  <si>
    <t>MB Sprinter 95-06 rear L/R</t>
  </si>
  <si>
    <t>23504FE</t>
  </si>
  <si>
    <t>23504  FEBI - Р’С–РґР±С–Р№РЅРёРє Р°РјРѕСЂС‚РёР·Р°С‚РѕСЂР°</t>
  </si>
  <si>
    <t>203.88</t>
  </si>
  <si>
    <t>SKODA Octavia (1Z)  04- rear (h=118mm)\n\n</t>
  </si>
  <si>
    <t>23636FE</t>
  </si>
  <si>
    <t>23636  FEBI - РўСЏРіР° СЃС‚Р°Р±С–Р»С–Р·Р°С‚РѕСЂР°</t>
  </si>
  <si>
    <t>TOYOTA Camry (V30), LEXUS RX300, 330, 350, 400H  !!!Japan  01- front L/R</t>
  </si>
  <si>
    <t>23724FE</t>
  </si>
  <si>
    <t>23724  FEBI - РўСЏРіР° СЃС‚Р°Р±С–Р»С–Р·Р°С‚РѕСЂР°</t>
  </si>
  <si>
    <t>153.22</t>
  </si>
  <si>
    <t>NISSAN Primera (P10, P11) Ex. 1.6  90-02 front L/R (L=165mm)</t>
  </si>
  <si>
    <t>23749FE</t>
  </si>
  <si>
    <t>23749  FEBI - Р•Р»РµРјРµРЅС‚ РєСЂС–РїР»РµРЅРЅСЏ</t>
  </si>
  <si>
    <t>BMW 3 (E36), 5 (E34), 7 (E32), VOLVO 740/760, 940/960, S60, S80, V70, XC70, XC90\n</t>
  </si>
  <si>
    <t>23753FE</t>
  </si>
  <si>
    <t>23753  FEBI - РўСЏРіР° СЃС‚Р°Р±С–Р»С–Р·Р°С‚РѕСЂР°</t>
  </si>
  <si>
    <t>172.08</t>
  </si>
  <si>
    <t>CHEVROLET Aveo (T200, T250)  05- front L/R</t>
  </si>
  <si>
    <t>23777FE</t>
  </si>
  <si>
    <t>23777  FEBI - РЎР°Р№Р»РµРЅС‚Р±Р»РѕРє Р±Р°Р»РєРё</t>
  </si>
  <si>
    <t>419.99</t>
  </si>
  <si>
    <t>RENAULT Kangoo  97-07 rear L/R</t>
  </si>
  <si>
    <t>23996FE</t>
  </si>
  <si>
    <t>23996  FEBI - РљСѓР»СЊРѕРІР° РѕРїРѕСЂР°</t>
  </si>
  <si>
    <t>DACIA/RENAULT Logan, Logan MCV, Sandero  04- L/R (18mm)</t>
  </si>
  <si>
    <t>24137FE</t>
  </si>
  <si>
    <t>24137  FEBI - РџРёР»СЊРѕРІРёРє РїСЂРёРІС–РґРЅРѕРіРѕ РІР°Р»Р°</t>
  </si>
  <si>
    <t>BMW X5 (E53) front outer L/R</t>
  </si>
  <si>
    <t>24211FE</t>
  </si>
  <si>
    <t>24211  FEBI - Р’Р°Р¶С–Р»СЊ РїС–РґРІС–СЃРєРё</t>
  </si>
  <si>
    <t>346.61</t>
  </si>
  <si>
    <t>FORD Focus I/II rear L/R</t>
  </si>
  <si>
    <t>24212FE</t>
  </si>
  <si>
    <t>24212  FEBI - Р РµРјРєРѕРјРїР»РµРєС‚ РІР°Р¶РµР»СЏ РїС–РґРІС–СЃРєРё</t>
  </si>
  <si>
    <t>355.70</t>
  </si>
  <si>
    <t>MB ML (W163)  98-05 (front axle upper L/R)\n</t>
  </si>
  <si>
    <t>24220FE</t>
  </si>
  <si>
    <t>24220  FEBI - Р’С‚СѓР»РєР° СЃС‚Р°Р±С–Р»С–Р·Р°С‚РѕСЂР°</t>
  </si>
  <si>
    <t>56.60</t>
  </si>
  <si>
    <t>FORD Mondeo Ex.Turnier  00-07 rear L/R inner (d=20mm)\n\n</t>
  </si>
  <si>
    <t>24225FE</t>
  </si>
  <si>
    <t>24225  FEBI - Р’С‚СѓР»РєР° СЃС‚Р°Р±С–Р»С–Р·Р°С‚РѕСЂР°</t>
  </si>
  <si>
    <t>FORD Fiesta, Fusion  02- front L/R\n</t>
  </si>
  <si>
    <t>24242FE</t>
  </si>
  <si>
    <t>24242  FEBI - РЎР°Р№Р»РµРЅС‚Р±Р»РѕРє</t>
  </si>
  <si>
    <t>359.37</t>
  </si>
  <si>
    <t>VOLVO S60, V70, S80  00-10 front L/R front</t>
  </si>
  <si>
    <t>24245FE</t>
  </si>
  <si>
    <t>24245  FEBI - РЎР°Р№Р»РµРЅС‚Р±Р»РѕРє Р±Р°Р»РєРё</t>
  </si>
  <si>
    <t>276.80</t>
  </si>
  <si>
    <t>OPEL Astra G, Zafira A  98-05 rear L/R</t>
  </si>
  <si>
    <t>24366FE</t>
  </si>
  <si>
    <t>24366  FEBI - РљРѕРјРїР»РµРєС‚ РїС–РґС€РёРїРЅРёРєР° СЃС‚СѓРїРёС†С–</t>
  </si>
  <si>
    <t>429.95</t>
  </si>
  <si>
    <t>AUDI A4, A6, SKODA Superb, VW Passat  95- front L/R</t>
  </si>
  <si>
    <t>24391FE</t>
  </si>
  <si>
    <t>24391  FEBI - Р‘РѕР»С‚</t>
  </si>
  <si>
    <t>FORD Scorpio, Sierra, Escort  -99 (M10x1.5)</t>
  </si>
  <si>
    <t>24578FE</t>
  </si>
  <si>
    <t>24578  FEBI - РљСѓР»СЊРѕРІР° РѕРїРѕСЂР°</t>
  </si>
  <si>
    <t>329.73</t>
  </si>
  <si>
    <t>MB Vito (639)  03- front L/R</t>
  </si>
  <si>
    <t>24623FE</t>
  </si>
  <si>
    <t>24623  FEBI - РўСЏРіР° СЃС‚Р°Р±С–Р»С–Р·Р°С‚РѕСЂР°</t>
  </si>
  <si>
    <t>BMW 5 (E60/E61)  03-10 front left</t>
  </si>
  <si>
    <t>24625FE</t>
  </si>
  <si>
    <t>24625  FEBI - РўСЏРіР° СЃС‚Р°Р±С–Р»С–Р·Р°С‚РѕСЂР°</t>
  </si>
  <si>
    <t>BMW 5 (E60/E61)  03-10 front right\n</t>
  </si>
  <si>
    <t>24628FE</t>
  </si>
  <si>
    <t>24628  FEBI - РЁРєС–РІ РєРѕР»С–РЅС‡Р°СЃС‚РѕРіРѕ РІР°Р»Р° (РґРµРјРїС„РµСЂ)</t>
  </si>
  <si>
    <t>956.83</t>
  </si>
  <si>
    <t>PSA 1.9D, 2.0HDi, 2.2HDi  96-</t>
  </si>
  <si>
    <t>24632FE</t>
  </si>
  <si>
    <t>24632  FEBI - РљСѓР»СЊРѕРІР° РѕРїРѕСЂР°</t>
  </si>
  <si>
    <t>387.85</t>
  </si>
  <si>
    <t>SMART Fortwo (W450)  98-07 front L/R\n</t>
  </si>
  <si>
    <t>24753FE</t>
  </si>
  <si>
    <t>24753  FEBI - Р’С‚СѓР»РєР° СЃС‚Р°Р±С–Р»С–Р·Р°С‚РѕСЂР°</t>
  </si>
  <si>
    <t>33.02</t>
  </si>
  <si>
    <t>OPEL Vectra B rear L/R inner (d=16mm)</t>
  </si>
  <si>
    <t>24916FE</t>
  </si>
  <si>
    <t>24916  FEBI - Р’С‚СѓР»РєР° СЃС‚Р°Р±С–Р»С–Р·Р°С‚РѕСЂР°</t>
  </si>
  <si>
    <t>FORD Mondeo  93-00 rear L/R inner (d=16mm)</t>
  </si>
  <si>
    <t>24918FE</t>
  </si>
  <si>
    <t>24918  FEBI - Р’С‚СѓР»РєР° СЃС‚Р°Р±С–Р»С–Р·Р°С‚РѕСЂР°</t>
  </si>
  <si>
    <t>FORD Mondeo  93-00 rear L/R inner (d=18mm)\n</t>
  </si>
  <si>
    <t>24949FE</t>
  </si>
  <si>
    <t>24949  FEBI - РўСЏРіР° СЃС‚Р°Р±С–Р»С–Р·Р°С‚РѕСЂР°</t>
  </si>
  <si>
    <t>HONDA CR-V II  02-06 front right</t>
  </si>
  <si>
    <t>24950FE</t>
  </si>
  <si>
    <t>24950  FEBI - РўСЏРіР° СЃС‚Р°Р±С–Р»С–Р·Р°С‚РѕСЂР°</t>
  </si>
  <si>
    <t>HONDA CR-V II  02-06 front left</t>
  </si>
  <si>
    <t>25194FE</t>
  </si>
  <si>
    <t>25194  FEBI - РЁРµСЃС‚РµСЂРЅСЏ РєРѕР»С–РЅС‡Р°СЃС‚РѕРіРѕ РІР°Р»Р°</t>
  </si>
  <si>
    <t>VW 1.6-2.0  82-10</t>
  </si>
  <si>
    <t>26045FE</t>
  </si>
  <si>
    <t>26045  FEBI - РўСЏРіР° РєРµСЂРјРѕРІР°</t>
  </si>
  <si>
    <t>SKODA Octavia (1Z), VW Caddy III, Golf V  04- L/R (311mm)</t>
  </si>
  <si>
    <t>26100FE</t>
  </si>
  <si>
    <t>26100  FEBI - РљР»Р°РїР°РЅ РІРµРЅС‚РёР»СЏС†С–С—</t>
  </si>
  <si>
    <t>BMW  (mot. M52/M54)  20i-3.0i  95-</t>
  </si>
  <si>
    <t>26177FE</t>
  </si>
  <si>
    <t>26177  FEBI - Р’С–РґР±С–Р№РЅРёРє Р°РјРѕСЂС‚РёР·Р°С‚РѕСЂР°</t>
  </si>
  <si>
    <t>BMW 5 (E60) Ex.M-Tech, xi/xd  03-10 front L/R (h=85mm)</t>
  </si>
  <si>
    <t>26263FE</t>
  </si>
  <si>
    <t>26263  FEBI - РЎР°Р№Р»РµРЅС‚Р±Р»РѕРє Р±Р°Р»РєРё</t>
  </si>
  <si>
    <t>420.09</t>
  </si>
  <si>
    <t>BMW X5 (E53) rear L/R\n</t>
  </si>
  <si>
    <t>26301FE</t>
  </si>
  <si>
    <t>26301  FEBI - РљСѓР»СЊРѕРІР° РѕРїРѕСЂР°</t>
  </si>
  <si>
    <t>HYUNDAI Santa Fe (SM)  01-06 L/R\n</t>
  </si>
  <si>
    <t>26370FE</t>
  </si>
  <si>
    <t>26370  FEBI - Р”Р°С‚С‡РёРє Р·РЅРѕСЃСѓ РіР°Р»СЊРјС–РІРЅРёС… РєРѕР»РѕРґРѕРє</t>
  </si>
  <si>
    <t>161.78</t>
  </si>
  <si>
    <t>MB W211, W204, W221 118mm</t>
  </si>
  <si>
    <t>26386FE</t>
  </si>
  <si>
    <t>26386  FEBI - РЎР°Р№Р»РµРЅС‚Р±Р»РѕРє</t>
  </si>
  <si>
    <t>MB ML (W164, W166)  05- rear L/R lower inner (2x2pcs.)\n</t>
  </si>
  <si>
    <t>26387FE</t>
  </si>
  <si>
    <t>26387  FEBI - РЎР°Р№Р»РµРЅС‚Р±Р»РѕРє</t>
  </si>
  <si>
    <t>MB Vito (W639)  03- rear L/R outer/inner (2x2pcs.)\n</t>
  </si>
  <si>
    <t>26432FE</t>
  </si>
  <si>
    <t>26432  FEBI - РўСЏРіР° РєРµСЂРјРѕРІР°</t>
  </si>
  <si>
    <t>280.93</t>
  </si>
  <si>
    <t>OPEL Vectra C Ex.Sports Susp, Ex.Caravan  02- L/R 300mm</t>
  </si>
  <si>
    <t>26540FE</t>
  </si>
  <si>
    <t>26540  FEBI - Р’С‚СѓР»РєР° СЃС‚Р°Р±С–Р»С–Р·Р°С‚РѕСЂР°</t>
  </si>
  <si>
    <t>80.24</t>
  </si>
  <si>
    <t>VW T5  front L/R</t>
  </si>
  <si>
    <t>26541FE</t>
  </si>
  <si>
    <t>26541  FEBI - Р’С‚СѓР»РєР° СЃС‚Р°Р±С–Р»С–Р·Р°С‚РѕСЂР°</t>
  </si>
  <si>
    <t>VW T5  03- rear L/R (d=24mm)</t>
  </si>
  <si>
    <t>26573FE</t>
  </si>
  <si>
    <t>26573  FEBI - РЎР°Р№Р»РµРЅС‚Р±Р»РѕРє</t>
  </si>
  <si>
    <t>VW T5 front L/R rear (d=52mm)\n</t>
  </si>
  <si>
    <t>26620FE</t>
  </si>
  <si>
    <t>26620  FEBI - РџС–РґСЃС‚Р°РІРєР° РїС–Рґ РїСЂСѓР¶РёРЅСѓ</t>
  </si>
  <si>
    <t>SKODA Fabia (6Y), Octavia (1U, 1Z) rear L/R</t>
  </si>
  <si>
    <t>26637FE</t>
  </si>
  <si>
    <t>26637  FEBI - РќР°РєС–РЅРµС‡РЅРёРє РєРµСЂРјРѕРІРѕС— С‚СЏРіРё</t>
  </si>
  <si>
    <t>328.45</t>
  </si>
  <si>
    <t>BMW X5 (E53)  03-06 L/R</t>
  </si>
  <si>
    <t>26770FE</t>
  </si>
  <si>
    <t>26770  FEBI - РљРѕРјРїР»РµРєС‚ РїС–РґС€РёРїРЅРёРєР° СЃС‚СѓРїРёС†С–</t>
  </si>
  <si>
    <t>1274.47</t>
  </si>
  <si>
    <t>FORD Focus  04- front L/R</t>
  </si>
  <si>
    <t>26792FE</t>
  </si>
  <si>
    <t>26792  FEBI - РљСѓР»СЊРѕРІР° РѕРїРѕСЂР°</t>
  </si>
  <si>
    <t>273.59</t>
  </si>
  <si>
    <t>26866FE</t>
  </si>
  <si>
    <t>26866  FEBI - Р’С‚СѓР»РєР° СЃС‚Р°Р±С–Р»С–Р·Р°С‚РѕСЂР°</t>
  </si>
  <si>
    <t>MITSUBISHI Carisma (DA), VOLVO S40/V40  96-06 rear L/R</t>
  </si>
  <si>
    <t>27038FE</t>
  </si>
  <si>
    <t>27038  FEBI - Р’С‚СѓР»РєР° СЃС‚Р°Р±С–Р»С–Р·Р°С‚РѕСЂР°</t>
  </si>
  <si>
    <t>VW Caddy III  04-10 rear L/R (37067 01)\n</t>
  </si>
  <si>
    <t>27066FE</t>
  </si>
  <si>
    <t>27066  FEBI - РљСѓР»СЊРѕРІР° РѕРїРѕСЂР°</t>
  </si>
  <si>
    <t>216.63</t>
  </si>
  <si>
    <t>MB W220, W211  98-08 front L/R (to stabilizer)</t>
  </si>
  <si>
    <t>27095FE</t>
  </si>
  <si>
    <t>27095  FEBI - РўСЏРіР° РєРµСЂРјРѕРІР°</t>
  </si>
  <si>
    <t>226.59</t>
  </si>
  <si>
    <t>AUDI A3| SEAT Leon, Toledo II| SKODA Octavia I| VW Golf IV  1.4-2.8  96-</t>
  </si>
  <si>
    <t>27155FE</t>
  </si>
  <si>
    <t>27155  FEBI - Р¤С–Р»СЊС‚СЂ РјР°СЃР»Р°</t>
  </si>
  <si>
    <t>RENAULT 83-</t>
  </si>
  <si>
    <t>27160FE</t>
  </si>
  <si>
    <t>27160  FEBI - Р’С‚СѓР»РєР° СЃС‚Р°Р±С–Р»С–Р·Р°С‚РѕСЂР°</t>
  </si>
  <si>
    <t>BMW X5 (E53)  00-06 front L/R\n</t>
  </si>
  <si>
    <t>27245FE</t>
  </si>
  <si>
    <t>27245  FEBI - РЎР°Р№Р»РµРЅС‚Р±Р»РѕРє Р±Р°Р»РєРё</t>
  </si>
  <si>
    <t>316.22</t>
  </si>
  <si>
    <t>FORD Fiesta, Fusion  02- rear L/R</t>
  </si>
  <si>
    <t>27299FE</t>
  </si>
  <si>
    <t>27299  FEBI - РўСЏРіР° СЃС‚Р°Р±С–Р»С–Р·Р°С‚РѕСЂР°</t>
  </si>
  <si>
    <t>245.11</t>
  </si>
  <si>
    <t>FORD Focus  04-10 rear L/R\n</t>
  </si>
  <si>
    <t>27301FE</t>
  </si>
  <si>
    <t>27301  FEBI - РўСЏРіР° РєРµСЂРјРѕРІР°</t>
  </si>
  <si>
    <t>241.06</t>
  </si>
  <si>
    <t>OPEL Vivaro, RENAULT Trafic  01- L/R</t>
  </si>
  <si>
    <t>27317FE</t>
  </si>
  <si>
    <t>27317  FEBI - РљРѕРјРїР»РµРєС‚ РїС–РґС€РёРїРЅРёРєР° СЃС‚СѓРїРёС†С–</t>
  </si>
  <si>
    <t>1425.64</t>
  </si>
  <si>
    <t>SKODA Octavia (1Z), Superb (3T) front L/R</t>
  </si>
  <si>
    <t>27413FE</t>
  </si>
  <si>
    <t>27413  FEBI - Р“Р°Р№РєР° РєРѕР»С–СЃРЅР°</t>
  </si>
  <si>
    <t>FORD  74- (M12x1.5)</t>
  </si>
  <si>
    <t>27424FE</t>
  </si>
  <si>
    <t>27424  FEBI - РўСЏРіР° РєРµСЂРјРѕРІР°</t>
  </si>
  <si>
    <t>257.86</t>
  </si>
  <si>
    <t>PEUGEOT 407 L/R /JAR1258/</t>
  </si>
  <si>
    <t>27459FE</t>
  </si>
  <si>
    <t>27459  FEBI - РџС–РґС€РёРїРЅРёРє РѕРїРѕСЂРё СЃС‚С–Р№РєРё Р°РјРѕСЂС‚РёР·Р°С‚РѕСЂР°</t>
  </si>
  <si>
    <t>RENAULT Clio III, Modus, Kangoo  04- front L/R</t>
  </si>
  <si>
    <t>27505FE</t>
  </si>
  <si>
    <t>27505  FEBI - РћРїРѕСЂР° Р°РјРѕСЂС‚РёР·Р°С‚РѕСЂР°</t>
  </si>
  <si>
    <t>263.46</t>
  </si>
  <si>
    <t>RENAULT Duster, Logan, Sandero front L/R</t>
  </si>
  <si>
    <t>27524FE</t>
  </si>
  <si>
    <t>27524  FEBI - РўСЏРіР° СЃС‚Р°Р±С–Р»С–Р·Р°С‚РѕСЂР°</t>
  </si>
  <si>
    <t>FORD Transit Serie 330/350  00- front L/R</t>
  </si>
  <si>
    <t>27572FE</t>
  </si>
  <si>
    <t>27572  FEBI - РђРјРѕСЂС‚РёР·Р°С‚РѕСЂ СЃРёСЃС‚РµРјРё РєРµСЂРјСѓРІР°РЅРЅСЏ</t>
  </si>
  <si>
    <t>767.48</t>
  </si>
  <si>
    <t>27638FE</t>
  </si>
  <si>
    <t>27638  FEBI - Р’С‚СѓР»РєР° СЃС‚Р°Р±С–Р»С–Р·Р°С‚РѕСЂР°</t>
  </si>
  <si>
    <t>AUDI A2, SKODA Fabia (6Y), VW Polo (9N)  00- front L/R (d=16mm)\n</t>
  </si>
  <si>
    <t>27640FE</t>
  </si>
  <si>
    <t>27640  FEBI - Р’С‚СѓР»РєР° СЃС‚Р°Р±С–Р»С–Р·Р°С‚РѕСЂР°</t>
  </si>
  <si>
    <t>41.23</t>
  </si>
  <si>
    <t>AUDI A1, SKODA Fabia (6Y), VW Polo (9N)  00- front L/R (d=19mm)\n</t>
  </si>
  <si>
    <t>27698FE</t>
  </si>
  <si>
    <t>27698  FEBI - Р”РёСЃРє РіР°Р»СЊРјС–РІРЅРёР№</t>
  </si>
  <si>
    <t>727.12</t>
  </si>
  <si>
    <t>MB Sprinter  06- front (300X28)</t>
  </si>
  <si>
    <t>27834FE</t>
  </si>
  <si>
    <t>27834  FEBI - РўСЏРіР° СЃС‚Р°Р±С–Р»С–Р·Р°С‚РѕСЂР°</t>
  </si>
  <si>
    <t>VW T5  03- front L/R</t>
  </si>
  <si>
    <t>27854FE</t>
  </si>
  <si>
    <t>27854  FEBI - РўСЏРіР° СЃС‚Р°Р±С–Р»С–Р·Р°С‚РѕСЂР°</t>
  </si>
  <si>
    <t>318.49</t>
  </si>
  <si>
    <t>VW Caddy III  04-10 rear L/R</t>
  </si>
  <si>
    <t>27876FE</t>
  </si>
  <si>
    <t>27876  FEBI - РњРѕРЅС‚Р°Р¶РЅРёР№ РєРѕРјРїР»РµРєС‚</t>
  </si>
  <si>
    <t>VAG  04- front</t>
  </si>
  <si>
    <t>27982FE</t>
  </si>
  <si>
    <t>27982  FEBI - РўСЏРіР° СЃС‚Р°Р±С–Р»С–Р·Р°С‚РѕСЂР°</t>
  </si>
  <si>
    <t>201.09</t>
  </si>
  <si>
    <t>SEAT Toledo (1L) Ch.1L-R-025501--, VW Caddy (9K)  91-03 front L/R (d=16.5mm)</t>
  </si>
  <si>
    <t>27996FE</t>
  </si>
  <si>
    <t>27996  FEBI - РџС–РґС€РёРїРЅРёРє РѕРїРѕСЂРё СЃС‚С–Р№РєРё Р°РјРѕСЂС‚РёР·Р°С‚РѕСЂР°</t>
  </si>
  <si>
    <t>OPEL Astra H, Vectra C  02- front L/R</t>
  </si>
  <si>
    <t>28100FE</t>
  </si>
  <si>
    <t>28100  FEBI - РЎР°Р№Р»РµРЅС‚Р±Р»РѕРє</t>
  </si>
  <si>
    <t xml:space="preserve"> (01837 + 2x10431)</t>
  </si>
  <si>
    <t>28200FE</t>
  </si>
  <si>
    <t>28200  FEBI - РљСѓР»СЊРѕРІР° РѕРїРѕСЂР°</t>
  </si>
  <si>
    <t>187.11</t>
  </si>
  <si>
    <t>MITSUBISHI Colt, Galant, Lancer, Space Star L/R</t>
  </si>
  <si>
    <t>28282FE</t>
  </si>
  <si>
    <t>28282  FEBI - Р’С‚СѓР»РєР° СЃС‚Р°Р±С–Р»С–Р·Р°С‚РѕСЂР°</t>
  </si>
  <si>
    <t>RENAULT Megane II, Clio III  02- front L/R (d=19.5mm)</t>
  </si>
  <si>
    <t>28335FE</t>
  </si>
  <si>
    <t>28335  FEBI - РЎР°Р№Р»РµРЅС‚Р±Р»РѕРє</t>
  </si>
  <si>
    <t>162.65</t>
  </si>
  <si>
    <t>VW T5 front L/R front\n</t>
  </si>
  <si>
    <t>28351FE</t>
  </si>
  <si>
    <t>28351  FEBI - РќР°РєС–РЅРµС‡РЅРёРє РєРµСЂРјРѕРІРѕС— С‚СЏРіРё</t>
  </si>
  <si>
    <t>CITROEN Jumper, FIAT Ducato, PEUGEOT Boxer  02-06 L/R (M14x1,5)\n</t>
  </si>
  <si>
    <t>28407FE</t>
  </si>
  <si>
    <t>28407  FEBI - Р‘РѕР»С‚</t>
  </si>
  <si>
    <t>MB OM602, OM611-OM613  03-</t>
  </si>
  <si>
    <t>28420FE</t>
  </si>
  <si>
    <t>28420  FEBI - РљСѓР»СЊРѕРІР° РѕРїРѕСЂР°</t>
  </si>
  <si>
    <t>285.82</t>
  </si>
  <si>
    <t>CITROEN Nemo, OPEL Corsa D, PEUGEOT Bipper 04- L/R</t>
  </si>
  <si>
    <t>28491FE</t>
  </si>
  <si>
    <t>28491  FEBI - РљРѕРјРїР»РµРєС‚ РїС–РґС€РёРїРЅРёРєР° СЃС‚СѓРїРёС†С–</t>
  </si>
  <si>
    <t>2557.68</t>
  </si>
  <si>
    <t>BMW X5 (E70), X6 (E71) front L/R</t>
  </si>
  <si>
    <t>28529FE</t>
  </si>
  <si>
    <t>28529  FEBI - РџРёР»СЊРѕРІРёРє Р°РјРѕСЂС‚РёР·Р°С‚РѕСЂР°</t>
  </si>
  <si>
    <t>OPEL Corsa D  06- front L/R</t>
  </si>
  <si>
    <t>28579FE</t>
  </si>
  <si>
    <t>28579  FEBI - РўСЏРіР° СЃС‚Р°Р±С–Р»С–Р·Р°С‚РѕСЂР°</t>
  </si>
  <si>
    <t>192.52</t>
  </si>
  <si>
    <t>SKODA Octavia (1U), VW Golf IV (1J) front L/R (L=105mm)</t>
  </si>
  <si>
    <t>29140FE</t>
  </si>
  <si>
    <t>29140  FEBI - РЈС‰С–Р»СЊРЅСЋСЋС‡Рµ РєС–Р»СЊС†Рµ</t>
  </si>
  <si>
    <t>MB  98- (d=7.8mm)</t>
  </si>
  <si>
    <t>29208FE</t>
  </si>
  <si>
    <t>29208  FEBI - Р‘РѕР»С‚ РєРѕР»С–СЃРЅРёР№</t>
  </si>
  <si>
    <t>29223FE</t>
  </si>
  <si>
    <t>29223  FEBI - РќР°РєС–РЅРµС‡РЅРёРє РєРµСЂРјРѕРІРѕС— С‚СЏРіРё</t>
  </si>
  <si>
    <t>FORD Focus  04-10 left</t>
  </si>
  <si>
    <t>29224FE</t>
  </si>
  <si>
    <t>29224  FEBI - РќР°РєС–РЅРµС‡РЅРёРє РєРµСЂРјРѕРІРѕС— С‚СЏРіРё</t>
  </si>
  <si>
    <t>FORD Focus  04-10 right\n</t>
  </si>
  <si>
    <t>29366FE</t>
  </si>
  <si>
    <t>29366  FEBI - Р’С‚СѓР»РєР° СЃС‚Р°Р±С–Р»С–Р·Р°С‚РѕСЂР°</t>
  </si>
  <si>
    <t>122.82</t>
  </si>
  <si>
    <t>BMW 5 (E39)  front L/R (d=22.5mm)\n</t>
  </si>
  <si>
    <t>29385FE</t>
  </si>
  <si>
    <t>29385  FEBI - РљСѓР»СЊРѕРІР° РѕРїРѕСЂР°</t>
  </si>
  <si>
    <t>330.72</t>
  </si>
  <si>
    <t>CITROEN Jumper III, FIAT Ducato, PEUGEOT Boxer III  06- L/R</t>
  </si>
  <si>
    <t>29406FE</t>
  </si>
  <si>
    <t>29406  FEBI - РЎР°Р№Р»РµРЅС‚Р±Р»РѕРє</t>
  </si>
  <si>
    <t>MITSUBISHI Lancer (CS)  03-08 front L/R rear</t>
  </si>
  <si>
    <t>29451FE</t>
  </si>
  <si>
    <t>29451  FEBI - Р‘РѕР»С‚</t>
  </si>
  <si>
    <t>22.19</t>
  </si>
  <si>
    <t>FORD Focus  98- rear (M12x1.75)</t>
  </si>
  <si>
    <t>29463FE</t>
  </si>
  <si>
    <t>29463  FEBI - Р“Р°Р№РєР° РєРѕР»С–СЃРЅР°</t>
  </si>
  <si>
    <t>FORD  78- (M12x1.5)</t>
  </si>
  <si>
    <t>29568FE</t>
  </si>
  <si>
    <t>29568  FEBI - РЎР°Р№Р»РµРЅС‚Р±Р»РѕРє</t>
  </si>
  <si>
    <t>SKODA Octavia (1Z)  04- rear L/R front inner</t>
  </si>
  <si>
    <t>29623FE</t>
  </si>
  <si>
    <t>29623  FEBI - РќР°РєС–РЅРµС‡РЅРёРє РєРµСЂРјРѕРІРѕС— С‚СЏРіРё</t>
  </si>
  <si>
    <t>DACIA/RENAULT Logan, Sandero 1.2-1.6 09.04-  (Left)</t>
  </si>
  <si>
    <t>29624FE</t>
  </si>
  <si>
    <t>29624  FEBI - РќР°РєС–РЅРµС‡РЅРёРє РєРµСЂРјРѕРІРѕС— С‚СЏРіРё</t>
  </si>
  <si>
    <t>DACIA/RENAULT Logan, Sandero 1.2-1.6 09.04-  (Right)</t>
  </si>
  <si>
    <t>29625FE</t>
  </si>
  <si>
    <t>29625  FEBI - РўСЏРіР° РєРµСЂРјРѕРІР°</t>
  </si>
  <si>
    <t>CITROEN C4 I, PEUGEOT 307/CC/SW  01-09 L/R (L=359mm)</t>
  </si>
  <si>
    <t>29673FE</t>
  </si>
  <si>
    <t>29673  FEBI - РќР°РєС–РЅРµС‡РЅРёРє РєРµСЂРјРѕРІРѕС— С‚СЏРіРё</t>
  </si>
  <si>
    <t>349.76</t>
  </si>
  <si>
    <t>VW T5 1.9-3.2  03- (Right)</t>
  </si>
  <si>
    <t>29675FE</t>
  </si>
  <si>
    <t>29675  FEBI - РќР°РєС–РЅРµС‡РЅРёРє РєРµСЂРјРѕРІРѕС— С‚СЏРіРё</t>
  </si>
  <si>
    <t>VW T5 1.9-3.2  03- (Left)</t>
  </si>
  <si>
    <t>29682FE</t>
  </si>
  <si>
    <t>29682  FEBI - РЎР°Р№Р»РµРЅС‚Р±Р»РѕРє</t>
  </si>
  <si>
    <t>149.90</t>
  </si>
  <si>
    <t>SKODA Octavia (1Z)  04- rear L/R inner</t>
  </si>
  <si>
    <t>29689FE</t>
  </si>
  <si>
    <t>29689  FEBI - РЎР°Р№Р»РµРЅС‚Р±Р»РѕРє</t>
  </si>
  <si>
    <t>129.63</t>
  </si>
  <si>
    <t>SKODA Octavia (1Z)  04- rear L/R outer</t>
  </si>
  <si>
    <t>29704FE</t>
  </si>
  <si>
    <t>29704  FEBI - РљСѓР»СЊРѕРІР° РѕРїРѕСЂР°</t>
  </si>
  <si>
    <t>272.37</t>
  </si>
  <si>
    <t>HYUNDAI Accent (MC), KIA Rio II (JB)  06- front L/R /JBJ1066/</t>
  </si>
  <si>
    <t>29706FE</t>
  </si>
  <si>
    <t>29706  FEBI - Р’С‚СѓР»РєР° СЃС‚Р°Р±С–Р»С–Р·Р°С‚РѕСЂР°</t>
  </si>
  <si>
    <t>AUDI 80 (B4)  92-96 front L/R</t>
  </si>
  <si>
    <t>29762FE</t>
  </si>
  <si>
    <t>29762  FEBI - РўР°СЂС–Р»РєР° РїСЂСѓР¶РёРЅРё</t>
  </si>
  <si>
    <t>29839FE</t>
  </si>
  <si>
    <t>29839  FEBI - РЎР°Р№Р»РµРЅС‚Р±Р»РѕРє</t>
  </si>
  <si>
    <t>AUDI A2 (8Z)  00-05 front L/R front</t>
  </si>
  <si>
    <t>29938FE</t>
  </si>
  <si>
    <t>29938  FEBI - РЎР°Р№Р»РµРЅС‚Р±Р»РѕРє</t>
  </si>
  <si>
    <t>SKODA Octavia (1Z)  04- rear L/R front outer</t>
  </si>
  <si>
    <t>30096FE</t>
  </si>
  <si>
    <t>30096  FEBI - РўСЏРіР° РєРµСЂРјРѕРІР°</t>
  </si>
  <si>
    <t>369.33</t>
  </si>
  <si>
    <t>MB Vito (W639)  03- L/R</t>
  </si>
  <si>
    <t>30151FE</t>
  </si>
  <si>
    <t>30151  FEBI - РљСѓР»СЊРѕРІР° РѕРїРѕСЂР°</t>
  </si>
  <si>
    <t>280.85</t>
  </si>
  <si>
    <t>MB Sprinter II  06- L/R</t>
  </si>
  <si>
    <t>30299FE</t>
  </si>
  <si>
    <t>30299  FEBI - Р’С‚СѓР»РєР° СЃС‚Р°Р±С–Р»С–Р·Р°С‚РѕСЂР°</t>
  </si>
  <si>
    <t>FORD Transit 00-06 front L/R</t>
  </si>
  <si>
    <t>30380FE</t>
  </si>
  <si>
    <t>30380  FEBI - РљСѓР»СЊРѕРІР° РѕРїРѕСЂР°</t>
  </si>
  <si>
    <t>FORD Focus  04-10 L/R (21mm)\n</t>
  </si>
  <si>
    <t>30583FE</t>
  </si>
  <si>
    <t>30583  FEBI - Р’С–РґР±С–Р№РЅРёРє Р°РјРѕСЂС‚РёР·Р°С‚РѕСЂР°</t>
  </si>
  <si>
    <t>79.32</t>
  </si>
  <si>
    <t>PEUGEOT 307, 308, 3008, Partner III, CITROEN Berlingo III,  01- front L/R (L=96mm)</t>
  </si>
  <si>
    <t>30588FE</t>
  </si>
  <si>
    <t>30588  FEBI - РўСЏРіР° СЃС‚Р°Р±С–Р»С–Р·Р°С‚РѕСЂР°</t>
  </si>
  <si>
    <t>115.13</t>
  </si>
  <si>
    <t>MITSUBISHI Colt  04- front L/R</t>
  </si>
  <si>
    <t>30616FE</t>
  </si>
  <si>
    <t>30616  FEBI - Р”Р°С‚С‡РёРє С‚РµРјРїРµСЂР°С‚СѓСЂРё</t>
  </si>
  <si>
    <t>VAG  96- (blue)</t>
  </si>
  <si>
    <t>30623FE</t>
  </si>
  <si>
    <t>30623  FEBI - Р’С‚СѓР»РєР° СЃС‚Р°Р±С–Р»С–Р·Р°С‚РѕСЂР°</t>
  </si>
  <si>
    <t>37.56</t>
  </si>
  <si>
    <t>OPEL Astra H, Corsa C front L/R</t>
  </si>
  <si>
    <t>30624FE</t>
  </si>
  <si>
    <t>30624  FEBI - Р’С‚СѓР»РєР° СЃС‚Р°Р±С–Р»С–Р·Р°С‚РѕСЂР°</t>
  </si>
  <si>
    <t>31.27</t>
  </si>
  <si>
    <t>OPEL Vectra B front L/R (d=17mm)\n\n</t>
  </si>
  <si>
    <t>30653FE</t>
  </si>
  <si>
    <t>30653  FEBI - РљСѓР»СЊРѕРІР° РѕРїРѕСЂР°</t>
  </si>
  <si>
    <t>354.85</t>
  </si>
  <si>
    <t>OPEL Vivaro, RENAULT Traffic  06- (d=12mm)</t>
  </si>
  <si>
    <t>30691FE</t>
  </si>
  <si>
    <t>30691  FEBI - РЎР°Р№Р»РµРЅС‚Р±Р»РѕРє</t>
  </si>
  <si>
    <t>432.74</t>
  </si>
  <si>
    <t>VW Passat B6, Sharan II, Tiguan 1.4-3.6  05-  (front arm rear L/R)</t>
  </si>
  <si>
    <t>30786FE</t>
  </si>
  <si>
    <t>30786  FEBI - РћРїРѕСЂР° Р°РјРѕСЂС‚РёР·Р°С‚РѕСЂР°</t>
  </si>
  <si>
    <t>FORD Focus II, MAZDA 3  04- front L/R</t>
  </si>
  <si>
    <t>30852FE</t>
  </si>
  <si>
    <t>30852  FEBI - Р’С‚СѓР»РєР° СЃС‚Р°Р±С–Р»С–Р·Р°С‚РѕСЂР°</t>
  </si>
  <si>
    <t>75.65</t>
  </si>
  <si>
    <t>MB A-Klasse (W168, W169) front L/R\n</t>
  </si>
  <si>
    <t>30858FE</t>
  </si>
  <si>
    <t>30858  FEBI - РљСѓР»СЊРѕРІР° РѕРїРѕСЂР°</t>
  </si>
  <si>
    <t>328.10</t>
  </si>
  <si>
    <t>VW T5  Ex.3.2t  03- L/R</t>
  </si>
  <si>
    <t>30916FE</t>
  </si>
  <si>
    <t>30916  FEBI - РЎР°Р№Р»РµРЅС‚Р±Р»РѕРє</t>
  </si>
  <si>
    <t>132.67</t>
  </si>
  <si>
    <t>CHEVROLET/DAEWOO Aveo front L/R rear /513711/</t>
  </si>
  <si>
    <t>30917FE</t>
  </si>
  <si>
    <t>30917  FEBI - РЎР°Р№Р»РµРЅС‚Р±Р»РѕРє</t>
  </si>
  <si>
    <t>CHEVROLET/DAEWOO Aveo front L/R front\n</t>
  </si>
  <si>
    <t>30982FE</t>
  </si>
  <si>
    <t>30982  FEBI - РЎР°Р№Р»РµРЅС‚Р±Р»РѕРє</t>
  </si>
  <si>
    <t>261.36</t>
  </si>
  <si>
    <t>AUDI Q7 (4L), VW Touareg (7L) rear L/R upper inner</t>
  </si>
  <si>
    <t>30983FE</t>
  </si>
  <si>
    <t>30983  FEBI - РЎР°Р№Р»РµРЅС‚Р±Р»РѕРє</t>
  </si>
  <si>
    <t>AUDI Q7 (4L), VW Touareg (7L) rear L/R upper outer\n</t>
  </si>
  <si>
    <t>31010FE</t>
  </si>
  <si>
    <t>31010  FEBI - Р’С‚СѓР»РєР° СЃС‚Р°Р±С–Р»С–Р·Р°С‚РѕСЂР°</t>
  </si>
  <si>
    <t>RENAULT Kangoo  98-08 front L/R outer (d=23mm)</t>
  </si>
  <si>
    <t>31064FE</t>
  </si>
  <si>
    <t>31064  FEBI - Р’С‚СѓР»РєР° СЃС‚Р°Р±С–Р»С–Р·Р°С‚РѕСЂР°</t>
  </si>
  <si>
    <t>BMW 3 (E36, E46) rear (d=18mm)\n</t>
  </si>
  <si>
    <t>31066FE</t>
  </si>
  <si>
    <t>31066  FEBI - Р’С‚СѓР»РєР° СЃС‚Р°Р±С–Р»С–Р·Р°С‚РѕСЂР°</t>
  </si>
  <si>
    <t>41.75</t>
  </si>
  <si>
    <t>OPEL Vectra C 02- rear L/R inner (d=17mm)\n</t>
  </si>
  <si>
    <t>31067FE</t>
  </si>
  <si>
    <t>31067  FEBI - Р’С‚СѓР»РєР° СЃС‚Р°Р±С–Р»С–Р·Р°С‚РѕСЂР°</t>
  </si>
  <si>
    <t>OPEL Vectra C 02- rear L/R inner (d=18mm)</t>
  </si>
  <si>
    <t>31253FE</t>
  </si>
  <si>
    <t>31253  FEBI - РЎР°Р№Р»РµРЅС‚Р±Р»РѕРє</t>
  </si>
  <si>
    <t>SKODA Fabia (6Y), Polo 4 (9N)  02- front L/R rear</t>
  </si>
  <si>
    <t>31273FE</t>
  </si>
  <si>
    <t>31273  FEBI - РќР°РєС–РЅРµС‡РЅРёРє РєРµСЂРјРѕРІРѕС— С‚СЏРіРё</t>
  </si>
  <si>
    <t xml:space="preserve">MB Sprinter II  06-, L/R </t>
  </si>
  <si>
    <t>31278FE</t>
  </si>
  <si>
    <t>31278  FEBI - РљРѕРјРїР»РµРєС‚ РїРёР»СЊРѕРІРёРєР° РєРµСЂРјРѕРІРѕС— С‚СЏРіРё</t>
  </si>
  <si>
    <t>SKODA Octavia (1Z) L/R</t>
  </si>
  <si>
    <t>31345FE</t>
  </si>
  <si>
    <t>31345  FEBI - Р’С‚СѓР»РєР° СЃС‚Р°Р±С–Р»С–Р·Р°С‚РѕСЂР°</t>
  </si>
  <si>
    <t>AUDI Q7 (4L), VW TOUAREG (7L, 7P)  06- front L/R (2x2pcs) /37474 01/</t>
  </si>
  <si>
    <t>31346FE</t>
  </si>
  <si>
    <t>31346  FEBI - Р’С‚СѓР»РєР° СЃС‚Р°Р±С–Р»С–Р·Р°С‚РѕСЂР°</t>
  </si>
  <si>
    <t>96.96</t>
  </si>
  <si>
    <t>VW T5 front L/R (d=24mm)</t>
  </si>
  <si>
    <t>31347FE</t>
  </si>
  <si>
    <t>31347  FEBI - Р’С‚СѓР»РєР° СЃС‚Р°Р±С–Р»С–Р·Р°С‚РѕСЂР°</t>
  </si>
  <si>
    <t>VW T5 front L/R (d=22mm) /38087 01/\n</t>
  </si>
  <si>
    <t>31348FE</t>
  </si>
  <si>
    <t>31348  FEBI - Р’С‚СѓР»РєР° СЃС‚Р°Р±С–Р»С–Р·Р°С‚РѕСЂР°</t>
  </si>
  <si>
    <t>35.81</t>
  </si>
  <si>
    <t>AUDI A3 (8L), VW Golf IV (1J) front L/R (d=18mm)</t>
  </si>
  <si>
    <t>31353FE</t>
  </si>
  <si>
    <t>31353  FEBI - Р’С‚СѓР»РєР° СЃС‚Р°Р±С–Р»С–Р·Р°С‚РѕСЂР°</t>
  </si>
  <si>
    <t>VW TOUAREG (7L)  03-10 front L/R (2x2pcs)</t>
  </si>
  <si>
    <t>31354FE</t>
  </si>
  <si>
    <t>31354  FEBI - Р’С‚СѓР»РєР° СЃС‚Р°Р±С–Р»С–Р·Р°С‚РѕСЂР°</t>
  </si>
  <si>
    <t>45.77</t>
  </si>
  <si>
    <t>VW T4  96-03 front L/R inner (d=23mm)</t>
  </si>
  <si>
    <t>31357FE</t>
  </si>
  <si>
    <t>31357  FEBI - Р’С‚СѓР»РєР° СЃС‚Р°Р±С–Р»С–Р·Р°С‚РѕСЂР°</t>
  </si>
  <si>
    <t>VW TOUAREG (7L)  03-10 front L/R (yellow, 2x2pcs)\n</t>
  </si>
  <si>
    <t>31396FE</t>
  </si>
  <si>
    <t>31396  FEBI - РљРѕРјРїР»РµРєС‚ СЃР°Р№Р»РµРЅС‚Р±Р»РѕРєС–РІ Р±Р°Р»РєРё</t>
  </si>
  <si>
    <t>609.37</t>
  </si>
  <si>
    <t>RENAULT Megane II, Scenic, Grand Scenic 1.4-2.0  02-  (Rear, L/R)</t>
  </si>
  <si>
    <t>31524FE</t>
  </si>
  <si>
    <t>31524  FEBI - РўСЏРіР° РєРµСЂРјРѕРІР°</t>
  </si>
  <si>
    <t>329.84</t>
  </si>
  <si>
    <t>MB W204, W212, W221 4 matic  07- L/R</t>
  </si>
  <si>
    <t>31538FE</t>
  </si>
  <si>
    <t>31538  FEBI - РџРёР»СЊРѕРІРёРє Р°РјРѕСЂС‚РёР·Р°С‚РѕСЂР°</t>
  </si>
  <si>
    <t>BMW 5 (E39) front L/R</t>
  </si>
  <si>
    <t>31551FE</t>
  </si>
  <si>
    <t>31551  FEBI - Р’С‚СѓР»РєР° СЃС‚Р°Р±С–Р»С–Р·Р°С‚РѕСЂР°</t>
  </si>
  <si>
    <t>AUDI A4 (8K2, 8K5), A5 (8T3, 8TA), A6 (4G2 ,4G5)  03- front L/R (d=23mm)</t>
  </si>
  <si>
    <t>31706FE</t>
  </si>
  <si>
    <t>31706  FEBI - РўСЏРіР° СЃС‚Р°Р±С–Р»С–Р·Р°С‚РѕСЂР°</t>
  </si>
  <si>
    <t>409.16</t>
  </si>
  <si>
    <t>AUDI Q7 (4L), VW Touareg (7L) front L/R\n</t>
  </si>
  <si>
    <t>31785FE</t>
  </si>
  <si>
    <t>31785  FEBI - РўСЏРіР° РєРµСЂРјРѕРІР°</t>
  </si>
  <si>
    <t>387.32</t>
  </si>
  <si>
    <t>BMW X5, X6 (E70, E71, E72)  07- L/R</t>
  </si>
  <si>
    <t>31791FE</t>
  </si>
  <si>
    <t>31791  FEBI - РЎР°Р№Р»РµРЅС‚Р±Р»РѕРє</t>
  </si>
  <si>
    <t>VW T5  03- rear L/R inner\n</t>
  </si>
  <si>
    <t>31792FE</t>
  </si>
  <si>
    <t>31792  FEBI - РЎР°Р№Р»РµРЅС‚Р±Р»РѕРє</t>
  </si>
  <si>
    <t>151.82</t>
  </si>
  <si>
    <t>VW T5  03- rear L/R outer\n</t>
  </si>
  <si>
    <t>31815FE</t>
  </si>
  <si>
    <t>31815  FEBI - РЁР°Р№Р±Р°</t>
  </si>
  <si>
    <t>109.71</t>
  </si>
  <si>
    <t>31833FE</t>
  </si>
  <si>
    <t>31833  FEBI - РљРѕРјРїР»РµРєС‚ РїС–РґС€РёРїРЅРёРєР° СЃС‚СѓРїРёС†С–</t>
  </si>
  <si>
    <t>1470.32</t>
  </si>
  <si>
    <t>MITSUBISHI Pajero (V64W, V65W, V68W, V74W, V75W, V78W)  00-  (Front, L/R)</t>
  </si>
  <si>
    <t>31970FE</t>
  </si>
  <si>
    <t>31970  FEBI - РўСЏРіР° РєРµСЂРјРѕРІР°</t>
  </si>
  <si>
    <t>PEUGEOT 308, 3008, 5008  1.4-2.0  07-  (L/R)</t>
  </si>
  <si>
    <t>32031FE</t>
  </si>
  <si>
    <t>32031  FEBI - Р’С‚СѓР»РєР° СЃС‚Р°Р±С–Р»С–Р·Р°С‚РѕСЂР°</t>
  </si>
  <si>
    <t>BMW 5 (E39) rear L/R (d=12mm)</t>
  </si>
  <si>
    <t>32073FE</t>
  </si>
  <si>
    <t>32073  FEBI - Р’С‚СѓР»РєР° СЃС‚Р°Р±С–Р»С–Р·Р°С‚РѕСЂР°</t>
  </si>
  <si>
    <t>SKODA Octavia (1Z)  04- rear L/R (d=15/17mm)</t>
  </si>
  <si>
    <t>32096FE</t>
  </si>
  <si>
    <t>32096  FEBI - Р¤С–Р»СЊС‚СЂ РїР°Р»РёРІР°</t>
  </si>
  <si>
    <t>CITROEN Berlingo, Jumpy| FIAT Scudo| PEUGEOT 306, Expert, Partner  1.9D  98-</t>
  </si>
  <si>
    <t>32125FE</t>
  </si>
  <si>
    <t>32125  FEBI - РџРёР»СЊРѕРІРёРє Р°РјРѕСЂС‚РёР·Р°С‚РѕСЂР°</t>
  </si>
  <si>
    <t>BMW 7 (E65/E66), X5 (E53)  front L/R</t>
  </si>
  <si>
    <t>32307FE</t>
  </si>
  <si>
    <t>32307  FEBI - Р‘РѕР»С‚ РєРѕР»С–СЃРЅРёР№</t>
  </si>
  <si>
    <t>FORD  87- (M12x1.5)</t>
  </si>
  <si>
    <t>32493FE</t>
  </si>
  <si>
    <t>32493  FEBI - Р’С‚СѓР»РєР° СЃС‚Р°Р±С–Р»С–Р·Р°С‚РѕСЂР°</t>
  </si>
  <si>
    <t>MB Sprinter HD  95-06  front L/R inner (d=33mm)\n</t>
  </si>
  <si>
    <t>32541FE</t>
  </si>
  <si>
    <t>32541  FEBI - РЎР°Р№Р»РµРЅС‚Р±Р»РѕРє</t>
  </si>
  <si>
    <t>437.64</t>
  </si>
  <si>
    <t>SKODA Octavia (1Z), VW Golf V, Caddy III  04- front right rear</t>
  </si>
  <si>
    <t>32542FE</t>
  </si>
  <si>
    <t>32542  FEBI - РЎР°Р№Р»РµРЅС‚Р±Р»РѕРє</t>
  </si>
  <si>
    <t>SKODA Octavia (1Z), VW Golf V, Caddy III  04- front left rear</t>
  </si>
  <si>
    <t>32625FE</t>
  </si>
  <si>
    <t>32625  FEBI - Р’С‚СѓР»РєР° СЃС‚Р°Р±С–Р»С–Р·Р°С‚РѕСЂР°</t>
  </si>
  <si>
    <t>SKODA Octavia (1Z)  04- rear L/R (d=17/19mm)</t>
  </si>
  <si>
    <t>32956FE</t>
  </si>
  <si>
    <t>32956  FEBI - Р’Р°Р¶С–Р»СЊ РїС–РґРІС–СЃРєРё</t>
  </si>
  <si>
    <t>395.88</t>
  </si>
  <si>
    <t>AUDI A3, Q3, TT| SEAT Leon, Toledo III| SKODA Octavia, Superb| VW Golf V, Passat B6 1.2TSI-3.6TDI 02.03- (rear axle left)</t>
  </si>
  <si>
    <t>32957FE</t>
  </si>
  <si>
    <t>32957  FEBI - Р’Р°Р¶С–Р»СЊ РїС–РґРІС–СЃРєРё</t>
  </si>
  <si>
    <t>500.70</t>
  </si>
  <si>
    <t>AUDI A3, Q3, TT| SEAT Leon, Toledo III| SKODA Octavia, Superb| VW Golf V, Passat B6 1.2TSI-3.6TDI 02.03- (rear axle right)</t>
  </si>
  <si>
    <t>33377FE</t>
  </si>
  <si>
    <t>33377  FEBI - Р’С‚СѓР»РєР° СЃС‚Р°Р±С–Р»С–Р·Р°С‚РѕСЂР°</t>
  </si>
  <si>
    <t>115.48</t>
  </si>
  <si>
    <t xml:space="preserve">BMW 3 (E46) front L/R (d=24mm) </t>
  </si>
  <si>
    <t>33378FE</t>
  </si>
  <si>
    <t>33378  FEBI - Р’С‚СѓР»РєР° СЃС‚Р°Р±С–Р»С–Р·Р°С‚РѕСЂР°</t>
  </si>
  <si>
    <t>102.90</t>
  </si>
  <si>
    <t>BMW 3 (E46) !!!sport front L/R (d=21,5mm)</t>
  </si>
  <si>
    <t>33383FE</t>
  </si>
  <si>
    <t>33383  FEBI - Р’С‚СѓР»РєР° СЃС‚Р°Р±С–Р»С–Р·Р°С‚РѕСЂР°</t>
  </si>
  <si>
    <t>BMW 7 (E65/E66)  04-08 front L/R (d=25.5mm)</t>
  </si>
  <si>
    <t>33687FE</t>
  </si>
  <si>
    <t>33687  FEBI - РўСЏРіР° СЃС‚Р°Р±С–Р»С–Р·Р°С‚РѕСЂР°</t>
  </si>
  <si>
    <t>MB Vito (W639) rear L/R</t>
  </si>
  <si>
    <t>33725FE</t>
  </si>
  <si>
    <t>33725  FEBI - РЎР°Р№Р»РµРЅС‚Р±Р»РѕРє</t>
  </si>
  <si>
    <t>171.56</t>
  </si>
  <si>
    <t>AUDI Q7 (4L), VW Touareg (7L) front L/R upper outer (2x2pcs.)\n</t>
  </si>
  <si>
    <t>34067FE</t>
  </si>
  <si>
    <t>34067  FEBI - Р’С‚СѓР»РєР° СЃС‚Р°Р±С–Р»С–Р·Р°С‚РѕСЂР°</t>
  </si>
  <si>
    <t>144.48</t>
  </si>
  <si>
    <t>NISSAN Qashqai (J10)  07- front L/R (d=21mm)</t>
  </si>
  <si>
    <t>34068FE</t>
  </si>
  <si>
    <t>34068  FEBI - Р’С‚СѓР»РєР° СЃС‚Р°Р±С–Р»С–Р·Р°С‚РѕСЂР°</t>
  </si>
  <si>
    <t>NISSAN Qashqai (J10)  07- front L/R (d=17mm)\n</t>
  </si>
  <si>
    <t>34258FE</t>
  </si>
  <si>
    <t>34258  FEBI - Р’С‚СѓР»РєР° СЃС‚Р°Р±С–Р»С–Р·Р°С‚РѕСЂР°</t>
  </si>
  <si>
    <t>BMW 7 (E38)  93-01 front L/R</t>
  </si>
  <si>
    <t>34794FE</t>
  </si>
  <si>
    <t>34794  FEBI - РЎР°Р№Р»РµРЅС‚Р±Р»РѕРє</t>
  </si>
  <si>
    <t>VW Passat (B6)  06-11 rear L/R outer/inner (2x2pcs.)\n</t>
  </si>
  <si>
    <t>34803FE</t>
  </si>
  <si>
    <t>34803  FEBI - РўСЏРіР° РєРµСЂРјРѕРІР°</t>
  </si>
  <si>
    <t>283.20</t>
  </si>
  <si>
    <t>CITROEN Berlingo, PEUGEOT Partner  08- L/R /JAR1257/</t>
  </si>
  <si>
    <t>34940FE</t>
  </si>
  <si>
    <t>34940  FEBI - Р’Р°Р¶С–Р»СЊ РїС–РґРІС–СЃРєРё</t>
  </si>
  <si>
    <t>739.20</t>
  </si>
  <si>
    <t>OPEL Vectra C rear L/R</t>
  </si>
  <si>
    <t>36006FE</t>
  </si>
  <si>
    <t>36006  FEBI - РџРёР»СЊРѕРІРёРє Р°РјРѕСЂС‚РёР·Р°С‚РѕСЂР°</t>
  </si>
  <si>
    <t>114.26</t>
  </si>
  <si>
    <t>SKODA Octavia (1Z)  04- front L/R\n</t>
  </si>
  <si>
    <t>36051FE</t>
  </si>
  <si>
    <t>36051  FEBI - РљСѓР»СЊРѕРІР° РѕРїРѕСЂР°</t>
  </si>
  <si>
    <t>AUDI A1| SEAT Ibiza IV, V| SKODA Citigo, Fabia, Roomster| VW Polo, Up 1.0-2.0TDI  01- (Front, L)</t>
  </si>
  <si>
    <t>36052FE</t>
  </si>
  <si>
    <t>36052  FEBI - РљСѓР»СЊРѕРІР° РѕРїРѕСЂР°</t>
  </si>
  <si>
    <t>AUDI A1| SEAT Ibiza IV, V| SKODA Citigo, Fabia, Roomster| VW Polo, Up 1.0-2.0TDI  01- (Front, R)</t>
  </si>
  <si>
    <t>36122FE</t>
  </si>
  <si>
    <t>36122  FEBI - РЎР°Р№Р»РµРЅС‚Р±Р»РѕРє</t>
  </si>
  <si>
    <t>RENAULT II  08- front L/R rear\n</t>
  </si>
  <si>
    <t>36328FE</t>
  </si>
  <si>
    <t>36328  FEBI - Р’Р°Р¶С–Р»СЊ РїС–РґРІС–СЃРєРё</t>
  </si>
  <si>
    <t>1539.68</t>
  </si>
  <si>
    <t>BMW X5 (E70), X6 (E71, E72)  07- front left lower rear</t>
  </si>
  <si>
    <t>36329FE</t>
  </si>
  <si>
    <t>36329  FEBI - Р’Р°Р¶С–Р»СЊ РїС–РґРІС–СЃРєРё</t>
  </si>
  <si>
    <t>1667.38</t>
  </si>
  <si>
    <t>BMW X5 (E70), X6 (E71, E72)  07- front right lower rear</t>
  </si>
  <si>
    <t>36476FE</t>
  </si>
  <si>
    <t>36476  FEBI - РџРёР»СЊРѕРІРёРє РїСЂРёРІС–РґРЅРѕРіРѕ РІР°Р»Р°</t>
  </si>
  <si>
    <t>337.53</t>
  </si>
  <si>
    <t>MB Vito (W639) 2.2CDI-3.7  03-  (inner L/R)</t>
  </si>
  <si>
    <t>36543FE</t>
  </si>
  <si>
    <t>36543  FEBI - Р’С‚СѓР»РєР° СЃС‚Р°Р±С–Р»С–Р·Р°С‚РѕСЂР°</t>
  </si>
  <si>
    <t>OPEL Vectra C  02- front L/R (d=23.3mm)\n</t>
  </si>
  <si>
    <t>36613FE</t>
  </si>
  <si>
    <t>36613  FEBI - Р’С‚СѓР»РєР° СЃС‚Р°Р±С–Р»С–Р·Р°С‚РѕСЂР°</t>
  </si>
  <si>
    <t>FIAT Doblo 01- front L/R outer</t>
  </si>
  <si>
    <t>36735FE</t>
  </si>
  <si>
    <t>36735  FEBI - РљСѓР»СЊРѕРІР° РѕРїРѕСЂР°</t>
  </si>
  <si>
    <t>317.09</t>
  </si>
  <si>
    <t>AUDI A3, Q3| SEAT Altea, Leon, Toledo III| SKODA Octavia, Superb, Yeti| VW Caddy III, Golf V 1.2-3.6  03-  (Front, L)</t>
  </si>
  <si>
    <t>36736FE</t>
  </si>
  <si>
    <t>36736  FEBI - РљСѓР»СЊРѕРІР° РѕРїРѕСЂР°</t>
  </si>
  <si>
    <t>AUDI A3, Q3| SEAT Altea, Leon, Toledo III| SKODA Octavia, Superb, Yeti| VW Caddy III, Golf V 1.2-3.6  03-  (Front, R)</t>
  </si>
  <si>
    <t>36905FE</t>
  </si>
  <si>
    <t>36905  FEBI - Р’С‚СѓР»РєР° СЃС‚Р°Р±С–Р»С–Р·Р°С‚РѕСЂР°</t>
  </si>
  <si>
    <t>189.38</t>
  </si>
  <si>
    <t>BMW 5 (E60/E61)  03-10 front L/R (d=25mm)\n</t>
  </si>
  <si>
    <t>36910FE</t>
  </si>
  <si>
    <t>36910  FEBI - РќР°РєС–РЅРµС‡РЅРёРє РєРµСЂРјРѕРІРѕС— С‚СЏРіРё</t>
  </si>
  <si>
    <t>303.64</t>
  </si>
  <si>
    <t>AUDI Q7 (4L), VW Touareg  02- right</t>
  </si>
  <si>
    <t>36911FE</t>
  </si>
  <si>
    <t>36911  FEBI - РќР°РєС–РЅРµС‡РЅРёРє РєРµСЂРјРѕРІРѕС— С‚СЏРіРё</t>
  </si>
  <si>
    <t>AUDI Q7 (4L), VW Touareg  02- left\n\n</t>
  </si>
  <si>
    <t>36989FE</t>
  </si>
  <si>
    <t>36989  FEBI - РўСЏРіР° СЃС‚Р°Р±С–Р»С–Р·Р°С‚РѕСЂР°</t>
  </si>
  <si>
    <t xml:space="preserve">AUDI A4 1,8TFSi, 2,0TDi  08-  (Rear, L/R) </t>
  </si>
  <si>
    <t>37052FE</t>
  </si>
  <si>
    <t>37052  FEBI - Р’РёРјРёРєР°С‡ СЃРёРіРЅР°Р»Сѓ РіР°Р»СЊРјСѓРІР°РЅРЅСЏ</t>
  </si>
  <si>
    <t>#Renault</t>
  </si>
  <si>
    <t>37443FE</t>
  </si>
  <si>
    <t>37443  FEBI - Р’Р°Р¶С–Р»СЊ РїС–РґРІС–СЃРєРё</t>
  </si>
  <si>
    <t>1724.02</t>
  </si>
  <si>
    <t>BMW X5, X6 (E70, E71, E72)  00- rear left /37856 01/</t>
  </si>
  <si>
    <t>37444FE</t>
  </si>
  <si>
    <t>37444  FEBI - Р’Р°Р¶С–Р»СЊ РїС–РґРІС–СЃРєРё</t>
  </si>
  <si>
    <t>BMW X5, X6 (E70, E71, E72)  00- rear right /37857 01/</t>
  </si>
  <si>
    <t>38051FE</t>
  </si>
  <si>
    <t>38051  FEBI - Р’С‚СѓР»РєР° СЃС‚Р°Р±С–Р»С–Р·Р°С‚РѕСЂР°</t>
  </si>
  <si>
    <t>126.84</t>
  </si>
  <si>
    <t>OPEL Vectra C  02- front L/R  (d=24mm)  РЅРёР¶РЅСЏ С‡Р°СЃС‚РёРЅР°\n</t>
  </si>
  <si>
    <t>38536FE</t>
  </si>
  <si>
    <t>38536  FEBI - Р’С‚СѓР»РєР° СЃС‚Р°Р±С–Р»С–Р·Р°С‚РѕСЂР°</t>
  </si>
  <si>
    <t>MB Sprinter II  Ex.suspension VCM  06- rear L/R inner (d=15.5mm)\n</t>
  </si>
  <si>
    <t>38811FE</t>
  </si>
  <si>
    <t>38811  FEBI - РЎР°Р№Р»РµРЅС‚Р±Р»РѕРє</t>
  </si>
  <si>
    <t>AUDI Q7 (4L), VW Touareg (7L) front L/R lower rear (d=60.05mm)\n</t>
  </si>
  <si>
    <t>39023FE</t>
  </si>
  <si>
    <t>39023  FEBI - РљСѓР»СЊРѕРІР° РѕРїРѕСЂР°</t>
  </si>
  <si>
    <t>RENAULT Kangoo 2  08- left\n</t>
  </si>
  <si>
    <t>39024FE</t>
  </si>
  <si>
    <t>39024  FEBI - РљСѓР»СЊРѕРІР° РѕРїРѕСЂР°</t>
  </si>
  <si>
    <t>RENAULT Kangoo 2  08- right\n</t>
  </si>
  <si>
    <t>39646FE</t>
  </si>
  <si>
    <t>39646  FEBI - Р’С‚СѓР»РєР° СЃС‚Р°Р±С–Р»С–Р·Р°С‚РѕСЂР°</t>
  </si>
  <si>
    <t>RENAULT Clio 3  05-12 front L/R (d=20.5mm)\n</t>
  </si>
  <si>
    <t>39831FE</t>
  </si>
  <si>
    <t>39831  FEBI - Р¤С–Р»СЊС‚СЂ РїР°Р»РёРІР°</t>
  </si>
  <si>
    <t>MB CLS (C219), E-Class (S211, W211) 1.8-5.0  02-10  (РІСЃС‚Р°РІРєР°)</t>
  </si>
  <si>
    <t>40165FE</t>
  </si>
  <si>
    <t>40165  FEBI - РЎР°Р№Р»РµРЅС‚Р±Р»РѕРє</t>
  </si>
  <si>
    <t>423.66</t>
  </si>
  <si>
    <t>AUDI Q7 (4L), VW Touareg (7L) front L/R lower centre (d=46,5) /37927 01/\n</t>
  </si>
  <si>
    <t>40428FE</t>
  </si>
  <si>
    <t>40428  FEBI - Р›Р°РЅС†СЋРі РїСЂРёРІРѕРґСѓ Р“Р Рњ</t>
  </si>
  <si>
    <t>1585.80</t>
  </si>
  <si>
    <t>FORD Transit| LAND ROVER Defender 2.2TDCi, 2.4TDCi  06-</t>
  </si>
  <si>
    <t>40429FE</t>
  </si>
  <si>
    <t>40429  FEBI - Р›Р°РЅС†СЋРі РїСЂРёРІРѕРґСѓ Р“Р Рњ</t>
  </si>
  <si>
    <t>1361.48</t>
  </si>
  <si>
    <t>CITROEN Jumper| FIAT Ducato| FORD Transit| PEUGEOT Boxer 2.2HDi, 2.2TDCi  06-</t>
  </si>
  <si>
    <t>40591FE</t>
  </si>
  <si>
    <t>40591  FEBI - РЎР°Р№Р»РµРЅС‚Р±Р»РѕРє</t>
  </si>
  <si>
    <t>AUDI A3| SEAT Altea, Leon| SKODA Superb, Octavia| VW Passat B6, Golf V, VI  03-  (rear axle) \n</t>
  </si>
  <si>
    <t>41435FE</t>
  </si>
  <si>
    <t>41435  FEBI - Р’С‚СѓР»РєР° СЃС‚Р°Р±С–Р»С–Р·Р°С‚РѕСЂР°</t>
  </si>
  <si>
    <t>KIA Sportage (K00)  94-03 front L/R</t>
  </si>
  <si>
    <t>41467FE</t>
  </si>
  <si>
    <t>41467  FEBI - Р’С‚СѓР»РєР° СЃС‚Р°Р±С–Р»С–Р·Р°С‚РѕСЂР°</t>
  </si>
  <si>
    <t>HYUNDAI Santa Fe (SM) 2.0  01-06 front L/R (d=23mm)</t>
  </si>
  <si>
    <t>41479FE</t>
  </si>
  <si>
    <t>41479  FEBI - РЎР°Р№Р»РµРЅС‚Р±Р»РѕРє</t>
  </si>
  <si>
    <t>186.58</t>
  </si>
  <si>
    <t>HYUNDAI Accent (MC), KIA Rio II (JB)  06- front L/R front</t>
  </si>
  <si>
    <t>41497FE</t>
  </si>
  <si>
    <t>41497  FEBI - Р’С‚СѓР»РєР° СЃС‚Р°Р±С–Р»С–Р·Р°С‚РѕСЂР°</t>
  </si>
  <si>
    <t>58.00</t>
  </si>
  <si>
    <t>CHEVROLET Lacetti (J200)  05- front L/R (d=17mm)</t>
  </si>
  <si>
    <t>41503FE</t>
  </si>
  <si>
    <t>41503  FEBI - Р’С‚СѓР»РєР° СЃС‚Р°Р±С–Р»С–Р·Р°С‚РѕСЂР°</t>
  </si>
  <si>
    <t>52.06</t>
  </si>
  <si>
    <t>HYUNDAI i30 (FD), KIA Ceed (ED)  06- rear L/R (d=16mm)</t>
  </si>
  <si>
    <t>41505FE</t>
  </si>
  <si>
    <t>41505  FEBI - Р’С‚СѓР»РєР° СЃС‚Р°Р±С–Р»С–Р·Р°С‚РѕСЂР°</t>
  </si>
  <si>
    <t>44.90</t>
  </si>
  <si>
    <t>KIA Carens III (UN)  06- rear L/R</t>
  </si>
  <si>
    <t>41514FE</t>
  </si>
  <si>
    <t>41514  FEBI - Р’С‚СѓР»РєР° СЃС‚Р°Р±С–Р»С–Р·Р°С‚РѕСЂР°</t>
  </si>
  <si>
    <t>DAEWOO Nubira Wagon (KLAJ)  97- rear L/R (d=10mm)</t>
  </si>
  <si>
    <t>41533FE</t>
  </si>
  <si>
    <t>41533  FEBI - Р’С‚СѓР»РєР° СЃС‚Р°Р±С–Р»С–Р·Р°С‚РѕСЂР°</t>
  </si>
  <si>
    <t>CHEVROLET Lacetti (J200)  05- rear L/R\n</t>
  </si>
  <si>
    <t>41547FE</t>
  </si>
  <si>
    <t>41547  FEBI - Р’С‚СѓР»РєР° СЃС‚Р°Р±С–Р»С–Р·Р°С‚РѕСЂР°</t>
  </si>
  <si>
    <t>HYUNDAI Getz  02-09 front L/R</t>
  </si>
  <si>
    <t>41553FE</t>
  </si>
  <si>
    <t>41553  FEBI - Р’С‚СѓР»РєР° СЃС‚Р°Р±С–Р»С–Р·Р°С‚РѕСЂР°</t>
  </si>
  <si>
    <t>30.75</t>
  </si>
  <si>
    <t>HYUNDAI Accent (X3)  94-00 front L/R (d=20mm)</t>
  </si>
  <si>
    <t>41562FE</t>
  </si>
  <si>
    <t>41562  FEBI - Р’С‚СѓР»РєР° СЃС‚Р°Р±С–Р»С–Р·Р°С‚РѕСЂР°</t>
  </si>
  <si>
    <t>KIA Sportage (JE)  04-10 rear L/R (d=15mm)</t>
  </si>
  <si>
    <t>41564FE</t>
  </si>
  <si>
    <t>41564  FEBI - Р’С‚СѓР»РєР° СЃС‚Р°Р±С–Р»С–Р·Р°С‚РѕСЂР°</t>
  </si>
  <si>
    <t>KIA Sportage (JE)  04-10 front L/R (d=25mm)\n</t>
  </si>
  <si>
    <t>41575FE</t>
  </si>
  <si>
    <t>41575  FEBI - Р’С‚СѓР»РєР° СЃС‚Р°Р±С–Р»С–Р·Р°С‚РѕСЂР°</t>
  </si>
  <si>
    <t>50.32</t>
  </si>
  <si>
    <t>KIA Cerato (LD)  03-09 front L/R (d=19mm)</t>
  </si>
  <si>
    <t>41578FE</t>
  </si>
  <si>
    <t>41578  FEBI - Р’С‚СѓР»РєР° СЃС‚Р°Р±С–Р»С–Р·Р°С‚РѕСЂР°</t>
  </si>
  <si>
    <t>HYUNDAI Accent (X3, LC)  94-05 rear L/R (d=14mm)</t>
  </si>
  <si>
    <t>41585FE</t>
  </si>
  <si>
    <t>41585  FEBI - Р’С‚СѓР»РєР° СЃС‚Р°Р±С–Р»С–Р·Р°С‚РѕСЂР°</t>
  </si>
  <si>
    <t>HYUNDAI Accent (MC), KIA Rio II (JB)  06- front L/R inner\n</t>
  </si>
  <si>
    <t>41588FE</t>
  </si>
  <si>
    <t>41588  FEBI - Р’С‚СѓР»РєР° СЃС‚Р°Р±С–Р»С–Р·Р°С‚РѕСЂР°</t>
  </si>
  <si>
    <t>HYUNDAI Tucson (JM), KIA Sportage (JE)  04- front L/R (d=24mm)</t>
  </si>
  <si>
    <t>41590FE</t>
  </si>
  <si>
    <t>41590  FEBI - РЎР°Р№Р»РµРЅС‚Р±Р»РѕРє</t>
  </si>
  <si>
    <t>87.00</t>
  </si>
  <si>
    <t>HYUNDAI Accent (MC), KIA Rio II (JB)  06- front L/R rear</t>
  </si>
  <si>
    <t>41902FE</t>
  </si>
  <si>
    <t>41902  FEBI - РќР°РєС–РЅРµС‡РЅРёРє РєРµСЂРјРѕРІРѕС— С‚СЏРіРё</t>
  </si>
  <si>
    <t>173.48</t>
  </si>
  <si>
    <t>CHEVROLET Epica, Evanda  05- L/R</t>
  </si>
  <si>
    <t>42022FE</t>
  </si>
  <si>
    <t>42022  FEBI - Р’С‚СѓР»РєР° СЃС‚Р°Р±С–Р»С–Р·Р°С‚РѕСЂР°</t>
  </si>
  <si>
    <t>29.00</t>
  </si>
  <si>
    <t>HONDA CR-V I, II  2.0, 2.2CTDi  99-06  (Front, L/R)  (25mm)</t>
  </si>
  <si>
    <t>42024FE</t>
  </si>
  <si>
    <t>42024  FEBI - Р’С‚СѓР»РєР° СЃС‚Р°Р±С–Р»С–Р·Р°С‚РѕСЂР°</t>
  </si>
  <si>
    <t>HONDA Accord VII 2.0, 2.2i-CTDi, 2.4  03-  (Rear, L/R)  (13.5mm)</t>
  </si>
  <si>
    <t>42038FE</t>
  </si>
  <si>
    <t>42038  FEBI - Р’С‚СѓР»РєР° СЃС‚Р°Р±С–Р»С–Р·Р°С‚РѕСЂР°</t>
  </si>
  <si>
    <t>84.73</t>
  </si>
  <si>
    <t>HONDA Accord VII 2.0, 2.2, 2.4CTDi  03-  (Front, L/R)  (25mm)</t>
  </si>
  <si>
    <t>43648FE</t>
  </si>
  <si>
    <t>43648  FEBI - РџРёР»СЊРѕРІРёРє РїСЂРёРІС–РґРЅРѕРіРѕ РІР°Р»Р°</t>
  </si>
  <si>
    <t>BMW 5(E39), 7 (E38), X5 (E53) 94-  (Rear, L/R)</t>
  </si>
  <si>
    <t>44176FE</t>
  </si>
  <si>
    <t>44176  FEBI - Р¤С–Р»СЊС‚СЂ РђРљРџРџ</t>
  </si>
  <si>
    <t>260.49</t>
  </si>
  <si>
    <t>AUDI/SKODA/SEAT/VW  03-  (DSG 6)</t>
  </si>
  <si>
    <t>44764FE</t>
  </si>
  <si>
    <t>44764  FEBI - РЎР°Р№Р»РµРЅС‚Р±Р»РѕРє Р±Р°Р»РєРё</t>
  </si>
  <si>
    <t>AUDI Q7 (4L), VW Touareg (7L) front L/R lower rear\n</t>
  </si>
  <si>
    <t>FEBI - Р С–РґРёРЅРё</t>
  </si>
  <si>
    <t>145.48</t>
  </si>
  <si>
    <t>MB 325.2</t>
  </si>
  <si>
    <t>VW TL774-D</t>
  </si>
  <si>
    <t>145.18</t>
  </si>
  <si>
    <t>MB 343.0</t>
  </si>
  <si>
    <t>204.99</t>
  </si>
  <si>
    <t>VW TL 52146, Opel B 0400070, MAN M 3289</t>
  </si>
  <si>
    <t>138.23</t>
  </si>
  <si>
    <t>#BMW</t>
  </si>
  <si>
    <t>MB 236.2, 236.6, 236.7, Dexron II-D</t>
  </si>
  <si>
    <t>155.93</t>
  </si>
  <si>
    <t>MB 236.3</t>
  </si>
  <si>
    <t>14738FE</t>
  </si>
  <si>
    <t>14738  ATF 1L (Р¶РѕРІС‚РёР№) x12  FEBI - РњР°СЃР»Рѕ С‚СЂР°РЅСЃРјС–СЃС–Р№РЅРµ</t>
  </si>
  <si>
    <t>200.60</t>
  </si>
  <si>
    <t>VW TL 521 62, VW LT 71141, MB 236.11</t>
  </si>
  <si>
    <t>21647FE</t>
  </si>
  <si>
    <t>21647  1L (Р·РµР»РµРЅРёР№) x12  FEBI - Р С–РґРёРЅР° РіС–РґСЂРѕРїС–РґСЃРёР»СЋРІР°С‡Р° (СЃРёРЅС‚РµС‚РёС‡РЅР°)</t>
  </si>
  <si>
    <t>MB 345.0</t>
  </si>
  <si>
    <t>21648FE</t>
  </si>
  <si>
    <t>21648  1L (СЃРІС–С‚Р»Рѕ РєРѕСЂРёС‡РЅРµРІРёР№) x12  FEBI - Р С–РґРёРЅР° РіС–РґСЂР°РІР»С–С‡РЅР°</t>
  </si>
  <si>
    <t>246.33</t>
  </si>
  <si>
    <t>MB 344.0</t>
  </si>
  <si>
    <t>22272FE</t>
  </si>
  <si>
    <t>22272  G12 5L (С‡РµСЂРІРѕРЅРёР№) x4  FEBI - РљРѕРЅС†РµРЅС‚СЂР°С‚ РѕС…РѕР»РѕРґР¶СѓСЋС‡РѕС— СЂС–РґРёРЅРё</t>
  </si>
  <si>
    <t>478.08</t>
  </si>
  <si>
    <t>22806FE</t>
  </si>
  <si>
    <t>22806  ATF 1L (С‡РµСЂРІРѕРЅРёР№) x20  FEBI - РњР°СЃР»Рѕ С‚СЂР°РЅСЃРјС–СЃС–Р№РЅРµ</t>
  </si>
  <si>
    <t>FORD Mercon V, M2C202B, M2C195A, M2C922A1, MB 236.10, GM Dexron III-G / III-H</t>
  </si>
  <si>
    <t>26580FE</t>
  </si>
  <si>
    <t>26580  1.5L (Р·РµР»РµРЅРёР№) x12  FEBI - РћС…РѕР»РѕРґР¶СѓСЋС‡Р° СЂС–РґРёРЅР° -30C</t>
  </si>
  <si>
    <t>112.16</t>
  </si>
  <si>
    <t>Renault Typ D, SAE J1034, GM 1825M, GM 1899M, Ford ESE-M978B4H-A, AF plus</t>
  </si>
  <si>
    <t>29449FE</t>
  </si>
  <si>
    <t>29449  ATF 1L (С‡РµСЂРІРѕРЅРёР№) x12  FEBI - РњР°СЃР»Рѕ С‚СЂР°РЅСЃРјС–СЃС–Р№РЅРµ</t>
  </si>
  <si>
    <t>198.41</t>
  </si>
  <si>
    <t>MB 236.14</t>
  </si>
  <si>
    <t>29934FE</t>
  </si>
  <si>
    <t>29934  ATF 1L (С‡РµСЂРІРѕРЅРёР№) x12  FEBI - РњР°СЃР»Рѕ С‚СЂР°РЅСЃРјС–СЃС–Р№РЅРµ</t>
  </si>
  <si>
    <t>208.95</t>
  </si>
  <si>
    <t>Kia SP-II / SP-III\nMazda ATF D-III / M-3\nMitsubishi SP-II / SP-III\nNissan C/D/J\nSaab 3309\nSubaru ATF / Special\nSuzuki ATF 3309\nSuzuki ATF 3317\nToyota T-II / T-III / T-IV\nToyota Type D-2/WS</t>
  </si>
  <si>
    <t>32590FE</t>
  </si>
  <si>
    <t>32590  GL-5 75W-90 1L x12  FEBI - РњР°СЃР»Рѕ С‚СЂР°РЅСЃРјС–СЃС–Р№РЅРµ</t>
  </si>
  <si>
    <t>197.94</t>
  </si>
  <si>
    <t>API GL-4 / GL-5</t>
  </si>
  <si>
    <t>34608FE</t>
  </si>
  <si>
    <t>34608  ATF 1L (Р¶РѕРІС‚РёР№) x12  FEBI - РњР°СЃР»Рѕ С‚СЂР°РЅСЃРјС–СЃС–Р№РЅРµ</t>
  </si>
  <si>
    <t>ATF SP-IV, ZF 6HP</t>
  </si>
  <si>
    <t>38200FE</t>
  </si>
  <si>
    <t>38200  G13 1.5L (С„С–РѕР»РµС‚РѕРІРёР№) x12  FEBI - РљРѕРЅС†РµРЅС‚СЂР°С‚ РѕС…РѕР»РѕРґР¶СѓСЋС‡РѕС— СЂС–РґРёРЅРё</t>
  </si>
  <si>
    <t>VW TL774-J</t>
  </si>
  <si>
    <t>39070FE</t>
  </si>
  <si>
    <t>39070  DSG 1L (Р¶РѕРІС‚РёР№) x12  FEBI - РњР°СЃР»Рѕ С‚СЂР°РЅСЃРјС–СЃС–Р№РЅРµ</t>
  </si>
  <si>
    <t>249.66</t>
  </si>
  <si>
    <t xml:space="preserve">PSA DCS, Ford Powershift WSS-M2C936-A, MB 236.21, XTC-SST DIA Queen SSTF-1 </t>
  </si>
  <si>
    <t>39095FE</t>
  </si>
  <si>
    <t>39095  ATF 1L (Р·РµР»РµРЅРёР№) x12  FEBI - РњР°СЃР»Рѕ С‚СЂР°РЅСЃРјС–СЃС–Р№РЅРµ</t>
  </si>
  <si>
    <t>391.51</t>
  </si>
  <si>
    <t>40580FE</t>
  </si>
  <si>
    <t>40580  GL-5 75W-80 1L x12  FEBI - РњР°СЃР»Рѕ С‚СЂР°РЅСЃРјС–СЃС–Р№РЅРµ</t>
  </si>
  <si>
    <t>FORTIS</t>
  </si>
  <si>
    <t>FORTIS Brake Fluid DOT-4 0,45L x 18</t>
  </si>
  <si>
    <t>47.51</t>
  </si>
  <si>
    <t>РљРљ_FORTIS_DOT4</t>
  </si>
  <si>
    <t>FORTIS Brake Fluid DOT-4 1L x 8</t>
  </si>
  <si>
    <t>89.31</t>
  </si>
  <si>
    <t>GATES</t>
  </si>
  <si>
    <t>3.2mmX15mt</t>
  </si>
  <si>
    <t>3,2mmx15mt (3225-00050)  РЁР»Р°РЅРі РїР°Р»РёРІРЅРёР№ GATES</t>
  </si>
  <si>
    <t>47.20</t>
  </si>
  <si>
    <t>С†С–РЅР° Р·Р° 1РїРѕРі. Рј  FUEL LINE 3.2X15MT ON REELBOXE (РЅР° РєРѕС‚СѓС€С†С– 15Рј)</t>
  </si>
  <si>
    <t>3PK675 (8653-10023)  Р РµРјС–РЅСЊ (РїРѕР»С–РєР»РёРЅРѕРІРёР№) GATES MICRO-V HORIZON</t>
  </si>
  <si>
    <t>3PK865 (8653-10098)  Р РµРјС–РЅСЊ (РїРѕР»С–РєР»РёРЅРѕРІРёР№) GATES MICRO-V HORIZON</t>
  </si>
  <si>
    <t>4PK1063</t>
  </si>
  <si>
    <t>4PK1063 (8653-10186)  Р РµРјС–РЅСЊ (РїРѕР»С–РєР»РёРЅРѕРІРёР№) GATES MICRO-V HORIZON</t>
  </si>
  <si>
    <t>4PK675 (8653-10024)  Р РµРјС–РЅСЊ (РїРѕР»С–РєР»РёРЅРѕРІРёР№) GATES MICRO-V HORIZON</t>
  </si>
  <si>
    <t>88.50</t>
  </si>
  <si>
    <t>(4PK675, 4PK673)</t>
  </si>
  <si>
    <t>4PK845 (8653-10087)  Р РµРјС–РЅСЊ (РїРѕР»С–РєР»РёРЅРѕРІРёР№) GATES MICRO-V HORIZON</t>
  </si>
  <si>
    <t>124.41</t>
  </si>
  <si>
    <t>4PK850 (8653-10090)  Р РµРјС–РЅСЊ (РїРѕР»С–РєР»РёРЅРѕРІРёР№) GATES MICRO-V HORIZON</t>
  </si>
  <si>
    <t>103.84</t>
  </si>
  <si>
    <t>4PK855 (8653-10093)  Р РµРјС–РЅСЊ (РїРѕР»С–РєР»РёРЅРѕРІРёР№) GATES MICRO-V HORIZON</t>
  </si>
  <si>
    <t>102.66</t>
  </si>
  <si>
    <t>4PK890 (8653-10111)  Р РµРјС–РЅСЊ (РїРѕР»С–РєР»РёРЅРѕРІРёР№) GATES MICRO-V HORIZON</t>
  </si>
  <si>
    <t>(4PK890, 4PK890)</t>
  </si>
  <si>
    <t>5015 (8595-15015)  Р РµРјС–РЅСЊ Р“Р Рњ GATES</t>
  </si>
  <si>
    <t>128.12</t>
  </si>
  <si>
    <t>5016 (8595-15016)  Р РµРјС–РЅСЊ Р“Р Рњ GATES</t>
  </si>
  <si>
    <t>125.08</t>
  </si>
  <si>
    <t>5027 (8595-15027)  Р РµРјС–РЅСЊ Р“Р Рњ GATES</t>
  </si>
  <si>
    <t>5030 (8595-15030)  Р РµРјС–РЅСЊ Р“Р Рњ GATES</t>
  </si>
  <si>
    <t>OPEL mot.13N/13S/C13N Kadett E/Corsa A/Ascona C  (5030)</t>
  </si>
  <si>
    <t>5034 (8595-15034)  Р РµРјС–РЅСЊ Р“Р Рњ GATES</t>
  </si>
  <si>
    <t>5048 (8595-15048)  Р РµРјС–РЅСЊ Р“Р Рњ GATES</t>
  </si>
  <si>
    <t>314.73</t>
  </si>
  <si>
    <t>5083 (8595-15083)  Р РµРјС–РЅСЊ Р“Р Рњ GATES</t>
  </si>
  <si>
    <t>133.01</t>
  </si>
  <si>
    <t>5129 (8595-15129)  Р РµРјС–РЅСЊ Р“Р Рњ GATES</t>
  </si>
  <si>
    <t>308.32</t>
  </si>
  <si>
    <t>5130XS</t>
  </si>
  <si>
    <t>5130XS (8597-15130)  Р РµРјС–РЅСЊ Р“Р Рњ GATES XS</t>
  </si>
  <si>
    <t>281.69</t>
  </si>
  <si>
    <t>5176 (8595-15176)  Р РµРјС–РЅСЊ Р“Р Рњ GATES</t>
  </si>
  <si>
    <t>183.24</t>
  </si>
  <si>
    <t>5215XS</t>
  </si>
  <si>
    <t>5215XS (8597-15215)  Р РµРјС–РЅСЊ Р“Р Рњ GATES XS</t>
  </si>
  <si>
    <t>5223XS</t>
  </si>
  <si>
    <t>5223XS (8597-15223)  Р РµРјС–РЅСЊ Р“Р Рњ GATES XS</t>
  </si>
  <si>
    <t>371.54</t>
  </si>
  <si>
    <t>5251XS</t>
  </si>
  <si>
    <t>5251XS (8597-15251)  Р РµРјС–РЅСЊ Р“Р Рњ GATES XS</t>
  </si>
  <si>
    <t>213.25</t>
  </si>
  <si>
    <t>FORD Sierra/Mondeo I/Escort IV-VII 1.8D/1.8TD  (5251XS, 94379)</t>
  </si>
  <si>
    <t>5255XS</t>
  </si>
  <si>
    <t>5255XS (8597-15255)  Р РµРјС–РЅСЊ Р“Р Рњ GATES XS</t>
  </si>
  <si>
    <t>452.12</t>
  </si>
  <si>
    <t>5257XS</t>
  </si>
  <si>
    <t>5257XS (8597-15257)  Р РµРјС–РЅСЊ Р“Р Рњ GATES XS</t>
  </si>
  <si>
    <t>178.02</t>
  </si>
  <si>
    <t>5310XS</t>
  </si>
  <si>
    <t>5310XS (8597-15310)  Р РµРјС–РЅСЊ Р“Р Рњ GATES XS</t>
  </si>
  <si>
    <t>182.74</t>
  </si>
  <si>
    <t>5311 (8595-15311)  Р РµРјС–РЅСЊ Р“Р Рњ GATES</t>
  </si>
  <si>
    <t>5323XS</t>
  </si>
  <si>
    <t>5323XS (8597-15323)  Р РµРјС–РЅСЊ Р“Р Рњ GATES XS</t>
  </si>
  <si>
    <t>403.40</t>
  </si>
  <si>
    <t>5334XS</t>
  </si>
  <si>
    <t>5334XS (8597-15334)  Р РµРјС–РЅСЊ Р“Р Рњ GATES XS</t>
  </si>
  <si>
    <t>435.60</t>
  </si>
  <si>
    <t>5344XS</t>
  </si>
  <si>
    <t>5344XS (8597-15344)  Р РµРјС–РЅСЊ Р“Р Рњ GATES XS</t>
  </si>
  <si>
    <t>518.87</t>
  </si>
  <si>
    <t>5357XS</t>
  </si>
  <si>
    <t>5357XS (8597-15357)  Р РµРјС–РЅСЊ Р“Р Рњ GATES XS</t>
  </si>
  <si>
    <t>289.27</t>
  </si>
  <si>
    <t>5367XS</t>
  </si>
  <si>
    <t>5367XS (8597-15367)  Р РµРјС–РЅСЊ Р“Р Рњ GATES XS</t>
  </si>
  <si>
    <t>373.56</t>
  </si>
  <si>
    <t>5369XS</t>
  </si>
  <si>
    <t>5369XS (8597-15369)  Р РµРјС–РЅСЊ Р“Р Рњ GATES XS</t>
  </si>
  <si>
    <t>347.94</t>
  </si>
  <si>
    <t>5427XS</t>
  </si>
  <si>
    <t>5427XS (8597-15427)  Р РµРјС–РЅСЊ Р“Р Рњ GATES XS</t>
  </si>
  <si>
    <t>171.61</t>
  </si>
  <si>
    <t>5434XS</t>
  </si>
  <si>
    <t>5434XS (8597-15434)  Р РµРјС–РЅСЊ Р“Р Рњ GATES XS</t>
  </si>
  <si>
    <t>Chevrolet Matiz 0,8  05- /Daewoo Tico 0,8  95-00|  Mitsubishi Colt V/Lancer VI 1.3/1.5 mot.4G15  95-03 (CT910, 94809)</t>
  </si>
  <si>
    <t>5436XS</t>
  </si>
  <si>
    <t>5436XS (8597-15436)  Р РµРјС–РЅСЊ Р“Р Рњ GATES XS</t>
  </si>
  <si>
    <t>5457XS</t>
  </si>
  <si>
    <t>5457XS (8597-15457)  Р РµРјС–РЅСЊ Р“Р Рњ GATES XS</t>
  </si>
  <si>
    <t>348.78</t>
  </si>
  <si>
    <t>5461XS</t>
  </si>
  <si>
    <t>5461XS (8597-15461)  Р РµРјС–РЅСЊ Р“Р Рњ GATES XS</t>
  </si>
  <si>
    <t>365.30</t>
  </si>
  <si>
    <t>5479XS</t>
  </si>
  <si>
    <t>5479XS (8597-15479)  Р РµРјС–РЅСЊ Р“Р Рњ GATES XS</t>
  </si>
  <si>
    <t>309.00</t>
  </si>
  <si>
    <t>5499XS</t>
  </si>
  <si>
    <t>5499XS (8597-15499)  Р РµРјС–РЅСЊ Р“Р Рњ GATES XS</t>
  </si>
  <si>
    <t>336.48</t>
  </si>
  <si>
    <t>5503XS</t>
  </si>
  <si>
    <t>5503XS (8597-15503)  Р РµРјС–РЅСЊ Р“Р Рњ GATES XS</t>
  </si>
  <si>
    <t>5539 (8595-15539)  Р РµРјС–РЅСЊ Р“Р Рњ GATES</t>
  </si>
  <si>
    <t>200.44</t>
  </si>
  <si>
    <t>VAZ 2110-12  1.5 16v    /136 Р·СѓР±СЊРµРІ/</t>
  </si>
  <si>
    <t>5552XS</t>
  </si>
  <si>
    <t>5552XS (8597-15552)  Р РµРјС–РЅСЊ Р“Р Рњ GATES XS</t>
  </si>
  <si>
    <t>473.86</t>
  </si>
  <si>
    <t>5559XS</t>
  </si>
  <si>
    <t>5559XS (8597-15559)  Р РµРјС–РЅСЊ Р“Р Рњ GATES XS</t>
  </si>
  <si>
    <t>687.11</t>
  </si>
  <si>
    <t>AUDI A3 1.9TDI 9/96-7/01| VW Golf IV/Polo/Bora 1.9TDI 9/96-&gt;| SKODA Octavia 1.9TDI 7/98-&gt;|</t>
  </si>
  <si>
    <t>5569XS</t>
  </si>
  <si>
    <t>5569XS (8597-15569)  Р РµРјС–РЅСЊ Р“Р Рњ GATES XS</t>
  </si>
  <si>
    <t>750.33</t>
  </si>
  <si>
    <t>5573XS</t>
  </si>
  <si>
    <t>5573XS (8597-15573)  Р РµРјС–РЅСЊ Р“Р Рњ GATES XS</t>
  </si>
  <si>
    <t>401.55</t>
  </si>
  <si>
    <t>5578XS</t>
  </si>
  <si>
    <t>5578XS (8597-15578)  Р РµРјС–РЅСЊ Р“Р Рњ GATES XS</t>
  </si>
  <si>
    <t>547.03</t>
  </si>
  <si>
    <t>5579XS</t>
  </si>
  <si>
    <t>5579XS (8597-15579)  Р РµРјС–РЅСЊ Р“Р Рњ GATES XS</t>
  </si>
  <si>
    <t>539.10</t>
  </si>
  <si>
    <t>5PK1005 (8653-10162)  Р РµРјС–РЅСЊ (РїРѕР»С–РєР»РёРЅРѕРІРёР№) GATES MICRO-V HORIZON</t>
  </si>
  <si>
    <t>149.86</t>
  </si>
  <si>
    <t>5PK1063</t>
  </si>
  <si>
    <t>5PK1063 (8653-10187)  Р РµРјС–РЅСЊ (РїРѕР»С–РєР»РёРЅРѕРІРёР№) GATES MICRO-V HORIZON</t>
  </si>
  <si>
    <t>179.36</t>
  </si>
  <si>
    <t>5PK1113</t>
  </si>
  <si>
    <t>5PK1113 (8653-10205)  Р РµРјС–РЅСЊ (РїРѕР»С–РєР»РёРЅРѕРІРёР№) GATES MICRO-V HORIZON</t>
  </si>
  <si>
    <t>172.79</t>
  </si>
  <si>
    <t>5PK1123</t>
  </si>
  <si>
    <t>5PK1123 (8653-10210)  Р РµРјС–РЅСЊ (РїРѕР»С–РєР»РёРЅРѕРІРёР№) GATES MICRO-V HORIZON</t>
  </si>
  <si>
    <t>5PK1200 (8653-10240)  Р РµРјС–РЅСЊ (РїРѕР»С–РєР»РёРЅРѕРІРёР№) GATES MICRO-V HORIZON</t>
  </si>
  <si>
    <t>195.21</t>
  </si>
  <si>
    <t>5PK1303</t>
  </si>
  <si>
    <t>5PK1303 (8653-10280)  Р РµРјС–РЅСЊ (РїРѕР»С–РєР»РёРЅРѕРІРёР№) GATES MICRO-V HORIZON</t>
  </si>
  <si>
    <t>5PK1645</t>
  </si>
  <si>
    <t>5PK1645 (8653-10359)  Р РµРјС–РЅСЊ (РїРѕР»С–РєР»РёРЅРѕРІРёР№) GATES MICRO-V HORIZON</t>
  </si>
  <si>
    <t>225.22</t>
  </si>
  <si>
    <t>5PK865 (8653-10099)  Р РµРјС–РЅСЊ (РїРѕР»С–РєР»РёРЅРѕРІРёР№) GATES MICRO-V HORIZON</t>
  </si>
  <si>
    <t>5PK903</t>
  </si>
  <si>
    <t>5PK903 (8653-10116)  Р РµРјС–РЅСЊ (РїРѕР»С–РєР»РёРЅРѕРІРёР№) GATES MICRO-V HORIZON</t>
  </si>
  <si>
    <t>5PK978</t>
  </si>
  <si>
    <t>5PK978 (8653-10152)  Р РµРјС–РЅСЊ (РїРѕР»С–РєР»РёРЅРѕРІРёР№) GATES MICRO-V HORIZON</t>
  </si>
  <si>
    <t>(5PK975)</t>
  </si>
  <si>
    <t>6204MC</t>
  </si>
  <si>
    <t>10X600 = 6204MC (8532-16204)  Р РµРјС–РЅСЊ (РєР»РёРЅРѕРІРёР№) GATES MC</t>
  </si>
  <si>
    <t>6205MC</t>
  </si>
  <si>
    <t>10X625 = 6205MC (8532-16205)  Р РµРјС–РЅСЊ (РєР»РёРЅРѕРІРёР№) GATES MC</t>
  </si>
  <si>
    <t>59.51</t>
  </si>
  <si>
    <t>6206MC</t>
  </si>
  <si>
    <t>10X650 = 6206MC (8532-16206)  Р РµРјС–РЅСЊ (РєР»РёРЅРѕРІРёР№) GATES MC</t>
  </si>
  <si>
    <t>6209MC</t>
  </si>
  <si>
    <t>10X725 = 6209MC (8532-16209)  Р РµРјС–РЅСЊ (РєР»РёРЅРѕРІРёР№) GATES MC</t>
  </si>
  <si>
    <t>49.90</t>
  </si>
  <si>
    <t>ZAZ РўР°РІСЂС–СЏ 1,1  89-07| BMW, Citroen, Fiat, ...</t>
  </si>
  <si>
    <t>6210MC</t>
  </si>
  <si>
    <t>10X750 = 6210MC (8532-16210)  Р РµРјС–РЅСЊ (РєР»РёРЅРѕРІРёР№) GATES MC</t>
  </si>
  <si>
    <t>6212MC</t>
  </si>
  <si>
    <t>10X800 = 6212MC (8532-16212)  Р РµРјС–РЅСЊ (РєР»РёРЅРѕРІРёР№) GATES MC</t>
  </si>
  <si>
    <t>6214MC</t>
  </si>
  <si>
    <t>10X850 = 6214MC (8532-16214)  Р РµРјС–РЅСЊ (РєР»РёРЅРѕРІРёР№) GATES MC</t>
  </si>
  <si>
    <t>6215MC</t>
  </si>
  <si>
    <t>10X875 = 6215MC (8532-16215)  Р РµРјС–РЅСЊ (РєР»РёРЅРѕРІРёР№) GATES MC</t>
  </si>
  <si>
    <t>6216MC</t>
  </si>
  <si>
    <t>10X900 = 6216MC (8532-16216)  Р РµРјС–РЅСЊ (РєР»РёРЅРѕРІРёР№) GATES MC</t>
  </si>
  <si>
    <t>6217MC</t>
  </si>
  <si>
    <t>10X925 = 6217MC (8532-16217)  Р РµРјС–РЅСЊ (РєР»РёРЅРѕРІРёР№) GATES MC</t>
  </si>
  <si>
    <t>60.01</t>
  </si>
  <si>
    <t>6218MC</t>
  </si>
  <si>
    <t>10X950 = 6218MC (8532-16218)  Р РµРјС–РЅСЊ (РєР»РёРЅРѕРІРёР№) GATES MC</t>
  </si>
  <si>
    <t xml:space="preserve">VAG 1.6-2.0   -93|  BMW E30|  OPEL 1.0-1.3  -91, 1.7TD  90-98| Renault Master 2.4/2.5D/TD 89-98| </t>
  </si>
  <si>
    <t>6219MC</t>
  </si>
  <si>
    <t>10X975 = 6219MC (8532-16219)  Р РµРјС–РЅСЊ (РєР»РёРЅРѕРІРёР№) GATES MC</t>
  </si>
  <si>
    <t>65.91</t>
  </si>
  <si>
    <t>6221MC</t>
  </si>
  <si>
    <t>10X1025 = 6221MC (8532-16221)  Р РµРјС–РЅСЊ (РєР»РёРЅРѕРІРёР№) GATES MC</t>
  </si>
  <si>
    <t>76.87</t>
  </si>
  <si>
    <t>6222MC</t>
  </si>
  <si>
    <t>10X1050 = 6222MC (8532-16222)  Р РµРјС–РЅСЊ (РєР»РёРЅРѕРІРёР№) GATES MC</t>
  </si>
  <si>
    <t>GAZ Р’РѕР»РіР°, Р“Р°Р·РµР»СЊ  2,4  (8V) 93-11</t>
  </si>
  <si>
    <t>6223MC</t>
  </si>
  <si>
    <t>10X1075 = 6223MC (8532-16223)  Р РµРјС–РЅСЊ (РєР»РёРЅРѕРІРёР№) GATES MC</t>
  </si>
  <si>
    <t>6224MC</t>
  </si>
  <si>
    <t>10X1100 = 6224MC (8532-16224)  Р РµРјС–РЅСЊ (РєР»РёРЅРѕРІРёР№) GATES MC</t>
  </si>
  <si>
    <t>70.13</t>
  </si>
  <si>
    <t>6230MC</t>
  </si>
  <si>
    <t>10X1250 = 6230MC (8532-16230)  Р РµРјС–РЅСЊ (РєР»РёРЅРѕРІРёР№) GATES MC</t>
  </si>
  <si>
    <t>97.10</t>
  </si>
  <si>
    <t>6236ESC</t>
  </si>
  <si>
    <t>10X1400 = 6236ESC (8537-16236)  Р РµРјС–РЅСЊ (РєР»РёРЅРѕРІРёР№) GATES ESC</t>
  </si>
  <si>
    <t>94.74</t>
  </si>
  <si>
    <t>6260MC</t>
  </si>
  <si>
    <t>10X732 = 6260MC (8532-16260)  Р РµРјС–РЅСЊ (РєР»РёРЅРѕРІРёР№) GATES MC</t>
  </si>
  <si>
    <t>49.39</t>
  </si>
  <si>
    <t>6261MC</t>
  </si>
  <si>
    <t>10X713 = 6261MC (8532-16261)  Р РµРјС–РЅСЊ (РєР»РёРЅРѕРІРёР№) GATES MC</t>
  </si>
  <si>
    <t>53.94</t>
  </si>
  <si>
    <t>6263MC</t>
  </si>
  <si>
    <t>10X865 = 6263MC (8532-16263)  Р РµРјС–РЅСЊ (РєР»РёРЅРѕРІРёР№) GATES MC</t>
  </si>
  <si>
    <t>6265MC</t>
  </si>
  <si>
    <t>10X938 = 6265MC (8532-16265)  Р РµРјС–РЅСЊ (РєР»РёРЅРѕРІРёР№) GATES MC</t>
  </si>
  <si>
    <t>6267MC</t>
  </si>
  <si>
    <t>10X988 = 6267MC (8532-16267)  Р РµРјС–РЅСЊ (РєР»РёРЅРѕРІРёР№) GATES MC</t>
  </si>
  <si>
    <t>6271MC</t>
  </si>
  <si>
    <t>10X838 = 6271MC (8532-16271)  Р РµРјС–РЅСЊ (РєР»РёРЅРѕРІРёР№) GATES MC</t>
  </si>
  <si>
    <t>6281MC</t>
  </si>
  <si>
    <t>10X613 = 6281MC (8532-16281)  Р РµРјС–РЅСЊ (РєР»РёРЅРѕРІРёР№) GATES MC</t>
  </si>
  <si>
    <t>56.64</t>
  </si>
  <si>
    <t>6283MC</t>
  </si>
  <si>
    <t>10X638 = 6283MC (8532-16283)  Р РµРјС–РЅСЊ (РєР»РёРЅРѕРІРёР№) GATES MC</t>
  </si>
  <si>
    <t>63.22</t>
  </si>
  <si>
    <t>6285MC</t>
  </si>
  <si>
    <t>10X763 = 6285MC (8532-16285)  Р РµРјС–РЅСЊ (РєР»РёРЅРѕРІРёР№) GATES MC</t>
  </si>
  <si>
    <t>6301MC</t>
  </si>
  <si>
    <t>11X528 = 6301MC (8532-16301)  Р РµРјС–РЅСЊ (РєР»РёРЅРѕРІРёР№) GATES MC</t>
  </si>
  <si>
    <t>6306MC</t>
  </si>
  <si>
    <t>11,9X650 = 6306MC (8532-16306)  Р РµРјС–РЅСЊ (РєР»РёРЅРѕРІРёР№) GATES MC</t>
  </si>
  <si>
    <t>6310MC</t>
  </si>
  <si>
    <t>11,9X758 = 6310MC (8532-16310)  Р РµРјС–РЅСЊ (РєР»РёРЅРѕРІРёР№) GATES MC</t>
  </si>
  <si>
    <t>6318MC</t>
  </si>
  <si>
    <t>11,9X950 = 6318MC (8532-16318)  Р РµРјС–РЅСЊ (РєР»РёРЅРѕРІРёР№) GATES MC</t>
  </si>
  <si>
    <t>6380MC</t>
  </si>
  <si>
    <t>11,5X685 = 6380MC (8532-16380)  Р РµРјС–РЅСЊ (РєР»РёРЅРѕРІРёР№) GATES MC</t>
  </si>
  <si>
    <t>6389MC</t>
  </si>
  <si>
    <t>11,5X755 = 6389MC (8532-16389)  Р РµРјС–РЅСЊ (РєР»РёРЅРѕРІРёР№) GATES MC</t>
  </si>
  <si>
    <t>69.28</t>
  </si>
  <si>
    <t>6391MC</t>
  </si>
  <si>
    <t>11,2X866 = 6391MC (8532-16391)  Р РµРјС–РЅСЊ (РєР»РёРЅРѕРІРёР№) GATES MC</t>
  </si>
  <si>
    <t>6460MC</t>
  </si>
  <si>
    <t>13X750 = 6460MC (8532-16460)  Р РµРјС–РЅСЊ (РєР»РёРЅРѕРІРёР№) GATES MC</t>
  </si>
  <si>
    <t>6462MC</t>
  </si>
  <si>
    <t>13X800 = 6462MC (8532-16462)  Р РµРјС–РЅСЊ (РєР»РёРЅРѕРІРёР№) GATES MC</t>
  </si>
  <si>
    <t>83.95</t>
  </si>
  <si>
    <t>6463MC</t>
  </si>
  <si>
    <t>13X825 = 6463MC (8532-16463)  Р РµРјС–РЅСЊ (РєР»РёРЅРѕРІРёР№) GATES MC</t>
  </si>
  <si>
    <t>87.66</t>
  </si>
  <si>
    <t>6464MC</t>
  </si>
  <si>
    <t>13X850 = 6464MC (8532-16464)  Р РµРјС–РЅСЊ (РєР»РёРЅРѕРІРёР№) GATES MC</t>
  </si>
  <si>
    <t>91.37</t>
  </si>
  <si>
    <t>6465MC</t>
  </si>
  <si>
    <t>13X875 = 6465MC (8532-16465)  Р РµРјС–РЅСЊ (РєР»РёРЅРѕРІРёР№) GATES MC</t>
  </si>
  <si>
    <t>6466MC</t>
  </si>
  <si>
    <t>13X900 = 6466MC (8532-16466)  Р РµРјС–РЅСЊ (РєР»РёРЅРѕРІРёР№) GATES MC</t>
  </si>
  <si>
    <t>6467MC</t>
  </si>
  <si>
    <t>13X925 = 6467MC (8532-16467)  Р РµРјС–РЅСЊ (РєР»РёРЅРѕРІРёР№) GATES MC</t>
  </si>
  <si>
    <t>79.06</t>
  </si>
  <si>
    <t>6468MC</t>
  </si>
  <si>
    <t>13X950 = 6468MC (8532-16468)  Р РµРјС–РЅСЊ (РєР»РёРЅРѕРІРёР№) GATES MC</t>
  </si>
  <si>
    <t>6469MC</t>
  </si>
  <si>
    <t>13X975 = 6469MC (8532-16469)  Р РµРјС–РЅСЊ (РєР»РёРЅРѕРІРёР№) GATES MC</t>
  </si>
  <si>
    <t>6470MC</t>
  </si>
  <si>
    <t>13X1000 = 6470MC (8532-16470)  Р РµРјС–РЅСЊ (РєР»РёРЅРѕРІРёР№) GATES MC</t>
  </si>
  <si>
    <t>6471MC</t>
  </si>
  <si>
    <t>13X1025 = 6471MC (8532-16471)  Р РµРјС–РЅСЊ (РєР»РёРЅРѕРІРёР№) GATES MC</t>
  </si>
  <si>
    <t>6472MC</t>
  </si>
  <si>
    <t>13X1050 = 6472MC (8532-16472)  Р РµРјС–РЅСЊ (РєР»РёРЅРѕРІРёР№) GATES MC</t>
  </si>
  <si>
    <t>6475MC</t>
  </si>
  <si>
    <t>13X1125 = 6475MC (8532-16475)  Р РµРјС–РЅСЊ (РєР»РёРЅРѕРІРёР№) GATES MC</t>
  </si>
  <si>
    <t>96.59</t>
  </si>
  <si>
    <t>6478MC</t>
  </si>
  <si>
    <t>13X1200 = 6478MC (8532-16478)  Р РµРјС–РЅСЊ (РєР»РёРЅРѕРІРёР№) GATES MC</t>
  </si>
  <si>
    <t>113.45</t>
  </si>
  <si>
    <t>6480MC</t>
  </si>
  <si>
    <t>13X1250 = 6480MC (8532-16480)  Р РµРјС–РЅСЊ (РєР»РёРЅРѕРІРёР№) GATES MC</t>
  </si>
  <si>
    <t>6481MC</t>
  </si>
  <si>
    <t>13X1275 = 6481MC (8532-16481)  Р РµРјС–РЅСЊ (РєР»РёРЅРѕРІРёР№) GATES MC</t>
  </si>
  <si>
    <t>108.56</t>
  </si>
  <si>
    <t>6483MC</t>
  </si>
  <si>
    <t>13X1325 = 6483MC (8532-16483)  Р РµРјС–РЅСЊ (РєР»РёРЅРѕРІРёР№) GATES MC</t>
  </si>
  <si>
    <t>125.42</t>
  </si>
  <si>
    <t>6607ES</t>
  </si>
  <si>
    <t>13X675 = 6607ES (8527-16607)  Р РµРјС–РЅСЊ (РєР»РёРЅРѕРІРёР№) GATES ES</t>
  </si>
  <si>
    <t>77.54</t>
  </si>
  <si>
    <t>6608ES</t>
  </si>
  <si>
    <t>13X700 = 6608ES (8527-16608)  Р РµРјС–РЅСЊ (РєР»РёРЅРѕРІРёР№) GATES ES</t>
  </si>
  <si>
    <t>6DPK1195 (8653-10238)  Р РµРјС–РЅСЊ (РїРѕР»С–РєР»РёРЅРѕРІРёР№) GATES MICRO-V HORIZON</t>
  </si>
  <si>
    <t>384.01</t>
  </si>
  <si>
    <t>6mmX15mt</t>
  </si>
  <si>
    <t>6mmx15mt (3225-00052)  РЁР»Р°РЅРі РїР°Р»РёРІРЅРёР№ GATES</t>
  </si>
  <si>
    <t>63.38</t>
  </si>
  <si>
    <t>С†С–РЅР° Р·Р° 1РїРѕРі. Рј,  FUEL LINE 6X15MT ON REEL BOXED (РЅР° РєРѕС‚СѓС€С†С– 15Рј)</t>
  </si>
  <si>
    <t>6PK1019SF</t>
  </si>
  <si>
    <t>6PK1019SF (8653-10559)  Р РµРјС–РЅСЊ (РїРѕР»С–РєР»РёРЅРѕРІРёР№) GATES MICRO-V HORIZON SF</t>
  </si>
  <si>
    <t>148.68</t>
  </si>
  <si>
    <t>6PK1043</t>
  </si>
  <si>
    <t>6PK1043 (8653-10180)  Р РµРјС–РЅСЊ (РїРѕР»С–РєР»РёРЅРѕРІРёР№) GATES MICRO-V HORIZON</t>
  </si>
  <si>
    <t>6PK1070 (8653-10189)  Р РµРјС–РЅСЊ (РїРѕР»С–РєР»РёРЅРѕРІРёР№) GATES MICRO-V HORIZON</t>
  </si>
  <si>
    <t>6PK1078</t>
  </si>
  <si>
    <t>6PK1078 (8653-10192)  Р РµРјС–РЅСЊ (РїРѕР»С–РєР»РёРЅРѕРІРёР№) GATES MICRO-V HORIZON</t>
  </si>
  <si>
    <t>6PK1113</t>
  </si>
  <si>
    <t>6PK1113 (8653-10206)  Р РµРјС–РЅСЊ (РїРѕР»С–РєР»РёРЅРѕРІРёР№) GATES MICRO-V HORIZON</t>
  </si>
  <si>
    <t>VW /Audi/Seat/Skoda 1,8-2,0 TSI 07-  Citroen/Peugeot/Fiat 1,8/1,9D/TD 95-08| Lada Priora 1,6 16V| Nissan 1,5-1,8  99-03| HONDA ACCORD V 2.0/2.2 93-98|            (6PK1113, 6PK1115)</t>
  </si>
  <si>
    <t>6PK1138 (8653-10215)  Р РµРјС–РЅСЊ (РїРѕР»С–РєР»РёРЅРѕРІРёР№) GATES MICRO-V HORIZON</t>
  </si>
  <si>
    <t>215.10</t>
  </si>
  <si>
    <t>6PK1153</t>
  </si>
  <si>
    <t>6PK1153 (8653-10220)  Р РµРјС–РЅСЊ (РїРѕР»С–РєР»РёРЅРѕРІРёР№) GATES MICRO-V HORIZON</t>
  </si>
  <si>
    <t>202.63</t>
  </si>
  <si>
    <t>(6PK1153, 6PK1152)</t>
  </si>
  <si>
    <t>6PK1195 (8653-10239)  Р РµРјС–РЅСЊ (РїРѕР»С–РєР»РёРЅРѕРІРёР№) GATES MICRO-V HORIZON</t>
  </si>
  <si>
    <t>254.38</t>
  </si>
  <si>
    <t>6PK1400 (8653-10305)  Р РµРјС–РЅСЊ (РїРѕР»С–РєР»РёРЅРѕРІРёР№) GATES MICRO-V HORIZON</t>
  </si>
  <si>
    <t>6PK1438</t>
  </si>
  <si>
    <t>6PK1438 (8653-10312)  Р РµРјС–РЅСЊ (РїРѕР»С–РєР»РёРЅРѕРІРёР№) GATES MICRO-V HORIZON</t>
  </si>
  <si>
    <t>265.51</t>
  </si>
  <si>
    <t>6PK1513</t>
  </si>
  <si>
    <t>6PK1513 (8653-10328)  Р РµРјС–РЅСЊ (РїРѕР»С–РєР»РёРЅРѕРІРёР№) GATES MICRO-V HORIZON</t>
  </si>
  <si>
    <t>6PK1555 (8653-10337)  Р РµРјС–РЅСЊ (РїРѕР»С–РєР»РёРЅРѕРІРёР№) GATES MICRO-V HORIZON</t>
  </si>
  <si>
    <t>252.53</t>
  </si>
  <si>
    <t>6PK1740 (8653-10379)  Р РµРјС–РЅСЊ (РїРѕР»С–РєР»РёРЅРѕРІРёР№) GATES MICRO-V HORIZON</t>
  </si>
  <si>
    <t>291.47</t>
  </si>
  <si>
    <t>6PK1795 (8653-10392)  Р РµРјС–РЅСЊ (РїРѕР»С–РєР»РёРЅРѕРІРёР№) GATES MICRO-V HORIZON</t>
  </si>
  <si>
    <t>267.02</t>
  </si>
  <si>
    <t>(6PK1795, 6PK1795)</t>
  </si>
  <si>
    <t>6PK1818</t>
  </si>
  <si>
    <t>6PK1818 (8653-10397)  Р РµРјС–РЅСЊ (РїРѕР»С–РєР»РёРЅРѕРІРёР№) GATES MICRO-V HORIZON</t>
  </si>
  <si>
    <t>285.90</t>
  </si>
  <si>
    <t>6PK1835 (8653-10400)  Р РµРјС–РЅСЊ (РїРѕР»С–РєР»РёРЅРѕРІРёР№) GATES MICRO-V HORIZON</t>
  </si>
  <si>
    <t>6PK1873 (8653-10409)  Р РµРјС–РЅСЊ (РїРѕР»С–РєР»РёРЅРѕРІРёР№) GATES MICRO-V HORIZON</t>
  </si>
  <si>
    <t>144.13</t>
  </si>
  <si>
    <t xml:space="preserve">Chevrolet Cruze (J300) 1,6 09-      </t>
  </si>
  <si>
    <t>6PK1893</t>
  </si>
  <si>
    <t>6PK1893 (8653-10555)  Р РµРјС–РЅСЊ (РїРѕР»С–РєР»РёРЅРѕРІРёР№) GATES MICRO-V HORIZON</t>
  </si>
  <si>
    <t>(6PK1893, 6PK1890)</t>
  </si>
  <si>
    <t>6PK1903</t>
  </si>
  <si>
    <t>6PK1903 (8653-10414)  Р РµРјС–РЅСЊ (РїРѕР»С–РєР»РёРЅРѕРІРёР№) GATES MICRO-V HORIZON</t>
  </si>
  <si>
    <t>6PK1980ES</t>
  </si>
  <si>
    <t>6PK1980ES (8542-20025)  Р РµРјС–РЅСЊ (РїРѕР»С–РєР»РёРЅРѕРІРёР№) GATES MICRO-V XF ES</t>
  </si>
  <si>
    <t>339.68</t>
  </si>
  <si>
    <t>6PK2000 (8653-10431)  Р РµРјС–РЅСЊ (РїРѕР»С–РєР»РёРЅРѕРІРёР№) GATES MICRO-V HORIZON</t>
  </si>
  <si>
    <t>324.51</t>
  </si>
  <si>
    <t>6PK2013 (8653-10433)  Р РµРјС–РЅСЊ (РїРѕР»С–РєР»РёРЅРѕРІРёР№) GATES MICRO-V HORIZON</t>
  </si>
  <si>
    <t>334.96</t>
  </si>
  <si>
    <t>6PK2075</t>
  </si>
  <si>
    <t>6PK2075 (8653-10443)  Р РµРјС–РЅСЊ (РїРѕР»С–РєР»РёРЅРѕРІРёР№) GATES MICRO-V HORIZON</t>
  </si>
  <si>
    <t>332.60</t>
  </si>
  <si>
    <t>(6PK2075, 6PK2080)</t>
  </si>
  <si>
    <t>6PK2083</t>
  </si>
  <si>
    <t>6PK2083 (8653-10444)  Р РµРјС–РЅСЊ (РїРѕР»С–РєР»РёРЅРѕРІРёР№) GATES MICRO-V HORIZON</t>
  </si>
  <si>
    <t>291.13</t>
  </si>
  <si>
    <t>6PK2138</t>
  </si>
  <si>
    <t>6PK2138 (8653-10451)  Р РµРјС–РЅСЊ (РїРѕР»С–РєР»РёРЅРѕРІРёР№) GATES MICRO-V HORIZON</t>
  </si>
  <si>
    <t>363.78</t>
  </si>
  <si>
    <t>6PK2285 (8653-10473)  Р РµРјС–РЅСЊ (РїРѕР»С–РєР»РёРЅРѕРІРёР№) GATES MICRO-V HORIZON</t>
  </si>
  <si>
    <t>379.13</t>
  </si>
  <si>
    <t>6PK2563</t>
  </si>
  <si>
    <t>6PK2563 (8653-10668)  Р РµРјС–РЅСЊ (РїРѕР»С–РєР»РёРЅРѕРІРёР№) GATES MICRO-V HORIZON</t>
  </si>
  <si>
    <t>425.15</t>
  </si>
  <si>
    <t>6PK738</t>
  </si>
  <si>
    <t>6PK738 (8653-10050)  Р РµРјС–РЅСЊ (РїРѕР»С–РєР»РёРЅРѕРІРёР№) GATES MICRO-V HORIZON</t>
  </si>
  <si>
    <t>(6PK738, 6PK736)</t>
  </si>
  <si>
    <t>6PK831SF</t>
  </si>
  <si>
    <t>6PK831SF (8653-10558)  Р РµРјС–РЅСЊ (РїРѕР»С–РєР»РёРЅРѕРІРёР№) GATES MICRO-V HORIZON SF</t>
  </si>
  <si>
    <t>6PK873SF</t>
  </si>
  <si>
    <t>6PK873SF (8653-10657)  Р РµРјС–РЅСЊ (РїРѕР»С–РєР»РёРЅРѕРІРёР№) GATES MICRO-V HORIZON SF</t>
  </si>
  <si>
    <t>152.39</t>
  </si>
  <si>
    <t>6PK923 (8653-10127)  Р РµРјС–РЅСЊ (РїРѕР»С–РєР»РёРЅРѕРІРёР№) GATES MICRO-V HORIZON</t>
  </si>
  <si>
    <t>162.67</t>
  </si>
  <si>
    <t>7PK1103 (8653-10594)  Р РµРјС–РЅСЊ (РїРѕР»С–РєР»РёРЅРѕРІРёР№) GATES MICRO-V HORIZON</t>
  </si>
  <si>
    <t>7PK1140</t>
  </si>
  <si>
    <t>7PK1140 (8653-10613)  Р РµРјС–РЅСЊ (РїРѕР»С–РєР»РёРЅРѕРІРёР№) GATES MICRO-V HORIZON</t>
  </si>
  <si>
    <t>237.86</t>
  </si>
  <si>
    <t>Nissan Micra/Cube/Note/Tiida 1.6 16V (eng.HR16DE)  05-</t>
  </si>
  <si>
    <t>7PK1153 (8653-10221)  Р РµРјС–РЅСЊ (РїРѕР»С–РєР»РёРЅРѕРІРёР№) GATES MICRO-V HORIZON</t>
  </si>
  <si>
    <t>216.96</t>
  </si>
  <si>
    <t>7PK1740</t>
  </si>
  <si>
    <t>7PK1740 (8653-10641)  Р РµРјС–РЅСЊ (РїРѕР»С–РєР»РёРЅРѕРІРёР№) GATES MICRO-V HORIZON</t>
  </si>
  <si>
    <t>288.77</t>
  </si>
  <si>
    <t>Renault, Trafic II,  Ope Vivaro , Nissan Primastar 2.0 CDTI 2006-</t>
  </si>
  <si>
    <t>7PK1750 (8653-10566)  Р РµРјС–РЅСЊ (РїРѕР»С–РєР»РёРЅРѕРІРёР№) GATES MICRO-V HORIZON</t>
  </si>
  <si>
    <t>362.60</t>
  </si>
  <si>
    <t>7PK1905</t>
  </si>
  <si>
    <t>7PK1905 (8653-10415)  Р РµРјС–РЅСЊ (РїРѕР»С–РєР»РёРЅРѕРІРёР№) GATES MICRO-V HORIZON</t>
  </si>
  <si>
    <t>400.53</t>
  </si>
  <si>
    <t>7PK2060</t>
  </si>
  <si>
    <t>7PK2060 (8653-10642)  Р РµРјС–РЅСЊ (РїРѕР»С–РєР»РёРЅРѕРІРёР№) GATES MICRO-V HORIZON</t>
  </si>
  <si>
    <t>391.77</t>
  </si>
  <si>
    <t>7PK2090</t>
  </si>
  <si>
    <t>7PK2090 (8653-10643)  Р РµРјС–РЅСЊ (РїРѕР»С–РєР»РёРЅРѕРІРёР№) GATES MICRO-V HORIZON</t>
  </si>
  <si>
    <t>442.85</t>
  </si>
  <si>
    <t>7PK2120</t>
  </si>
  <si>
    <t>7PK2120 (8653-10449)  Р РµРјС–РЅСЊ (РїРѕР»С–РєР»РёРЅРѕРІРёР№) GATES MICRO-V HORIZON</t>
  </si>
  <si>
    <t>337.15</t>
  </si>
  <si>
    <t>8mmX15mt</t>
  </si>
  <si>
    <t>8mmx15mt (3225-00053)  РЁР»Р°РЅРі РїР°Р»РёРІРЅРёР№ GATES</t>
  </si>
  <si>
    <t>68.10</t>
  </si>
  <si>
    <t>С†С–РЅР° Р·Р° 1РїРѕРі. Рј  FUEL LINE 8X15MT ON REEL BOXED, (РЅР° РєРѕС‚СѓС€С†С– 15Рј)</t>
  </si>
  <si>
    <t>K015310XS</t>
  </si>
  <si>
    <t>K015310XS (7883-11126)  РљРѕРјРїР»РµРєС‚ СЂРµРјРµРЅСЏ Р“Р Рњ GATES POWERGRIP KIT</t>
  </si>
  <si>
    <t>663.34</t>
  </si>
  <si>
    <t xml:space="preserve"> Р РµРјРєРѕРјРїР»РµРєС‚ Р“Р Рњ Daewoo Lanos, Nexia 1,5  (A14SMS,G15MF),  Opel Astra F     (5310XS+T43038+Z80423)  [EVR5530270] </t>
  </si>
  <si>
    <t>K015357XS</t>
  </si>
  <si>
    <t>K015357XS (7883-11146)  РљРѕРјРїР»РµРєС‚ СЂРµРјРµРЅСЏ Р“Р Рњ GATES POWERGRIP KIT</t>
  </si>
  <si>
    <t>614.46</t>
  </si>
  <si>
    <t>FORD Escort, Fiesta, Orion, Sierra 1,4/1,6  92-99  (5357XS + T41147)    [EVR5520271]</t>
  </si>
  <si>
    <t>K015369XS</t>
  </si>
  <si>
    <t>K015369XS (7883-11152)  РљРѕРјРїР»РµРєС‚ СЂРµРјРµРЅСЏ Р“Р Рњ GATES POWERGRIP KIT</t>
  </si>
  <si>
    <t>1246.78</t>
  </si>
  <si>
    <t>OPEL ASTRA F ,CORSA B, VECTRA B   1,4i-1,8i 16V  91-03   [EVR5532771]  , СЂРµРјРєРѕРјРїР»РµРєС‚ РїСЂРёРІРѕРґСѓ Р“Р Рњ (5369XS + T43060 + T42076 + T42077)</t>
  </si>
  <si>
    <t>K015408XS</t>
  </si>
  <si>
    <t>K015408XS (7883-11173)  РљРѕРјРїР»РµРєС‚ СЂРµРјРµРЅСЏ Р“Р Рњ GATES POWERGRIP KIT</t>
  </si>
  <si>
    <t>1250.49</t>
  </si>
  <si>
    <t>Chevrolet  Lacetti, Evanda  | Daewoo Nubira, OPEL  Astra F , Vectra B, Omega B  1,8/2,0  16V   1993-      (5408XS+T43040+T42084)   [EVR5530670]</t>
  </si>
  <si>
    <t>K015419XS</t>
  </si>
  <si>
    <t>K015419XS (7883-11181)  РљРѕРјРїР»РµРєС‚ СЂРµРјРµРЅСЏ Р“Р Рњ GATES POWERGRIP KIT</t>
  </si>
  <si>
    <t>1166.88</t>
  </si>
  <si>
    <t>Chevrolet Aveo, Lacetti  / Daewoo Lanos, Espero, Nexia  1,4-1,6  16V   93-   (5419XS + T43039 + T42170)</t>
  </si>
  <si>
    <t>K015421XS</t>
  </si>
  <si>
    <t>K015421XS (7883-11183)  РљРѕРјРїР»РµРєС‚ СЂРµРјРµРЅСЏ Р“Р Рњ GATES POWERGRIP KIT</t>
  </si>
  <si>
    <t>1621.69</t>
  </si>
  <si>
    <t xml:space="preserve">MAZDA 323 S V (BA) 1.5 16V 94-    </t>
  </si>
  <si>
    <t>K015428XS</t>
  </si>
  <si>
    <t>K015428XS (7883-11188)  РљРѕРјРїР»РµРєС‚ СЂРµРјРµРЅСЏ Р“Р Рњ GATES POWERGRIP KIT</t>
  </si>
  <si>
    <t>788.09</t>
  </si>
  <si>
    <t># VW/SEAT/SKODA/   1.6  92-02      [EVR5542872]         \n(5428XS+T43046)</t>
  </si>
  <si>
    <t>K015473XS</t>
  </si>
  <si>
    <t>K015473XS (7883-11211)  РљРѕРјРїР»РµРєС‚ СЂРµРјРµРЅСЏ Р“Р Рњ GATES POWERGRIP KIT</t>
  </si>
  <si>
    <t>509.43</t>
  </si>
  <si>
    <t>DACIA LOGAN, SANDERO| RENAULT CLIO, KANGOO, MEGANE 1.4/1.6  96-09    (5473XS + T41155)   [EVR5550070]</t>
  </si>
  <si>
    <t>K015479XS</t>
  </si>
  <si>
    <t>K015479XS (7883-11215)  РљРѕРјРїР»РµРєС‚ СЂРµРјРµРЅСЏ Р“Р Рњ GATES POWERGRIP KIT</t>
  </si>
  <si>
    <t>656.26</t>
  </si>
  <si>
    <t>Hyundai Accent, Coupe, Elantra, Getz, Matrix| KIA Cerato, Rio II 1,4-1,6i 16V   95-         (5479XS + T41037 + T42016)</t>
  </si>
  <si>
    <t>K015489XS</t>
  </si>
  <si>
    <t>K015489XS (7883-11224)  РљРѕРјРїР»РµРєС‚ СЂРµРјРµРЅСЏ Р“Р Рњ GATES POWERGRIP KIT</t>
  </si>
  <si>
    <t>883.67</t>
  </si>
  <si>
    <t>Audi A3, A4| Seat Alhambra, Altea, Cordoba, Ibiza| VW Bora, Golf, Passat, Polo (1J2),Caddy III,Transporter V  1,6/2,0  96- |  Skoda Fabia, Octavia (1Z3) 1,6/2,0   01-    (5489XS + T43010)      [EVR5544370]</t>
  </si>
  <si>
    <t>K015495XS</t>
  </si>
  <si>
    <t>K015495XS (7883-11229)  РљРѕРјРїР»РµРєС‚ СЂРµРјРµРЅСЏ Р“Р Рњ GATES POWERGRIP KIT</t>
  </si>
  <si>
    <t>1021.56</t>
  </si>
  <si>
    <t>OPEL Movano| Renault Master| FIAT Ducato| Iveco Daily|  Peugeot Boxer  2,8TDI   96-05  (5495XS + T41178)   [EVR5582672]</t>
  </si>
  <si>
    <t>K015503XS</t>
  </si>
  <si>
    <t>K015503XS (7883-11234)  РљРѕРјРїР»РµРєС‚ СЂРµРјРµРЅСЏ Р“Р Рњ GATES POWERGRIP KIT</t>
  </si>
  <si>
    <t>915.87</t>
  </si>
  <si>
    <t>FIAT BRAVA, BRAVO, MAREA, PUNTO, STILO 1.2 16V 98-     [EVR5585270]</t>
  </si>
  <si>
    <t>K015528XS</t>
  </si>
  <si>
    <t>K015528XS (7883-11249)  РљРѕРјРїР»РµРєС‚ СЂРµРјРµРЅСЏ Р“Р Рњ GATES POWERGRIP KIT</t>
  </si>
  <si>
    <t>1254.54</t>
  </si>
  <si>
    <t>CITROEN C4, C5, C8, JUMPY, XSARA| FIAT SCUDO| LANCIA PHEDRA| PEUGEOT 206, 307, 406, 407 1.8-2.2 16V 99-   (5528XS+T43022+T41235)    [EVR5594970]</t>
  </si>
  <si>
    <t>K015537XS</t>
  </si>
  <si>
    <t>K015537XS (7883-11253)  РљРѕРјРїР»РµРєС‚ СЂРµРјРµРЅСЏ Р“Р Рњ GATES POWERGRIP KIT</t>
  </si>
  <si>
    <t>2997.94</t>
  </si>
  <si>
    <t>SUBARU FORESTER, IMPREZA 1.6-2.5   97-  (5537XS+T43137+T42039+T41226+T42024)</t>
  </si>
  <si>
    <t>K015552XS</t>
  </si>
  <si>
    <t>K015552XS (7883-11262)  РљРѕРјРїР»РµРєС‚ СЂРµРјРµРЅСЏ Р“Р Рњ GATES POWERGRIP KIT</t>
  </si>
  <si>
    <t>1223.85</t>
  </si>
  <si>
    <t>Nissan Interstar, Primastar| Opel Movano, Vivaro|  Renault Trafic, Laguna, Espace| Volvo S40, V40 1,9dCi  00-07    [EVR5558070]  (5552XS + T41240)</t>
  </si>
  <si>
    <t>K015555XS</t>
  </si>
  <si>
    <t>K015555XS (7883-11264)  РљРѕРјРїР»РµРєС‚ СЂРµРјРµРЅСЏ Р“Р Рњ GATES POWERGRIP KIT</t>
  </si>
  <si>
    <t>Hyundai Sonata, Santa Fe, Tucson| KIA Magentis, Sportage 2,5/2,7  V6   98-    (5555XS + T41040 + T42014)</t>
  </si>
  <si>
    <t>K015559XS</t>
  </si>
  <si>
    <t>K015559XS (7883-11267)  РљРѕРјРїР»РµРєС‚ СЂРµРјРµРЅСЏ Р“Р Рњ GATES POWERGRIP KIT</t>
  </si>
  <si>
    <t>2406.91</t>
  </si>
  <si>
    <t># [EVR5549170]  AUDI/SEAT/SKODA/VW  1.9SDI / 1.9TDI  96-06  (5559XS+T43062+T42051+T42044+T42050)</t>
  </si>
  <si>
    <t>K015569XS</t>
  </si>
  <si>
    <t>K015569XS (7883-11275)  РљРѕРјРїР»РµРєС‚ СЂРµРјРµРЅСЏ Р“Р Рњ GATES POWERGRIP KIT</t>
  </si>
  <si>
    <t>1510.09</t>
  </si>
  <si>
    <t># [EVR5549470]  # Р РµРјРєРѕРјРїР»РµРєС‚ Р“Р Рњ Ford Galaxy,Audi A2,A3 (8L1),A4,A6,Seat Alhambra,Arosa,Toledo II,VW Bora (1J2),Golf IV,Passat (3B2), Polo 99-    \n(5569XS+T43019+T42139)</t>
  </si>
  <si>
    <t>K015575XS</t>
  </si>
  <si>
    <t>K015575XS (7883-11280)  РљРѕРјРїР»РµРєС‚ СЂРµРјРµРЅСЏ Р“Р Рњ GATES POWERGRIP KIT</t>
  </si>
  <si>
    <t>690.48</t>
  </si>
  <si>
    <t>Citroen Berlingo, C2, C3, Saxo, Xsara| Fiat Fiorino, Qubo| Peugeot 106,206,207,306,307, Partner 1.4i  93- ... (5575XS + T43023) |  [EVR5595871]</t>
  </si>
  <si>
    <t>K015578XS</t>
  </si>
  <si>
    <t>K015578XS (7883-11282)  РљРѕРјРїР»РµРєС‚ СЂРµРјРµРЅСЏ Р“Р Рњ GATES POWERGRIP KIT</t>
  </si>
  <si>
    <t>954.47</t>
  </si>
  <si>
    <t>RENAULT Clio II, Kangoo, Scenic II,Thalia II 1,5 DCI  2001- |  NISSAN Almera, Micra 1,5 Diesel Turbo 2003-|       (5578XS + T43014 + Z80000)   [EVR5558170]</t>
  </si>
  <si>
    <t>K015579XS</t>
  </si>
  <si>
    <t>K015579XS (7883-11283)  РљРѕРјРїР»РµРєС‚ СЂРµРјРµРЅСЏ Р“Р Рњ GATES POWERGRIP KIT</t>
  </si>
  <si>
    <t>1329.55</t>
  </si>
  <si>
    <t>HYUNDAI ACCENT, ELANTRA, GETZ, i30, TUCSON| KIA CARENS, CERATO, CEE'D, SPORTAGE 1.5-2.2CRDi  01-     (5579XS + T43133 + T42141)</t>
  </si>
  <si>
    <t>K015598XS</t>
  </si>
  <si>
    <t>K015598XS (7883-11298)  РљРѕРјРїР»РµРєС‚ СЂРµРјРµРЅСЏ Р“Р Рњ GATES POWERGRIP KIT</t>
  </si>
  <si>
    <t>1219.64</t>
  </si>
  <si>
    <t>Citroen C4/C5/Berlingo 1,6 HDI(90)|1,6 HDI(110) 05-   | FORD Focus/C-Max/Fiesta\t1.6 TDCi \t04- |   Peugeot 207/307/308/Partner 1,6 HDI(90)|1,6 HDI(110) 04-</t>
  </si>
  <si>
    <t>K015627XS</t>
  </si>
  <si>
    <t>K015627XS (7883-11317)  РљРѕРјРїР»РµРєС‚ СЂРµРјРµРЅСЏ Р“Р Рњ GATES POWERGRIP KIT</t>
  </si>
  <si>
    <t>818.94</t>
  </si>
  <si>
    <t>FIAT Doblo/Punto  1.2/1.4   01-</t>
  </si>
  <si>
    <t>K015646XS</t>
  </si>
  <si>
    <t>K015646XS (7883-11486)  РљРѕРјРїР»РµРєС‚ СЂРµРјРµРЅСЏ Р“Р Рњ GATES POWERGRIP KIT</t>
  </si>
  <si>
    <t>1712.72</t>
  </si>
  <si>
    <t>K015662XS</t>
  </si>
  <si>
    <t>K015662XS (7883-11500)  РљРѕРјРїР»РµРєС‚ СЂРµРјРµРЅСЏ Р“Р Рњ GATES POWERGRIP KIT</t>
  </si>
  <si>
    <t>579.56</t>
  </si>
  <si>
    <t>DACIA, RENAULT LOGAN, SANDERO 1.4/1.6 8V   2006- (5662XS + T43225)</t>
  </si>
  <si>
    <t>K015671XS</t>
  </si>
  <si>
    <t>K015671XS (7883-11524)  РљРѕРјРїР»РµРєС‚ СЂРµРјРµРЅСЏ Р“Р Рњ GATES POWERGRIP KIT GATES</t>
  </si>
  <si>
    <t>1290.44</t>
  </si>
  <si>
    <t>DACIA/LADA Largus)/NISSAN/RENAULT 1,4/1,6 2001-   (5671XS+T43236+T41237+SET18)</t>
  </si>
  <si>
    <t>K025223XS</t>
  </si>
  <si>
    <t>K025223XS (7883-11338)  РљРѕРјРїР»РµРєС‚ СЂРµРјРµРЅСЏ Р“Р Рњ GATES POWERGRIP KIT</t>
  </si>
  <si>
    <t>888.22</t>
  </si>
  <si>
    <t xml:space="preserve">VW Golf III,Passat (3A2),T4, SEAT Cordoba,Ibiza   1,9TDI/SDI  92-01     (5223XS+T43069)               \n[EVR5542670] </t>
  </si>
  <si>
    <t>K025457XS</t>
  </si>
  <si>
    <t>K025457XS (7883-11367)  РљРѕРјРїР»РµРєС‚ СЂРµРјРµРЅСЏ Р“Р Рњ GATES POWERGRIP KIT</t>
  </si>
  <si>
    <t>1446.37</t>
  </si>
  <si>
    <t>Hyundai Tucson 2.0 04-10              /KIA CARENS, CEE'D 2.0 04-          (T42015+T43135+5457XS)</t>
  </si>
  <si>
    <t>K025491XS</t>
  </si>
  <si>
    <t>K025491XS (7883-11378)  РљРѕРјРїР»РµРєС‚ СЂРµРјРµРЅСЏ Р“Р Рњ GATES POWERGRIP KIT</t>
  </si>
  <si>
    <t>1814.54</t>
  </si>
  <si>
    <t>!!! Р· СЂРѕР»РёРєРѕРј T43016   Audi A3 (8L1),A6,VW Bora (1J2), Golf IV (1J1),Passat (3B2),Sharan 1,8/1,8T  95-10|    (5491XS + T43016 + T43025)  [EVR5544270]</t>
  </si>
  <si>
    <t>K025523XS</t>
  </si>
  <si>
    <t>K025523XS (7883-11529)  РљРѕРјРїР»РµРєС‚ СЂРµРјРµРЅСЏ Р“Р Рњ GATES POWERGRIP KIT GATES</t>
  </si>
  <si>
    <t>1020.38</t>
  </si>
  <si>
    <t>CITROEN Berlingo/C15, FIAT Scudo, PEUGEOT 206/306/Partner/Expert  1,9D (DW8/DW8B)   98-08   (5523XS + T41139 + T42065)</t>
  </si>
  <si>
    <t>K025565XS</t>
  </si>
  <si>
    <t>K025565XS (7883-11401)  РљРѕРјРїР»РµРєС‚ СЂРµРјРµРЅСЏ Р“Р Рњ GATES POWERGRIP KIT</t>
  </si>
  <si>
    <t>1792.96</t>
  </si>
  <si>
    <t>VW Bora,Golf V, Polo /Audi A2 /Seat Altea, Cordoba,Ibiza,Leon,Toledo I /,Skoda Fabia,Skoda Octavia, 1.4/1.6  16V   98-   \n [EVR5545670]     (5516XS+T43140+5565XS+T43149+T42234+T42048)   (CT957(SET) + СЂРѕР»РёРєРё)</t>
  </si>
  <si>
    <t>K025578XS</t>
  </si>
  <si>
    <t>K025578XS (7883-11403)  РљРѕРјРїР»РµРєС‚ СЂРµРјРµРЅСЏ Р“Р Рњ GATES POWERGRIP KIT</t>
  </si>
  <si>
    <t>1142.60</t>
  </si>
  <si>
    <t>Renault Clio, Megane, Kangoo1.5DCI 02-,   NISSAN ALMERA, MICRA 1.5DCI 02-     (5578XS + T43014 + Z80504)</t>
  </si>
  <si>
    <t>K035360XS</t>
  </si>
  <si>
    <t>K035360XS (7883-11426)  РљРѕРјРїР»РµРєС‚ СЂРµРјРµРЅСЏ Р“Р Рњ GATES POWERGRIP KIT</t>
  </si>
  <si>
    <t>Ford Escort, Fiesta, Mondeo, Orion 1,6/1,8 16V  92- 00  (5360XS + T41008 + T42036 + T42033 + SET47)</t>
  </si>
  <si>
    <t>K035491XS</t>
  </si>
  <si>
    <t>K035491XS (7883-11433)  РљРѕРјРїР»РµРєС‚ СЂРµРјРµРЅСЏ Р“Р Рњ GATES POWERGRIP KIT</t>
  </si>
  <si>
    <t>1302.92</t>
  </si>
  <si>
    <t xml:space="preserve">Audi A4, A6| Skoda Superb| VW Passat 1,8T/2,0  95-09  (РґРёРІ РєР°С‚Р°Р»РѕРі)  (5491XS + T43018 + T42019 + SET51)  </t>
  </si>
  <si>
    <t>K035493XS</t>
  </si>
  <si>
    <t>K035493XS (7883-11435)  РљРѕРјРїР»РµРєС‚ СЂРµРјРµРЅСЏ Р“Р Рњ GATES POWERGRIP KIT</t>
  </si>
  <si>
    <t>1854.66</t>
  </si>
  <si>
    <t>AUDI 80, A4, A6, A8| SKODA SUPERB| VW PASSAT 2.4-2.8 V6  93-08  (5493XS + T41082 + T41227)</t>
  </si>
  <si>
    <t>K045223XS</t>
  </si>
  <si>
    <t>K045223XS (7883-11448)  РљРѕРјРїР»РµРєС‚ СЂРµРјРµРЅСЏ Р“Р Рњ GATES POWERGRIP KIT</t>
  </si>
  <si>
    <t>1162.83</t>
  </si>
  <si>
    <t>AUDI/SEAT/VW/FORD    1.9TDI   (1Z, AHH, AHU, AFF, AFN, AVG, AGR, ALH, ASK, ASV, AEY, ALE)  91-02  (5223XS+T43069+T42045)\n[EVR5542671]</t>
  </si>
  <si>
    <t>K045491XS</t>
  </si>
  <si>
    <t>K045491XS (7883-11452)  РљРѕРјРїР»РµРєС‚ СЂРµРјРµРЅСЏ Р“Р Рњ GATES POWERGRIP KIT</t>
  </si>
  <si>
    <t>1784.37</t>
  </si>
  <si>
    <t>Audi A4,   VW Passat  1.8/2.0 Turbo 20V  96-05\t(AEB/ANB/ APU/AWT/ALT)                     \n [EVR5549671]</t>
  </si>
  <si>
    <t>K055569XS</t>
  </si>
  <si>
    <t>K055569XS (7883-11465)  РљРѕРјРїР»РµРєС‚ СЂРµРјРµРЅСЏ Р“Р Рњ GATES POWERGRIP KIT</t>
  </si>
  <si>
    <t>1838.65</t>
  </si>
  <si>
    <t xml:space="preserve">Audi/VW 1,4-2,0TDI  01-10  A2, A3, A4| Bora,Caddy,Golf,Passat| Skoda Fabia,Octavia(1Z3), Ford Galaxy| Seat Alhambra,Altea,Cordoba,Ibiza  (5569XS+T43091+T41229)  [EVR5573970]  </t>
  </si>
  <si>
    <t>KP15408XS</t>
  </si>
  <si>
    <t>KP15408XS (7883-13031)  РљРѕРјРїР»РµРєС‚ СЂРµРјРµРЅСЏ Р“Р Рњ GATES WATER PUMP KIT</t>
  </si>
  <si>
    <t>1835.61</t>
  </si>
  <si>
    <t>Daewoo Evanda, Nubira| Opel Astra F, Vectra A, B 1,8/2,0 16V  93-      (5408XS + T43040 + T42084 + WP0070)</t>
  </si>
  <si>
    <t>KP15489XS-1</t>
  </si>
  <si>
    <t>KP15489XS-1 (7883-13046)  РљРѕРјРїР»РµРєС‚ СЂРµРјРµРЅСЏ Р“Р Рњ GATES WATER PUMP KIT</t>
  </si>
  <si>
    <t>1617.48</t>
  </si>
  <si>
    <t xml:space="preserve">!!! РЅР°СЃРѕСЃ - WP0031   Audi, Seat, Skoda,WV 1,6  (eng. 74kW  - AEH,AKL, APF)  95-05    (5489XS + T43010 + WP0031) </t>
  </si>
  <si>
    <t>KP15552XS</t>
  </si>
  <si>
    <t>KP15552XS (7883-13063)  РљРѕРјРїР»РµРєС‚ СЂРµРјРµРЅСЏ Р“Р Рњ GATES WATER PUMP KIT</t>
  </si>
  <si>
    <t>1487.17</t>
  </si>
  <si>
    <t>OPEL Vivaro, Renault Trafic II, Laguna II| Nissan Primastar | Mitsubishi  Carisma,  1.9dci|  99-   [5552XS + T41240 + WP0063]</t>
  </si>
  <si>
    <t>KP25578XS</t>
  </si>
  <si>
    <t>KP25578XS (7883-13097)  РљРѕРјРїР»РµРєС‚ СЂРµРјРµРЅСЏ Р“Р Рњ GATES WATER PUMP KIT</t>
  </si>
  <si>
    <t>2018.35</t>
  </si>
  <si>
    <t>!!! РЅР°СЃРѕСЃ WP0066   RENAULT Kangoo, Clio, Megane, Scenic | Dacia Logan| Nissan Micra, Note, Kubistar   1,5 dCI   01-   (5578XS + T43014 + WP0066 + Z80504) Р· РЅР°СЃРѕСЃРѕРј РѕС…РѕР»РѕРґР¶РµРЅРЅСЏ</t>
  </si>
  <si>
    <t>T298</t>
  </si>
  <si>
    <t>T298 (8595-10594)  Р РµРјС–РЅСЊ Р“Р Рњ GATES</t>
  </si>
  <si>
    <t>615.13</t>
  </si>
  <si>
    <t>Toyota Land Cruizer 100 97-</t>
  </si>
  <si>
    <t>T36163</t>
  </si>
  <si>
    <t>T36163 (7803-21263)  РћР±РІС–РґРЅРёР№ СЂРѕР»РёРє GATES DRIVEALIGN MV IDLER</t>
  </si>
  <si>
    <t>318.10</t>
  </si>
  <si>
    <t>BMW E46 316i, 318i (M43)  98-05 (РѕР±РІРѕРґ. ALT) [EVR55020]</t>
  </si>
  <si>
    <t>T36173</t>
  </si>
  <si>
    <t>T36173 (7803-21273)  РћР±РІС–РґРЅРёР№ СЂРѕР»РёРє GATES DRIVEALIGN MV IDLER</t>
  </si>
  <si>
    <t>273.93</t>
  </si>
  <si>
    <t xml:space="preserve">LEXUS GS, IS, RX, Land Cruiser| 2.5/3.0/3.5/4.0| 01.03-| RAV 4 III 3.5   07-09           </t>
  </si>
  <si>
    <t>T36206</t>
  </si>
  <si>
    <t>T36206 (7803-21306)  РћР±РІС–РґРЅРёР№ СЂРѕР»РёРє GATES DRIVEALIGN MV IDLER</t>
  </si>
  <si>
    <t>HYUNDAI   ACCENT II  1.5 CRDi 02-, ELANTRA  - 2.0 CRDi 01-, GETZ - 1.5 CRDi 05-              \n[EVR58415]</t>
  </si>
  <si>
    <t>T36307</t>
  </si>
  <si>
    <t>T36307 (7803-21407)  РћР±РІС–РґРЅРёР№ СЂРѕР»РёРє GATES DRIVEALIGN MV IDLER</t>
  </si>
  <si>
    <t>549.55</t>
  </si>
  <si>
    <t>Hyundai Santa Fe, ix35,  Sonata V|  KIA Carens, Magentis, Sorento, Sportage 2.0/2.4 CVVT 2005-         \n[EVR58435,  532 0620 10]</t>
  </si>
  <si>
    <t>T36380</t>
  </si>
  <si>
    <t>T36380 (7803-21480)  РћР±РІС–РґРЅРёР№ СЂРѕР»РёРє GATES DRIVEALIGN MV IDLER</t>
  </si>
  <si>
    <t>368.17</t>
  </si>
  <si>
    <t>RENAULT 2.0DCi  06- (РѕР±РІРѕРґ. ALT) [EVR55619]</t>
  </si>
  <si>
    <t>T36395</t>
  </si>
  <si>
    <t>T36395 (7803-21495)  РћР±РІС–РґРЅРёР№ СЂРѕР»РёРє GATES DRIVEALIGN MV IDLER</t>
  </si>
  <si>
    <t>376.09</t>
  </si>
  <si>
    <t>TOYOTA Yaris 1.0 16V/1.3 16V/1.4 D-4D  99-05  [EVR56983]</t>
  </si>
  <si>
    <t>T36398</t>
  </si>
  <si>
    <t>T36398 (7803-21498)  РћР±РІС–РґРЅРёР№ СЂРѕР»РёРє GATES DRIVEALIGN MV IDLER</t>
  </si>
  <si>
    <t xml:space="preserve"> FORD FOCUS  1.0-2.0   04-        \n[EVR56557]</t>
  </si>
  <si>
    <t>T36409</t>
  </si>
  <si>
    <t>T36409 (7803-21509)  РћР±РІС–РґРЅРёР№ СЂРѕР»РёРє GATES DRIVEALIGN MV IDLER</t>
  </si>
  <si>
    <t>191.33</t>
  </si>
  <si>
    <t>Chevrolet Epica 2.0/2.5 06-</t>
  </si>
  <si>
    <t>T36418</t>
  </si>
  <si>
    <t>T36418 (7803-21518)  РћР±РІС–РґРЅРёР№ СЂРѕР»РёРє GATES DRIVEALIGN MV IDLER</t>
  </si>
  <si>
    <t>184.76</t>
  </si>
  <si>
    <t>MAZDA 2 1.3i, 1.5i 2011-, MAZDA 3 (BK) 1.6 03-09  (+AC)   [532 0783 10]</t>
  </si>
  <si>
    <t>T36419</t>
  </si>
  <si>
    <t>T36419 (7803-21519)  РћР±РІС–РґРЅРёР№ СЂРѕР»РёРє GATES DRIVEALIGN MV IDLER</t>
  </si>
  <si>
    <t>382.83</t>
  </si>
  <si>
    <t>HYUNDAI/KIA Cerato, Ceed, Rio III 1.4/1.6   07-</t>
  </si>
  <si>
    <t>T36458</t>
  </si>
  <si>
    <t>T36458 (7803-21558)  РћР±РІС–РґРЅРёР№ СЂРѕР»РёРє GATES DRIVEALIGN MV IDLER</t>
  </si>
  <si>
    <t>HYUNDAI Accent,Getz,i30 /KIA Ceed,Cerato,Rio  1,4-1,6CRDI 2006-</t>
  </si>
  <si>
    <t>T38018</t>
  </si>
  <si>
    <t>T38018 (7803-21018)  РћР±РІС–РґРЅРёР№ СЂРѕР»РёРє GATES DRIVEALIGN MV IDLER</t>
  </si>
  <si>
    <t>Chrysler 300C, Jeep Grand Cherokee 5,7/6,1  , Mazda Tribute 2,0     00-12</t>
  </si>
  <si>
    <t>T38188</t>
  </si>
  <si>
    <t>T38188 (7808-21088)  РњРµС…Р°РЅС–Р·Рј РЅР°С‚СЏРіСѓ СЂРµРјРµРЅСЏ GATES DRIVEALIGN MV TENS</t>
  </si>
  <si>
    <t>691.49</t>
  </si>
  <si>
    <t>FORD FOCUS, MONDEO 1.8 16V, 2.0 16V  98- (РјРµС…. РЅР°С‚СЏР¶. ALT) [EVR55242]</t>
  </si>
  <si>
    <t>T38190</t>
  </si>
  <si>
    <t>T38190 (7808-21090)  РњРµС…Р°РЅС–Р·Рј РЅР°С‚СЏРіСѓ СЂРµРјРµРЅСЏ GATES DRIVEALIGN MV TENS</t>
  </si>
  <si>
    <t>795.34</t>
  </si>
  <si>
    <t>VOLVO S60,S70,V70 2.0-2.5 1997- (РјРµС…. РЅР°С‚СЏР¶. ALT) [EVR55545]</t>
  </si>
  <si>
    <t>T38207</t>
  </si>
  <si>
    <t>T38207 (7808-21107)  РњРµС…Р°РЅС–Р·Рј РЅР°С‚СЏРіСѓ СЂРµРјРµРЅСЏ GATES DRIVEALIGN MV TENS</t>
  </si>
  <si>
    <t>461.90</t>
  </si>
  <si>
    <t>AUDI A4, A6  1.4, 1.6, 2.0TFSi  01- (РјРµС…. РЅР°С‚СЏР¶. ALT) [EVR55751]</t>
  </si>
  <si>
    <t>T38273</t>
  </si>
  <si>
    <t>T38273 (7808-21173)  РњРµС…Р°РЅС–Р·Рј РЅР°С‚СЏРіСѓ СЂРµРјРµРЅСЏ GATES DRIVEALIGN MV TENS</t>
  </si>
  <si>
    <t>437.11</t>
  </si>
  <si>
    <t>T38311</t>
  </si>
  <si>
    <t>T38311 (7808-21211)  РњРµС…Р°РЅС–Р·Рј РЅР°С‚СЏРіСѓ СЂРµРјРµРЅСЏ GATES DRIVEALIGN MV TENS</t>
  </si>
  <si>
    <t>579.22</t>
  </si>
  <si>
    <t>RENAULT Trafic/Master| 2.0/2.3dCi| 06-  |Opel Movano| NISSAN Quasqai, X-Trail, \n[EVR55620]</t>
  </si>
  <si>
    <t>T38376</t>
  </si>
  <si>
    <t>T38376 (7808-21276)  РњРµС…Р°РЅС–Р·Рј РЅР°С‚СЏРіСѓ СЂРµРјРµРЅСЏ GATES DRIVEALIGN MV TENS</t>
  </si>
  <si>
    <t>457.85</t>
  </si>
  <si>
    <t>CHEVROLET/DAEWOO Aveo, Lanos, Lacetti (РјРµС…. РЅР°С‚СЏР¶. ALT) [EVR59004]</t>
  </si>
  <si>
    <t>T38408</t>
  </si>
  <si>
    <t>T38408 (7808-21308)  РњРµС…Р°РЅС–Р·Рј РЅР°С‚СЏРіСѓ СЂРµРјРµРЅСЏ GATES DRIVEALIGN MV TENS</t>
  </si>
  <si>
    <t>986.67</t>
  </si>
  <si>
    <t>MAZDA 6 1.8, 2.0, 2.3  02- (РјРµС…. РЅР°С‚СЏР¶. ALT) [EVR55289]</t>
  </si>
  <si>
    <t>T38410</t>
  </si>
  <si>
    <t>T38410 (7808-21310)  РњРµС…Р°РЅС–Р·Рј РЅР°С‚СЏРіСѓ СЂРµРјРµРЅСЏ GATES DRIVEALIGN MV TENS</t>
  </si>
  <si>
    <t>1469.64</t>
  </si>
  <si>
    <t>TOYOTA   AVALON [USA]   3,5 24V 05-06|  RAV4 [USA] Sport Utility 3,5 24V 06-  \n[EVR56966]</t>
  </si>
  <si>
    <t>T38415</t>
  </si>
  <si>
    <t>T38415 (7808-21315)  РњРµС…Р°РЅС–Р·Рј РЅР°С‚СЏРіСѓ СЂРµРјРµРЅСЏ GATES DRIVEALIGN MV TENS</t>
  </si>
  <si>
    <t>797.19</t>
  </si>
  <si>
    <t>MB CDI-engines (РјРµС…. РЅР°С‚СЏР¶. ALT) [EVR55123]</t>
  </si>
  <si>
    <t>T38427</t>
  </si>
  <si>
    <t>T38427 (7808-21327)  РњРµС…Р°РЅС–Р·Рј РЅР°С‚СЏРіСѓ СЂРµРјРµРЅСЏ GATES DRIVEALIGN MV TENS</t>
  </si>
  <si>
    <t>554.11</t>
  </si>
  <si>
    <t>VAG 1.9TDI/2.0TDI  00- (РјРµС…. РЅР°С‚СЏР¶. ALT) [EVR55776]</t>
  </si>
  <si>
    <t>T38436</t>
  </si>
  <si>
    <t>T38436 (7808-21336)  РњРµС…Р°РЅС–Р·Рј РЅР°С‚СЏРіСѓ СЂРµРјРµРЅСЏ GATES DRIVEALIGN MV TENS</t>
  </si>
  <si>
    <t>627.94</t>
  </si>
  <si>
    <t>VAG 1.9TDI, 2.0TDI  03- (РјРµС…. РЅР°С‚СЏР¶. ALT) [EVR55790]</t>
  </si>
  <si>
    <t>T38437</t>
  </si>
  <si>
    <t>T38437 (7808-21337)  РњРµС…Р°РЅС–Р·Рј РЅР°С‚СЏРіСѓ СЂРµРјРµРЅСЏ GATES DRIVEALIGN MV TENS</t>
  </si>
  <si>
    <t>1024.60</t>
  </si>
  <si>
    <t># [EVR56524]  0X76X24  Audi A6 2,5 TDI (AAT-AEL) 94-98, VOLVO 850/S70/S80/V70 2.5TDI 95-   (GA36534)</t>
  </si>
  <si>
    <t>T38439</t>
  </si>
  <si>
    <t>T38439 (7808-21339)  РњРµС…Р°РЅС–Р·Рј РЅР°С‚СЏРіСѓ СЂРµРјРµРЅСЏ GATES DRIVEALIGN MV TENS</t>
  </si>
  <si>
    <t>666.38</t>
  </si>
  <si>
    <t>VAG 1.6, 1.6FSi  03- (РјРµС…. РЅР°С‚СЏР¶. ALT, (A/C)) [EVR55778]</t>
  </si>
  <si>
    <t>T38444</t>
  </si>
  <si>
    <t>T38444 (7808-21344)  РњРµС…Р°РЅС–Р·Рј РЅР°С‚СЏРіСѓ СЂРµРјРµРЅСЏ GATES DRIVEALIGN MV TENS</t>
  </si>
  <si>
    <t>1443.34</t>
  </si>
  <si>
    <t>FORDF Focus, Tourneo 1.8TDi/TDCi  99- (РјРµС…. РЅР°С‚СЏР¶. ALT) [EVR55260]</t>
  </si>
  <si>
    <t>T38468</t>
  </si>
  <si>
    <t>T38468 (7808-21368)  РњРµС…Р°РЅС–Р·Рј РЅР°С‚СЏРіСѓ СЂРµРјРµРЅСЏ GATES DRIVEALIGN MV TENS</t>
  </si>
  <si>
    <t>844.39</t>
  </si>
  <si>
    <t>RENAULT, OPEL 1.9 diesel  01- (РјРµС…. РЅР°С‚СЏР¶. ALT) [EVR55586]</t>
  </si>
  <si>
    <t>T39077</t>
  </si>
  <si>
    <t>T39077 (7808-21477)  РњРµС…Р°РЅС–Р·Рј РЅР°С‚СЏРіСѓ СЂРµРјРµРЅСЏ GATES DRIVEALIGN MV TENS</t>
  </si>
  <si>
    <t>1254.87</t>
  </si>
  <si>
    <t># [EVR57431] РЅР°С‚СЏРіСѓРІР°С‡ СЂРµРјРµРЅСЏ Р“Р Рњ Honda Accord (CU1),Civic (FD1),CR-V (RE5) 05-</t>
  </si>
  <si>
    <t>T39103</t>
  </si>
  <si>
    <t>T39103 (7808-21503)  РњРµС…Р°РЅС–Р·Рј РЅР°С‚СЏРіСѓ СЂРµРјРµРЅСЏ GATES DRIVEALIGN MV TENS</t>
  </si>
  <si>
    <t>1763.29</t>
  </si>
  <si>
    <t>MAZDA 2, 3 1.4, 1.6  03- (РјРµС…. РЅР°С‚СЏР¶. ALT) [EVR57067]</t>
  </si>
  <si>
    <t>T39144</t>
  </si>
  <si>
    <t>T39144 (7808-21544)  РќР°С‚СЏР¶РЅРёР№ СЂРѕР»РёРє СЂРµРјРµРЅСЏ GATES DRIVEALIGN MV TENS</t>
  </si>
  <si>
    <t>479.60</t>
  </si>
  <si>
    <t>VW LT28-46 2.5 TDI/SDI  96-06 (РЅР°С‚СЏР¶. ALT) [EVR55485]</t>
  </si>
  <si>
    <t>T39154</t>
  </si>
  <si>
    <t>T39154 (7808-21554)  РњРµС…Р°РЅС–Р·Рј РЅР°С‚СЏРіСѓ СЂРµРјРµРЅСЏ GATES DRIVEALIGN MV TENS</t>
  </si>
  <si>
    <t>787.75</t>
  </si>
  <si>
    <t xml:space="preserve">TOYOTA Avensis, Corolla 2.0D  2001-\n[EVR56990] </t>
  </si>
  <si>
    <t>T41143</t>
  </si>
  <si>
    <t>T41143 (7786-21185)  РќР°С‚СЏР¶РЅРёР№ СЂРѕР»РёРє СЂРµРјРµРЅСЏ Р“Р Рњ GATES POWERGRIP TENSIONER</t>
  </si>
  <si>
    <t>323.33</t>
  </si>
  <si>
    <t>FORD Escort, Mondeo, Sierra 1.8D/TD  89-95 (РЅР°С‚СЏР¶. Р“Р Рњ) [EVR55204]</t>
  </si>
  <si>
    <t>T41155</t>
  </si>
  <si>
    <t>T41155 (7786-21197)  РќР°С‚СЏР¶РЅРёР№ СЂРѕР»РёРє СЂРµРјРµРЅСЏ Р“Р Рњ GATES POWERGRIP TENSIONER</t>
  </si>
  <si>
    <t>289.95</t>
  </si>
  <si>
    <t>DACIA/RENAULT Solenza, Logan, Sandero 1.4, 1.6  98- (РЅР°С‚СЏР¶. Р“Р Рњ) [EVR55622]</t>
  </si>
  <si>
    <t>T41157</t>
  </si>
  <si>
    <t>T41157 (7786-21199)  РќР°С‚СЏР¶РЅРёР№ СЂРѕР»РёРє СЂРµРјРµРЅСЏ Р“Р Рњ GATES POWERGRIP TENSIONER</t>
  </si>
  <si>
    <t>386.21</t>
  </si>
  <si>
    <t>RENAULT/VOLVO 1.7-2.0, 1.9D/TD/DI  90- (РЅР°С‚СЏР¶. Р“Р Рњ) [EVR55502]</t>
  </si>
  <si>
    <t>T41178</t>
  </si>
  <si>
    <t>T41178 (7786-21220)  РћР±РІС–РґРЅРёР№ СЂРѕР»РёРє СЂРµРјРµРЅСЏ Р“Р Рњ GATES POWERGRIP IDLER</t>
  </si>
  <si>
    <t>355.19</t>
  </si>
  <si>
    <t>T41235</t>
  </si>
  <si>
    <t>T41235 (7786-21476)  РћР±РІС–РґРЅРёР№ СЂРѕР»РёРє СЂРµРјРµРЅСЏ Р“Р Рњ GATES POWERGRIP IDLER</t>
  </si>
  <si>
    <t>316.92</t>
  </si>
  <si>
    <t xml:space="preserve">PSA 1,8 16v, 2,0 16v, 2,2 16v  00- (РѕР±РІРѕРґ. Р“Р Рњ) [EVR55950, 532 0289 10] </t>
  </si>
  <si>
    <t>T41240</t>
  </si>
  <si>
    <t>T41240 (7786-21601)  РќР°С‚СЏР¶РЅРёР№ СЂРѕР»РёРє СЂРµРјРµРЅСЏ Р“Р Рњ GATES POWERGRIP TENSIONER</t>
  </si>
  <si>
    <t>517.36</t>
  </si>
  <si>
    <t>RENAULT 1.9DCi  01- (РјРµС…. РЅР°С‚СЏР¶. Р“Р Рњ) 50,0X30,8 [EVR55580]</t>
  </si>
  <si>
    <t>T42041A</t>
  </si>
  <si>
    <t>T42041A (7786-21141)  РќР°С‚СЏР¶РЅРёР№ СЂРѕР»РёРє СЂРµРјРµРЅСЏ Р“Р Рњ GATES POWERGRIP TENSIONER</t>
  </si>
  <si>
    <t>263.65</t>
  </si>
  <si>
    <t>VAZ 2110 - 2112 1.5 16v (РЅР°С‚СЏР¶. Р“Р Рњ) [EVR57203]</t>
  </si>
  <si>
    <t>T42042A</t>
  </si>
  <si>
    <t>T42042A (7786-21142)  РќР°С‚СЏР¶РЅРёР№ СЂРѕР»РёРє СЂРµРјРµРЅСЏ Р“Р Рњ GATES POWERGRIP TENSIONER</t>
  </si>
  <si>
    <t>VAZ 2109/2110 - 2112 1.5 8v (РЅР°С‚СЏР¶. Р“Р Рњ Р· РµРєСЃС†РµРЅС‚СЂ.) [EVR57202]</t>
  </si>
  <si>
    <t>T42050</t>
  </si>
  <si>
    <t>T42050 (7786-21343)  РћР±РІС–РґРЅРёР№ СЂРѕР»РёРє СЂРµРјРµРЅСЏ Р“Р Рњ GATES POWERGRIP IDLER</t>
  </si>
  <si>
    <t>472.68</t>
  </si>
  <si>
    <t>VAG 1.9TDI/SDI  96- (РїРѕ в„– ch. РѕР±РІРѕРґ. Р“Р Рњ) [EVR55433]</t>
  </si>
  <si>
    <t>T42070</t>
  </si>
  <si>
    <t>T42070 (7786-21363)  РћР±РІС–РґРЅРёР№ СЂРѕР»РёРє СЂРµРјРµРЅСЏ Р“Р Рњ GATES POWERGRIP IDLER</t>
  </si>
  <si>
    <t>177.51</t>
  </si>
  <si>
    <t>Citroen Berlingo, C5, C8, Evasion, Jumpy, Jumper, Xantia, Xsara| Peugeot 206, 307, 406, Boxer, Expert, Partner 1,9/2,0/2,2D  96-</t>
  </si>
  <si>
    <t>T42084</t>
  </si>
  <si>
    <t>T42084  (7786-21377)  РћР±РІС–РґРЅРёР№ СЂРѕР»РёРє СЂРµРјРµРЅСЏ Р“Р Рњ GATES POWERGRIP IDLER</t>
  </si>
  <si>
    <t>198.24</t>
  </si>
  <si>
    <t>OPEL Astra, Vectra, Omega 1.8, 2.0 16V, CHEVROLET, DAEWOO  91- (РѕР±РІРѕРґ. Р“Р Рњ)   (GE35307) , [532 0039 10, EVR55314]</t>
  </si>
  <si>
    <t>T42159</t>
  </si>
  <si>
    <t>T42159 (7786-21503)  РћР±РІС–РґРЅРёР№ СЂРѕР»РёРє СЂРµРјРµРЅСЏ Р“Р Рњ GATES POWERGRIP IDLER</t>
  </si>
  <si>
    <t>446.22</t>
  </si>
  <si>
    <t>VAG 2.5TDI  97-05 (РѕР±РІРѕРґ. Р“Р Рњ) [EVR55707]</t>
  </si>
  <si>
    <t>T42169</t>
  </si>
  <si>
    <t>T42169 (7786-21449)  РћР±РІС–РґРЅРёР№ СЂРѕР»РёРє СЂРµРјРµРЅСЏ Р“Р Рњ GATES POWERGRIP IDLER</t>
  </si>
  <si>
    <t>550.23</t>
  </si>
  <si>
    <t>RENAULT Espace, Laguna, Master 2.2DCI  00- (РѕР±РІРѕРґ. Р“Р Рњ) [EVR55575]</t>
  </si>
  <si>
    <t>T43033</t>
  </si>
  <si>
    <t>T43033 (7784-21025)  РќР°С‚СЏР¶РЅРёР№ СЂРѕР»РёРє СЂРµРјРµРЅСЏ Р“Р Рњ GATES POWERGRIP TENSIONER</t>
  </si>
  <si>
    <t>772.92</t>
  </si>
  <si>
    <t>ALFA ROMEO 1.4 16v, 1.6 16v, FIAT 1.8 16v  96- (РЅР°С‚СЏР¶. Р“Р Рњ) [EVR55850]</t>
  </si>
  <si>
    <t>T43065</t>
  </si>
  <si>
    <t>T43065 (7784-21058)  РќР°С‚СЏР¶РЅРёР№ СЂРѕР»РёРє СЂРµРјРµРЅСЏ Р“Р Рњ GATES POWERGRIP TENSIONER</t>
  </si>
  <si>
    <t>769.54</t>
  </si>
  <si>
    <t>AUDI A4/A6 VW PASSAT 1.8/1.8T 20V  94- (РЅР°С‚СЏР¶. Р“Р Рњ, ZZ = 153) [EVR55440]</t>
  </si>
  <si>
    <t>T43069</t>
  </si>
  <si>
    <t>T43069 (7784-21062)  РќР°С‚СЏР¶РЅРёР№ СЂРѕР»РёРє СЂРµРјРµРЅСЏ Р“Р Рњ GATES POWERGRIP TENSIONER</t>
  </si>
  <si>
    <t>650.03</t>
  </si>
  <si>
    <t>VW/AUDI 1.7, 1.9 TD/TDI/SDI  91-03 (РЅР°С‚СЏР¶. Р“Р Рњ) [EVR55426]</t>
  </si>
  <si>
    <t>T43127</t>
  </si>
  <si>
    <t>T43127 (7784-21106)  РќР°С‚СЏР¶РЅРёР№ СЂРѕР»РёРє СЂРµРјРµРЅСЏ Р“Р Рњ GATES POWERGRIP TENSIONER</t>
  </si>
  <si>
    <t>369.01</t>
  </si>
  <si>
    <t>FORD FIESTA,FOCUS  1.25 16v - 1.6 16v 97- (РЅР°С‚СЏР¶. Р“Р Рњ) [EVR55226]</t>
  </si>
  <si>
    <t>T43140</t>
  </si>
  <si>
    <t>T43140 (7784-21114)  РќР°С‚СЏР¶РЅРёР№ СЂРѕР»РёРє СЂРµРјРµРЅСЏ Р“Р Рњ GATES POWERGRIP TENSIONER</t>
  </si>
  <si>
    <t>477.91</t>
  </si>
  <si>
    <t>VAG 1.4, 1.4 16V, 1.6, 1.6 16V  99- (РЅР°С‚СЏР¶. Р“Р Рњ) [EVR55461]</t>
  </si>
  <si>
    <t>T43145</t>
  </si>
  <si>
    <t>T43145 (7784-21119)  РќР°С‚СЏР¶РЅРёР№ СЂРѕР»РёРє СЂРµРјРµРЅСЏ Р“Р Рњ GATES POWERGRIP TENSIONER</t>
  </si>
  <si>
    <t>725.55</t>
  </si>
  <si>
    <t>PSA 1.8 16v, 2.0 16v  04- (РЅР°С‚СЏР¶. Р“Р Рњ) [EVR55977]</t>
  </si>
  <si>
    <t>T43149</t>
  </si>
  <si>
    <t>T43149 (7784-21123)  РќР°С‚СЏР¶РЅРёР№ СЂРѕР»РёРє СЂРµРјРµРЅСЏ Р“Р Рњ GATES POWERGRIP TENSIONER</t>
  </si>
  <si>
    <t>468.98</t>
  </si>
  <si>
    <t>VAG 1.4, 1.4 16v, 1.6, 1.6 16v  99- (РЅР°С‚СЏР¶. Р“Р Рњ) [EVR55456]</t>
  </si>
  <si>
    <t>T43219</t>
  </si>
  <si>
    <t>T43219 (7784-21161)  РќР°С‚СЏР¶РЅРёР№ СЂРѕР»РёРє СЂРµРјРµРЅСЏ Р“Р Рњ GATES POWERGRIP TENSIONER</t>
  </si>
  <si>
    <t>822.31</t>
  </si>
  <si>
    <t xml:space="preserve">AUDI, SKODA, SEAT, VW 1.6TDI/2.0TDI  2009- </t>
  </si>
  <si>
    <t>GSP</t>
  </si>
  <si>
    <t>210036 GSP</t>
  </si>
  <si>
    <t>210036 GSP - РќР°РїС–РІРІС–СЃСЊ</t>
  </si>
  <si>
    <t>1443.84</t>
  </si>
  <si>
    <t>PEUGEOT BOXER 1000/1400Kg  94-02, Right +ABS (54T 28 41 63 112.5 1079) (20947 Spidan)</t>
  </si>
  <si>
    <t>210104 GSP</t>
  </si>
  <si>
    <t>210104 GSP - РќР°РїС–РІРІС–СЃСЊ</t>
  </si>
  <si>
    <t>1557.12</t>
  </si>
  <si>
    <t>PEUGEOT BOXER 1000/1400Kg  94-02, Right +ABS (54T 28 37 63 112.5 1072) (20943 Spidan)</t>
  </si>
  <si>
    <t>211012 GSP</t>
  </si>
  <si>
    <t>211012 GSP - РќР°РїС–РІРІС–СЃСЊ</t>
  </si>
  <si>
    <t>1196.67</t>
  </si>
  <si>
    <t>DACIA LOGAN 1.5Dci  05-, Left (23 29.95 49 83.5 681) (24165 Spidan)</t>
  </si>
  <si>
    <t>211014 GSP</t>
  </si>
  <si>
    <t>211014 GSP - РќР°РїС–РІРІС–СЃСЊ</t>
  </si>
  <si>
    <t>1215.73</t>
  </si>
  <si>
    <t>DACIA LOGAN 1.5Dci  05-, Right (23 23 49 83.5 755) (24167 Spidan)</t>
  </si>
  <si>
    <t>218046 GSP</t>
  </si>
  <si>
    <t>218046 GSP - РќР°РїС–РІРІС–СЃСЊ</t>
  </si>
  <si>
    <t>1590.59</t>
  </si>
  <si>
    <t>FORD FOCUS  98-04, Right (25 23 53.38 88.5 934) (23299 Spidan)</t>
  </si>
  <si>
    <t>218264 GSP</t>
  </si>
  <si>
    <t>218264 GSP - РќР°РїС–РІРІС–СЃСЊ</t>
  </si>
  <si>
    <t>1509.23</t>
  </si>
  <si>
    <t>FORD TRANSIT CONNECT  02-, Right (25 26 53.5 94.5 962) (24764 Spidan)</t>
  </si>
  <si>
    <t>218271 GSP</t>
  </si>
  <si>
    <t>218271 GSP - РќР°РїС–РІРІС–СЃСЊ</t>
  </si>
  <si>
    <t>1709.53</t>
  </si>
  <si>
    <t>OPEL Vivaro 2.0CDTi  06-, Right (27 39 56.6 94 1013) (24508 Spidan)</t>
  </si>
  <si>
    <t>250353 GSP</t>
  </si>
  <si>
    <t>250353 GSP - РќР°РїС–РІРІС–СЃСЊ</t>
  </si>
  <si>
    <t>1186.89</t>
  </si>
  <si>
    <t>RENAULT LOGAN 1.5DCi, 1.6 16V  06-, Left (23 26 49 86 649) (24460 Spidan)</t>
  </si>
  <si>
    <t>250354 GSP</t>
  </si>
  <si>
    <t>250354 GSP - РќР°РїС–РІРІС–СЃСЊ</t>
  </si>
  <si>
    <t>1672.63</t>
  </si>
  <si>
    <t>RENAULT LOGAN 1.5DCi, 1.6 16V  06-, Right (23 26 49 86 897) (24398 Spidan)</t>
  </si>
  <si>
    <t>261004 GSP</t>
  </si>
  <si>
    <t>261004 GSP - РќР°РїС–РІРІС–СЃСЊ</t>
  </si>
  <si>
    <t>1179.51</t>
  </si>
  <si>
    <t>VW T4, Left / Right +ABS (48T 38 60.2 34.5 540.8) (21023 Spidan)</t>
  </si>
  <si>
    <t>261045 GSP</t>
  </si>
  <si>
    <t>261045 GSP - РќР°РїС–РІРІС–СЃСЊ</t>
  </si>
  <si>
    <t>1104.85</t>
  </si>
  <si>
    <t>VAG 1.6  99-05, Left (36 53 78.5 555) (21012 Spidan)</t>
  </si>
  <si>
    <t>299151 GSP</t>
  </si>
  <si>
    <t>299151 GSP - РќР°РїС–РІРІС–СЃСЊ</t>
  </si>
  <si>
    <t>1741.97</t>
  </si>
  <si>
    <t>OPEL MOVANO, RENAULT MASTER  01-, Right +ABS (51T 28 39 65 96 1144) (21552 Spidan)</t>
  </si>
  <si>
    <t>603001 GSP</t>
  </si>
  <si>
    <t>603001 GSP - РЁР°СЂРЅС–СЂ Р РљРЁ</t>
  </si>
  <si>
    <t>411.25</t>
  </si>
  <si>
    <t>VAG  85-08, inner (G:28) (20273 Spidan)</t>
  </si>
  <si>
    <t>603008 GSP</t>
  </si>
  <si>
    <t>603008 GSP - РЁР°СЂРЅС–СЂ Р РљРЁ</t>
  </si>
  <si>
    <t>277.20</t>
  </si>
  <si>
    <t>VAG  75-02, inner (G:33/Z/Г Joint:94) (24749 Spidan)</t>
  </si>
  <si>
    <t>603011 GSP</t>
  </si>
  <si>
    <t>603011 GSP - РЁР°СЂРЅС–СЂ Р РљРЁ</t>
  </si>
  <si>
    <t>498.27</t>
  </si>
  <si>
    <t>SKODA Octavia (1U) 4x4, Front, inner (G:33/Г Joint:100) (22497 Spidan)</t>
  </si>
  <si>
    <t>612001 GSP</t>
  </si>
  <si>
    <t>612001 GSP - РЁР°СЂРЅС–СЂ Р РљРЁ</t>
  </si>
  <si>
    <t>399.75</t>
  </si>
  <si>
    <t>DAEWOO MATIZ (KLYA)  98-, inner (22 19 35 54.5 79)</t>
  </si>
  <si>
    <t>618001 GSP</t>
  </si>
  <si>
    <t>618001 GSP - РЁР°СЂРЅС–СЂ Р РљРЁ</t>
  </si>
  <si>
    <t>346.88</t>
  </si>
  <si>
    <t>FORD SCORPIO  85-98, Rear, outer (G:25) (21561 Spidan)</t>
  </si>
  <si>
    <t>644002 GSP</t>
  </si>
  <si>
    <t>644002 GSP - РЁР°СЂРЅС–СЂ Р РљРЁ</t>
  </si>
  <si>
    <t>549.59</t>
  </si>
  <si>
    <t>OPEL  81-01, inner (D:34/G:25) (21457 Spidan)</t>
  </si>
  <si>
    <t>644004 GSP</t>
  </si>
  <si>
    <t>644004 GSP - РЁР°СЂРЅС–СЂ Р РљРЁ</t>
  </si>
  <si>
    <t>431.67</t>
  </si>
  <si>
    <t>OPEL  81-98, inner (D:22/G:22) (21451 Spidan)</t>
  </si>
  <si>
    <t>644005 GSP</t>
  </si>
  <si>
    <t>644005 GSP - РЁР°СЂРЅС–СЂ Р РљРЁ</t>
  </si>
  <si>
    <t>481.45</t>
  </si>
  <si>
    <t>OPEL  89-98, Right, inner (G:25/K:34) (21498 Spidan)</t>
  </si>
  <si>
    <t>648002 GSP</t>
  </si>
  <si>
    <t>648002 GSP - РЁР°СЂРЅС–СЂ Р РљРЁ</t>
  </si>
  <si>
    <t>421.03</t>
  </si>
  <si>
    <t>VAG  90-03, inner (G:28) (21490 Spidan)</t>
  </si>
  <si>
    <t>648004 GSP</t>
  </si>
  <si>
    <t>648004 GSP - РЁР°СЂРЅС–СЂ Р РљРЁ</t>
  </si>
  <si>
    <t>489.00</t>
  </si>
  <si>
    <t>FIAT  85-96, inner (G:25/Г Joint:100) (21311 Spidan)</t>
  </si>
  <si>
    <t>654003 GSP</t>
  </si>
  <si>
    <t>654003 GSP - РЁР°СЂРЅС–СЂ Р РљРЁ</t>
  </si>
  <si>
    <t>SKODA FAVORIT, FELICIA, inner (D:22) (23155 Spidan)</t>
  </si>
  <si>
    <t>654004 GSP</t>
  </si>
  <si>
    <t>654004 GSP - РЁР°СЂРЅС–СЂ Р РљРЁ</t>
  </si>
  <si>
    <t>673.69</t>
  </si>
  <si>
    <t>VAG 2.0TDI 04-, inner (G:34) (25177 Spidan)</t>
  </si>
  <si>
    <t>661001 GSP</t>
  </si>
  <si>
    <t>661001 GSP - РЁР°СЂРЅС–СЂ Р РљРЁ</t>
  </si>
  <si>
    <t>383.44</t>
  </si>
  <si>
    <t>VW T4, inner (G:33) (20597 Spidan)</t>
  </si>
  <si>
    <t>661002 GSP</t>
  </si>
  <si>
    <t>661002 GSP - РЁР°СЂРЅС–СЂ Р РљРЁ</t>
  </si>
  <si>
    <t>405.76</t>
  </si>
  <si>
    <t>VW T4, Right, inner (G:28) (22902 Spidan)</t>
  </si>
  <si>
    <t>661003 GSP</t>
  </si>
  <si>
    <t>661003 GSP - РЁР°СЂРЅС–СЂ Р РљРЁ</t>
  </si>
  <si>
    <t>395.63</t>
  </si>
  <si>
    <t>VW TRANSPORTER  67-92, Rear, inner (33 32) (22407 Spidan)</t>
  </si>
  <si>
    <t>661011 GSP</t>
  </si>
  <si>
    <t>661011 GSP - РЁР°СЂРЅС–СЂ Р РљРЁ</t>
  </si>
  <si>
    <t>502.56</t>
  </si>
  <si>
    <t>VAG  04-, inner (26 32 31 68.5 85)</t>
  </si>
  <si>
    <t>661020 GSP</t>
  </si>
  <si>
    <t>661020 GSP - РЁР°СЂРЅС–СЂ Р РљРЁ</t>
  </si>
  <si>
    <t>1277.17</t>
  </si>
  <si>
    <t>VW T5, Right, inner (26 28 50 205.5 63) (24564 Spidan)</t>
  </si>
  <si>
    <t>661044 GSP</t>
  </si>
  <si>
    <t>661044 GSP - РЁР°СЂРЅС–СЂ Р РљРЁ</t>
  </si>
  <si>
    <t>785.60</t>
  </si>
  <si>
    <t>VW Sharan  95-10, inner (G:34) (24745 Spidan)</t>
  </si>
  <si>
    <t>699025 GSP</t>
  </si>
  <si>
    <t>699025 GSP - РЁР°СЂРЅС–СЂ Р РљРЁ</t>
  </si>
  <si>
    <t>DAEWOO ESPERO, LANOS, NEXIA, inner (34 22 35 80 58)</t>
  </si>
  <si>
    <t>699148 GSP</t>
  </si>
  <si>
    <t>699148 GSP - РЁР°СЂРЅС–СЂ Р РљРЁ</t>
  </si>
  <si>
    <t>522.13</t>
  </si>
  <si>
    <t>AUDI Q7 (4L), VW AMAROK, TOUAREG (7LA, 7L6, 7L7), Front, inner (G:28/Г Joint:112) (24236 Spidan)</t>
  </si>
  <si>
    <t>700102 GSP</t>
  </si>
  <si>
    <t>700102 GSP - РџРёР»СЊРѕРІРёРє РїСЂРёРІС–РґРЅРѕРіРѕ РІР°Р»Р°</t>
  </si>
  <si>
    <t>70.03</t>
  </si>
  <si>
    <t>OPEL Astra J, Insignia, outer /22,5 - 78,5 - 120/ (25453 Spidan)</t>
  </si>
  <si>
    <t>700105 GSP</t>
  </si>
  <si>
    <t>700105 GSP - РџРёР»СЊРѕРІРёРє РїСЂРёРІС–РґРЅРѕРіРѕ РІР°Р»Р°</t>
  </si>
  <si>
    <t>126.50</t>
  </si>
  <si>
    <t>VAG  85-05, inner /25 - 107,7 - 128/ (26109 Spidan)</t>
  </si>
  <si>
    <t>700108 GSP</t>
  </si>
  <si>
    <t>700108 GSP - РџРёР»СЊРѕРІРёРє РїСЂРёРІС–РґРЅРѕРіРѕ РІР°Р»Р°</t>
  </si>
  <si>
    <t>71.23</t>
  </si>
  <si>
    <t>HYUNDAI Accent (LC), inner /20 - 65 - 89/ (22285 Spidan)</t>
  </si>
  <si>
    <t>700109 GSP</t>
  </si>
  <si>
    <t>700109 GSP - РџРёР»СЊРѕРІРёРє РїСЂРёРІС–РґРЅРѕРіРѕ РІР°Р»Р°</t>
  </si>
  <si>
    <t>93.37</t>
  </si>
  <si>
    <t>OPEL Astra J, Insignia, Vectra C, outer /26,5 - 87 - 126,5/ (23024 Spidan)</t>
  </si>
  <si>
    <t>700112 GSP</t>
  </si>
  <si>
    <t>700112 GSP - РџРёР»СЊРѕРІРёРє РїСЂРёРІС–РґРЅРѕРіРѕ РІР°Р»Р°</t>
  </si>
  <si>
    <t>57.67</t>
  </si>
  <si>
    <t>NISSAN Qashqai (J10), X-Trail (T30), outer /16,5 - 63 - 85/ (24612 Spidan)</t>
  </si>
  <si>
    <t>700116 GSP</t>
  </si>
  <si>
    <t>700116 GSP - РџРёР»СЊРѕРІРёРє РїСЂРёРІС–РґРЅРѕРіРѕ РІР°Р»Р°</t>
  </si>
  <si>
    <t>81.53</t>
  </si>
  <si>
    <t>TOYOTA Auris  07-, outer /20 - 71 - 100/ (25010 Spidan)</t>
  </si>
  <si>
    <t>700117 GSP</t>
  </si>
  <si>
    <t>700117 GSP - РџРёР»СЊРѕРІРёРє РїСЂРёРІС–РґРЅРѕРіРѕ РІР°Р»Р°</t>
  </si>
  <si>
    <t>RENAULT Laguna, Duster, Megane, Fluence  07-, outer /24,5 - 83 - 108/ (25048 Spidan)</t>
  </si>
  <si>
    <t>700120 GSP</t>
  </si>
  <si>
    <t>700120 GSP - РџРёР»СЊРѕРІРёРє РїСЂРёРІС–РґРЅРѕРіРѕ РІР°Р»Р°</t>
  </si>
  <si>
    <t>RENAULT Duster, Megane  09-, outer /24,5 - 83 - 108/ (25049 Spidan)</t>
  </si>
  <si>
    <t>700124 GSP</t>
  </si>
  <si>
    <t>700124 GSP - РџРёР»СЊРѕРІРёРє РїСЂРёРІС–РґРЅРѕРіРѕ РІР°Р»Р°</t>
  </si>
  <si>
    <t>108.99</t>
  </si>
  <si>
    <t>SKODA Octavia (1U), inner /24 - 94 - 109/ (24662 Spidan)</t>
  </si>
  <si>
    <t>700127 GSP</t>
  </si>
  <si>
    <t>700127 GSP - РџРёР»СЊРѕРІРёРє РїСЂРёРІС–РґРЅРѕРіРѕ РІР°Р»Р°</t>
  </si>
  <si>
    <t>64.88</t>
  </si>
  <si>
    <t>OPEL Astra F, Vectra A/B, Zafira A/B, inner /23,2 - 56 - 98,5/ (26085 Spidan)</t>
  </si>
  <si>
    <t>700129 GSP</t>
  </si>
  <si>
    <t>700129 GSP - РџРёР»СЊРѕРІРёРє РїСЂРёРІС–РґРЅРѕРіРѕ РІР°Р»Р°</t>
  </si>
  <si>
    <t>64.54</t>
  </si>
  <si>
    <t>DACIA Logan (LS), outer /21 - 76 - 103/ (24611 Spidan)</t>
  </si>
  <si>
    <t>700130 GSP</t>
  </si>
  <si>
    <t>700130 GSP - РџРёР»СЊРѕРІРёРє РїСЂРёРІС–РґРЅРѕРіРѕ РІР°Р»Р°</t>
  </si>
  <si>
    <t>88.74</t>
  </si>
  <si>
    <t>NISSAN Qashqai (J10), X-Trail (T31), inner /24 - 81,5 - 94,5/ (24614 Spidan)</t>
  </si>
  <si>
    <t>700133 GSP</t>
  </si>
  <si>
    <t>700133 GSP - РџРёР»СЊРѕРІРёРє РїСЂРёРІС–РґРЅРѕРіРѕ РІР°Р»Р°</t>
  </si>
  <si>
    <t>RENAULT Kangoo  08-, inner /25,5 - 75 - 93,5/ (25384 Spidan)</t>
  </si>
  <si>
    <t>760007 GSP</t>
  </si>
  <si>
    <t>760007 GSP - РџРёР»СЊРѕРІРёРє РїСЂРёРІС–РґРЅРѕРіРѕ РІР°Р»Р°</t>
  </si>
  <si>
    <t>62.82</t>
  </si>
  <si>
    <t>MB W202, W210, OPEL Vectra B/C, inner /25 - 60 - 81,5/ (23191 Spidan)</t>
  </si>
  <si>
    <t>760015 GSP</t>
  </si>
  <si>
    <t>760015 GSP - РџРёР»СЊРѕРІРёРє РїСЂРёРІС–РґРЅРѕРіРѕ РІР°Р»Р°</t>
  </si>
  <si>
    <t>66.60</t>
  </si>
  <si>
    <t>OPEL Vivaro  01-, inner /40 - 74 - 94,3/ (23244 Spidan)</t>
  </si>
  <si>
    <t>760020 GSP</t>
  </si>
  <si>
    <t>760020 GSP - РџРёР»СЊРѕРІРёРє РїСЂРёРІС–РґРЅРѕРіРѕ РІР°Р»Р°</t>
  </si>
  <si>
    <t>83.59</t>
  </si>
  <si>
    <t>SKODA Octavia (1U), inner /25 - 56 - 106/ (23176 Spidan)</t>
  </si>
  <si>
    <t>760039 GSP</t>
  </si>
  <si>
    <t>760039 GSP - РџРёР»СЊРѕРІРёРє РїСЂРёРІС–РґРЅРѕРіРѕ РІР°Р»Р°</t>
  </si>
  <si>
    <t>70.37</t>
  </si>
  <si>
    <t>SKODA Octavia (1U), Supperb (3U), inner /21 - 78 - 92/ (24367 Spidan)</t>
  </si>
  <si>
    <t>760043 GSP</t>
  </si>
  <si>
    <t>760043 GSP - РџРёР»СЊРѕРІРёРє РїСЂРёРІС–РґРЅРѕРіРѕ РІР°Р»Р°</t>
  </si>
  <si>
    <t>61.96</t>
  </si>
  <si>
    <t>RENAULT Clio, Kangoo, Megane  97-, inner /24 - 74 - 102,5/ (22284 Spidan)</t>
  </si>
  <si>
    <t>760052 GSP</t>
  </si>
  <si>
    <t>760052 GSP - РџРёР»СЊРѕРІРёРє РїСЂРёРІС–РґРЅРѕРіРѕ РІР°Р»Р°</t>
  </si>
  <si>
    <t>61.10</t>
  </si>
  <si>
    <t>PEUGEOT 206, 306, 307, 406, 407, Boxer, Partner, inner /33 - 76,5 - 106/ (21135 Spidan)</t>
  </si>
  <si>
    <t>760071 GSP</t>
  </si>
  <si>
    <t>760071 GSP - РџРёР»СЊРѕРІРёРє РїСЂРёРІС–РґРЅРѕРіРѕ РІР°Р»Р°</t>
  </si>
  <si>
    <t>76.38</t>
  </si>
  <si>
    <t>MB Vito (W638), inner /26 - 68 - 119/ (21728 Spidan)</t>
  </si>
  <si>
    <t>760101 GSP</t>
  </si>
  <si>
    <t>760101 GSP - РџРёР»СЊРѕРІРёРє РїСЂРёРІС–РґРЅРѕРіРѕ РІР°Р»Р°</t>
  </si>
  <si>
    <t>101.78</t>
  </si>
  <si>
    <t>VW T4, inner /25 - 56,5 - 106/ (26097 Spidan)</t>
  </si>
  <si>
    <t>760105 GSP</t>
  </si>
  <si>
    <t>760105 GSP - РџРёР»СЊРѕРІРёРє РїСЂРёРІС–РґРЅРѕРіРѕ РІР°Р»Р°</t>
  </si>
  <si>
    <t>94.23</t>
  </si>
  <si>
    <t>AUDI 100/A6  91-00, inner /21 - 78 - 92/ (26128 Spidan)</t>
  </si>
  <si>
    <t>760107 GSP</t>
  </si>
  <si>
    <t>760107 GSP - РџРёР»СЊРѕРІРёРє РїСЂРёРІС–РґРЅРѕРіРѕ РІР°Р»Р°</t>
  </si>
  <si>
    <t>151.56</t>
  </si>
  <si>
    <t>BMW 5 (E39), 7 (E38), X5 (E53), inner /25 - 107,7 - 90/ (26241 Spidan)</t>
  </si>
  <si>
    <t>760110 GSP</t>
  </si>
  <si>
    <t>760110 GSP - РџРёР»СЊРѕРІРёРє РїСЂРёРІС–РґРЅРѕРіРѕ РІР°Р»Р°</t>
  </si>
  <si>
    <t>MAZDA 626, 6 (GG, GH)  82-, inner /21 - 72 - 96/ (26168 Spidan)</t>
  </si>
  <si>
    <t>760113 GSP</t>
  </si>
  <si>
    <t>760113 GSP - РџРёР»СЊРѕРІРёРє РїСЂРёРІС–РґРЅРѕРіРѕ РІР°Р»Р°</t>
  </si>
  <si>
    <t>164.26</t>
  </si>
  <si>
    <t>OPEL Vivaro  01-, inner /24 - 70,5 - 98/ (22278 Spidan)</t>
  </si>
  <si>
    <t>760116 GSP</t>
  </si>
  <si>
    <t>760116 GSP - РџРёР»СЊРѕРІРёРє РїСЂРёРІС–РґРЅРѕРіРѕ РІР°Р»Р°</t>
  </si>
  <si>
    <t>65.39</t>
  </si>
  <si>
    <t>NISSAN Almera (N16), Primera (P11, P12), inner /20,5 - 74 - 88/ (22287 Spidan)</t>
  </si>
  <si>
    <t>760119 GSP</t>
  </si>
  <si>
    <t>760119 GSP - РџРёР»СЊРѕРІРёРє РїСЂРёРІС–РґРЅРѕРіРѕ РІР°Р»Р°</t>
  </si>
  <si>
    <t>62.31</t>
  </si>
  <si>
    <t>CITROEN C2, C3, inner /20 - 69,5 - 86,5/ (23179 Spidan)</t>
  </si>
  <si>
    <t>760123 GSP</t>
  </si>
  <si>
    <t>760123 GSP - РџРёР»СЊРѕРІРёРє РїСЂРёРІС–РґРЅРѕРіРѕ РІР°Р»Р°</t>
  </si>
  <si>
    <t>CITROEN Jumper 2.8Hdi, FIAT Ducato 2.8JTD  02-, inner /33 - 84 - 99/ (23204 Spidan)</t>
  </si>
  <si>
    <t>760132 GSP</t>
  </si>
  <si>
    <t>760132 GSP - РџРёР»СЊРѕРІРёРє РїСЂРёРІС–РґРЅРѕРіРѕ РІР°Р»Р°</t>
  </si>
  <si>
    <t>123.58</t>
  </si>
  <si>
    <t>SKODA Octavia (1U, 1Z, 5E), inner /27 - 56 - 96,5/ (23268 Spidan)</t>
  </si>
  <si>
    <t>760133 GSP</t>
  </si>
  <si>
    <t>760133 GSP - РџРёР»СЊРѕРІРёРє РїСЂРёРІС–РґРЅРѕРіРѕ РІР°Р»Р°</t>
  </si>
  <si>
    <t>69.69</t>
  </si>
  <si>
    <t>SKODA Octavia (1U), inner /20 - 71 - 100/ (23275 Spidan)</t>
  </si>
  <si>
    <t>760137 GSP</t>
  </si>
  <si>
    <t>760137 GSP - РџРёР»СЊРѕРІРёРє РїСЂРёРІС–РґРЅРѕРіРѕ РІР°Р»Р°</t>
  </si>
  <si>
    <t>125.64</t>
  </si>
  <si>
    <t>AUDI Q7 (4L), VW Touareg (7LA, 7L6, 7L7, 7P5), inner /26 - 64 - 98/ (24230 Spidan)</t>
  </si>
  <si>
    <t>760138 GSP</t>
  </si>
  <si>
    <t>760138 GSP - РџРёР»СЊРѕРІРёРє РїСЂРёРІС–РґРЅРѕРіРѕ РІР°Р»Р°</t>
  </si>
  <si>
    <t>AUDI Q7 (4L), VW Touareg (7LA, 7L6, 7L7), outer /32 - 115,8 - 107/ (24233 Spidan)</t>
  </si>
  <si>
    <t>760140 GSP</t>
  </si>
  <si>
    <t>760140 GSP - РџРёР»СЊРѕРІРёРє РїСЂРёРІС–РґРЅРѕРіРѕ РІР°Р»Р°</t>
  </si>
  <si>
    <t>75.18</t>
  </si>
  <si>
    <t>MB A-Class (W169), B-Class (W245), inner /31 - 75 - 107/ (24560 Spidan)</t>
  </si>
  <si>
    <t>760141 GSP</t>
  </si>
  <si>
    <t>760141 GSP - РџРёР»СЊРѕРІРёРє РїСЂРёРІС–РґРЅРѕРіРѕ РІР°Р»Р°</t>
  </si>
  <si>
    <t>MB A-Class (W169), B-Class (W245), inner /26 - 64 - 98/ (24561 Spidan)</t>
  </si>
  <si>
    <t>760142 GSP</t>
  </si>
  <si>
    <t>760142 GSP - РџРёР»СЊРѕРІРёРє РїСЂРёРІС–РґРЅРѕРіРѕ РІР°Р»Р°</t>
  </si>
  <si>
    <t>150.19</t>
  </si>
  <si>
    <t>VW T5, inner /25 - 56,5 - 106/ (24565 Spidan)</t>
  </si>
  <si>
    <t>760143 GSP</t>
  </si>
  <si>
    <t>760143 GSP - РџРёР»СЊРѕРІРёРє РїСЂРёРІС–РґРЅРѕРіРѕ РІР°Р»Р°</t>
  </si>
  <si>
    <t>108.65</t>
  </si>
  <si>
    <t>VW T5, inner /25 - 56,5 - 106/ (24567 Spidan)</t>
  </si>
  <si>
    <t>760144 GSP</t>
  </si>
  <si>
    <t>760144 GSP - РџРёР»СЊРѕРІРёРє РїСЂРёРІС–РґРЅРѕРіРѕ РІР°Р»Р°</t>
  </si>
  <si>
    <t>87.36</t>
  </si>
  <si>
    <t>VW T5, inner /31 - 75 - 107/ (24569 Spidan)</t>
  </si>
  <si>
    <t>760146 GSP</t>
  </si>
  <si>
    <t>760146 GSP - РџРёР»СЊРѕРІРёРє РїСЂРёРІС–РґРЅРѕРіРѕ РІР°Р»Р°</t>
  </si>
  <si>
    <t>78.10</t>
  </si>
  <si>
    <t>NISSAN Qashqai (J10), inner /28,5 - 81 - 108/ (24613 Spidan)</t>
  </si>
  <si>
    <t>760147 GSP</t>
  </si>
  <si>
    <t>760147 GSP - РџРёР»СЊРѕРІРёРє РїСЂРёРІС–РґРЅРѕРіРѕ РІР°Р»Р°</t>
  </si>
  <si>
    <t>122.72</t>
  </si>
  <si>
    <t>MB Sprinter (903, 904), inner /25 - 107,7 - 128/ (24634 Spidan)</t>
  </si>
  <si>
    <t>760149 GSP</t>
  </si>
  <si>
    <t>760149 GSP - РџРёР»СЊРѕРІРёРє РїСЂРёРІС–РґРЅРѕРіРѕ РІР°Р»Р°</t>
  </si>
  <si>
    <t>115.51</t>
  </si>
  <si>
    <t>SKODA Octavia (1U), inner /21 - 99,7 - 112,5/ (24658 Spidan)</t>
  </si>
  <si>
    <t>760150 GSP</t>
  </si>
  <si>
    <t>760150 GSP - РџРёР»СЊРѕРІРёРє РїСЂРёРІС–РґРЅРѕРіРѕ РІР°Р»Р°</t>
  </si>
  <si>
    <t>91.66</t>
  </si>
  <si>
    <t>SKODA Fabia (6Y), inner /22,5 - 69 - 111,5/ (24660 Spidan)</t>
  </si>
  <si>
    <t>760154 GSP</t>
  </si>
  <si>
    <t>760154 GSP - РџРёР»СЊРѕРІРёРє РїСЂРёРІС–РґРЅРѕРіРѕ РІР°Р»Р°</t>
  </si>
  <si>
    <t>99.72</t>
  </si>
  <si>
    <t>SKODA Octavia (1Z, 5E), Supperb (3T), inner /26 - 64 - 98/ (24665 Spidan)</t>
  </si>
  <si>
    <t>760155 GSP</t>
  </si>
  <si>
    <t>760155 GSP - РџРёР»СЊРѕРІРёРє РїСЂРёРІС–РґРЅРѕРіРѕ РІР°Р»Р°</t>
  </si>
  <si>
    <t>67.11</t>
  </si>
  <si>
    <t>OPEL Combo, Corsa D  01-, inner /20,5 - 74 - 88/ (24694 Spidan)</t>
  </si>
  <si>
    <t>760161 GSP</t>
  </si>
  <si>
    <t>760161 GSP - РџРёР»СЊРѕРІРёРє РїСЂРёРІС–РґРЅРѕРіРѕ РІР°Р»Р°</t>
  </si>
  <si>
    <t>77.24</t>
  </si>
  <si>
    <t>KIA Cee'd (ED), inner /21,5 - 63 - 93,5/ (24737 Spidan)</t>
  </si>
  <si>
    <t>760162 GSP</t>
  </si>
  <si>
    <t>760162 GSP - РџРёР»СЊРѕРІРёРє РїСЂРёРІС–РґРЅРѕРіРѕ РІР°Р»Р°</t>
  </si>
  <si>
    <t>74.66</t>
  </si>
  <si>
    <t>KIA Cee'd (ED), inner /25,5 - 73,5 - 94/ (24739 Spidan)</t>
  </si>
  <si>
    <t>760163 GSP</t>
  </si>
  <si>
    <t>760163 GSP - РџРёР»СЊРѕРІРёРє РїСЂРёРІС–РґРЅРѕРіРѕ РІР°Р»Р°</t>
  </si>
  <si>
    <t>72.60</t>
  </si>
  <si>
    <t>AUDI A4, A5, A6, A7, A8, Q5  98-, inner /23,5 - 74,5 - 101/ (24789 Spidan)</t>
  </si>
  <si>
    <t>760164 GSP</t>
  </si>
  <si>
    <t>760164 GSP - РџРёР»СЊРѕРІРёРє РїСЂРёРІС–РґРЅРѕРіРѕ РІР°Р»Р°</t>
  </si>
  <si>
    <t>77.75</t>
  </si>
  <si>
    <t>AUDI A4, A5, Q5  08-, inner /24,5 - 69 - 110/ (24790 Spidan)</t>
  </si>
  <si>
    <t>760166 GSP</t>
  </si>
  <si>
    <t>760166 GSP - РџРёР»СЊРѕРІРёРє РїСЂРёРІС–РґРЅРѕРіРѕ РІР°Р»Р°</t>
  </si>
  <si>
    <t>AUDI A4, A6, A8  98-, inner /24,5 - 69 - 110/ (24862 Spidan)</t>
  </si>
  <si>
    <t>760167 GSP</t>
  </si>
  <si>
    <t>760167 GSP - РџРёР»СЊРѕРІРёРє РїСЂРёРІС–РґРЅРѕРіРѕ РІР°Р»Р°</t>
  </si>
  <si>
    <t>95.09</t>
  </si>
  <si>
    <t>AUDI A4  01-, inner /25 - 56,5 - 106/ (24864 Spidan)</t>
  </si>
  <si>
    <t>760169 GSP</t>
  </si>
  <si>
    <t>760169 GSP - РџРёР»СЊРѕРІРёРє РїСЂРёРІС–РґРЅРѕРіРѕ РІР°Р»Р°</t>
  </si>
  <si>
    <t>76.89</t>
  </si>
  <si>
    <t>OPEL Astra J, Insignia, inner /26,5 - 88,5 - 108/ (25092 Spidan)</t>
  </si>
  <si>
    <t>760171 GSP</t>
  </si>
  <si>
    <t>760171 GSP - РџРёР»СЊРѕРІРёРє РїСЂРёРІС–РґРЅРѕРіРѕ РІР°Р»Р°</t>
  </si>
  <si>
    <t>NISSAN Qashqai (J10) 1.5DCi, inner /24 - 81,5 - 94,5/ (25149 Spidan)</t>
  </si>
  <si>
    <t>760173 GSP</t>
  </si>
  <si>
    <t>760173 GSP - РџРёР»СЊРѕРІРёРє РїСЂРёРІС–РґРЅРѕРіРѕ РІР°Р»Р°</t>
  </si>
  <si>
    <t>RENAULT Clio, Kangoo, Megane  97-, inner /23,5 - 70 - 110/ (25153 Spidan)</t>
  </si>
  <si>
    <t>760177 GSP</t>
  </si>
  <si>
    <t>760177 GSP - РџРёР»СЊРѕРІРёРє РїСЂРёРІС–РґРЅРѕРіРѕ РІР°Р»Р°</t>
  </si>
  <si>
    <t>64.02</t>
  </si>
  <si>
    <t>CITROEN Berlingo (MF), C3  98-, inner /20 - 69,5 - 86,5/ (25271 Spidan)</t>
  </si>
  <si>
    <t>760179 GSP</t>
  </si>
  <si>
    <t>760179 GSP - РџРёР»СЊРѕРІРёРє РїСЂРёРІС–РґРЅРѕРіРѕ РІР°Р»Р°</t>
  </si>
  <si>
    <t>RENAULT Clio, Laguna, Megane, Scenic  01-, inner /24,5 - 76 - 100/ (25385 Spidan)</t>
  </si>
  <si>
    <t>760185 GSP</t>
  </si>
  <si>
    <t>760185 GSP - РџРёР»СЊРѕРІРёРє РїСЂРёРІС–РґРЅРѕРіРѕ РІР°Р»Р°</t>
  </si>
  <si>
    <t>PEUGEOT Expert  97-, inner /21,7 - 77 - 100/ (25548 Spidan)</t>
  </si>
  <si>
    <t>760186 GSP</t>
  </si>
  <si>
    <t>760186 GSP - РџРёР»СЊРѕРІРёРє РїСЂРёРІС–РґРЅРѕРіРѕ РІР°Р»Р°</t>
  </si>
  <si>
    <t>73.81</t>
  </si>
  <si>
    <t>FIAT Doblo  01-, inner /22 - 70 - 88/ (25551 Spidan)</t>
  </si>
  <si>
    <t>780025 GSP</t>
  </si>
  <si>
    <t>780025 GSP - РџРёР»СЊРѕРІРёРє РїСЂРёРІС–РґРЅРѕРіРѕ РІР°Р»Р°</t>
  </si>
  <si>
    <t>SKODA Octavia (1U), outer /21,3 - 82,5 - 96,5/ (26214 Spidan)</t>
  </si>
  <si>
    <t>780028 GSP</t>
  </si>
  <si>
    <t>780028 GSP - РџРёР»СЊРѕРІРёРє РїСЂРёРІС–РґРЅРѕРіРѕ РІР°Р»Р°</t>
  </si>
  <si>
    <t>99.38</t>
  </si>
  <si>
    <t>AUDI A4, A6  00-08, outer /24,5 - 83 - 108/ (23694 Spidan)</t>
  </si>
  <si>
    <t>780029 GSP</t>
  </si>
  <si>
    <t>780029 GSP - РџРёР»СЊРѕРІРёРє РїСЂРёРІС–РґРЅРѕРіРѕ РІР°Р»Р°</t>
  </si>
  <si>
    <t>91.31</t>
  </si>
  <si>
    <t>OPEL Astra H, Vectra C, outer /23,5 - 80 - 107/ (23988 Spidan)</t>
  </si>
  <si>
    <t>780091 GSP</t>
  </si>
  <si>
    <t>780091 GSP - РџРёР»СЊРѕРІРёРє РїСЂРёРІС–РґРЅРѕРіРѕ РІР°Р»Р°</t>
  </si>
  <si>
    <t>70.89</t>
  </si>
  <si>
    <t>VW Jetta III, Golf VI, Tiguan (5N), outer /20 - 67 - 101/ (22993 Spidan)</t>
  </si>
  <si>
    <t>780102 GSP</t>
  </si>
  <si>
    <t>780102 GSP - РџРёР»СЊРѕРІРёРє РїСЂРёРІС–РґРЅРѕРіРѕ РІР°Р»Р°</t>
  </si>
  <si>
    <t>72.09</t>
  </si>
  <si>
    <t>FORD Transit  00-06, outer /23,6 - 83 - 112/ (23035 Spidan)</t>
  </si>
  <si>
    <t>780106 GSP</t>
  </si>
  <si>
    <t>780106 GSP - РџРёР»СЊРѕРІРёРє РїСЂРёРІС–РґРЅРѕРіРѕ РІР°Р»Р°</t>
  </si>
  <si>
    <t>79.30</t>
  </si>
  <si>
    <t>OPEL Meriva  03-10, outer /21 - 76 - 103/ (23045 Spidan)</t>
  </si>
  <si>
    <t>780110 GSP</t>
  </si>
  <si>
    <t>780110 GSP - РџРёР»СЊРѕРІРёРє РїСЂРёРІС–РґРЅРѕРіРѕ РІР°Р»Р°</t>
  </si>
  <si>
    <t>96.29</t>
  </si>
  <si>
    <t>FIAT Ducato  02-, outer /33 - 106 - 159/ (22992 Spidan)</t>
  </si>
  <si>
    <t>780112 GSP</t>
  </si>
  <si>
    <t>780112 GSP - РџРёР»СЊРѕРІРёРє РїСЂРёРІС–РґРЅРѕРіРѕ РІР°Р»Р°</t>
  </si>
  <si>
    <t>95.95</t>
  </si>
  <si>
    <t>VAG  03-, outer /25,6 - 98 - 112,2/ (23980 Spidan)</t>
  </si>
  <si>
    <t>780113 GSP</t>
  </si>
  <si>
    <t>780113 GSP - РџРёР»СЊРѕРІРёРє РїСЂРёРІС–РґРЅРѕРіРѕ РІР°Р»Р°</t>
  </si>
  <si>
    <t>81.87</t>
  </si>
  <si>
    <t>MAZDA 6 (GG), outer /21 - 76 - 103/ (23142 Spidan)</t>
  </si>
  <si>
    <t>780116 GSP</t>
  </si>
  <si>
    <t>780116 GSP - РџРёР»СЊРѕРІРёРє РїСЂРёРІС–РґРЅРѕРіРѕ РІР°Р»Р°</t>
  </si>
  <si>
    <t>114.14</t>
  </si>
  <si>
    <t>SKODA Octavia (1Z, 5E), Supperb (3T), VW Golf V/VI, Jetta III, outer /25 - 83,5 - 100/ (23690 Spidan)</t>
  </si>
  <si>
    <t>780118 GSP</t>
  </si>
  <si>
    <t>780118 GSP - РџРёР»СЊРѕРІРёРє РїСЂРёРІС–РґРЅРѕРіРѕ РІР°Р»Р°</t>
  </si>
  <si>
    <t>100.58</t>
  </si>
  <si>
    <t>RENAULT 11, 19, Megane  -93, outer /29 - 78 - 118/ (23007 Spidan)</t>
  </si>
  <si>
    <t>780122 GSP</t>
  </si>
  <si>
    <t>780122 GSP - РџРёР»СЊРѕРІРёРє РїСЂРёРІС–РґРЅРѕРіРѕ РІР°Р»Р°</t>
  </si>
  <si>
    <t>DAEWOO Matiz (KLYA)  98-, outer /19 - 68 - 86/ (25512 Spidan)</t>
  </si>
  <si>
    <t>780125 GSP</t>
  </si>
  <si>
    <t>780125 GSP - РџРёР»СЊРѕРІРёРє РїСЂРёРІС–РґРЅРѕРіРѕ РІР°Р»Р°</t>
  </si>
  <si>
    <t>69.17</t>
  </si>
  <si>
    <t>CITROEN Berlingo (MF)  97-, outer /25 - 76 - 115/ (23128 Spidan)</t>
  </si>
  <si>
    <t>780127 GSP</t>
  </si>
  <si>
    <t>780127 GSP - РџРёР»СЊРѕРІРёРє РїСЂРёРІС–РґРЅРѕРіРѕ РІР°Р»Р°</t>
  </si>
  <si>
    <t>CITROEN Berlingo (MF)  97-, outer /33 - 84 - 99/ (21136 Spidan)</t>
  </si>
  <si>
    <t>780140 GSP</t>
  </si>
  <si>
    <t>780140 GSP - РџРёР»СЊРѕРІРёРє РїСЂРёРІС–РґРЅРѕРіРѕ РІР°Р»Р°</t>
  </si>
  <si>
    <t>OPEL Combo  01-, outer /24,5 - 78 - 127,5/ (23993 Spidan)</t>
  </si>
  <si>
    <t>780141 GSP</t>
  </si>
  <si>
    <t>780141 GSP - РџРёР»СЊРѕРІРёРє РїСЂРёРІС–РґРЅРѕРіРѕ РІР°Р»Р°</t>
  </si>
  <si>
    <t>81.01</t>
  </si>
  <si>
    <t>CITROEN C2, C3, outer /20 - 71 - 100/ (22269 Spidan)</t>
  </si>
  <si>
    <t>780143 GSP</t>
  </si>
  <si>
    <t>780143 GSP - РџРёР»СЊРѕРІРёРє РїСЂРёРІС–РґРЅРѕРіРѕ РІР°Р»Р°</t>
  </si>
  <si>
    <t>82.39</t>
  </si>
  <si>
    <t>OPEL Astra G, Vectra B/C, outer /25 - 83,5 - 100/ (22291 Spidan)</t>
  </si>
  <si>
    <t>780146 GSP</t>
  </si>
  <si>
    <t>780146 GSP - РџРёР»СЊРѕРІРёРє РїСЂРёРІС–РґРЅРѕРіРѕ РІР°Р»Р°</t>
  </si>
  <si>
    <t>98.52</t>
  </si>
  <si>
    <t>CITROEN C2, C3, C-Elysee, outer /29 - 70 - 100/ (22122 Spidan)</t>
  </si>
  <si>
    <t>780172 GSP</t>
  </si>
  <si>
    <t>780172 GSP - РџРёР»СЊРѕРІРёРє РїСЂРёРІС–РґРЅРѕРіРѕ РІР°Р»Р°</t>
  </si>
  <si>
    <t>DAEWOO Espero (KLEJ), Nexia (KLETN), OPEL Vectra B, outer /21,7 - 77 - 100/ (23103 Spidan)</t>
  </si>
  <si>
    <t>780175 GSP</t>
  </si>
  <si>
    <t>780175 GSP - РџРёР»СЊРѕРІРёРє РїСЂРёРІС–РґРЅРѕРіРѕ РІР°Р»Р°</t>
  </si>
  <si>
    <t>SKODA Octavia (1U), outer /19 - 76,5 - 79/ (20336 Spidan)</t>
  </si>
  <si>
    <t>780179 GSP</t>
  </si>
  <si>
    <t>780179 GSP - РџРёР»СЊРѕРІРёРє РїСЂРёРІС–РґРЅРѕРіРѕ РІР°Р»Р°</t>
  </si>
  <si>
    <t>85.31</t>
  </si>
  <si>
    <t>CITROEN Berlingo, C2, C3, C4, outer /31 - 75 - 107/ (21121 Spidan)</t>
  </si>
  <si>
    <t>780181 GSP</t>
  </si>
  <si>
    <t>780181 GSP - РџРёР»СЊРѕРІРёРє РїСЂРёРІС–РґРЅРѕРіРѕ РІР°Р»Р°</t>
  </si>
  <si>
    <t>89.94</t>
  </si>
  <si>
    <t>VW Passat B3/B4, outer /21,3 - 82,5 - 96,5/ (22554 Spidan)</t>
  </si>
  <si>
    <t>780186 GSP</t>
  </si>
  <si>
    <t>780186 GSP - РџРёР»СЊРѕРІРёРє РїСЂРёРІС–РґРЅРѕРіРѕ РІР°Р»Р°</t>
  </si>
  <si>
    <t>109.85</t>
  </si>
  <si>
    <t>AUDI A4, A6  94-05, outer /23 - 84 - 90/ (26165 Spidan)</t>
  </si>
  <si>
    <t>780211 GSP</t>
  </si>
  <si>
    <t>780211 GSP - РџРёР»СЊРѕРІРёРє РїСЂРёРІС–РґРЅРѕРіРѕ РІР°Р»Р°</t>
  </si>
  <si>
    <t>PEUGEOT 205, 305, 306, 405, Partner, outer /20 - 80 - 109/ (23065 Spidan)</t>
  </si>
  <si>
    <t>780212 GSP</t>
  </si>
  <si>
    <t>780212 GSP - РџРёР»СЊРѕРІРёРє РїСЂРёРІС–РґРЅРѕРіРѕ РІР°Р»Р°</t>
  </si>
  <si>
    <t>86.16</t>
  </si>
  <si>
    <t>VW  -94, outer /22,5 - 79 - 100/ (26252 Spidan)</t>
  </si>
  <si>
    <t>780221 GSP</t>
  </si>
  <si>
    <t>780221 GSP - РџРёР»СЊРѕРІРёРє РїСЂРёРІС–РґРЅРѕРіРѕ РІР°Р»Р°</t>
  </si>
  <si>
    <t>112.42</t>
  </si>
  <si>
    <t>AUDI 80/A4, 100/A6, VW Passat  -05, outer /24 - 88,5 - 88/ (26094 Spidan)</t>
  </si>
  <si>
    <t>780222 GSP</t>
  </si>
  <si>
    <t>780222 GSP - РџРёР»СЊРѕРІРёРє РїСЂРёРІС–РґРЅРѕРіРѕ РІР°Р»Р°</t>
  </si>
  <si>
    <t>FIAT Ducato, PEUGEOT Boxer  94-02, outer /25 - 93 - 147/ (26167 Spidan)</t>
  </si>
  <si>
    <t>780229 GSP</t>
  </si>
  <si>
    <t>780229 GSP - РџРёР»СЊРѕРІРёРє РїСЂРёРІС–РґРЅРѕРіРѕ РІР°Р»Р°</t>
  </si>
  <si>
    <t>FIAT Ducato, PEUGEOT Boxer  94-02, outer /33,5 - 111 - 98/ (20635 Spidan)</t>
  </si>
  <si>
    <t>780230 GSP</t>
  </si>
  <si>
    <t>780230 GSP - РџРёР»СЊРѕРІРёРє РїСЂРёРІС–РґРЅРѕРіРѕ РІР°Р»Р°</t>
  </si>
  <si>
    <t>MB Vito (W638), outer /24 - 88,5 - 88/ (20984 Spidan)</t>
  </si>
  <si>
    <t>780240 GSP</t>
  </si>
  <si>
    <t>780240 GSP - РџРёР»СЊРѕРІРёРє РїСЂРёРІС–РґРЅРѕРіРѕ РІР°Р»Р°</t>
  </si>
  <si>
    <t>119.29</t>
  </si>
  <si>
    <t>VW Sharan  96-10, outer /27 - 96 - 122/ (21575 Spidan)</t>
  </si>
  <si>
    <t>780253 GSP</t>
  </si>
  <si>
    <t>780253 GSP - РџРёР»СЊРѕРІРёРє РїСЂРёРІС–РґРЅРѕРіРѕ РІР°Р»Р°</t>
  </si>
  <si>
    <t>PEUGEOT Expert  96-, outer /21,3 - 82,5 - 96,5/ (20990 Spidan)</t>
  </si>
  <si>
    <t>780259 GSP</t>
  </si>
  <si>
    <t>780259 GSP - РџРёР»СЊРѕРІРёРє РїСЂРёРІС–РґРЅРѕРіРѕ РІР°Р»Р°</t>
  </si>
  <si>
    <t>PEUGEOT Expert  96-, outer /26 - 94 - 89/ (21168 Spidan)</t>
  </si>
  <si>
    <t>780261 GSP</t>
  </si>
  <si>
    <t>780261 GSP - РџРёР»СЊРѕРІРёРє РїСЂРёРІС–РґРЅРѕРіРѕ РІР°Р»Р°</t>
  </si>
  <si>
    <t>OPEL Astra G, Vectra B, outer /21,7 - 77 - 100/ (21196 Spidan)</t>
  </si>
  <si>
    <t>780263 GSP</t>
  </si>
  <si>
    <t>780263 GSP - РџРёР»СЊРѕРІРёРє РїСЂРёРІС–РґРЅРѕРіРѕ РІР°Р»Р°</t>
  </si>
  <si>
    <t>89.08</t>
  </si>
  <si>
    <t>FORD Focus  98-04, outer /31 - 75 - 107/ (20321 Spidan)</t>
  </si>
  <si>
    <t>780267 GSP</t>
  </si>
  <si>
    <t>780267 GSP - РџРёР»СЊРѕРІРёРє РїСЂРёРІС–РґРЅРѕРіРѕ РІР°Р»Р°</t>
  </si>
  <si>
    <t>MITSUBISHI Carisma (DA), VOLVO S40, V40  99-06, outer /23,6 - 83 - 112/ (20584 Spidan)</t>
  </si>
  <si>
    <t>780274 GSP</t>
  </si>
  <si>
    <t>780274 GSP - РџРёР»СЊРѕРІРёРє РїСЂРёРІС–РґРЅРѕРіРѕ РІР°Р»Р°</t>
  </si>
  <si>
    <t>98.01</t>
  </si>
  <si>
    <t>SKODA Fabia (6Y), outer /21,3 - 82,5 - 96,5/ (21588 Spidan)</t>
  </si>
  <si>
    <t>780275 GSP</t>
  </si>
  <si>
    <t>780275 GSP - РџРёР»СЊРѕРІРёРє РїСЂРёРІС–РґРЅРѕРіРѕ РІР°Р»Р°</t>
  </si>
  <si>
    <t>92.51</t>
  </si>
  <si>
    <t>SKODA Fabia (6Y), outer /23 - 86 - 109/ (21589 Spidan)</t>
  </si>
  <si>
    <t>780276 GSP</t>
  </si>
  <si>
    <t>780276 GSP - РџРёР»СЊРѕРІРёРє РїСЂРёРІС–РґРЅРѕРіРѕ РІР°Р»Р°</t>
  </si>
  <si>
    <t>FORD Mondeo  00-07, outer /31 - 75 - 107/ (21366 Spidan)</t>
  </si>
  <si>
    <t>780280 GSP</t>
  </si>
  <si>
    <t>780280 GSP - РџРёР»СЊРѕРІРёРє РїСЂРёРІС–РґРЅРѕРіРѕ РІР°Р»Р°</t>
  </si>
  <si>
    <t>MB A-Class (W168), outer /31 - 75 - 107/ (22263 Spidan)</t>
  </si>
  <si>
    <t>780281 GSP</t>
  </si>
  <si>
    <t>780281 GSP - РџРёР»СЊРѕРІРёРє РїСЂРёРІС–РґРЅРѕРіРѕ РІР°Р»Р°</t>
  </si>
  <si>
    <t>MB A-Class (W168), outer /21 - 76 - 103/ (22265 Spidan)</t>
  </si>
  <si>
    <t>780283 GSP</t>
  </si>
  <si>
    <t>780283 GSP - РџРёР»СЊРѕРІРёРє РїСЂРёРІС–РґРЅРѕРіРѕ РІР°Р»Р°</t>
  </si>
  <si>
    <t>OPEL Astfa G, Corsa C, outer /20 - 71 - 100/ (21807 Spidan)</t>
  </si>
  <si>
    <t>780287 GSP</t>
  </si>
  <si>
    <t>780287 GSP - РџРёР»СЊРѕРІРёРє РїСЂРёРІС–РґРЅРѕРіРѕ РІР°Р»Р°</t>
  </si>
  <si>
    <t>80.67</t>
  </si>
  <si>
    <t>CHEVROLET Aveo (T250), Captiva (C100, C140), Lacetti (J200), outer /20 - 80 - 109/ (21866 Spidan)</t>
  </si>
  <si>
    <t>780290 GSP</t>
  </si>
  <si>
    <t>780290 GSP - РџРёР»СЊРѕРІРёРє РїСЂРёРІС–РґРЅРѕРіРѕ РІР°Р»Р°</t>
  </si>
  <si>
    <t>FIAT Doblo  01-, outer /23,5 - 80 - 107/ (22209 Spidan)</t>
  </si>
  <si>
    <t>780306 GSP</t>
  </si>
  <si>
    <t>780306 GSP - РџРёР»СЊРѕРІРёРє РїСЂРёРІС–РґРЅРѕРіРѕ РІР°Р»Р°</t>
  </si>
  <si>
    <t>75.52</t>
  </si>
  <si>
    <t>OPEL Astfa F, Vectra A, outer /21,3 - 82,5 - 96,5/ (26039 Spidan)</t>
  </si>
  <si>
    <t>780340 GSP</t>
  </si>
  <si>
    <t>780340 GSP - РџРёР»СЊРѕРІРёРє РїСЂРёРІС–РґРЅРѕРіРѕ РІР°Р»Р°</t>
  </si>
  <si>
    <t>72.95</t>
  </si>
  <si>
    <t>BMW 5 (E39), 7 (E38), X5 (E53), outer /25 - 56 - 68/ (26240 Spidan)</t>
  </si>
  <si>
    <t>780341 GSP</t>
  </si>
  <si>
    <t>780341 GSP - РџРёР»СЊРѕРІРёРє РїСЂРёРІС–РґРЅРѕРіРѕ РІР°Р»Р°</t>
  </si>
  <si>
    <t>68.83</t>
  </si>
  <si>
    <t>PEUGEOT 306, 405, 406, Expert, outer /26 - 82 - 108/ (26216 Spidan)</t>
  </si>
  <si>
    <t>780342 GSP</t>
  </si>
  <si>
    <t>780342 GSP - РџРёР»СЊРѕРІРёРє РїСЂРёРІС–РґРЅРѕРіРѕ РІР°Р»Р°</t>
  </si>
  <si>
    <t>110.36</t>
  </si>
  <si>
    <t>RENAULT Kangoo, Logan, outer /34,5 - 79,5 - 144,5/ (23005 Spidan)</t>
  </si>
  <si>
    <t>780346 GSP</t>
  </si>
  <si>
    <t>780346 GSP - РџРёР»СЊРѕРІРёРє РїСЂРёРІС–РґРЅРѕРіРѕ РІР°Р»Р°</t>
  </si>
  <si>
    <t>FIAT Bravo, Doblo  07-, outer /23 - 84 - 90/ (21142 Spidan)</t>
  </si>
  <si>
    <t>780348 GSP</t>
  </si>
  <si>
    <t>780348 GSP - РџРёР»СЊРѕРІРёРє РїСЂРёРІС–РґРЅРѕРіРѕ РІР°Р»Р°</t>
  </si>
  <si>
    <t>82.73</t>
  </si>
  <si>
    <t>FORD Focus  98-04, outer /22,5 - 78,5 - 120/ (21185 Spidan)</t>
  </si>
  <si>
    <t>780361 GSP</t>
  </si>
  <si>
    <t>780361 GSP - РџРёР»СЊРѕРІРёРє РїСЂРёРІС–РґРЅРѕРіРѕ РІР°Р»Р°</t>
  </si>
  <si>
    <t>FIAT Doblo  01-, outer /20 - 75 - 80,5/ (22204 Spidan)</t>
  </si>
  <si>
    <t>780362 GSP</t>
  </si>
  <si>
    <t>780362 GSP - РџРёР»СЊРѕРІРёРє РїСЂРёРІС–РґРЅРѕРіРѕ РІР°Р»Р°</t>
  </si>
  <si>
    <t>RENAULT Trafic  01-, outer /26,5 - 87 - 126,5/ (22275 Spidan)</t>
  </si>
  <si>
    <t>780364 GSP</t>
  </si>
  <si>
    <t>780364 GSP - РџРёР»СЊРѕРІРёРє РїСЂРёРІС–РґРЅРѕРіРѕ РІР°Р»Р°</t>
  </si>
  <si>
    <t>FORD Fiesta, Fusion  01-08, outer /29 - 70 - 100/ (22293 Spidan)</t>
  </si>
  <si>
    <t>780365 GSP</t>
  </si>
  <si>
    <t>780365 GSP - РџРёР»СЊРѕРІРёРє РїСЂРёРІС–РґРЅРѕРіРѕ РІР°Р»Р°</t>
  </si>
  <si>
    <t>83.25</t>
  </si>
  <si>
    <t>BMW 3 (E46), X5 (E53), outer /24 - 88,5 - 88/ (21499 Spidan)</t>
  </si>
  <si>
    <t>780369 GSP</t>
  </si>
  <si>
    <t>780369 GSP - РџРёР»СЊРѕРІРёРє РїСЂРёРІС–РґРЅРѕРіРѕ РІР°Р»Р°</t>
  </si>
  <si>
    <t>OPEL Vivaro  01-, outer /23,5 - 87 - 123/ (23047 Spidan)</t>
  </si>
  <si>
    <t>780371 GSP</t>
  </si>
  <si>
    <t>780371 GSP - РџРёР»СЊРѕРІРёРє РїСЂРёРІС–РґРЅРѕРіРѕ РІР°Р»Р°</t>
  </si>
  <si>
    <t>BMW 3 (E90), X3 (E83), outer /30,6 - 51 - 77/ (24138 Spidan)</t>
  </si>
  <si>
    <t>780374 GSP</t>
  </si>
  <si>
    <t>780374 GSP - РџРёР»СЊРѕРІРёРє РїСЂРёРІС–РґРЅРѕРіРѕ РІР°Р»Р°</t>
  </si>
  <si>
    <t>VW Amarok, Touareg  03-, outer /25 - 94 - 110/ (24231 Spidan)</t>
  </si>
  <si>
    <t>780375 GSP</t>
  </si>
  <si>
    <t>780375 GSP - РџРёР»СЊРѕРІРёРє РїСЂРёРІС–РґРЅРѕРіРѕ РІР°Р»Р°</t>
  </si>
  <si>
    <t>103.50</t>
  </si>
  <si>
    <t>AUDI Q7 (4L), VW Touareg (7LA, 7L6, 7L7), outer /27 - 107,7 - 120/ (24232 Spidan)</t>
  </si>
  <si>
    <t>780377 GSP</t>
  </si>
  <si>
    <t>780377 GSP - РџРёР»СЊРѕРІРёРє РїСЂРёРІС–РґРЅРѕРіРѕ РІР°Р»Р°</t>
  </si>
  <si>
    <t>107.45</t>
  </si>
  <si>
    <t>FIAT Ducato, PEUGEOT Boxer  06-, outer /30 - 101 - 123/ (24283 Spidan)</t>
  </si>
  <si>
    <t>780378 GSP</t>
  </si>
  <si>
    <t>780378 GSP - РџРёР»СЊРѕРІРёРє РїСЂРёРІС–РґРЅРѕРіРѕ РІР°Р»Р°</t>
  </si>
  <si>
    <t>93.72</t>
  </si>
  <si>
    <t>FIAT Ducato, PEUGEOT Boxer  06-, outer /28,5 - 95 - 145/ (24286 Spidan)</t>
  </si>
  <si>
    <t>780379 GSP</t>
  </si>
  <si>
    <t>780379 GSP - РџРёР»СЊРѕРІРёРє РїСЂРёРІС–РґРЅРѕРіРѕ РІР°Р»Р°</t>
  </si>
  <si>
    <t>84.10</t>
  </si>
  <si>
    <t>FIAT Punto, Grande Punto, OPEL Corsa D, outer /22,5 - 78,5 - 120/ (24296 Spidan)</t>
  </si>
  <si>
    <t>780380 GSP</t>
  </si>
  <si>
    <t>780380 GSP - РџРёР»СЊРѕРІРёРє РїСЂРёРІС–РґРЅРѕРіРѕ РІР°Р»Р°</t>
  </si>
  <si>
    <t>FIAT Punto, Grande Punto, OPEL Corsa D, outer /20 - 71 - 100/ (24298 Spidan)</t>
  </si>
  <si>
    <t>780385 GSP</t>
  </si>
  <si>
    <t>780385 GSP - РџРёР»СЊРѕРІРёРє РїСЂРёРІС–РґРЅРѕРіРѕ РІР°Р»Р°</t>
  </si>
  <si>
    <t>PEUGEOT 308, Expert, outer /24 - 78 - 114/ (24540 Spidan)</t>
  </si>
  <si>
    <t>780387 GSP</t>
  </si>
  <si>
    <t>780387 GSP - РџРёР»СЊРѕРІРёРє РїСЂРёРІС–РґРЅРѕРіРѕ РІР°Р»Р°</t>
  </si>
  <si>
    <t>74.32</t>
  </si>
  <si>
    <t>PEUGEOT Expert  10-, outer /26 - 95 - 112/ (24546 Spidan)</t>
  </si>
  <si>
    <t>780388 GSP</t>
  </si>
  <si>
    <t>780388 GSP - РџРёР»СЊРѕРІРёРє РїСЂРёРІС–РґРЅРѕРіРѕ РІР°Р»Р°</t>
  </si>
  <si>
    <t>NISSAN Almera (N16), outer /21 - 76 - 103/ (24555 Spidan)</t>
  </si>
  <si>
    <t>780389 GSP</t>
  </si>
  <si>
    <t>780389 GSP - РџРёР»СЊРѕРІРёРє РїСЂРёРІС–РґРЅРѕРіРѕ РІР°Р»Р°</t>
  </si>
  <si>
    <t>MB A-Class (W169), B-Class (W245), outer /31 - 75 - 107/ (24562 Spidan)</t>
  </si>
  <si>
    <t>780390 GSP</t>
  </si>
  <si>
    <t>780390 GSP - РџРёР»СЊРѕРІРёРє РїСЂРёРІС–РґРЅРѕРіРѕ РІР°Р»Р°</t>
  </si>
  <si>
    <t>MB A-Class (W169), B-Class (W245), outer /24,5 - 83 - 108/ (24563 Spidan)</t>
  </si>
  <si>
    <t>780392 GSP</t>
  </si>
  <si>
    <t>780392 GSP - РџРёР»СЊРѕРІРёРє РїСЂРёРІС–РґРЅРѕРіРѕ РІР°Р»Р°</t>
  </si>
  <si>
    <t>RENAULT Logan, Kangoo, Sandero, outer /21,5 - 75 - 102/ (24606 Spidan)</t>
  </si>
  <si>
    <t>780393 GSP</t>
  </si>
  <si>
    <t>780393 GSP - РџРёР»СЊРѕРІРёРє РїСЂРёРІС–РґРЅРѕРіРѕ РІР°Р»Р°</t>
  </si>
  <si>
    <t>NISSAN Qashqai (J10), X-Trail (T31), outer /25 - 94 - 110/ (24615 Spidan)</t>
  </si>
  <si>
    <t>780394 GSP</t>
  </si>
  <si>
    <t>780394 GSP - РџРёР»СЊРѕРІРёРє РїСЂРёРІС–РґРЅРѕРіРѕ РІР°Р»Р°</t>
  </si>
  <si>
    <t>NISSAN Qashqai (J10), outer /22,5 - 78,5 - 120/ (24616 Spidan)</t>
  </si>
  <si>
    <t>780398 GSP</t>
  </si>
  <si>
    <t>780398 GSP - РџРёР»СЊРѕРІРёРє РїСЂРёРІС–РґРЅРѕРіРѕ РІР°Р»Р°</t>
  </si>
  <si>
    <t>RENAULT Kangoo  06-, outer /22 - 75 - 135/ (24666 Spidan)</t>
  </si>
  <si>
    <t>780399 GSP</t>
  </si>
  <si>
    <t>780399 GSP - РџРёР»СЊРѕРІРёРє РїСЂРёРІС–РґРЅРѕРіРѕ РІР°Р»Р°</t>
  </si>
  <si>
    <t>106.07</t>
  </si>
  <si>
    <t>AUDI A4, A5, Q5  08-, outer /25 - 94 - 110/ (24684 Spidan)</t>
  </si>
  <si>
    <t>780400 GSP</t>
  </si>
  <si>
    <t>780400 GSP - РџРёР»СЊРѕРІРёРє РїСЂРёРІС–РґРЅРѕРіРѕ РІР°Р»Р°</t>
  </si>
  <si>
    <t>AUDI A4, A5, Q5  08-, outer /24,5 - 83 - 108/ (24686 Spidan)</t>
  </si>
  <si>
    <t>780401 GSP</t>
  </si>
  <si>
    <t>780401 GSP - РџРёР»СЊРѕРІРёРє РїСЂРёРІС–РґРЅРѕРіРѕ РІР°Р»Р°</t>
  </si>
  <si>
    <t>102.30</t>
  </si>
  <si>
    <t>AUDI A4, A5, A6, A8  07-, outer /28,5 - 95 - 145/ (24692 Spidan)</t>
  </si>
  <si>
    <t>780402 GSP</t>
  </si>
  <si>
    <t>780402 GSP - РџРёР»СЊРѕРІРёРє РїСЂРёРІС–РґРЅРѕРіРѕ РІР°Р»Р°</t>
  </si>
  <si>
    <t>KIA Cee'd (ED), outer /21,5 - 75 - 102/ (24732 Spidan)</t>
  </si>
  <si>
    <t>780403 GSP</t>
  </si>
  <si>
    <t>780403 GSP - РџРёР»СЊРѕРІРёРє РїСЂРёРІС–РґРЅРѕРіРѕ РІР°Р»Р°</t>
  </si>
  <si>
    <t>KIA Cee'd (ED), outer /24,5 - 83 - 108/ (24736 Spidan)</t>
  </si>
  <si>
    <t>780405 GSP</t>
  </si>
  <si>
    <t>780405 GSP - РџРёР»СЊРѕРІРёРє РїСЂРёРІС–РґРЅРѕРіРѕ РІР°Р»Р°</t>
  </si>
  <si>
    <t>AUDI A4  01-06, outer /25 - 94 - 110/ (24861 Spidan)</t>
  </si>
  <si>
    <t>780411 GSP</t>
  </si>
  <si>
    <t>780411 GSP - РџРёР»СЊРѕРІРёРє РїСЂРёРІС–РґРЅРѕРіРѕ РІР°Р»Р°</t>
  </si>
  <si>
    <t>FORD Focus  04-, outer /31 - 75 - 107/ (24926 Spidan)</t>
  </si>
  <si>
    <t>780412 GSP</t>
  </si>
  <si>
    <t>780412 GSP - РџРёР»СЊРѕРІРёРє РїСЂРёРІС–РґРЅРѕРіРѕ РІР°Р»Р°</t>
  </si>
  <si>
    <t>90.45</t>
  </si>
  <si>
    <t>FORD C-Max, Focus  03-, outer /22,5 - 78,5 - 120/ (24928 Spidan)</t>
  </si>
  <si>
    <t>780414 GSP</t>
  </si>
  <si>
    <t>780414 GSP - РџРёР»СЊРѕРІРёРє РїСЂРёРІС–РґРЅРѕРіРѕ РІР°Р»Р°</t>
  </si>
  <si>
    <t>NISSAN Micra (K12), Note (E11), outer /21 - 76 - 103/ (24993 Spidan)</t>
  </si>
  <si>
    <t>780425 GSP</t>
  </si>
  <si>
    <t>780425 GSP - РџРёР»СЊРѕРІРёРє РїСЂРёРІС–РґРЅРѕРіРѕ РІР°Р»Р°</t>
  </si>
  <si>
    <t>CITROEN C2, C3, outer /21 - 76 - 103/ (25270 Spidan)</t>
  </si>
  <si>
    <t>780429 GSP</t>
  </si>
  <si>
    <t>780429 GSP - РџРёР»СЊРѕРІРёРє РїСЂРёРІС–РґРЅРѕРіРѕ РІР°Р»Р°</t>
  </si>
  <si>
    <t>RENAULT Clio, Laguna  07-, outer /22,5 - 78,5 - 120/ (25311 Spidan)</t>
  </si>
  <si>
    <t>780430 GSP</t>
  </si>
  <si>
    <t>780430 GSP - РџРёР»СЊРѕРІРёРє РїСЂРёРІС–РґРЅРѕРіРѕ РІР°Р»Р°</t>
  </si>
  <si>
    <t>BMW X3 (E83), outer /22,5 - 78,5 - 120/ (25314 Spidan)</t>
  </si>
  <si>
    <t>780431 GSP</t>
  </si>
  <si>
    <t>780431 GSP - РџРёР»СЊРѕРІРёРє РїСЂРёРІС–РґРЅРѕРіРѕ РІР°Р»Р°</t>
  </si>
  <si>
    <t>78.95</t>
  </si>
  <si>
    <t>BMW X5 (E53), outer /25 - 94 - 110/ (25315 Spidan)</t>
  </si>
  <si>
    <t>802018 GSP</t>
  </si>
  <si>
    <t>802018 GSP - РЁР°СЂРЅС–СЂ Р РљРЁ</t>
  </si>
  <si>
    <t>312.21</t>
  </si>
  <si>
    <t>FIAT Doblo  01-, outer (A:22/F:22/DF:22.68/O:51/Z) (22203 Spidan)</t>
  </si>
  <si>
    <t>803004 GSP</t>
  </si>
  <si>
    <t>803004 GSP - РЁР°СЂРЅС–СЂ Р РљРЁ</t>
  </si>
  <si>
    <t>401.29</t>
  </si>
  <si>
    <t>AUDI 100  -89, outer (A:26/F:25) (20271 Spidan)</t>
  </si>
  <si>
    <t>803008 GSP</t>
  </si>
  <si>
    <t>803008 GSP - РЁР°СЂРЅС–СЂ Р РљРЁ</t>
  </si>
  <si>
    <t>333.67</t>
  </si>
  <si>
    <t>AUDI 80  -91, outer (A:33/F:30) (22543 Spidan)</t>
  </si>
  <si>
    <t>803009 GSP</t>
  </si>
  <si>
    <t>803009 GSP - РЁР°СЂРЅС–СЂ Р РљРЁ</t>
  </si>
  <si>
    <t>368.85</t>
  </si>
  <si>
    <t>AUDI 80  -91, outer +ABS (45T 33 30 53 30.5 51.5 I) (22544 Spidan)</t>
  </si>
  <si>
    <t>803012 GSP</t>
  </si>
  <si>
    <t>803012 GSP - РЁР°СЂРЅС–СЂ Р РљРЁ</t>
  </si>
  <si>
    <t>394.77</t>
  </si>
  <si>
    <t>AUDI 80  -94, outer +ABS (45T 33 30 53 31 62 I) (22550 Spidan)</t>
  </si>
  <si>
    <t>803014 GSP</t>
  </si>
  <si>
    <t>803014 GSP - РЁР°СЂРЅС–СЂ Р РљРЁ</t>
  </si>
  <si>
    <t>412.28</t>
  </si>
  <si>
    <t>AUDI 100  82-91, outer +ABS (45T 38 25 59.5 34.5 61 O) (22566 Spidan)</t>
  </si>
  <si>
    <t>803016 GSP</t>
  </si>
  <si>
    <t>803016 GSP - РЁР°СЂРЅС–СЂ Р РљРЁ</t>
  </si>
  <si>
    <t>414.68</t>
  </si>
  <si>
    <t>AUDI 100  91-97, outer +ABS (45T 38 30 59.5 34 61 I) (22541 Spidan)</t>
  </si>
  <si>
    <t>803017 GSP</t>
  </si>
  <si>
    <t>803017 GSP - РЁР°СЂРЅС–СЂ Р РљРЁ</t>
  </si>
  <si>
    <t>464.80</t>
  </si>
  <si>
    <t>AUDI 100  91-97, outer +ABS (45T 38 27 59.5 34.5 68.5 I) (22591 Spidan)</t>
  </si>
  <si>
    <t>803020 GSP</t>
  </si>
  <si>
    <t>803020 GSP - РЁР°СЂРЅС–СЂ Р РљРЁ</t>
  </si>
  <si>
    <t>399.06</t>
  </si>
  <si>
    <t>VAG  97-05, outer +ABS (45W 38 30 59.5 34 59.5 I) (22747 Spidan)</t>
  </si>
  <si>
    <t>803021 GSP</t>
  </si>
  <si>
    <t>803021 GSP - РЁР°СЂРЅС–СЂ Р РљРЁ</t>
  </si>
  <si>
    <t>477.85</t>
  </si>
  <si>
    <t>VAG 1.9TDI  98-, outer +ABS (45W 33 27 53 30 63 I) (21091 Spidan)</t>
  </si>
  <si>
    <t>803024 GSP</t>
  </si>
  <si>
    <t>803024 GSP - РЁР°СЂРЅС–СЂ Р РљРЁ</t>
  </si>
  <si>
    <t>SKODA Fabia  07-, outer (A:36/F:30/O:52/X/Г Joint:90) (21587 Spidan)</t>
  </si>
  <si>
    <t>803026 GSP</t>
  </si>
  <si>
    <t>803026 GSP - РЁР°СЂРЅС–СЂ Р РљРЁ</t>
  </si>
  <si>
    <t>AUDI A4 quattro  95-01, Rear, outer +ABS (45T 33 30 53 31 62 I) (22748 Spidan)</t>
  </si>
  <si>
    <t>803033 GSP</t>
  </si>
  <si>
    <t>803033 GSP - РЁР°СЂРЅС–СЂ Р РљРЁ</t>
  </si>
  <si>
    <t>352.55</t>
  </si>
  <si>
    <t>VAG  96-06, outer (A:36/F:30/DF:23.45/O:53/X) (20338 Spidan)</t>
  </si>
  <si>
    <t>803035 GSP</t>
  </si>
  <si>
    <t>803035 GSP - РЁР°СЂРЅС–СЂ Р РљРЁ</t>
  </si>
  <si>
    <t>VAG  99-06, outer (A:36/F:27/O:53/X) (21522 Spidan)</t>
  </si>
  <si>
    <t>803036 GSP</t>
  </si>
  <si>
    <t>803036 GSP - РЁР°СЂРЅС–СЂ Р РљРЁ</t>
  </si>
  <si>
    <t>SKODA Octavia (1U), outer (A:36/F:30/DF:23.45/O:53/X) (20340 Spidan)</t>
  </si>
  <si>
    <t>803051 GSP</t>
  </si>
  <si>
    <t>803051 GSP - РЁР°СЂРЅС–СЂ Р РљРЁ</t>
  </si>
  <si>
    <t>402.32</t>
  </si>
  <si>
    <t>AUDI 80  -94, outer (A:33/F:30/X) (22551 Spidan)</t>
  </si>
  <si>
    <t>803058 GSP</t>
  </si>
  <si>
    <t>803058 GSP - РЁР°СЂРЅС–СЂ Р РљРЁ</t>
  </si>
  <si>
    <t>426.53</t>
  </si>
  <si>
    <t>AUDI A4  00-04, outer +ABS (45W 38 33 59.5 34 55 M) (23693 Spidan)</t>
  </si>
  <si>
    <t>803067 GSP</t>
  </si>
  <si>
    <t>803067 GSP - РЁР°СЂРЅС–СЂ Р РљРЁ</t>
  </si>
  <si>
    <t>539.46</t>
  </si>
  <si>
    <t>VAG  1.8T, 1.9 Tdi, 2.5TDi  02-08, outer +ABS (45W 38 27 59.5 34 68 M) (23697 Spidan)</t>
  </si>
  <si>
    <t>803077 GSP</t>
  </si>
  <si>
    <t>803077 GSP - РЁР°СЂРЅС–СЂ Р РљРЁ</t>
  </si>
  <si>
    <t>543.24</t>
  </si>
  <si>
    <t>AUDI A6, A8  04-11, outer (A:38/F:27/DF:27.9/Z) (24681 Spidan)</t>
  </si>
  <si>
    <t>803086 GSP</t>
  </si>
  <si>
    <t>803086 GSP - РЁР°СЂРЅС–СЂ Р РљРЁ</t>
  </si>
  <si>
    <t>433.39</t>
  </si>
  <si>
    <t>AUDI A4, A5, Q5  08-, outer (A:42/F:33/O:76.5) (24685 Spidan)</t>
  </si>
  <si>
    <t>803087 GSP</t>
  </si>
  <si>
    <t>803087 GSP - РЁР°СЂРЅС–СЂ Р РљРЁ</t>
  </si>
  <si>
    <t>641.76</t>
  </si>
  <si>
    <t>AUDI A4, A5, Q5  08-, outer (A:42/F:27/O:76.5) (24687 Spidan)</t>
  </si>
  <si>
    <t>803092 GSP</t>
  </si>
  <si>
    <t>803092 GSP - РЁР°СЂРЅС–СЂ Р РљРЁ</t>
  </si>
  <si>
    <t>533.46</t>
  </si>
  <si>
    <t>AUDI A4  01-07, outer +ABS (45W 38 27 59.5 34 68 I) (24860 Spidan)</t>
  </si>
  <si>
    <t>805001 GSP</t>
  </si>
  <si>
    <t>805001 GSP - РЁР°СЂРЅС–СЂ Р РљРЁ</t>
  </si>
  <si>
    <t>467.72</t>
  </si>
  <si>
    <t>BMW X5 (E53), outer (30 27 64.8 77 67.5 M)</t>
  </si>
  <si>
    <t>805007 GSP</t>
  </si>
  <si>
    <t>805007 GSP - РЁР°СЂРЅС–СЂ Р РљРЁ</t>
  </si>
  <si>
    <t>515.61</t>
  </si>
  <si>
    <t>MB M-CLASS (W164), outer (30 37 70.2 90.5 65.5 I)</t>
  </si>
  <si>
    <t>808021 GSP</t>
  </si>
  <si>
    <t>808021 GSP - РЁР°СЂРЅС–СЂ Р РљРЁ</t>
  </si>
  <si>
    <t>CHEVROLET AVEO (F12S3, F14S3)  05-, outer +ABS (47T 22 22 52 96.5 53.5 O) (21865 Spidan)</t>
  </si>
  <si>
    <t>809002 GSP</t>
  </si>
  <si>
    <t>809002 GSP - РЁР°СЂРЅС–СЂ Р РљРЁ</t>
  </si>
  <si>
    <t>HYUNDAI LANTRA (J-1)  90-95, outer (A:25/F:23/DF:24.6/O:50/Z) (20353 Spidan)</t>
  </si>
  <si>
    <t>809004 GSP</t>
  </si>
  <si>
    <t>809004 GSP - РЁР°СЂРЅС–СЂ Р РљРЁ</t>
  </si>
  <si>
    <t>354.44</t>
  </si>
  <si>
    <t>HYUNDAI ACCENT I (X-3)  94-00, outer (A:25/F:22/DF:22.65/O:50/Z) (21381 Spidan)</t>
  </si>
  <si>
    <t>810002 GSP</t>
  </si>
  <si>
    <t>810002 GSP - РЁР°СЂРЅС–СЂ Р РљРЁ</t>
  </si>
  <si>
    <t>355.29</t>
  </si>
  <si>
    <t>PEUGEOT Partner 1.8, 1.9, 2.0, 1.8D/TD, 1.9D  86-, outer (25 23 54.8 78.5 56 I) (21075 Spidan)</t>
  </si>
  <si>
    <t>810010 GSP</t>
  </si>
  <si>
    <t>810010 GSP - РЁР°СЂРЅС–СЂ Р РљРЁ</t>
  </si>
  <si>
    <t>365.08</t>
  </si>
  <si>
    <t>FIAT Ducato  82-94, outer (A:28/F:27) (21257 Spidan)</t>
  </si>
  <si>
    <t>810011 GSP</t>
  </si>
  <si>
    <t>810011 GSP - РЁР°СЂРЅС–СЂ Р РљРЁ</t>
  </si>
  <si>
    <t>447.29</t>
  </si>
  <si>
    <t>FIAT DUCATO, CITROEN JUMPER, PEUGEOT BOXER  1800Kg  94-02, outer +ABS (54T 35 45 70 117 73 I) (20633 Spidan)</t>
  </si>
  <si>
    <t>810013 GSP</t>
  </si>
  <si>
    <t>810013 GSP - РЁР°СЂРЅС–СЂ Р РљРЁ</t>
  </si>
  <si>
    <t>431.16</t>
  </si>
  <si>
    <t>FIAT DUCATO, CITROEN JUMPER, PEUGEOT BOXER  1000/1400Kg  94-02, outer +ABS (54T 28 39 63 112.5 63 I) (20986 Spidan)</t>
  </si>
  <si>
    <t>810018 GSP</t>
  </si>
  <si>
    <t>810018 GSP - РЁР°СЂРЅС–СЂ Р РљРЁ</t>
  </si>
  <si>
    <t>347.57</t>
  </si>
  <si>
    <t>FIAT Scudo  96-06, outer +ABS (48T 27 34 61 82 55 I) (24526 Spidan)</t>
  </si>
  <si>
    <t>810026 GSP</t>
  </si>
  <si>
    <t>810026 GSP - РЁР°СЂРЅС–СЂ Р РљРЁ</t>
  </si>
  <si>
    <t>CITROEN C3  02-, Left, outer (21 21 48 86.5 54) (22268 Spidan)</t>
  </si>
  <si>
    <t>810028 GSP</t>
  </si>
  <si>
    <t>810028 GSP - РЁР°СЂРЅС–СЂ Р РљРЁ</t>
  </si>
  <si>
    <t>CITROEN C4, PEUGEOT 307 Hdi, outer (25 34 58 89 56 I)</t>
  </si>
  <si>
    <t>810051 GSP</t>
  </si>
  <si>
    <t>810051 GSP - РЁР°СЂРЅС–СЂ Р РљРЁ</t>
  </si>
  <si>
    <t>PEUGEOT 407, outer (28 39 58.6 94 63 I)</t>
  </si>
  <si>
    <t>810052 GSP</t>
  </si>
  <si>
    <t>810052 GSP - РЁР°СЂРЅС–СЂ Р РљРЁ</t>
  </si>
  <si>
    <t>359.93</t>
  </si>
  <si>
    <t>PEUGEOT 407, outer (28 34 58.5 92 55 I)</t>
  </si>
  <si>
    <t>810053 GSP</t>
  </si>
  <si>
    <t>810053 GSP - РЁР°СЂРЅС–СЂ Р РљРЁ</t>
  </si>
  <si>
    <t>334.01</t>
  </si>
  <si>
    <t>CITROEN C2, outer (21 20 49 86 51 M)</t>
  </si>
  <si>
    <t>810067 GSP</t>
  </si>
  <si>
    <t>810067 GSP - РЁР°СЂРЅС–СЂ Р РљРЁ</t>
  </si>
  <si>
    <t>407.65</t>
  </si>
  <si>
    <t>CITROEN Xsara Picasso, PEUGEOT Partner  01-, outer +ABS (48W 25 34 58.5 79 55 I)</t>
  </si>
  <si>
    <t>810086 GSP</t>
  </si>
  <si>
    <t>810086 GSP - РЁР°СЂРЅС–СЂ Р РљРЁ</t>
  </si>
  <si>
    <t>435.79</t>
  </si>
  <si>
    <t>PEUGEOT 406, outer +ABS (48T 25 34 55.7 79 55 I) (21078 Spidan)</t>
  </si>
  <si>
    <t>810098 GSP</t>
  </si>
  <si>
    <t>810098 GSP - РЁР°СЂРЅС–СЂ Р РљРЁ</t>
  </si>
  <si>
    <t>470.64</t>
  </si>
  <si>
    <t>PEUGEOT EXPERT  07-, outer (28 39 58.6 93 63 I)</t>
  </si>
  <si>
    <t>812001 GSP</t>
  </si>
  <si>
    <t>812001 GSP - РЁР°СЂРЅС–СЂ Р РљРЁ</t>
  </si>
  <si>
    <t>446.09</t>
  </si>
  <si>
    <t>DAEWOO Lanos, Nubira (KLAJ) 1.6 16V  97-02, outer (A:33/F:29/O:52/Z) (21027 Spidan)</t>
  </si>
  <si>
    <t>812006 GSP</t>
  </si>
  <si>
    <t>812006 GSP - РЁР°СЂРЅС–СЂ Р РљРЁ</t>
  </si>
  <si>
    <t>346.37</t>
  </si>
  <si>
    <t>DAEWOO Tico  95-00, outer (A:23/F:19/O:44/Z) (20351 Spidan)</t>
  </si>
  <si>
    <t>812009 GSP</t>
  </si>
  <si>
    <t>812009 GSP - РЁР°СЂРЅС–СЂ Р РљРЁ</t>
  </si>
  <si>
    <t>492.26</t>
  </si>
  <si>
    <t>DAEWOO ESPERO, EVANDA 02, LEGANZA, NUBIRA, outer (33 29 52 109 63 O) (21027 Spidan)</t>
  </si>
  <si>
    <t>812021 GSP</t>
  </si>
  <si>
    <t>812021 GSP - РЁР°СЂРЅС–СЂ Р РљРЁ</t>
  </si>
  <si>
    <t>404.56</t>
  </si>
  <si>
    <t>DAEWOO MATIZ (KLYA), outer +ABS (40T 23 19 46 92 56.5 O) (21189 Spidan)</t>
  </si>
  <si>
    <t>812023 GSP</t>
  </si>
  <si>
    <t>812023 GSP - РЁР°СЂРЅС–СЂ Р РљРЁ</t>
  </si>
  <si>
    <t>520.41</t>
  </si>
  <si>
    <t>DAEWOO TACUMA (KLAU) 2.0, outer +ABS (47T 33 32 52 95.5 66 O) (21949 Spidan)</t>
  </si>
  <si>
    <t>812027 GSP</t>
  </si>
  <si>
    <t>812027 GSP - РЁР°СЂРЅС–СЂ Р РљРЁ</t>
  </si>
  <si>
    <t>DAEWOO Lanos, Nubira (KLAJ) 1.6 16V, outer +ABS (A:33/F:29/O:52/Z/ABS:47) (22197 Spidan)</t>
  </si>
  <si>
    <t>812028 GSP</t>
  </si>
  <si>
    <t>812028 GSP - РЁР°СЂРЅС–СЂ Р РљРЁ</t>
  </si>
  <si>
    <t>380.35</t>
  </si>
  <si>
    <t>DAEWOO MATIZ (KLYA), outer (A:23/F:19/DF:209/O:46/X)</t>
  </si>
  <si>
    <t>814030 GSP</t>
  </si>
  <si>
    <t>814030 GSP - РЁР°СЂРЅС–СЂ Р РљРЁ</t>
  </si>
  <si>
    <t>475.27</t>
  </si>
  <si>
    <t>DAEWOO EVANDA, outer (28 32 55.5 99 61 O) (22199 Spidan)</t>
  </si>
  <si>
    <t>817001 GSP</t>
  </si>
  <si>
    <t>817001 GSP - РЁР°СЂРЅС–СЂ Р РљРЁ</t>
  </si>
  <si>
    <t>376.06</t>
  </si>
  <si>
    <t>FIAT Bravo, outer (22 20 46.8 75.5 52 O) (20526 Spidan)</t>
  </si>
  <si>
    <t>817004 GSP</t>
  </si>
  <si>
    <t>817004 GSP - РЁР°СЂРЅС–СЂ Р РљРЁ</t>
  </si>
  <si>
    <t>FIAT Bravo, outer (A:25/F:25/O:52/X) (21232 Spidan)</t>
  </si>
  <si>
    <t>817007 GSP</t>
  </si>
  <si>
    <t>817007 GSP - РЁР°СЂРЅС–СЂ Р РљРЁ</t>
  </si>
  <si>
    <t>406.44</t>
  </si>
  <si>
    <t>OPEL Vectra C, outer (30 25 52.5 105 62 O) (23798 Spidan)</t>
  </si>
  <si>
    <t>817019 GSP</t>
  </si>
  <si>
    <t>817019 GSP - РЁР°СЂРЅС–СЂ Р РљРЁ</t>
  </si>
  <si>
    <t>FIAT Fiorino  88-00, outer (22 22 52 91 60.5 O) (21145 Spidan)</t>
  </si>
  <si>
    <t>817026 GSP</t>
  </si>
  <si>
    <t>817026 GSP - РЁР°СЂРЅС–СЂ Р РљРЁ</t>
  </si>
  <si>
    <t>FIAT Bravo, Panda, Stilo  01-, outer (25 22 51 84 57 M) (22252 Spidan)</t>
  </si>
  <si>
    <t>817031 GSP</t>
  </si>
  <si>
    <t>817031 GSP - РЁР°СЂРЅС–СЂ Р РљРЁ</t>
  </si>
  <si>
    <t>452.44</t>
  </si>
  <si>
    <t>FIAT Doblo 1.9D, 1.9JTD  01-, outer (25 24 51 90 62 M) (22208 Spidan)</t>
  </si>
  <si>
    <t>817043 GSP</t>
  </si>
  <si>
    <t>817043 GSP - РЁР°СЂРЅС–СЂ Р РљРЁ</t>
  </si>
  <si>
    <t>358.21</t>
  </si>
  <si>
    <t>FIAT 500, Panda  03-, outer (22 20 47 75.5 54.5 M) (24341 Spidan)</t>
  </si>
  <si>
    <t>817045 GSP</t>
  </si>
  <si>
    <t>817045 GSP - РЁР°СЂРЅС–СЂ Р РљРЁ</t>
  </si>
  <si>
    <t>649.83</t>
  </si>
  <si>
    <t>PEUGEOT BOXER  06-, outer (35 29 71.5 127 71 M) (24282 Spidan)</t>
  </si>
  <si>
    <t>817051 GSP</t>
  </si>
  <si>
    <t>817051 GSP - РЁР°СЂРЅС–СЂ Р РљРЁ</t>
  </si>
  <si>
    <t>535.17</t>
  </si>
  <si>
    <t>OPEL Astra H, Vectra C, Zafira B  02-, outer (30 26 53.8 94.5 65.5 M) (23984 Spidan)</t>
  </si>
  <si>
    <t>817055 GSP</t>
  </si>
  <si>
    <t>817055 GSP - РЁР°СЂРЅС–СЂ Р РљРЁ</t>
  </si>
  <si>
    <t>564.18</t>
  </si>
  <si>
    <t>PEUGEOT BOXER  06-, outer (35 27 71.5 127 66.5 I) (24285 Spidan)</t>
  </si>
  <si>
    <t>817060 GSP</t>
  </si>
  <si>
    <t>817060 GSP - РЁР°СЂРЅС–СЂ Р РљРЁ</t>
  </si>
  <si>
    <t>599.20</t>
  </si>
  <si>
    <t>PEUGEOT BOXER 3.0Hdi  06-, outer (35 29 71.5 127 71 I) (24284 Spidan)</t>
  </si>
  <si>
    <t>818001 GSP</t>
  </si>
  <si>
    <t>818001 GSP - РЁР°СЂРЅС–СЂ Р РљРЁ</t>
  </si>
  <si>
    <t>320.80</t>
  </si>
  <si>
    <t>FORD FIESTA, FUSION 1.4TDCi  02-, outer (25 20 52.9 89 52 M)</t>
  </si>
  <si>
    <t>818002 GSP</t>
  </si>
  <si>
    <t>818002 GSP - РЁР°СЂРЅС–СЂ Р РљРЁ</t>
  </si>
  <si>
    <t>446.95</t>
  </si>
  <si>
    <t>FORD MONDEO  00-07, outer (27 26 56 91 64 M) (21449 Spidan)</t>
  </si>
  <si>
    <t>818004 GSP</t>
  </si>
  <si>
    <t>818004 GSP - РЁР°СЂРЅС–СЂ Р РљРЁ</t>
  </si>
  <si>
    <t>336.76</t>
  </si>
  <si>
    <t>FORD FIESTA IV  95-02, outer (25 22 56.5 88.5 53.5 O) (20186 Spidan)</t>
  </si>
  <si>
    <t>818006 GSP</t>
  </si>
  <si>
    <t>818006 GSP - РЁР°СЂРЅС–СЂ Р РљРЁ</t>
  </si>
  <si>
    <t>332.12</t>
  </si>
  <si>
    <t>FORD ESCORT  90-99, outer (25 22 55.5 88.5 53 O) (20187 Spidan)</t>
  </si>
  <si>
    <t>818007 GSP</t>
  </si>
  <si>
    <t>818007 GSP - РЁР°СЂРЅС–СЂ Р РљРЁ</t>
  </si>
  <si>
    <t>FORD MONDEO  00-07, outer (27 23 56.1 91.5 58.5 M) (21363 Spidan)</t>
  </si>
  <si>
    <t>818009 GSP</t>
  </si>
  <si>
    <t>818009 GSP - РЁР°СЂРЅС–СЂ Р РљРЁ</t>
  </si>
  <si>
    <t>FORD Fusion 1.4  02-, outer (25 22 53.3 90 51 M)</t>
  </si>
  <si>
    <t>818011 GSP</t>
  </si>
  <si>
    <t>818011 GSP - РЁР°СЂРЅС–СЂ Р РљРЁ</t>
  </si>
  <si>
    <t>FORD Mondeo  93-96, outer +ABS (44T 27 25 57 91 61 I) (20979 Spidan)</t>
  </si>
  <si>
    <t>818013 GSP</t>
  </si>
  <si>
    <t>818013 GSP - РЁР°СЂРЅС–СЂ Р РљРЁ</t>
  </si>
  <si>
    <t>FORD Focus  98-04, outer (25 23 53.38 88.5 57 M) (21184 Spidan)</t>
  </si>
  <si>
    <t>818014 GSP</t>
  </si>
  <si>
    <t>818014 GSP - РЁР°СЂРЅС–СЂ Р РљРЁ</t>
  </si>
  <si>
    <t>FORD Fiesta 1.4, 1.6, Fusion 1.6  02-, outer (25 21 53.2 89 54 M)</t>
  </si>
  <si>
    <t>818017 GSP</t>
  </si>
  <si>
    <t>818017 GSP - РЁР°СЂРЅС–СЂ Р РљРЁ</t>
  </si>
  <si>
    <t>300.37</t>
  </si>
  <si>
    <t>FORD Escort, Fiesta 1.1, 1.3  89-99, outer (23 20 48 80.5 49 O) (23734 Spidan)</t>
  </si>
  <si>
    <t>818019 GSP</t>
  </si>
  <si>
    <t>818019 GSP - РЁР°СЂРЅС–СЂ Р РљРЁ</t>
  </si>
  <si>
    <t>FORD Escort, Orion  -99, outer (23 22 55 91.5 54.5 O) (21753 Spidan)</t>
  </si>
  <si>
    <t>818021 GSP</t>
  </si>
  <si>
    <t>818021 GSP - РЁР°СЂРЅС–СЂ Р РљРЁ</t>
  </si>
  <si>
    <t>FORD ESCORT 1.8TD  93-98, outer (25 25 56.5 89 56.5 O) (23610 Spidan)</t>
  </si>
  <si>
    <t>818023 GSP</t>
  </si>
  <si>
    <t>818023 GSP - РЁР°СЂРЅС–СЂ Р РљРЁ</t>
  </si>
  <si>
    <t>FORD Mondeo  96-99, outer +ABS (44T 27 30 57 91 56 I)</t>
  </si>
  <si>
    <t>818024 GSP</t>
  </si>
  <si>
    <t>818024 GSP - РЁР°СЂРЅС–СЂ Р РљРЁ</t>
  </si>
  <si>
    <t>FORD Mondeo  96-99, outer +ABS (44T 27 30 57 91 56 M) (20978 Spidan)</t>
  </si>
  <si>
    <t>818025 GSP</t>
  </si>
  <si>
    <t>818025 GSP - РЁР°СЂРЅС–СЂ Р РљРЁ</t>
  </si>
  <si>
    <t>544.96</t>
  </si>
  <si>
    <t>VW SHARAN  95-10, outer +ABS (48W 38 36 60 34 72.5 I) (21574 Spidan)</t>
  </si>
  <si>
    <t>818026 GSP</t>
  </si>
  <si>
    <t>818026 GSP - РЁР°СЂРЅС–СЂ Р РљРЁ</t>
  </si>
  <si>
    <t>457.08</t>
  </si>
  <si>
    <t>VW SHARAN  95-10, outer +ABS (48W 38 27 60 34.5 65 I) (21572 Spidan)</t>
  </si>
  <si>
    <t>818035 GSP</t>
  </si>
  <si>
    <t>818035 GSP - РЁР°СЂРЅС–СЂ Р РљРЁ</t>
  </si>
  <si>
    <t>386.02</t>
  </si>
  <si>
    <t>KIA SHUMA  97-04, Right, outer (28 23 56 90 59 I) (24047 Spidan)</t>
  </si>
  <si>
    <t>818067 GSP</t>
  </si>
  <si>
    <t>818067 GSP - РЁР°СЂРЅС–СЂ Р РљРЁ</t>
  </si>
  <si>
    <t>441.80</t>
  </si>
  <si>
    <t>FORD Transint Connect 1.8, 1.8Di, 1.8TDCi  02-, outer (25 26 53.3 94.5 64.5 M) (25123 Spidan)</t>
  </si>
  <si>
    <t>818069 GSP</t>
  </si>
  <si>
    <t>818069 GSP - РЁР°СЂРЅС–СЂ Р РљРЁ</t>
  </si>
  <si>
    <t>495.70</t>
  </si>
  <si>
    <t>FORD Focus 1.8TDCi  98-04, outer (25 24 52.6 88 59)</t>
  </si>
  <si>
    <t>818203 GSP</t>
  </si>
  <si>
    <t>818203 GSP - РЁР°СЂРЅС–СЂ Р РљРЁ</t>
  </si>
  <si>
    <t>457.94</t>
  </si>
  <si>
    <t>FORD Focus  04-, outer (36 23 56 48 57 I) (24927 Spidan)</t>
  </si>
  <si>
    <t>818207 GSP</t>
  </si>
  <si>
    <t>818207 GSP - РЁР°СЂРЅС–СЂ Р РљРЁ</t>
  </si>
  <si>
    <t>459.65</t>
  </si>
  <si>
    <t>FORD TOURNEO CONNECT 1.8Di  02-, outer (25 24 53.5 94.5 62 M)</t>
  </si>
  <si>
    <t>823014 GSP</t>
  </si>
  <si>
    <t>823014 GSP - РЁР°СЂРЅС–СЂ Р РљРЁ</t>
  </si>
  <si>
    <t>482.99</t>
  </si>
  <si>
    <t>HONDA Accord  90-98, outer +ABS (50T 28 32 60 88 59 M) (22352 Spidan)</t>
  </si>
  <si>
    <t>823017 GSP</t>
  </si>
  <si>
    <t>823017 GSP - РЁР°СЂРЅС–СЂ Р РљРЁ</t>
  </si>
  <si>
    <t>437.17</t>
  </si>
  <si>
    <t>HONDA Civic  95-01, outer +ABS (50T 26 32 55 78.5 56.5 M) (22349 Spidan)</t>
  </si>
  <si>
    <t>823024 GSP</t>
  </si>
  <si>
    <t>823024 GSP - РЁР°СЂРЅС–СЂ Р РљРЁ</t>
  </si>
  <si>
    <t>HONDA Civic  95-01, outer +ABS (A:26/F:28/O:55) (23945 Spidan)</t>
  </si>
  <si>
    <t>823030 GSP</t>
  </si>
  <si>
    <t>823030 GSP - РЁР°СЂРЅС–СЂ Р РљРЁ</t>
  </si>
  <si>
    <t>HONDA JAZZ II  02-08, outer (26 28 52 79 56 M) (24371 Spidan)</t>
  </si>
  <si>
    <t>823033 GSP</t>
  </si>
  <si>
    <t>823033 GSP - РЁР°СЂРЅС–СЂ Р РљРЁ</t>
  </si>
  <si>
    <t>462.57</t>
  </si>
  <si>
    <t>HONDA HR-V  99-, outer +ABS (50T 26 30 60 78.5 57 M) (23673 Spidan)</t>
  </si>
  <si>
    <t>823034 GSP</t>
  </si>
  <si>
    <t>823034 GSP - РЁР°СЂРЅС–СЂ Р РљРЁ</t>
  </si>
  <si>
    <t>480.42</t>
  </si>
  <si>
    <t>HONDA CR-V  01-06, Front, outer (28 32 63 88.5 59.5 M) (25080 Spidan)</t>
  </si>
  <si>
    <t>823036 GSP</t>
  </si>
  <si>
    <t>823036 GSP - РЁР°СЂРЅС–СЂ Р РљРЁ</t>
  </si>
  <si>
    <t>HONDA ACCORD VII  98-02, outer +ABS (50T 28 32 64 88.5 60.5 I) (24461 Spidan)</t>
  </si>
  <si>
    <t>823086 GSP</t>
  </si>
  <si>
    <t>823086 GSP - РЁР°СЂРЅС–СЂ Р РљРЁ</t>
  </si>
  <si>
    <t>HONDA CIVIC  91-01, outer +ABS (50T 26 30 55 78.5 56.5 M)</t>
  </si>
  <si>
    <t>823095 GSP</t>
  </si>
  <si>
    <t>823095 GSP - РЁР°СЂРЅС–СЂ Р РљРЁ</t>
  </si>
  <si>
    <t>410.05</t>
  </si>
  <si>
    <t>HONDA CIVIC  01-05, outer +ABS (50T 26 22 60 79 56 M) (24387 Spidan)</t>
  </si>
  <si>
    <t>823124 GSP</t>
  </si>
  <si>
    <t>823124 GSP - РЁР°СЂРЅС–СЂ Р РљРЁ</t>
  </si>
  <si>
    <t>HONDA CR-V  07-, Front, outer (30 32 68 88 59.5 M)</t>
  </si>
  <si>
    <t>824029 GSP</t>
  </si>
  <si>
    <t>824029 GSP - РЁР°СЂРЅС–СЂ Р РљРЁ</t>
  </si>
  <si>
    <t>HYUNDAI SANTA FE (SM)  01-06, outer +ABS (47T 27 25 60 95 63.5 M)</t>
  </si>
  <si>
    <t>824033 GSP</t>
  </si>
  <si>
    <t>824033 GSP - РЁР°СЂРЅС–СЂ Р РљРЁ</t>
  </si>
  <si>
    <t>HYUNDAI ACCENT (LC)  00-05, outer +ABS (44T 25 22 50 95 58 M)</t>
  </si>
  <si>
    <t>824047 GSP</t>
  </si>
  <si>
    <t>824047 GSP - РЁР°СЂРЅС–СЂ Р РљРЁ</t>
  </si>
  <si>
    <t>568.64</t>
  </si>
  <si>
    <t>HYUNDAI GETZ 02-, outer +ABS (48T 25 23 50 94.5 63.5 M)</t>
  </si>
  <si>
    <t>824065 GSP</t>
  </si>
  <si>
    <t>824065 GSP - РЁР°СЂРЅС–СЂ Р РљРЁ</t>
  </si>
  <si>
    <t>532.26</t>
  </si>
  <si>
    <t>HYUNDAI ACCENT (LC)  00-05, outer +ABS (44T 25 22 52.5 95 58 M)</t>
  </si>
  <si>
    <t>824090 GSP</t>
  </si>
  <si>
    <t>824090 GSP - РЁР°СЂРЅС–СЂ Р РљРЁ</t>
  </si>
  <si>
    <t>579.29</t>
  </si>
  <si>
    <t>HYUNDAI TUCSON (JM)  04-10, Front, outer +ABS (48T 27 25 61.9 95 61 M)</t>
  </si>
  <si>
    <t>824091 GSP</t>
  </si>
  <si>
    <t>824091 GSP - РЁР°СЂРЅС–СЂ Р РљРЁ</t>
  </si>
  <si>
    <t>524.53</t>
  </si>
  <si>
    <t>HYUNDAI SANTA FE  01-06, outer +ABS (52T 27 26 60 95 69 M)</t>
  </si>
  <si>
    <t>824095 GSP</t>
  </si>
  <si>
    <t>824095 GSP - РЁР°СЂРЅС–СЂ Р РљРЁ</t>
  </si>
  <si>
    <t>485.05</t>
  </si>
  <si>
    <t>KIA CEE'D (ED)  04-, outer (46T 27 22 60 94.5 58.5 M) (24731 Spidan)</t>
  </si>
  <si>
    <t>824098 GSP</t>
  </si>
  <si>
    <t>824098 GSP - РЁР°СЂРЅС–СЂ Р РљРЁ</t>
  </si>
  <si>
    <t>488.14</t>
  </si>
  <si>
    <t>HYUNDAI GETZ (TB)  02-09, outer +ABS (48T 25 22 52.5 95 58 M)</t>
  </si>
  <si>
    <t>827001 GSP</t>
  </si>
  <si>
    <t>827001 GSP - РЁР°СЂРЅС–СЂ Р РљРЁ</t>
  </si>
  <si>
    <t>KIA Sephia, Shuma (FB)  93-01, outer (A:26/F:22/DF:22.66/O:56/Z) (24049 Spidan)</t>
  </si>
  <si>
    <t>827010 GSP</t>
  </si>
  <si>
    <t>827010 GSP - РЁР°СЂРЅС–СЂ Р РљРЁ</t>
  </si>
  <si>
    <t>KIA CLARUS  96-, outer (28 24 56 90 60 M) (21166 Spidan)</t>
  </si>
  <si>
    <t>827016 GSP</t>
  </si>
  <si>
    <t>827016 GSP - РЁР°СЂРЅС–СЂ Р РљРЁ</t>
  </si>
  <si>
    <t>353.58</t>
  </si>
  <si>
    <t>KIA Rio (DC)  00-05, outer (24 22 52 86 58.5 M)</t>
  </si>
  <si>
    <t>827068 GSP</t>
  </si>
  <si>
    <t>827068 GSP - РЁР°СЂРЅС–СЂ Р РљРЁ</t>
  </si>
  <si>
    <t>466.86</t>
  </si>
  <si>
    <t>KIA Rio (JB)  05-, outer +ABS (48T 25 24 50 94.5 63.5 M)</t>
  </si>
  <si>
    <t>827070 GSP</t>
  </si>
  <si>
    <t>827070 GSP - РЁР°СЂРЅС–СЂ Р РљРЁ</t>
  </si>
  <si>
    <t>405.24</t>
  </si>
  <si>
    <t>KIA Rio (DC)  00-05, outer (24 21 52 86 55 M)</t>
  </si>
  <si>
    <t>827072 GSP</t>
  </si>
  <si>
    <t>827072 GSP - РЁР°СЂРЅС–СЂ Р РљРЁ</t>
  </si>
  <si>
    <t>447.81</t>
  </si>
  <si>
    <t>KIA PICANTO (BA)  04-08, outer +ABS (48T 24 20 52.5 85.5 51 M)</t>
  </si>
  <si>
    <t>827073 GSP</t>
  </si>
  <si>
    <t>827073 GSP - РЁР°СЂРЅС–СЂ Р РљРЁ</t>
  </si>
  <si>
    <t>KIA CERATO (LD)  05-, outer +ABS (44T 25 24 50 90 63 M)</t>
  </si>
  <si>
    <t>828004 GSP</t>
  </si>
  <si>
    <t>828004 GSP - РЁР°СЂРЅС–СЂ Р РљРЁ</t>
  </si>
  <si>
    <t>LADA NIVA (2123), outer (24 22 46 107.5 66.5 I)</t>
  </si>
  <si>
    <t>830012 GSP</t>
  </si>
  <si>
    <t>830012 GSP - РЁР°СЂРЅС–СЂ Р РљРЁ</t>
  </si>
  <si>
    <t>736.34</t>
  </si>
  <si>
    <t>RANGE ROVER SPORT (LS)  05-, outer +ABS (48T 29 27 74 96 67.5 M)</t>
  </si>
  <si>
    <t>831001 GSP</t>
  </si>
  <si>
    <t>831001 GSP - РЁР°СЂРЅС–СЂ Р РљРЁ</t>
  </si>
  <si>
    <t>423.95</t>
  </si>
  <si>
    <t>TOYOTA Camry (V10), Previa  -00, outer (26 27 56 99.5 63 I) (20136 Spidan)</t>
  </si>
  <si>
    <t>834006 GSP</t>
  </si>
  <si>
    <t>834006 GSP - РЁР°СЂРЅС–СЂ Р РљРЁ</t>
  </si>
  <si>
    <t>MAZDA 323  94-00, outer +ABS (44T 26 22 56 94 59 M) (21034 Spidan)</t>
  </si>
  <si>
    <t>834007 GSP</t>
  </si>
  <si>
    <t>834007 GSP - РЁР°СЂРЅС–СЂ Р РљРЁ</t>
  </si>
  <si>
    <t>MAZDA 323  -94, outer (26 22 56 93 56.5 I) (21649 Spidan)</t>
  </si>
  <si>
    <t>834013 GSP</t>
  </si>
  <si>
    <t>834013 GSP - РЁР°СЂРЅС–СЂ Р РљРЁ</t>
  </si>
  <si>
    <t>MAZDA 626 (GF)  97-02, outer +ABS (44T 28 23 56 90 59 M)</t>
  </si>
  <si>
    <t>834015 GSP</t>
  </si>
  <si>
    <t>834015 GSP - РЁР°СЂРЅС–СЂ Р РљРЁ</t>
  </si>
  <si>
    <t>MAZDA 3 (BK)  -08, outer (36 22 55.2 48.5 55.5) (25076 Spidan)</t>
  </si>
  <si>
    <t>834019 GSP</t>
  </si>
  <si>
    <t>834019 GSP - РЁР°СЂРЅС–СЂ Р РљРЁ</t>
  </si>
  <si>
    <t>MAZDA 626  -92, outer (26 21 56 94 56 I) (24040 Spidan)</t>
  </si>
  <si>
    <t>834021 GSP</t>
  </si>
  <si>
    <t>834021 GSP - РЁР°СЂРЅС–СЂ Р РљРЁ</t>
  </si>
  <si>
    <t>MAZDA 626 IV (GE)  -97, outer +ABS (44T 28 23 56 90 59 I) (23954 Spidan)</t>
  </si>
  <si>
    <t>834026 GSP</t>
  </si>
  <si>
    <t>834026 GSP - РЁР°СЂРЅС–СЂ Р РљРЁ</t>
  </si>
  <si>
    <t>MAZDA 323  98-04, outer (26 28 56 93.5 53 I) (21198 Spidan)</t>
  </si>
  <si>
    <t>834072 GSP</t>
  </si>
  <si>
    <t>834072 GSP - РЁР°СЂРЅС–СЂ Р РљРЁ</t>
  </si>
  <si>
    <t>398.03</t>
  </si>
  <si>
    <t>MAZDA 626 (GF)  97-02, outer +ABS (44T 28 30 56 89.5 57 I) (22966 Spidan)</t>
  </si>
  <si>
    <t>834084 GSP</t>
  </si>
  <si>
    <t>834084 GSP - РЁР°СЂРЅС–СЂ Р РљРЁ</t>
  </si>
  <si>
    <t>481.28</t>
  </si>
  <si>
    <t>MAZDA 6  02-07, outer +ABS (44T 28 32 62 90 58 I)</t>
  </si>
  <si>
    <t>834135 GSP</t>
  </si>
  <si>
    <t>834135 GSP - РЁР°СЂРЅС–СЂ Р РљРЁ</t>
  </si>
  <si>
    <t>490.20</t>
  </si>
  <si>
    <t>MAZDA 6 (GG)  02-08, outer +ABS (44T 28 23 56 90 57.5 I) (24379 Spidan)</t>
  </si>
  <si>
    <t>835001 GSP</t>
  </si>
  <si>
    <t>835001 GSP - РЁР°СЂРЅС–СЂ Р РљРЁ</t>
  </si>
  <si>
    <t>438.20</t>
  </si>
  <si>
    <t>MB Vito (W638) OM601, outer +ABS (48W 27 27 59.8 99 63 I) (20985 Spidan)</t>
  </si>
  <si>
    <t>835002 GSP</t>
  </si>
  <si>
    <t>835002 GSP - РЁР°СЂРЅС–СЂ Р РљРЁ</t>
  </si>
  <si>
    <t>426.18</t>
  </si>
  <si>
    <t>MB Vito (W638) OM611, outer +ABS (48W 27 36 71.5 99 68 I) (20228 Spidan)</t>
  </si>
  <si>
    <t>835004 GSP</t>
  </si>
  <si>
    <t>835004 GSP - РЁР°СЂРЅС–СЂ Р РљРЁ</t>
  </si>
  <si>
    <t>MB A-Class (W168), outer +ABS (48W 24 27 57 67.5 56 I) (22264 Spidan)</t>
  </si>
  <si>
    <t>835022 GSP</t>
  </si>
  <si>
    <t>835022 GSP - РЁР°СЂРЅС–СЂ Р РљРЁ</t>
  </si>
  <si>
    <t>MB A-Class (W168), outer +ABS (48W 24 27 57 67.5 56 I) (22262 Spidan)</t>
  </si>
  <si>
    <t>835026 GSP</t>
  </si>
  <si>
    <t>835026 GSP - РЁР°СЂРЅС–СЂ Р РљРЁ</t>
  </si>
  <si>
    <t>401.12</t>
  </si>
  <si>
    <t>MB A-Class (W169), B-Class (W245)  05-, outer (A:25/F:27/DF:21.4/O:60.2/X) (24556 Spidan)</t>
  </si>
  <si>
    <t>839002 GSP</t>
  </si>
  <si>
    <t>839002 GSP - РЁР°СЂРЅС–СЂ Р РљРЁ</t>
  </si>
  <si>
    <t>MITSUBISHI Galant  87-92, outer (25 23 54 96 60 M) (24215 Spidan)</t>
  </si>
  <si>
    <t>839006 GSP</t>
  </si>
  <si>
    <t>839006 GSP - РЁР°СЂРЅС–СЂ Р РљРЁ</t>
  </si>
  <si>
    <t>571.22</t>
  </si>
  <si>
    <t>MITSUBISHI PAJERO  00-06, outer +ABS (50T 30 33 66 98 67 I)</t>
  </si>
  <si>
    <t>839007 GSP</t>
  </si>
  <si>
    <t>839007 GSP - РЁР°СЂРЅС–СЂ Р РљРЁ</t>
  </si>
  <si>
    <t>MITSUBISHI CARISMA (DA)  97-06, outer +ABS (43T 25 23 54 95 60 I) (21718 Spidan)</t>
  </si>
  <si>
    <t>839009 GSP</t>
  </si>
  <si>
    <t>839009 GSP - РЁР°СЂРЅС–СЂ Р РљРЁ</t>
  </si>
  <si>
    <t>393.23</t>
  </si>
  <si>
    <t>MITSUBISHI GALANT  88-92, outer (25 30 54 95 60.5 M) (24216 Spidan)</t>
  </si>
  <si>
    <t>839019 GSP</t>
  </si>
  <si>
    <t>839019 GSP - РЁР°СЂРЅС–СЂ Р РљРЁ</t>
  </si>
  <si>
    <t>MITSUBISHI GALANT  92-96, outer (25 24 54 94.5 62 M) (24214 Spidan)</t>
  </si>
  <si>
    <t>839022 GSP</t>
  </si>
  <si>
    <t>839022 GSP - РЁР°СЂРЅС–СЂ Р РљРЁ</t>
  </si>
  <si>
    <t>MITSUBISHI CARISMA (DA)  96-06, outer +ABS (43T 25 29 54 94.5 64.5 O) (21747 Spidan)</t>
  </si>
  <si>
    <t>839024 GSP</t>
  </si>
  <si>
    <t>839024 GSP - РЁР°СЂРЅС–СЂ Р РљРЁ</t>
  </si>
  <si>
    <t>MITSUBISHI CARISMA, SPACE STAR  96-, outer +ABS (43T 25 23 54 95.5 64 M) (23667 Spidan)</t>
  </si>
  <si>
    <t>839084 GSP</t>
  </si>
  <si>
    <t>839084 GSP - РЁР°СЂРЅС–СЂ Р РљРЁ</t>
  </si>
  <si>
    <t>MITSUBISHI CARISMA 00-06| SPACE STAR  01-, outer +ABS (43T 26 33 54 95 60 M) (20621 Spidan)</t>
  </si>
  <si>
    <t>839102 GSP</t>
  </si>
  <si>
    <t>839102 GSP - РЁР°СЂРЅС–СЂ Р РљРЁ</t>
  </si>
  <si>
    <t>441.46</t>
  </si>
  <si>
    <t>MITSUBISHI SPACE STAR  98-, outer +ABS (43T 25 22 54 95 54 I) (23669 Spidan)</t>
  </si>
  <si>
    <t>839112 GSP</t>
  </si>
  <si>
    <t>839112 GSP - РЁР°СЂРЅС–СЂ Р РљРЁ</t>
  </si>
  <si>
    <t>456.73</t>
  </si>
  <si>
    <t>MITSUBISHI OUTLANDER  03-06, outer +ABS (43T 25 29 57 94.5 57 I)</t>
  </si>
  <si>
    <t>841001 GSP</t>
  </si>
  <si>
    <t>841001 GSP - РЁР°СЂРЅС–СЂ Р РљРЁ</t>
  </si>
  <si>
    <t>373.66</t>
  </si>
  <si>
    <t>NISSAN SUNNY, Almera (N15)  90-, outer (25 22 55 107 56 I) (24432 Spidan)</t>
  </si>
  <si>
    <t>841002 GSP</t>
  </si>
  <si>
    <t>841002 GSP - РЁР°СЂРЅС–СЂ Р РљРЁ</t>
  </si>
  <si>
    <t>NISSAN Almera (N15)  95-00, outer +ABS (42T 25 22 55 107 56 I)</t>
  </si>
  <si>
    <t>841003 GSP</t>
  </si>
  <si>
    <t>841003 GSP - РЁР°СЂРЅС–СЂ Р РљРЁ</t>
  </si>
  <si>
    <t>NISSAN Almera (N15)  95-00, outer +ABS (42T 25 23 55 107 62 I) (21188 Spidan)</t>
  </si>
  <si>
    <t>841010 GSP</t>
  </si>
  <si>
    <t>841010 GSP - РЁР°СЂРЅС–СЂ Р РљРЁ</t>
  </si>
  <si>
    <t>NISSAN Primera (P10)  91-96, outer +ABS (42T 27 22 56 103.5 61.4 I) (24429 Spidan)</t>
  </si>
  <si>
    <t>841022 GSP</t>
  </si>
  <si>
    <t>841022 GSP - РЁР°СЂРЅС–СЂ Р РљРЁ</t>
  </si>
  <si>
    <t>NISSAN MAXIMA QX (A33)  00-03, outer +ABS (46T 29 27 56 103.5 70.5 I) (23966 Spidan)</t>
  </si>
  <si>
    <t>841028 GSP</t>
  </si>
  <si>
    <t>841028 GSP - РЁР°СЂРЅС–СЂ Р РљРЁ</t>
  </si>
  <si>
    <t>472.87</t>
  </si>
  <si>
    <t>NISSAN PRIMERA (P11)  96-02, outer +ABS (44T 27 32 56 103 68.5 I) (21531 Spidan)</t>
  </si>
  <si>
    <t>841030 GSP</t>
  </si>
  <si>
    <t>841030 GSP - РЁР°СЂРЅС–СЂ Р РљРЁ</t>
  </si>
  <si>
    <t>416.40</t>
  </si>
  <si>
    <t>NISSAN PRIMERA (P11)  96-02, outer +ABS (44T 27 22 56 103.5 61.5 I) (20232 Spidan)</t>
  </si>
  <si>
    <t>841037 GSP</t>
  </si>
  <si>
    <t>841037 GSP - РЁР°СЂРЅС–СЂ Р РљРЁ</t>
  </si>
  <si>
    <t>500.85</t>
  </si>
  <si>
    <t>NISSAN X-TRAIL (T30)  01-07, outer +ABS (44T 29 25 56 103.5 70.5 I) (24548 Spidan)</t>
  </si>
  <si>
    <t>841043 GSP</t>
  </si>
  <si>
    <t>841043 GSP - РЁР°СЂРЅС–СЂ Р РљРЁ</t>
  </si>
  <si>
    <t>NISSAN PRIMERA (P11)  96-02, outer +ABS (44T 27 23 56 104 60 M)</t>
  </si>
  <si>
    <t>841046 GSP</t>
  </si>
  <si>
    <t>841046 GSP - РЁР°СЂРЅС–СЂ Р РљРЁ</t>
  </si>
  <si>
    <t>NISSAN MICRA (K12)  03-10, outer (23 21 49 83.5 56 M) (24456 Spidan)</t>
  </si>
  <si>
    <t>841047 GSP</t>
  </si>
  <si>
    <t>841047 GSP - РЁР°СЂРЅС–СЂ Р РљРЁ</t>
  </si>
  <si>
    <t>NISSAN MICRA (K12)  03-10, outer (23 22 49 83.5 56 M)</t>
  </si>
  <si>
    <t>841048 GSP</t>
  </si>
  <si>
    <t>841048 GSP - РЁР°СЂРЅС–СЂ Р РљРЁ</t>
  </si>
  <si>
    <t>NISSAN ALMERA (N16)  02-07, outer +ABS (42T 25 22 55 100.5 58.5 M) (24547 Spidan)</t>
  </si>
  <si>
    <t>841052 GSP</t>
  </si>
  <si>
    <t>841052 GSP - РЁР°СЂРЅС–СЂ Р РљРЁ</t>
  </si>
  <si>
    <t>NISSAN ALMERA (N16)  02-07, outer +ABS (42T 25 23 55 96.5 63.5 M) (24530 Spidan)</t>
  </si>
  <si>
    <t>841073 GSP</t>
  </si>
  <si>
    <t>841073 GSP - РЁР°СЂРЅС–СЂ Р РљРЁ</t>
  </si>
  <si>
    <t>NISSAN SUNNY II (N13)  -90, outer (25 22 52.2 103 56 I) (21315 Spidan)</t>
  </si>
  <si>
    <t>841078 GSP</t>
  </si>
  <si>
    <t>841078 GSP - РЁР°СЂРЅС–СЂ Р РљРЁ</t>
  </si>
  <si>
    <t>419.66</t>
  </si>
  <si>
    <t>NISSAN ALMERA (N15)  95-00, outer (25 23 55 107 62 I) (24434 Spidan)</t>
  </si>
  <si>
    <t>841141 GSP</t>
  </si>
  <si>
    <t>841141 GSP - РЁР°СЂРЅС–СЂ Р РљРЁ</t>
  </si>
  <si>
    <t>417.26</t>
  </si>
  <si>
    <t>NISSAN ALMERA (N16)  02-07, outer +ABS (44T 25 22 55 100.5 58.5 M)</t>
  </si>
  <si>
    <t>841142 GSP</t>
  </si>
  <si>
    <t>841142 GSP - РЁР°СЂРЅС–СЂ Р РљРЁ</t>
  </si>
  <si>
    <t>NISSAN PRIMERA (P11, P12), outer +ABS (44T 27 23 56 103.5 61.5 M)</t>
  </si>
  <si>
    <t>841191 GSP</t>
  </si>
  <si>
    <t>841191 GSP - РЁР°СЂРЅС–СЂ Р РљРЁ</t>
  </si>
  <si>
    <t>517.32</t>
  </si>
  <si>
    <t>NISSAN SUNNY (Y10)  -95, outer +ABS (42T 25 22 55 107 57 M)</t>
  </si>
  <si>
    <t>841214 GSP</t>
  </si>
  <si>
    <t>841214 GSP - РЁР°СЂРЅС–СЂ Р РљРЁ</t>
  </si>
  <si>
    <t>NISSAN QASHQAI (J10, JJ10)  07-, outer (29 35 56.1 102 59 I)</t>
  </si>
  <si>
    <t>841232 GSP</t>
  </si>
  <si>
    <t>841232 GSP - РЁР°СЂРЅС–СЂ Р РљРЁ</t>
  </si>
  <si>
    <t>510.97</t>
  </si>
  <si>
    <t>NISSAN MURANO (Z50, Z51)  04-, outer (29 36 56 102.5 70 I)</t>
  </si>
  <si>
    <t>841240 GSP</t>
  </si>
  <si>
    <t>841240 GSP - РЁР°СЂРЅС–СЂ Р РљРЁ</t>
  </si>
  <si>
    <t>484.71</t>
  </si>
  <si>
    <t>NISSAN NAVARA (D40), PATHFINDER (R51)  05-, Front, outer (A:29/F:27/O:67.75/Z) (24619 Spidan)</t>
  </si>
  <si>
    <t>844002 GSP</t>
  </si>
  <si>
    <t>844002 GSP - РЁР°СЂРЅС–СЂ Р РљРЁ</t>
  </si>
  <si>
    <t>OPEL Combo  01-, outer +ABS (29T 22 23 52 97.5 61 M) (23992 Spidan)</t>
  </si>
  <si>
    <t>844003 GSP</t>
  </si>
  <si>
    <t>844003 GSP - РЁР°СЂРЅС–СЂ Р РљРЁ</t>
  </si>
  <si>
    <t>474.58</t>
  </si>
  <si>
    <t>OPEL Astra H, J, Zafira B  02-, outer (A:33/F:22/O:52.25/Z) (23985 Spidan)</t>
  </si>
  <si>
    <t>844006 GSP</t>
  </si>
  <si>
    <t>844006 GSP - РЁР°СЂРЅС–СЂ Р РљРЁ</t>
  </si>
  <si>
    <t>361.99</t>
  </si>
  <si>
    <t>OPEL ASTRA F CLASSIC, outer +ABS (29T 33 25 52 103.5 61 O) (20183 Spidan)</t>
  </si>
  <si>
    <t>844007 GSP</t>
  </si>
  <si>
    <t>844007 GSP - РЁР°СЂРЅС–СЂ Р РљРЁ</t>
  </si>
  <si>
    <t>331.09</t>
  </si>
  <si>
    <t>OPEL VECTRA B, outer +ABS (29T 22 22 52 94.5 50 O) (20181 Spidan)</t>
  </si>
  <si>
    <t>844008 GSP</t>
  </si>
  <si>
    <t>844008 GSP - РЁР°СЂРЅС–СЂ Р РљРЁ</t>
  </si>
  <si>
    <t>449.53</t>
  </si>
  <si>
    <t>RENAULT MASTER  98-01, outer +ABS (51T 28 27 67.1 93.5 64.5 I)</t>
  </si>
  <si>
    <t>844011 GSP</t>
  </si>
  <si>
    <t>844011 GSP - РЁР°СЂРЅС–СЂ Р РљРЁ</t>
  </si>
  <si>
    <t>OPEL Vectra B 1.6., 1.6 16v, outer +ABS (29T 33 22 52 103 50.5 O) (24111 Spidan)</t>
  </si>
  <si>
    <t>844013 GSP</t>
  </si>
  <si>
    <t>844013 GSP - РЁР°СЂРЅС–СЂ Р РљРЁ</t>
  </si>
  <si>
    <t>346.20</t>
  </si>
  <si>
    <t>OPEL Corca C  03-09, outer +ABS (29T 22 28 52 98 52 O) (21800 Spidan)</t>
  </si>
  <si>
    <t>844020 GSP</t>
  </si>
  <si>
    <t>844020 GSP - РЁР°СЂРЅС–СЂ Р РљРЁ</t>
  </si>
  <si>
    <t>OPEL Combo  01-, outer +ABS (29T 22 28 52 97.5 57.5 O) (21429 Spidan)</t>
  </si>
  <si>
    <t>844026 GSP</t>
  </si>
  <si>
    <t>844026 GSP - РЁР°СЂРЅС–СЂ Р РљРЁ</t>
  </si>
  <si>
    <t>554.74</t>
  </si>
  <si>
    <t>RENAULT MASTER  01-, outer +ABS (51T 28 36 65 96 71 I) (20712 Spidan)</t>
  </si>
  <si>
    <t>844028 GSP</t>
  </si>
  <si>
    <t>844028 GSP - РЁР°СЂРЅС–СЂ Р РљРЁ</t>
  </si>
  <si>
    <t>OPEL Astra H, outer (33 24 53 93.5 63.5 M) (23987 Spidan)</t>
  </si>
  <si>
    <t>844030 GSP</t>
  </si>
  <si>
    <t>844030 GSP - РЁР°СЂРЅС–СЂ Р РљРЁ</t>
  </si>
  <si>
    <t>363.02</t>
  </si>
  <si>
    <t>OPEL Astra G, outer (33 22 52 103 50.5 O) (21195 Spidan)</t>
  </si>
  <si>
    <t>844049 GSP</t>
  </si>
  <si>
    <t>844049 GSP - РЁР°СЂРЅС–СЂ Р РљРЁ</t>
  </si>
  <si>
    <t>OPEL Astra G, Vectra B, Zafira, outer (33 25 52 109 61 O)</t>
  </si>
  <si>
    <t>844051 GSP</t>
  </si>
  <si>
    <t>844051 GSP - РЁР°СЂРЅС–СЂ Р РљРЁ</t>
  </si>
  <si>
    <t>375.21</t>
  </si>
  <si>
    <t>OPEL Astra F, outer +ABS (29T 22 22 52 95 50.5 O) (21428 Spidan)</t>
  </si>
  <si>
    <t>844055 GSP</t>
  </si>
  <si>
    <t>844055 GSP - РЁР°СЂРЅС–СЂ Р РљРЁ</t>
  </si>
  <si>
    <t>OPEL Vectra A, outer +ABS (43T 22 22 52 95 50.5 O) (21496 Spidan)</t>
  </si>
  <si>
    <t>844056 GSP</t>
  </si>
  <si>
    <t>844056 GSP - РЁР°СЂРЅС–СЂ Р РљРЁ</t>
  </si>
  <si>
    <t>OPEL Kadett E, Vectra A, Astra F, outer +ABS (29T 33 25 52 109 61 O) (21427 Spidan)</t>
  </si>
  <si>
    <t>844065 GSP</t>
  </si>
  <si>
    <t>844065 GSP - РЁР°СЂРЅС–СЂ Р РљРЁ</t>
  </si>
  <si>
    <t>497.24</t>
  </si>
  <si>
    <t>OPEL Vectra B, outer +ABS (29T 33 35 55 104 67.5 I)</t>
  </si>
  <si>
    <t>845005 GSP</t>
  </si>
  <si>
    <t>845005 GSP - РЁР°СЂРЅС–СЂ Р РљРЁ</t>
  </si>
  <si>
    <t>PEUGEOT 406, outer +ABS (29T 25 34 55.7 79 55 I)</t>
  </si>
  <si>
    <t>845033 GSP</t>
  </si>
  <si>
    <t>845033 GSP - РЁР°СЂРЅС–СЂ Р РљРЁ</t>
  </si>
  <si>
    <t>385.33</t>
  </si>
  <si>
    <t>PEUGEOT 206, outer +ABS (48T 21 22 48 86.5 54 I) (22270 Spidan)</t>
  </si>
  <si>
    <t>845057 GSP</t>
  </si>
  <si>
    <t>845057 GSP - РЁР°СЂРЅС–СЂ Р РљРЁ</t>
  </si>
  <si>
    <t>CITROEN C2, C3, outer (21 22 48 86.5 54 I)</t>
  </si>
  <si>
    <t>850004 GSP</t>
  </si>
  <si>
    <t>850004 GSP - РЁР°СЂРЅС–СЂ Р РљРЁ</t>
  </si>
  <si>
    <t>RENAULT Kangoo 1.9Dti  00-, outer +ABS (26T 21 30 52.2 85.5 59 I)</t>
  </si>
  <si>
    <t>850005 GSP</t>
  </si>
  <si>
    <t>850005 GSP - РЁР°СЂРЅС–СЂ Р РљРЁ</t>
  </si>
  <si>
    <t>RENAULT Laguna, Megane, Scenic  -03, outer +ABS (44T 23 25 56.3 84 61.5 O)</t>
  </si>
  <si>
    <t>850043 GSP</t>
  </si>
  <si>
    <t>850043 GSP - РЁР°СЂРЅС–СЂ Р РљРЁ</t>
  </si>
  <si>
    <t>RENAULT Megane  -03, outer +ABS (44T 21 22 51.5 83 56.5 I)</t>
  </si>
  <si>
    <t>850069 GSP</t>
  </si>
  <si>
    <t>850069 GSP - РЁР°СЂРЅС–СЂ Р РљРЁ</t>
  </si>
  <si>
    <t>369.71</t>
  </si>
  <si>
    <t>RENAULT Megane, Kangoo, Scenic  97-, outer +ABS (44T 23 30 57.5 86.5 58.5 I)</t>
  </si>
  <si>
    <t>850079 GSP</t>
  </si>
  <si>
    <t>850079 GSP - РЁР°СЂРЅС–СЂ Р РљРЁ</t>
  </si>
  <si>
    <t>538.09</t>
  </si>
  <si>
    <t>RENAULT Laguna  01-, outer (27 32 56.5 92 62.5 I)</t>
  </si>
  <si>
    <t>850092 GSP</t>
  </si>
  <si>
    <t>850092 GSP - РЁР°СЂРЅС–СЂ Р РљРЁ</t>
  </si>
  <si>
    <t>412.45</t>
  </si>
  <si>
    <t>RENAULT Clio, Modus  05-, outer (23 29 49 86 57 I)</t>
  </si>
  <si>
    <t>850093 GSP</t>
  </si>
  <si>
    <t>850093 GSP - РЁР°СЂРЅС–СЂ Р РљРЁ</t>
  </si>
  <si>
    <t>445.58</t>
  </si>
  <si>
    <t>RENAULT Scenic  03-, outer (25 30 52.6 88 58 I)</t>
  </si>
  <si>
    <t>850112 GSP</t>
  </si>
  <si>
    <t>850112 GSP - РЁР°СЂРЅС–СЂ Р РљРЁ</t>
  </si>
  <si>
    <t>RENAULT Clio, Modus  05-, outer (23 28 49 83.5 54.5 I)</t>
  </si>
  <si>
    <t>850114 GSP</t>
  </si>
  <si>
    <t>850114 GSP - РЁР°СЂРЅС–СЂ Р РљРЁ</t>
  </si>
  <si>
    <t>550.11</t>
  </si>
  <si>
    <t>RENAULT Megane, Scenic  99-03, outer +ABS (44T 23 35 57.5 87 71 I)</t>
  </si>
  <si>
    <t>850116 GSP</t>
  </si>
  <si>
    <t>850116 GSP - РЁР°СЂРЅС–СЂ Р РљРЁ</t>
  </si>
  <si>
    <t>RENAULT Scenic  03-07, outer (25 22 52.6 88 55 I)</t>
  </si>
  <si>
    <t>851001 GSP</t>
  </si>
  <si>
    <t>851001 GSP - РЁР°СЂРЅС–СЂ Р РљРЁ</t>
  </si>
  <si>
    <t>HONDA Accord  96-98, outer +ABS (50T 28 32 60 89 61 I) (20918 Spidan)</t>
  </si>
  <si>
    <t>853001 GSP</t>
  </si>
  <si>
    <t>853001 GSP - РЁР°СЂРЅС–СЂ Р РљРЁ</t>
  </si>
  <si>
    <t>SKODA Octavia (1Z), outer (36 30 59.5 40 49 I) (23687 Spidan)</t>
  </si>
  <si>
    <t>853004 GSP</t>
  </si>
  <si>
    <t>853004 GSP - РЁР°СЂРЅС–СЂ Р РљРЁ</t>
  </si>
  <si>
    <t>VW Passat B3/B4, outer (22 30 51 78 61 I)</t>
  </si>
  <si>
    <t>853005 GSP</t>
  </si>
  <si>
    <t>853005 GSP - РЁР°СЂРЅС–СЂ Р РљРЁ</t>
  </si>
  <si>
    <t>VW Polo  95-01, outer (22 30 53 78.5 51 I) (23675 Spidan)</t>
  </si>
  <si>
    <t>853007 GSP</t>
  </si>
  <si>
    <t>853007 GSP - РЁР°СЂРЅС–СЂ Р РљРЁ</t>
  </si>
  <si>
    <t>393.91</t>
  </si>
  <si>
    <t>VW Golf III  95-01, outer (22 30 53.2 78 61 I) (22494 Spidan)</t>
  </si>
  <si>
    <t>853008 GSP</t>
  </si>
  <si>
    <t>853008 GSP - РЁР°СЂРЅС–СЂ Р РљРЁ</t>
  </si>
  <si>
    <t>344.14</t>
  </si>
  <si>
    <t>VW Caddy II  -03, outer (22 30 53 78.5 51 I) (22461 Spidan)</t>
  </si>
  <si>
    <t>854001 GSP</t>
  </si>
  <si>
    <t>854001 GSP - РЁР°СЂРЅС–СЂ Р РљРЁ</t>
  </si>
  <si>
    <t>340.36</t>
  </si>
  <si>
    <t>SKODA Felicia  -02, outer (22 22 45 82 53.5 I) (20639 Spidan)</t>
  </si>
  <si>
    <t>856009 GSP</t>
  </si>
  <si>
    <t>856009 GSP - РЁР°СЂРЅС–СЂ Р РљРЁ</t>
  </si>
  <si>
    <t>541.52</t>
  </si>
  <si>
    <t>SUBARU Impreza  05-, outer +ABS (44T 27 30 56 86.5 63 M)</t>
  </si>
  <si>
    <t>856041 GSP</t>
  </si>
  <si>
    <t>856041 GSP - РЁР°СЂРЅС–СЂ Р РљРЁ</t>
  </si>
  <si>
    <t>449.87</t>
  </si>
  <si>
    <t>SUBARU Forester (SG)  02-07, outer +ABS (44T 27 23 56 87 61 M)</t>
  </si>
  <si>
    <t>856042 GSP</t>
  </si>
  <si>
    <t>856042 GSP - РЁР°СЂРЅС–СЂ Р РљРЁ</t>
  </si>
  <si>
    <t>SUBARU LEGACY IV  03-08, outer (27 30 52 76 54 M)</t>
  </si>
  <si>
    <t>857009 GSP</t>
  </si>
  <si>
    <t>857009 GSP - РЁР°СЂРЅС–СЂ Р РљРЁ</t>
  </si>
  <si>
    <t>SUZUKI Vitara, Grand Vitara  -05, outer (26 30 48 116 65.5 I)</t>
  </si>
  <si>
    <t>857042 GSP</t>
  </si>
  <si>
    <t>857042 GSP - РЁР°СЂРЅС–СЂ Р РљРЁ</t>
  </si>
  <si>
    <t>439.06</t>
  </si>
  <si>
    <t>SUZUKI Swift  04-, outer +ABS (43T 25 29 49 82 61 I)</t>
  </si>
  <si>
    <t>859001 GSP</t>
  </si>
  <si>
    <t>859001 GSP - РЁР°СЂРЅС–СЂ Р РљРЁ</t>
  </si>
  <si>
    <t>TOYOTA Camry, Carina, Corolla, RAV 4  -00, outer (26 24 56 95.5 55 I) (22305 Spidan)</t>
  </si>
  <si>
    <t>859006 GSP</t>
  </si>
  <si>
    <t>859006 GSP - РЁР°СЂРЅС–СЂ Р РљРЁ</t>
  </si>
  <si>
    <t>TOYOTA Carina E, Corolla  -02, outer +ABS (48T 26 23 56 95.5 55 I) (23971 Spidan)</t>
  </si>
  <si>
    <t>859019 GSP</t>
  </si>
  <si>
    <t>859019 GSP - РЁР°СЂРЅС–СЂ Р РљРЁ</t>
  </si>
  <si>
    <t>TOYOTA Carina, Corolla, RAV4  -00, outer (48T 26 24 56 95.5 55 I) (22307 Spidan)</t>
  </si>
  <si>
    <t>859020 GSP</t>
  </si>
  <si>
    <t>859020 GSP - РЁР°СЂРЅС–СЂ Р РљРЁ</t>
  </si>
  <si>
    <t>TOYOTA Carina, Corolla  00-02, outer (26 23 56 96.5 55 I) (22311 Spidan)</t>
  </si>
  <si>
    <t>859021 GSP</t>
  </si>
  <si>
    <t>859021 GSP - РЁР°СЂРЅС–СЂ Р РљРЁ</t>
  </si>
  <si>
    <t>TOYOTA Carina, Corolla  00-02, outer +ABS (48T 26 23 56 96.5 55 I)</t>
  </si>
  <si>
    <t>859022 GSP</t>
  </si>
  <si>
    <t>859022 GSP - РЁР°СЂРЅС–СЂ Р РљРЁ</t>
  </si>
  <si>
    <t>TOYOTA Avensis  97-03, Right, outer +ABS (48T 26 23 56 99 61 M) (21843 Spidan)</t>
  </si>
  <si>
    <t>859024 GSP</t>
  </si>
  <si>
    <t>859024 GSP - РЁР°СЂРЅС–СЂ Р РљРЁ</t>
  </si>
  <si>
    <t>TOYOTA Avensis 2.0D-4D  97-03, outer +ABS (48T 26 24 56 99 61 M) (21297 Spidan)</t>
  </si>
  <si>
    <t>859027 GSP</t>
  </si>
  <si>
    <t>859027 GSP - РЁР°СЂРЅС–СЂ Р РљРЁ</t>
  </si>
  <si>
    <t>LEXUS LX470, outer (30 24 59 180 71 I)</t>
  </si>
  <si>
    <t>859028 GSP</t>
  </si>
  <si>
    <t>859028 GSP - РЁР°СЂРЅС–СЂ Р РљРЁ</t>
  </si>
  <si>
    <t>TOYOTA Avensis, Auris  97-, outer +ABS (48T 26 22 56 99 61 M) (24554 Spidan)</t>
  </si>
  <si>
    <t>859034 GSP</t>
  </si>
  <si>
    <t>859034 GSP - РЁР°СЂРЅС–СЂ Р РљРЁ</t>
  </si>
  <si>
    <t>TOYOTA Land Cruiser (J90)  -02, outer (30 27 69 122.5 64.5 I)</t>
  </si>
  <si>
    <t>859085 GSP</t>
  </si>
  <si>
    <t>859085 GSP - РЁР°СЂРЅС–СЂ Р РљРЁ</t>
  </si>
  <si>
    <t>890.47</t>
  </si>
  <si>
    <t>LEXUS LX470, outer (30 30 72.58 176 78 I)</t>
  </si>
  <si>
    <t>859107 GSP</t>
  </si>
  <si>
    <t>859107 GSP - РЁР°СЂРЅС–СЂ Р РљРЁ</t>
  </si>
  <si>
    <t>604.00</t>
  </si>
  <si>
    <t>TOYOTA Land Cruiser Prado (J120), outer (30 30 70 103.5 82.5 I)</t>
  </si>
  <si>
    <t>859120 GSP</t>
  </si>
  <si>
    <t>859120 GSP - РЁР°СЂРЅС–СЂ Р РљРЁ</t>
  </si>
  <si>
    <t>468.06</t>
  </si>
  <si>
    <t>TOYOTA Carina E, RAV4  -00, outer +ABS (48T 26 24 56 95.5 55 I) (23970 Spidan)</t>
  </si>
  <si>
    <t>859137 GSP</t>
  </si>
  <si>
    <t>859137 GSP - РЁР°СЂРЅС–СЂ Р РљРЁ</t>
  </si>
  <si>
    <t>TOYOTA Yaris  01-05, outer +ABS (48T 24 23 58 91 52.5 I) (24391 Spidan)</t>
  </si>
  <si>
    <t>859153 GSP</t>
  </si>
  <si>
    <t>859153 GSP - РЁР°СЂРЅС–СЂ Р РљРЁ</t>
  </si>
  <si>
    <t>451.58</t>
  </si>
  <si>
    <t>TOYOTA Corolla, Prius 1.8  00-, outer +ABS (48T 26 24 58 96 52.5 I)</t>
  </si>
  <si>
    <t>859175 GSP</t>
  </si>
  <si>
    <t>859175 GSP - РЁР°СЂРЅС–СЂ Р РљРЁ</t>
  </si>
  <si>
    <t>TOYOTA Camry (V30), RAV4  00-, outer +ABS (48T 26 27 63.3 100 59 M)</t>
  </si>
  <si>
    <t>859232 GSP</t>
  </si>
  <si>
    <t>859232 GSP - РЁР°СЂРЅС–СЂ Р РљРЁ</t>
  </si>
  <si>
    <t>350.49</t>
  </si>
  <si>
    <t>TOYOTA Yaris  05-, outer (26 20 55.6 95 46 M)</t>
  </si>
  <si>
    <t>860005 GSP</t>
  </si>
  <si>
    <t>860005 GSP - РЁР°СЂРЅС–СЂ Р РљРЁ</t>
  </si>
  <si>
    <t>578.26</t>
  </si>
  <si>
    <t>RENAULT Trafic  06-, outer (A:27/F:36/O:56.5) (24874 Spidan)</t>
  </si>
  <si>
    <t>861003 GSP</t>
  </si>
  <si>
    <t>861003 GSP - РЁР°СЂРЅС–СЂ Р РљРЁ</t>
  </si>
  <si>
    <t>373.49</t>
  </si>
  <si>
    <t>VW T4, outer (A:38/F:33/X) (20595 Spidan)</t>
  </si>
  <si>
    <t>861004 GSP</t>
  </si>
  <si>
    <t>861004 GSP - РЁР°СЂРЅС–СЂ Р РљРЁ</t>
  </si>
  <si>
    <t>VW T4, outer +ABS (48T 38 33 60.2 34.5 65 I) (20596 Spidan)</t>
  </si>
  <si>
    <t>861005 GSP</t>
  </si>
  <si>
    <t>861005 GSP - РЁР°СЂРЅС–СЂ Р РљРЁ</t>
  </si>
  <si>
    <t>393.40</t>
  </si>
  <si>
    <t>VW T4, outer (A:38/F:27/X) (21945 Spidan)</t>
  </si>
  <si>
    <t>861006 GSP</t>
  </si>
  <si>
    <t>861006 GSP - РЁР°СЂРЅС–СЂ Р РљРЁ</t>
  </si>
  <si>
    <t>408.67</t>
  </si>
  <si>
    <t>VW T4, outer +ABS (48T 38 27 60.2 34.5 65 I) (21946 Spidan)</t>
  </si>
  <si>
    <t>861009 GSP</t>
  </si>
  <si>
    <t>861009 GSP - РЁР°СЂРЅС–СЂ Р РљРЁ</t>
  </si>
  <si>
    <t>VW T5, Rear, outer (38 27 63 102 66 M) (23979 Spidan)</t>
  </si>
  <si>
    <t>861011 GSP</t>
  </si>
  <si>
    <t>861011 GSP - РЁР°СЂРЅС–СЂ Р РљРЁ</t>
  </si>
  <si>
    <t>529.17</t>
  </si>
  <si>
    <t>VW T5, outer (38 29 63 102.5 70 M) (23981 Spidan)</t>
  </si>
  <si>
    <t>861012 GSP</t>
  </si>
  <si>
    <t>861012 GSP - РЁР°СЂРЅС–СЂ Р РљРЁ</t>
  </si>
  <si>
    <t>SKODA Supperb (3U), outer +ABS (45W 33 30 53 30 62 I) (21812 Spidan)</t>
  </si>
  <si>
    <t>861050 GSP</t>
  </si>
  <si>
    <t>861050 GSP - РЁР°СЂРЅС–СЂ Р РљРЁ</t>
  </si>
  <si>
    <t>567.10</t>
  </si>
  <si>
    <t>AUDI Q7 (4L), VW TOUAREG (7LA, 7L6, 7L7)  -10, Front, outer (30 27 64 103.5 63.5 M) (24237 Spidan)</t>
  </si>
  <si>
    <t>862003 GSP</t>
  </si>
  <si>
    <t>862003 GSP - РЁР°СЂРЅС–СЂ Р РљРЁ</t>
  </si>
  <si>
    <t>VOLVO S40/V40  95-04, outer +ABS (43T 25 25 54 95 61 O) (20928 Spidan)</t>
  </si>
  <si>
    <t>862008 GSP</t>
  </si>
  <si>
    <t>862008 GSP - РЁР°СЂРЅС–СЂ Р РљРЁ</t>
  </si>
  <si>
    <t>VOLVO S40/V40  95-04, outer +ABS (43T 25 33 54 95 61 M) (20583 Spidan)</t>
  </si>
  <si>
    <t>862009 GSP</t>
  </si>
  <si>
    <t>862009 GSP - РЁР°СЂРЅС–СЂ Р РљРЁ</t>
  </si>
  <si>
    <t>VOLVO S60, S70/V70, S80  98-06, outer +ABS (48T 36 27 56.5 48 66 M) (21299 Spidan)</t>
  </si>
  <si>
    <t>862010 GSP</t>
  </si>
  <si>
    <t>862010 GSP - РЁР°СЂРЅС–СЂ Р РљРЁ</t>
  </si>
  <si>
    <t>VOLVO C70, S60, S70  97-10, outer +ABS (48T 36 33 56.5 48 58 M) (20431 Spidan)</t>
  </si>
  <si>
    <t>899018 GSP</t>
  </si>
  <si>
    <t>899018 GSP - РЁР°СЂРЅС–СЂ Р РљРЁ</t>
  </si>
  <si>
    <t>365.42</t>
  </si>
  <si>
    <t>OPEL Corsa D  06-, outer (22 27 51 79.5 54 O)</t>
  </si>
  <si>
    <t>899042 GSP</t>
  </si>
  <si>
    <t>899042 GSP - РЁР°СЂРЅС–СЂ Р РљРЁ</t>
  </si>
  <si>
    <t>MAZDA 626 (GF)  97-02, outer (28 22 56 89.1 59.5 I) (21200 Spidan)</t>
  </si>
  <si>
    <t>899085 GSP</t>
  </si>
  <si>
    <t>899085 GSP - РЁР°СЂРЅС–СЂ Р РљРЁ</t>
  </si>
  <si>
    <t>RENAULT Clio, Logan, Megane, Modus  04-, outer (23 30 49 86 59 I)</t>
  </si>
  <si>
    <t>899155 GSP</t>
  </si>
  <si>
    <t>899155 GSP - РЁР°СЂРЅС–СЂ Р РљРЁ</t>
  </si>
  <si>
    <t>FORD C-Max 2.0TDCi  04-, outer (36 26 56 48 64 I)</t>
  </si>
  <si>
    <t>899205 GSP</t>
  </si>
  <si>
    <t>899205 GSP - РЁР°СЂРЅС–СЂ Р РљРЁ</t>
  </si>
  <si>
    <t>381.21</t>
  </si>
  <si>
    <t>OPEL Ascona, Cadett  81-94, outer (A:33/F:25) (21455 Spidan)</t>
  </si>
  <si>
    <t>899213 GSP</t>
  </si>
  <si>
    <t>899213 GSP - РЁР°СЂРЅС–СЂ Р РљРЁ</t>
  </si>
  <si>
    <t>502.91</t>
  </si>
  <si>
    <t>RENAULT Megane, Scenic  02-, outer (25 33 53 88 61.5 I)</t>
  </si>
  <si>
    <t>899225 GSP</t>
  </si>
  <si>
    <t>899225 GSP - РЁР°СЂРЅС–СЂ Р РљРЁ</t>
  </si>
  <si>
    <t>HONDA Civic  95-01, outer +ABS (50T 26 32 55 78.5 56.5 I) (21529 Spidan)</t>
  </si>
  <si>
    <t>899282 GSP</t>
  </si>
  <si>
    <t>899282 GSP - РЁР°СЂРЅС–СЂ Р РљРЁ</t>
  </si>
  <si>
    <t>372.63</t>
  </si>
  <si>
    <t>TOYOTA Yaris  01-, outer +ABS (48T 24 28 56 90 53 O) (24455 Spidan)</t>
  </si>
  <si>
    <t>899283 GSP</t>
  </si>
  <si>
    <t>899283 GSP - РЁР°СЂРЅС–СЂ Р РљРЁ</t>
  </si>
  <si>
    <t>423.61</t>
  </si>
  <si>
    <t>RENAULT Kangoo, Scenic  01-, outer +ABS (44T 23 23 58.8 85 61 M)</t>
  </si>
  <si>
    <t>899288 GSP</t>
  </si>
  <si>
    <t>899288 GSP - РЁР°СЂРЅС–СЂ Р РљРЁ</t>
  </si>
  <si>
    <t>FORD Focus, C-Max  04-, outer (A:36/F:26/O:56/Z) (24711 Spidan)</t>
  </si>
  <si>
    <t>9225020K GSP</t>
  </si>
  <si>
    <t>9225020K GSP - РЎС‚СѓРїРёС†СЏ РєРѕР»РµСЃР°</t>
  </si>
  <si>
    <t>460.00</t>
  </si>
  <si>
    <t>9225020K</t>
  </si>
  <si>
    <t>RENAULT Espace II, Fuego, Megane I Grandtour, R 5 Express, R 18, R 21, R 25, Rear L/R</t>
  </si>
  <si>
    <t>9225021K GSP</t>
  </si>
  <si>
    <t>9225021K GSP - РЎС‚СѓРїРёС†СЏ РєРѕР»РµСЃР°</t>
  </si>
  <si>
    <t>521.96</t>
  </si>
  <si>
    <t>9225021K</t>
  </si>
  <si>
    <t>CHEVROLET Aveo (T200 ,T250), Rear L/R, +ABS</t>
  </si>
  <si>
    <t>9225026K GSP</t>
  </si>
  <si>
    <t>9225026K GSP - РЎС‚СѓРїРёС†СЏ РєРѕР»РµСЃР°</t>
  </si>
  <si>
    <t>712.13</t>
  </si>
  <si>
    <t>9225026K</t>
  </si>
  <si>
    <t>RENAULT Kangoo  97-, Rear L/R, +ABS</t>
  </si>
  <si>
    <t>9228036K GSP</t>
  </si>
  <si>
    <t>9228036K GSP - РЎС‚СѓРїРёС†СЏ РєРѕР»РµСЃР°</t>
  </si>
  <si>
    <t>510.63</t>
  </si>
  <si>
    <t>9228036K</t>
  </si>
  <si>
    <t>AUDI A2, SKODA Fabia, VW Polo  00-, Rear L/R, +ABS</t>
  </si>
  <si>
    <t>9230046K GSP</t>
  </si>
  <si>
    <t>9230046K GSP - РЎС‚СѓРїРёС†СЏ РєРѕР»РµСЃР°</t>
  </si>
  <si>
    <t>417.60</t>
  </si>
  <si>
    <t>9230046K</t>
  </si>
  <si>
    <t>PEUGEOT Bipper  10-, Rear L/R, +ABS</t>
  </si>
  <si>
    <t>9230047K GSP</t>
  </si>
  <si>
    <t>9230047K GSP - РЎС‚СѓРїРёС†СЏ РєРѕР»РµСЃР°  !!!Р—Р°РјС–РЅР° РґР»СЏ 9230047</t>
  </si>
  <si>
    <t>477.50</t>
  </si>
  <si>
    <t>9230047K</t>
  </si>
  <si>
    <t>FIAT Doblo  01-, Rear L/R, +ABS</t>
  </si>
  <si>
    <t>9230058K GSP</t>
  </si>
  <si>
    <t>9230058K GSP - РЎС‚СѓРїРёС†СЏ РєРѕР»РµСЃР°  !!!Р—Р°РјС–РЅР° РґР»СЏ 9230058</t>
  </si>
  <si>
    <t>9230058K</t>
  </si>
  <si>
    <t>NISSAN Primera  96-, Rear L/R, +ABS</t>
  </si>
  <si>
    <t>9230082K GSP</t>
  </si>
  <si>
    <t>9230082K GSP - РЎС‚СѓРїРёС†СЏ РєРѕР»РµСЃР°</t>
  </si>
  <si>
    <t>581.52</t>
  </si>
  <si>
    <t>9230082K</t>
  </si>
  <si>
    <t>AUDI A3| SEAT Altea| VW Caddy III, Golf V, Passat, Touran| SKODA Octavia  03-, Rear L/R, +ABS</t>
  </si>
  <si>
    <t>9230087K GSP</t>
  </si>
  <si>
    <t>9230087K GSP - РЎС‚СѓРїРёС†СЏ РєРѕР»РµСЃР°  !!!Р—Р°РјС–РЅР° РґР»СЏ 9230087</t>
  </si>
  <si>
    <t>9230087K</t>
  </si>
  <si>
    <t>MITSUBISHI Lancer, Outlander (5 Р±РѕР»С‚С–РІ, 2WD)  03-, Rear L/R, +ABS</t>
  </si>
  <si>
    <t>9231001K GSP</t>
  </si>
  <si>
    <t>9231001K GSP - РЎС‚СѓРїРёС†СЏ РєРѕР»РµСЃР°  !!!Р—Р°РјС–РЅР° РґР»СЏ 9231001</t>
  </si>
  <si>
    <t>9231001K</t>
  </si>
  <si>
    <t>BMW 3 (E30), Front L/R, +ABS</t>
  </si>
  <si>
    <t>9232012K GSP</t>
  </si>
  <si>
    <t>9232012K GSP - РЎС‚СѓРїРёС†СЏ РєРѕР»РµСЃР°  !!!Р—Р°РјС–РЅР° РґР»СЏ 9232012</t>
  </si>
  <si>
    <t>597.65</t>
  </si>
  <si>
    <t>9232012K</t>
  </si>
  <si>
    <t>CITROEN Berlingo  96-, Rear L/R, +ABS</t>
  </si>
  <si>
    <t>9232014K GSP</t>
  </si>
  <si>
    <t>9232014K GSP - РЎС‚СѓРїРёС†СЏ РєРѕР»РµСЃР°</t>
  </si>
  <si>
    <t>9232014K</t>
  </si>
  <si>
    <t>AUDI A4  00-09, Rear L/R, +ABS</t>
  </si>
  <si>
    <t>9232026K GSP</t>
  </si>
  <si>
    <t>9232026K GSP - РЎС‚СѓРїРёС†СЏ РєРѕР»РµСЃР°  !!!Р—Р°РјС–РЅР° РґР»СЏ 9232026</t>
  </si>
  <si>
    <t>672.31</t>
  </si>
  <si>
    <t>9232026K</t>
  </si>
  <si>
    <t>AUDI A6/Avant/Allroad 2.0TDI-3.2FSI  04-, Rear L/R, +ABS</t>
  </si>
  <si>
    <t>9232028K GSP</t>
  </si>
  <si>
    <t>9232028K GSP - РЎС‚СѓРїРёС†СЏ РєРѕР»РµСЃР°</t>
  </si>
  <si>
    <t>472.35</t>
  </si>
  <si>
    <t>9232028K</t>
  </si>
  <si>
    <t>CITROEN Berlingo II  02-04, Rear L/R, +ABS</t>
  </si>
  <si>
    <t>9233005K GSP</t>
  </si>
  <si>
    <t>9233005K GSP - РЎС‚СѓРїРёС†СЏ РєРѕР»РµСЃР°  !!!Р—Р°РјС–РЅР° РґР»СЏ 9233005</t>
  </si>
  <si>
    <t>591.99</t>
  </si>
  <si>
    <t>9233005K</t>
  </si>
  <si>
    <t>HYUNDAI Tucson (JM), KIA Sportage (JE_)  04-, Rear L/R, +ABS</t>
  </si>
  <si>
    <t>9235001K GSP</t>
  </si>
  <si>
    <t>9235001K GSP - РЎС‚СѓРїРёС†СЏ РєРѕР»РµСЃР°  !!!Р—Р°РјС–РЅР° РґР»СЏ 9235001</t>
  </si>
  <si>
    <t>612.07</t>
  </si>
  <si>
    <t>9235001K</t>
  </si>
  <si>
    <t>OPEL Omega A, B  86-03, Front L/R, +ABS</t>
  </si>
  <si>
    <t>9242008K GSP</t>
  </si>
  <si>
    <t>9242008K GSP - РЎС‚СѓРїРёС†СЏ РєРѕР»РµСЃР°</t>
  </si>
  <si>
    <t>1315.28</t>
  </si>
  <si>
    <t>9242008K</t>
  </si>
  <si>
    <t>CITROEN Jumper, FIAT Ducato, PEUGEOT Boxer  06-, Rear L/R, +ABS</t>
  </si>
  <si>
    <t>9245001K GSP</t>
  </si>
  <si>
    <t>9245001K GSP - РЎС‚СѓРїРёС†СЏ РєРѕР»РµСЃР°</t>
  </si>
  <si>
    <t>9245001K</t>
  </si>
  <si>
    <t>BMW 5 (E39), Rear L/R</t>
  </si>
  <si>
    <t>9245007K GSP</t>
  </si>
  <si>
    <t>9245007K GSP - РЎС‚СѓРїРёС†СЏ РєРѕР»РµСЃР°</t>
  </si>
  <si>
    <t>653.95</t>
  </si>
  <si>
    <t>9245007K</t>
  </si>
  <si>
    <t>AUDI A6, A8  04-, Front L/R, +ABS</t>
  </si>
  <si>
    <t>9251002K GSP</t>
  </si>
  <si>
    <t>9251002K GSP - РЎС‚СѓРїРёС†СЏ РєРѕР»РµСЃР°</t>
  </si>
  <si>
    <t>656.52</t>
  </si>
  <si>
    <t>9251002K</t>
  </si>
  <si>
    <t>PORSCHE Cayenne| VW Touareg  10-, Rear L/R, +ABS</t>
  </si>
  <si>
    <t>9325018K GSP</t>
  </si>
  <si>
    <t>9325018K GSP - РЎС‚СѓРїРёС†СЏ РєРѕР»РµСЃР°</t>
  </si>
  <si>
    <t>790.23</t>
  </si>
  <si>
    <t>9325018K</t>
  </si>
  <si>
    <t>CITROEN C-Crosser  07-| DODGE Caliber  06-| JEEP Compas, Patriot  06-, Rear L/R, +ABS</t>
  </si>
  <si>
    <t>9325019K GSP</t>
  </si>
  <si>
    <t>9325019K GSP - РЎС‚СѓРїРёС†СЏ РєРѕР»РµСЃР°</t>
  </si>
  <si>
    <t>757.96</t>
  </si>
  <si>
    <t>9325019K</t>
  </si>
  <si>
    <t>NISSAN Qashqai 4WD  07-, Rear L/R</t>
  </si>
  <si>
    <t>9326014K GSP</t>
  </si>
  <si>
    <t>9326014K GSP - РЎС‚СѓРїРёС†СЏ РєРѕР»РµСЃР°</t>
  </si>
  <si>
    <t>780.96</t>
  </si>
  <si>
    <t>9326014K</t>
  </si>
  <si>
    <t>CHRYSLER Voyager V  04-08, Front L/R</t>
  </si>
  <si>
    <t>9328002 GSP</t>
  </si>
  <si>
    <t>9328002 GSP - РЎС‚СѓРїРёС†СЏ РєРѕР»РµСЃР°</t>
  </si>
  <si>
    <t>1274.60</t>
  </si>
  <si>
    <t>HONDA CR-V III  07-, Rear L/R</t>
  </si>
  <si>
    <t>9330008K GSP</t>
  </si>
  <si>
    <t>9330008K GSP - РЎС‚СѓРїРёС†СЏ РєРѕР»РµСЃР°  !!!Р—Р°РјС–РЅР° РґР»СЏ 9330008</t>
  </si>
  <si>
    <t>1308.93</t>
  </si>
  <si>
    <t>9330008K</t>
  </si>
  <si>
    <t>CHEVROLET Captiva  06-, Rear L/R, +ABS</t>
  </si>
  <si>
    <t>9330026K GSP</t>
  </si>
  <si>
    <t>9330026K GSP - РЎС‚СѓРїРёС†СЏ РєРѕР»РµСЃР°</t>
  </si>
  <si>
    <t>1112.06</t>
  </si>
  <si>
    <t>9330026K</t>
  </si>
  <si>
    <t>BMW X5 (E70), X6 (E71)  07-, Front L/R, +ABS</t>
  </si>
  <si>
    <t>9333052K GSP</t>
  </si>
  <si>
    <t>9333052K GSP - РЎС‚СѓРїРёС†СЏ РєРѕР»РµСЃР°</t>
  </si>
  <si>
    <t>1142.95</t>
  </si>
  <si>
    <t>9333052K</t>
  </si>
  <si>
    <t>MITSUBISHI Pajero  00-06, Rear L/R</t>
  </si>
  <si>
    <t>9333070K GSP</t>
  </si>
  <si>
    <t>9333070K GSP - РЎС‚СѓРїРёС†СЏ РєРѕР»РµСЃР°</t>
  </si>
  <si>
    <t>1002.03</t>
  </si>
  <si>
    <t>9333070K</t>
  </si>
  <si>
    <t>OPEL Astra H  04- (5РѕС‚РІСЂ.), Front L/R, +ABS</t>
  </si>
  <si>
    <t>9336001K GSP</t>
  </si>
  <si>
    <t>9336001K GSP - РЎС‚СѓРїРёС†СЏ РєРѕР»РµСЃР°</t>
  </si>
  <si>
    <t>668.02</t>
  </si>
  <si>
    <t>9336001K</t>
  </si>
  <si>
    <t>AUDI A2| VW Polo,Fox| SKODA Fabia  99-, Front L/R, +ABS</t>
  </si>
  <si>
    <t>9336008 GSP</t>
  </si>
  <si>
    <t>9336008 GSP - РЎС‚СѓРїРёС†СЏ РєРѕР»РµСЃР°</t>
  </si>
  <si>
    <t>834.00</t>
  </si>
  <si>
    <t>MAZDA 3 (BK)  07-, Front L/R, +ABS</t>
  </si>
  <si>
    <t>9338001K GSP</t>
  </si>
  <si>
    <t>9338001K GSP - РЎС‚СѓРїРёС†СЏ РєРѕР»РµСЃР°</t>
  </si>
  <si>
    <t>812.37</t>
  </si>
  <si>
    <t>9338001K</t>
  </si>
  <si>
    <t>VW T5, Touareg  03-, Front L/R, +ABS</t>
  </si>
  <si>
    <t>9400008 GSP</t>
  </si>
  <si>
    <t>9400008 GSP - РЎС‚СѓРїРёС†СЏ РєРѕР»РµСЃР°</t>
  </si>
  <si>
    <t>910.38</t>
  </si>
  <si>
    <t>TOYOTA Yaris  99-05, Rear L/R, +ABS</t>
  </si>
  <si>
    <t>9400049 GSP</t>
  </si>
  <si>
    <t>9400049 GSP - РЎС‚СѓРїРёС†СЏ РєРѕР»РµСЃР°</t>
  </si>
  <si>
    <t>1032.24</t>
  </si>
  <si>
    <t>CHEVROLET Lacetti (J200)  05-12, Rear L/R, +ABS</t>
  </si>
  <si>
    <t>9400068 GSP</t>
  </si>
  <si>
    <t>9400068 GSP - РЎС‚СѓРїРёС†СЏ РєРѕР»РµСЃР°</t>
  </si>
  <si>
    <t>895.45</t>
  </si>
  <si>
    <t>HONDA Accord  03-08, Rear L/R, +ABS</t>
  </si>
  <si>
    <t>9400072K GSP</t>
  </si>
  <si>
    <t>9400072K GSP - РЎС‚СѓРїРёС†СЏ РєРѕР»РµСЃР°  !!!Р—Р°РјС–РЅР° РґР»СЏ 9400176K</t>
  </si>
  <si>
    <t>948.65</t>
  </si>
  <si>
    <t>9400072K</t>
  </si>
  <si>
    <t>MITSUBISHI ASX, Lancer X  08-, Rear L/R, +ABS (#DODGE AVENGER 07-| CALIBER 06-)</t>
  </si>
  <si>
    <t>9400088 GSP</t>
  </si>
  <si>
    <t>9400088 GSP - РЎС‚СѓРїРёС†СЏ РєРѕР»РµСЃР°</t>
  </si>
  <si>
    <t>851.85</t>
  </si>
  <si>
    <t>MITSUBISHI Galant  96-03, Rear L/R, +ABS</t>
  </si>
  <si>
    <t>9400096 GSP</t>
  </si>
  <si>
    <t>9400096 GSP - РЎС‚СѓРїРёС†СЏ РєРѕР»РµСЃР°</t>
  </si>
  <si>
    <t>985.04</t>
  </si>
  <si>
    <t>NISSAN Tiida (C11X/SC11X)  07-, Rear L/R, +ABS</t>
  </si>
  <si>
    <t>9400106 GSP</t>
  </si>
  <si>
    <t>9400106 GSP - РЎС‚СѓРїРёС†СЏ РєРѕР»РµСЃР°</t>
  </si>
  <si>
    <t>886.69</t>
  </si>
  <si>
    <t>MAZDA 3  03-, Rear L/R, +ABS</t>
  </si>
  <si>
    <t>9400130K GSP</t>
  </si>
  <si>
    <t>9400130K GSP - РЎС‚СѓРїРёС†СЏ РєРѕР»РµСЃР°  !!!Р—Р°РјС–РЅР° РґР»СЏ 9400130</t>
  </si>
  <si>
    <t>944.36</t>
  </si>
  <si>
    <t>9400130K</t>
  </si>
  <si>
    <t>HYUNDAI Accent, i10, i20, Kia Rio  04-, Rear L/R, +ABS</t>
  </si>
  <si>
    <t>9400135K GSP</t>
  </si>
  <si>
    <t>9400135K GSP - РЎС‚СѓРїРёС†СЏ РєРѕР»РµСЃР°</t>
  </si>
  <si>
    <t>951.06</t>
  </si>
  <si>
    <t>9400135K</t>
  </si>
  <si>
    <t>MITSUBISHI Colt VI, SMART ForFour  04-, Rear L/R, +ABS</t>
  </si>
  <si>
    <t>9400136K GSP</t>
  </si>
  <si>
    <t>9400136K GSP - РЎС‚СѓРїРёС†СЏ РєРѕР»РµСЃР°  !!!Р—Р°РјС–РЅР° РґР»СЏ 9400136</t>
  </si>
  <si>
    <t>774.10</t>
  </si>
  <si>
    <t>9400136K</t>
  </si>
  <si>
    <t>FORD Fiesta  08-, Rear L/R, +ABS</t>
  </si>
  <si>
    <t>9400140 GSP</t>
  </si>
  <si>
    <t>9400140 GSP - РЎС‚СѓРїРёС†СЏ РєРѕР»РµСЃР°</t>
  </si>
  <si>
    <t>1077.21</t>
  </si>
  <si>
    <t>MAZDA 6 (GH)  08-13, Rear L/R, +ABS</t>
  </si>
  <si>
    <t>9400153K GSP</t>
  </si>
  <si>
    <t>9400153K GSP - РЎС‚СѓРїРёС†СЏ РєРѕР»РµСЃР°</t>
  </si>
  <si>
    <t>970.28</t>
  </si>
  <si>
    <t>9400153K</t>
  </si>
  <si>
    <t>OPEL Aatra H  04- (4 РѕС‚РІСЂ.), Rear L/R, +ABS</t>
  </si>
  <si>
    <t>9400170K GSP</t>
  </si>
  <si>
    <t>9400170K GSP - РЎС‚СѓРїРёС†СЏ РєРѕР»РµСЃР°</t>
  </si>
  <si>
    <t>719.86</t>
  </si>
  <si>
    <t>9400170K</t>
  </si>
  <si>
    <t>BMW 5 (E60/E61)  03-, Front L/R, +ABS</t>
  </si>
  <si>
    <t>9400190 GSP</t>
  </si>
  <si>
    <t>9400190 GSP - РЎС‚СѓРїРёС†СЏ РєРѕР»РµСЃР°</t>
  </si>
  <si>
    <t>942.99</t>
  </si>
  <si>
    <t>HYUNDAI Santa Fe, KIA Sorento II  06-, Rear L/R, +ABS</t>
  </si>
  <si>
    <t>9400193K GSP</t>
  </si>
  <si>
    <t>9400193K GSP - РЎС‚СѓРїРёС†СЏ РєРѕР»РµСЃР°</t>
  </si>
  <si>
    <t>1069.49</t>
  </si>
  <si>
    <t>9400193K</t>
  </si>
  <si>
    <t>CHEVROLET Cruze, Orlando, Zafira C  09-, Rear L/R, +ABS</t>
  </si>
  <si>
    <t>9400194 GSP</t>
  </si>
  <si>
    <t>9400194 GSP - РЎС‚СѓРїРёС†СЏ РєРѕР»РµСЃР°</t>
  </si>
  <si>
    <t>847.56</t>
  </si>
  <si>
    <t>NISSAN Qashqai (J10E/JJ10E) FWD  07-, Rear L/R, +ABS</t>
  </si>
  <si>
    <t>9400196K GSP</t>
  </si>
  <si>
    <t>9400196K GSP - РЎС‚СѓРїРёС†СЏ РєРѕР»РµСЃР°</t>
  </si>
  <si>
    <t>800.53</t>
  </si>
  <si>
    <t>9400196K</t>
  </si>
  <si>
    <t>AUDI A6  04-, Rear L/R, +ABS</t>
  </si>
  <si>
    <t>9400197K GSP</t>
  </si>
  <si>
    <t>9400197K GSP - РЎС‚СѓРїРёС†СЏ РєРѕР»РµСЃР°</t>
  </si>
  <si>
    <t>833.14</t>
  </si>
  <si>
    <t>9400197K</t>
  </si>
  <si>
    <t>FORD Galaxy, S-Max  06-, Rear L/R, +ABS</t>
  </si>
  <si>
    <t>9421004 GSP</t>
  </si>
  <si>
    <t>9421004 GSP - РЎС‚СѓРїРёС†СЏ РєРѕР»РµСЃР°</t>
  </si>
  <si>
    <t>247.85</t>
  </si>
  <si>
    <t>RENAULT 19, Kangoo, Laguna  88-, Front L/R</t>
  </si>
  <si>
    <t>9423003 GSP</t>
  </si>
  <si>
    <t>9423003 GSP - РЎС‚СѓРїРёС†СЏ РєРѕР»РµСЃР°</t>
  </si>
  <si>
    <t>186.74</t>
  </si>
  <si>
    <t>RENAULT Logan, Front L/R</t>
  </si>
  <si>
    <t>9433004 GSP</t>
  </si>
  <si>
    <t>9433004 GSP - РЎС‚СѓРїРёС†СЏ РєРѕР»РµСЃР°</t>
  </si>
  <si>
    <t>261.24</t>
  </si>
  <si>
    <t>OPEL Vectra B, Front L/R</t>
  </si>
  <si>
    <t>GK0529 GSP</t>
  </si>
  <si>
    <t>GK0529 GSP - РљРѕРјРїР»РµРєС‚ РїС–РґС€РёРїРЅРёРєР° СЃС‚СѓРїРёС†С–</t>
  </si>
  <si>
    <t>129.93</t>
  </si>
  <si>
    <t>GK0529</t>
  </si>
  <si>
    <t>AUDI 80, 90, 100 76-91, VW Golf I-III 74-99, Passat 73-97, Rear L/R</t>
  </si>
  <si>
    <t>GK0542 GSP</t>
  </si>
  <si>
    <t>GK0542 GSP - РљРѕРјРїР»РµРєС‚ РїС–РґС€РёРїРЅРёРєР° СЃС‚СѓРїРёС†С–</t>
  </si>
  <si>
    <t>135.77</t>
  </si>
  <si>
    <t>GK0542</t>
  </si>
  <si>
    <t>AUDI 80, 90, 100, A4, A6  76-01, Rear L/R</t>
  </si>
  <si>
    <t>GK0596 GSP</t>
  </si>
  <si>
    <t>GK0596 GSP - РљРѕРјРїР»РµРєС‚ РїС–РґС€РёРїРЅРёРєР° СЃС‚СѓРїРёС†С–</t>
  </si>
  <si>
    <t>170.27</t>
  </si>
  <si>
    <t>GK0596</t>
  </si>
  <si>
    <t>MB W123/126| T207-309  72-96, Front L/R</t>
  </si>
  <si>
    <t>GK0757 GSP</t>
  </si>
  <si>
    <t>GK0757 GSP - РљРѕРјРїР»РµРєС‚ РїС–РґС€РёРїРЅРёРєР° СЃС‚СѓРїРёС†С–</t>
  </si>
  <si>
    <t>364.22</t>
  </si>
  <si>
    <t>GK0757</t>
  </si>
  <si>
    <t>MB W201, W202, W124, W210  82-02, Rear L/R</t>
  </si>
  <si>
    <t>GK0904 GSP</t>
  </si>
  <si>
    <t>GK0904 GSP - РљРѕРјРїР»РµРєС‚ РїС–РґС€РёРїРЅРёРєР° СЃС‚СѓРїРёС†С–</t>
  </si>
  <si>
    <t>143.83</t>
  </si>
  <si>
    <t>GK0904</t>
  </si>
  <si>
    <t>KIA Rio  00-05, Rear L/R</t>
  </si>
  <si>
    <t>GK0915 GSP</t>
  </si>
  <si>
    <t>GK0915 GSP - РљРѕРјРїР»РµРєС‚ РїС–РґС€РёРїРЅРёРєР° СЃС‚СѓРїРёС†С–</t>
  </si>
  <si>
    <t>342.94</t>
  </si>
  <si>
    <t>GK0915</t>
  </si>
  <si>
    <t>PEUGEOT 305, 405, Partner| CITROEN Berlingo, Xantia  96-, Front L/R</t>
  </si>
  <si>
    <t>GK0941 GSP</t>
  </si>
  <si>
    <t>GK0941 GSP - РљРѕРјРїР»РµРєС‚ РїС–РґС€РёРїРЅРёРєР° СЃС‚СѓРїРёС†С–</t>
  </si>
  <si>
    <t>155.68</t>
  </si>
  <si>
    <t>GK0941</t>
  </si>
  <si>
    <t>MB W201/W124  80-97, Front L/R</t>
  </si>
  <si>
    <t>GK1326 GSP</t>
  </si>
  <si>
    <t>GK1326 GSP - РљРѕРјРїР»РµРєС‚ РїС–РґС€РёРїРЅРёРєР° СЃС‚СѓРїРёС†С–</t>
  </si>
  <si>
    <t>269.99</t>
  </si>
  <si>
    <t>GK1326</t>
  </si>
  <si>
    <t>OPEL Omega A, B, Rear L/R</t>
  </si>
  <si>
    <t>GK1347 GSP</t>
  </si>
  <si>
    <t>GK1347 GSP - РљРѕРјРїР»РµРєС‚ РїС–РґС€РёРїРЅРёРєР° СЃС‚СѓРїРёС†С–</t>
  </si>
  <si>
    <t>323.37</t>
  </si>
  <si>
    <t>GK1347</t>
  </si>
  <si>
    <t>MB W124, Rear L/R</t>
  </si>
  <si>
    <t>GK1355 GSP</t>
  </si>
  <si>
    <t>GK1355 GSP - РљРѕРјРїР»РµРєС‚ РїС–РґС€РёРїРЅРёРєР° СЃС‚СѓРїРёС†С–</t>
  </si>
  <si>
    <t>303.12</t>
  </si>
  <si>
    <t>GK1355</t>
  </si>
  <si>
    <t>AUDI A4, A6| SKODA Superb| VW Passat  95-, Front L/R</t>
  </si>
  <si>
    <t>GK1369 GSP</t>
  </si>
  <si>
    <t>GK1369 GSP - РљРѕРјРїР»РµРєС‚ РїС–РґС€РёРїРЅРёРєР° СЃС‚СѓРїРёС†С–</t>
  </si>
  <si>
    <t>172.67</t>
  </si>
  <si>
    <t>GK1369</t>
  </si>
  <si>
    <t>HYUNDAI H100, H1  93-08, Front L/R</t>
  </si>
  <si>
    <t>GK1465 GSP</t>
  </si>
  <si>
    <t>GK1465 GSP - РљРѕРјРїР»РµРєС‚ РїС–РґС€РёРїРЅРёРєР° СЃС‚СѓРїРёС†С–</t>
  </si>
  <si>
    <t>180.39</t>
  </si>
  <si>
    <t>GK1465</t>
  </si>
  <si>
    <t>FORD Transit  85-00, Front L/R</t>
  </si>
  <si>
    <t>GK1480 GSP</t>
  </si>
  <si>
    <t>GK1480 GSP - РљРѕРјРїР»РµРєС‚ РїС–РґС€РёРїРЅРёРєР° СЃС‚СѓРїРёС†С–</t>
  </si>
  <si>
    <t>260.55</t>
  </si>
  <si>
    <t>GK1480</t>
  </si>
  <si>
    <t>FORD Mondeo  93-00, Front L/R</t>
  </si>
  <si>
    <t>GK3235 GSP</t>
  </si>
  <si>
    <t>GK3235 GSP - РљРѕРјРїР»РµРєС‚ РїС–РґС€РёРїРЅРёРєР° СЃС‚СѓРїРёС†С–</t>
  </si>
  <si>
    <t>322.51</t>
  </si>
  <si>
    <t>GK3235</t>
  </si>
  <si>
    <t>SUBARU Forester (SF, SG)  -05, Front L/R</t>
  </si>
  <si>
    <t>GK3236 GSP</t>
  </si>
  <si>
    <t>GK3236 GSP - РљРѕРјРїР»РµРєС‚ РїС–РґС€РёРїРЅРёРєР° СЃС‚СѓРїРёС†С–</t>
  </si>
  <si>
    <t>390.48</t>
  </si>
  <si>
    <t>GK3236</t>
  </si>
  <si>
    <t>SUBARU Forester (SF, SG)  -05, Rear L/R</t>
  </si>
  <si>
    <t>GK3246 GSP</t>
  </si>
  <si>
    <t>GK3246 GSP - РљРѕРјРїР»РµРєС‚ РїС–РґС€РёРїРЅРёРєР° СЃС‚СѓРїРёС†С–</t>
  </si>
  <si>
    <t>287.84</t>
  </si>
  <si>
    <t>GK3246</t>
  </si>
  <si>
    <t>HONDA Civic, HR-V  91-, Front L/R</t>
  </si>
  <si>
    <t>GK3255 GSP</t>
  </si>
  <si>
    <t>GK3255 GSP - РљРѕРјРїР»РµРєС‚ РїС–РґС€РёРїРЅРёРєР° СЃС‚СѓРїРёС†С–</t>
  </si>
  <si>
    <t>120.49</t>
  </si>
  <si>
    <t>GK3255</t>
  </si>
  <si>
    <t>= 06507FE DAEWOO Lanos, Rear L/R</t>
  </si>
  <si>
    <t>GK3403 GSP</t>
  </si>
  <si>
    <t>GK3403 GSP - РљРѕРјРїР»РµРєС‚ РїС–РґС€РёРїРЅРёРєР° СЃС‚СѓРїРёС†С–</t>
  </si>
  <si>
    <t>242.70</t>
  </si>
  <si>
    <t>GK3403</t>
  </si>
  <si>
    <t>OPEL Astra F, Vectra A, Front L/R</t>
  </si>
  <si>
    <t>GK3410 GSP</t>
  </si>
  <si>
    <t>GK3410 GSP - РљРѕРјРїР»РµРєС‚ РїС–РґС€РёРїРЅРёРєР° СЃС‚СѓРїРёС†С–</t>
  </si>
  <si>
    <t>GK3410</t>
  </si>
  <si>
    <t>OPEL Astra F, Omega B, Vectra A/B  90-03, Front L/R</t>
  </si>
  <si>
    <t>GK3423 GSP</t>
  </si>
  <si>
    <t>GK3423 GSP - РљРѕРјРїР»РµРєС‚ РїС–РґС€РёРїРЅРёРєР° СЃС‚СѓРїРёС†С–</t>
  </si>
  <si>
    <t>298.83</t>
  </si>
  <si>
    <t>GK3423</t>
  </si>
  <si>
    <t>CITROEN Jumpy| FIAT Scudo| PEUGEOT Expert  94-, Front L/R</t>
  </si>
  <si>
    <t>GK3429 GSP</t>
  </si>
  <si>
    <t>GK3429 GSP - РљРѕРјРїР»РµРєС‚ РїС–РґС€РёРїРЅРёРєР° СЃС‚СѓРїРёС†С–</t>
  </si>
  <si>
    <t>228.80</t>
  </si>
  <si>
    <t>GK3429</t>
  </si>
  <si>
    <t>FIAT Ducato, CITROEN Jumper, PEUGEOT Boxer !!!not1,8t  94-02, Rear L/R</t>
  </si>
  <si>
    <t>GK3430 GSP</t>
  </si>
  <si>
    <t>GK3430 GSP - РљРѕРјРїР»РµРєС‚ РїС–РґС€РёРїРЅРёРєР° СЃС‚СѓРїРёС†С–</t>
  </si>
  <si>
    <t>263.12</t>
  </si>
  <si>
    <t>GK3430</t>
  </si>
  <si>
    <t>FIAT Ducato, CITROEN Jumper, PEUGEOT Boxer 1,8t  94-02, Rear L/R</t>
  </si>
  <si>
    <t>GK3434 GSP</t>
  </si>
  <si>
    <t>GK3434 GSP - РљРѕРјРїР»РµРєС‚ РїС–РґС€РёРїРЅРёРєР° СЃС‚СѓРїРёС†С–</t>
  </si>
  <si>
    <t>271.19</t>
  </si>
  <si>
    <t>GK3434</t>
  </si>
  <si>
    <t>MB Transporter, Sprinter  81-06, Front L/R</t>
  </si>
  <si>
    <t>GK3449 GSP</t>
  </si>
  <si>
    <t>GK3449 GSP - РљРѕРјРїР»РµРєС‚ РїС–РґС€РёРїРЅРёРєР° СЃС‚СѓРїРёС†С–</t>
  </si>
  <si>
    <t>301.40</t>
  </si>
  <si>
    <t>GK3449</t>
  </si>
  <si>
    <t>VW Sharan  96-10, Front L/R</t>
  </si>
  <si>
    <t>GK3450 GSP</t>
  </si>
  <si>
    <t>GK3450 GSP - РљРѕРјРїР»РµРєС‚ РїС–РґС€РёРїРЅРёРєР° СЃС‚СѓРїРёС†С–</t>
  </si>
  <si>
    <t>297.97</t>
  </si>
  <si>
    <t>GK3450</t>
  </si>
  <si>
    <t>VW Sharan  96-10, Rear L/R</t>
  </si>
  <si>
    <t>GK3455A GSP</t>
  </si>
  <si>
    <t>GK3455A GSP - РљРѕРјРїР»РµРєС‚ РїС–РґС€РёРїРЅРёРєР° СЃС‚СѓРїРёС†С–</t>
  </si>
  <si>
    <t>GK3455A</t>
  </si>
  <si>
    <t>AUDI A3,TT| SEAT Toledo| SKODA Octavia| VW Bora, Golf  96-, Front L/R</t>
  </si>
  <si>
    <t>GK3475 GSP</t>
  </si>
  <si>
    <t>GK3475 GSP - РљРѕРјРїР»РµРєС‚ РїС–РґС€РёРїРЅРёРєР° СЃС‚СѓРїРёС†С–</t>
  </si>
  <si>
    <t>298.31</t>
  </si>
  <si>
    <t>GK3475</t>
  </si>
  <si>
    <t>MB SPRINTER 408-414  96-06, Rear L/R</t>
  </si>
  <si>
    <t>GK3486 GSP</t>
  </si>
  <si>
    <t>GK3486 GSP - РљРѕРјРїР»РµРєС‚ РїС–РґС€РёРїРЅРёРєР° СЃС‚СѓРїРёС†С–</t>
  </si>
  <si>
    <t>318.74</t>
  </si>
  <si>
    <t>GK3486</t>
  </si>
  <si>
    <t>MERCEDES Vito (W638)  96-, Front L/R</t>
  </si>
  <si>
    <t>GK3496 GSP</t>
  </si>
  <si>
    <t>GK3496 GSP - РљРѕРјРїР»РµРєС‚ РїС–РґС€РёРїРЅРёРєР° СЃС‚СѓРїРёС†С–</t>
  </si>
  <si>
    <t>GK3496</t>
  </si>
  <si>
    <t>RENAULT 5, 9, 11, 19, CLIO  81-, Front L/R</t>
  </si>
  <si>
    <t>GK3525 GSP</t>
  </si>
  <si>
    <t>GK3525 GSP - РљРѕРјРїР»РµРєС‚ РїС–РґС€РёРїРЅРёРєР° СЃС‚СѓРїРёС†С–</t>
  </si>
  <si>
    <t>GK3525</t>
  </si>
  <si>
    <t>RENAULT Logan, Rear L/R</t>
  </si>
  <si>
    <t>GK3531 GSP</t>
  </si>
  <si>
    <t>GK3531 GSP - РљРѕРјРїР»РµРєС‚ РїС–РґС€РёРїРЅРёРєР° СЃС‚СѓРїРёС†С–</t>
  </si>
  <si>
    <t>GK3531</t>
  </si>
  <si>
    <t>FORD Fiesta V, Focus I, Fusion  98-, Front L/R, +ABS</t>
  </si>
  <si>
    <t>GK3551 GSP</t>
  </si>
  <si>
    <t>GK3551 GSP - РљРѕРјРїР»РµРєС‚ РїС–РґС€РёРїРЅРёРєР° СЃС‚СѓРїРёС†С–</t>
  </si>
  <si>
    <t>357.01</t>
  </si>
  <si>
    <t>GK3551</t>
  </si>
  <si>
    <t>IVECO Daily  96-06, Front L/R</t>
  </si>
  <si>
    <t>GK3554A GSP</t>
  </si>
  <si>
    <t>GK3554A GSP - РљРѕРјРїР»РµРєС‚ РїС–РґС€РёРїРЅРёРєР° СЃС‚СѓРїРёС†С–  !!!Р—Р°РјС–РЅР° РґР»СЏ GK3554</t>
  </si>
  <si>
    <t>GK3554A</t>
  </si>
  <si>
    <t>CITROEN Saxo, Xsara, Peugeot 106, 206, 306 II  94-, Front L/R</t>
  </si>
  <si>
    <t>GK3556 GSP</t>
  </si>
  <si>
    <t>GK3556 GSP - РљРѕРјРїР»РµРєС‚ РїС–РґС€РёРїРЅРёРєР° СЃС‚СѓРїРёС†С–</t>
  </si>
  <si>
    <t>252.14</t>
  </si>
  <si>
    <t>GK3556</t>
  </si>
  <si>
    <t>Citroen AX, Xsara, Peugeot 106, 206  96-, Rear L/R</t>
  </si>
  <si>
    <t>GK3575 GSP</t>
  </si>
  <si>
    <t>GK3575 GSP - РљРѕРјРїР»РµРєС‚ РїС–РґС€РёРїРЅРёРєР° СЃС‚СѓРїРёС†С–</t>
  </si>
  <si>
    <t>332.81</t>
  </si>
  <si>
    <t>GK3575</t>
  </si>
  <si>
    <t>FORD Mondeo III  00-07, Front L/R, +ABS</t>
  </si>
  <si>
    <t>GK3598 GSP</t>
  </si>
  <si>
    <t>GK3598 GSP - РљРѕРјРїР»РµРєС‚ РїС–РґС€РёРїРЅРёРєР° СЃС‚СѓРїРёС†С–</t>
  </si>
  <si>
    <t>310.67</t>
  </si>
  <si>
    <t>GK3598</t>
  </si>
  <si>
    <t>FIAT Doblo  10-, Front L/R, +ABS</t>
  </si>
  <si>
    <t>GK3613 GSP</t>
  </si>
  <si>
    <t>GK3613 GSP - РљРѕРјРїР»РµРєС‚ РїС–РґС€РёРїРЅРёРєР° СЃС‚СѓРїРёС†С–</t>
  </si>
  <si>
    <t>302.26</t>
  </si>
  <si>
    <t>GK3613</t>
  </si>
  <si>
    <t>RENAULT Master  00-03, Front L/R</t>
  </si>
  <si>
    <t>GK3637 GSP</t>
  </si>
  <si>
    <t>GK3637 GSP - РљРѕРјРїР»РµРєС‚ РїС–РґС€РёРїРЅРёРєР° СЃС‚СѓРїРёС†С–</t>
  </si>
  <si>
    <t>308.61</t>
  </si>
  <si>
    <t>GK3637</t>
  </si>
  <si>
    <t>RENAULT Megane II, Scenic II  02-, Front L/R, +ABS</t>
  </si>
  <si>
    <t>GK3639 GSP</t>
  </si>
  <si>
    <t>GK3639 GSP - РљРѕРјРїР»РµРєС‚ РїС–РґС€РёРїРЅРёРєР° СЃС‚СѓРїРёС†С–</t>
  </si>
  <si>
    <t>306.89</t>
  </si>
  <si>
    <t>GK3639</t>
  </si>
  <si>
    <t>RENAULT Megane II, Scenic II  02-, Rear L/R</t>
  </si>
  <si>
    <t>GK3640 GSP</t>
  </si>
  <si>
    <t>GK3640 GSP - РљРѕРјРїР»РµРєС‚ РїС–РґС€РёРїРЅРёРєР° СЃС‚СѓРїРёС†С–</t>
  </si>
  <si>
    <t>GK3640</t>
  </si>
  <si>
    <t>FIAT Ducato, CITROEN Jumper, PEUGEOT Boxer !!!not1,8t  94-, Front L/R</t>
  </si>
  <si>
    <t>GK3642 GSP</t>
  </si>
  <si>
    <t>GK3642 GSP - РљРѕРјРїР»РµРєС‚ РїС–РґС€РёРїРЅРёРєР° СЃС‚СѓРїРёС†С–</t>
  </si>
  <si>
    <t>436.65</t>
  </si>
  <si>
    <t>GK3642</t>
  </si>
  <si>
    <t>FIAT Ducato, CITROEN Jumper, PEUGEOT Boxer  94-06, Rear L/R</t>
  </si>
  <si>
    <t>GK3645 GSP</t>
  </si>
  <si>
    <t>GK3645 GSP - РљРѕРјРїР»РµРєС‚ РїС–РґС€РёРїРЅРёРєР° СЃС‚СѓРїРёС†С–</t>
  </si>
  <si>
    <t>428.59</t>
  </si>
  <si>
    <t>GK3645</t>
  </si>
  <si>
    <t>AUDI Q7, VW Touareg, PORCHE Cayenne  02-, Front L/R, +ABS</t>
  </si>
  <si>
    <t>GK3668 GSP</t>
  </si>
  <si>
    <t>GK3668 GSP - РљРѕРјРїР»РµРєС‚ РїС–РґС€РёРїРЅРёРєР° СЃС‚СѓРїРёС†С–</t>
  </si>
  <si>
    <t>GK3668</t>
  </si>
  <si>
    <t>BMW 3 (E36, E46), 7 (E38), X3 (E83), Rear L/R</t>
  </si>
  <si>
    <t>GK3676 GSP</t>
  </si>
  <si>
    <t>GK3676 GSP - РљРѕРјРїР»РµРєС‚ РїС–РґС€РёРїРЅРёРєР° СЃС‚СѓРїРёС†С–</t>
  </si>
  <si>
    <t>GK3676</t>
  </si>
  <si>
    <t>RENAULT Grand Scenic, Megane  03-, Rear L/R</t>
  </si>
  <si>
    <t>GK3682 GSP</t>
  </si>
  <si>
    <t>GK3682 GSP - РљРѕРјРїР»РµРєС‚ РїС–РґС€РёРїРЅРёРєР° СЃС‚СѓРїРёС†С–</t>
  </si>
  <si>
    <t>303.80</t>
  </si>
  <si>
    <t>GK3682</t>
  </si>
  <si>
    <t>BMW 3 (E90), Rear L/R, +ABS</t>
  </si>
  <si>
    <t>GK3683 GSP</t>
  </si>
  <si>
    <t>GK3683 GSP - РљРѕРјРїР»РµРєС‚ РїС–РґС€РёРїРЅРёРєР° СЃС‚СѓРїРёС†С–</t>
  </si>
  <si>
    <t>378.12</t>
  </si>
  <si>
    <t>GK3683</t>
  </si>
  <si>
    <t>CITROEN C4, C5, C6, PEUGEOT 308, 3008, 407, 508  10-, Front L/R, +ABS</t>
  </si>
  <si>
    <t>GK3690 GSP</t>
  </si>
  <si>
    <t>GK3690 GSP - РљРѕРјРїР»РµРєС‚ РїС–РґС€РёРїРЅРёРєР° СЃС‚СѓРїРёС†С–</t>
  </si>
  <si>
    <t>448.15</t>
  </si>
  <si>
    <t>GK3690</t>
  </si>
  <si>
    <t>FIAT Ducato  04-, Front L/R</t>
  </si>
  <si>
    <t>GK3785 GSP</t>
  </si>
  <si>
    <t>GK3785 GSP - РљРѕРјРїР»РµРєС‚ РїС–РґС€РёРїРЅРёРєР° СЃС‚СѓРїРёС†С–</t>
  </si>
  <si>
    <t>312.38</t>
  </si>
  <si>
    <t>GK3785</t>
  </si>
  <si>
    <t>DAEWOO Lanos, Nubira  97-, Front L/R</t>
  </si>
  <si>
    <t>GK3796 GSP</t>
  </si>
  <si>
    <t>GK3796 GSP - РљРѕРјРїР»РµРєС‚ РїС–РґС€РёРїРЅРёРєР° СЃС‚СѓРїРёС†С–</t>
  </si>
  <si>
    <t>200.30</t>
  </si>
  <si>
    <t>GK3796</t>
  </si>
  <si>
    <t>DAEWOO Matiz  98-, Rear L/R</t>
  </si>
  <si>
    <t>GK3901 GSP</t>
  </si>
  <si>
    <t>GK3901 GSP - РљРѕРјРїР»РµРєС‚ РїС–РґС€РёРїРЅРёРєР° СЃС‚СѓРїРёС†С–</t>
  </si>
  <si>
    <t>224.16</t>
  </si>
  <si>
    <t>GK3901</t>
  </si>
  <si>
    <t>DAEWOO Matiz  98-, Front L/R</t>
  </si>
  <si>
    <t>GK3907 GSP</t>
  </si>
  <si>
    <t>GK3907 GSP - РљРѕРјРїР»РµРєС‚ РїС–РґС€РёРїРЅРёРєР° СЃС‚СѓРїРёС†С–</t>
  </si>
  <si>
    <t>251.62</t>
  </si>
  <si>
    <t>GK3907</t>
  </si>
  <si>
    <t>HYUNDAI Accent, Getz, i10, i20  00-, Front L/R</t>
  </si>
  <si>
    <t>GK3929 GSP</t>
  </si>
  <si>
    <t>GK3929 GSP - РљРѕРјРїР»РµРєС‚ РїС–РґС€РёРїРЅРёРєР° СЃС‚СѓРїРёС†С–</t>
  </si>
  <si>
    <t>244.42</t>
  </si>
  <si>
    <t>GK3929</t>
  </si>
  <si>
    <t>TOYOTA Yaris (CP10)  99-, Front L/R</t>
  </si>
  <si>
    <t>GK3951 GSP</t>
  </si>
  <si>
    <t>GK3951 GSP - РљРѕРјРїР»РµРєС‚ РїС–РґС€РёРїРЅРёРєР° СЃС‚СѓРїРёС†С–</t>
  </si>
  <si>
    <t>317.53</t>
  </si>
  <si>
    <t>GK3951</t>
  </si>
  <si>
    <t>HONDA Accord, Civic  -06, Front L/R</t>
  </si>
  <si>
    <t>GK6509 GSP</t>
  </si>
  <si>
    <t>GK6509 GSP - РљРѕРјРїР»РµРєС‚ РїС–РґС€РёРїРЅРёРєР° СЃС‚СѓРїРёС†С–</t>
  </si>
  <si>
    <t>GK6509</t>
  </si>
  <si>
    <t>MB A-class (W169), B-class (W245)  04-, Front L/R, +ABS</t>
  </si>
  <si>
    <t>GK6515 GSP</t>
  </si>
  <si>
    <t>GK6515 GSP - РљРѕРјРїР»РµРєС‚ РїС–РґС€РёРїРЅРёРєР° СЃС‚СѓРїРёС†С–</t>
  </si>
  <si>
    <t>GK6515</t>
  </si>
  <si>
    <t>FORD Focus, Fiesta, Fusion  98-, Rear L/R</t>
  </si>
  <si>
    <t>GK6530 GSP</t>
  </si>
  <si>
    <t>GK6530 GSP - РљРѕРјРїР»РµРєС‚ РїС–РґС€РёРїРЅРёРєР° СЃС‚СѓРїРёС†С–</t>
  </si>
  <si>
    <t>212.15</t>
  </si>
  <si>
    <t>GK6530</t>
  </si>
  <si>
    <t>MB C-class (W203, W204), E-class (W211), Front L/R</t>
  </si>
  <si>
    <t>GK6549 GSP</t>
  </si>
  <si>
    <t>GK6549 GSP - РљРѕРјРїР»РµРєС‚ РїС–РґС€РёРїРЅРёРєР° СЃС‚СѓРїРёС†С–</t>
  </si>
  <si>
    <t>GK6549</t>
  </si>
  <si>
    <t>CITROEN Berlingo, PEUGEOT 3008, 308, Expert  07-, Rear L/R</t>
  </si>
  <si>
    <t>GK6550 GSP</t>
  </si>
  <si>
    <t>GK6550 GSP - РљРѕРјРїР»РµРєС‚ РїС–РґС€РёРїРЅРёРєР° СЃС‚СѓРїРёС†С–</t>
  </si>
  <si>
    <t>GK6550</t>
  </si>
  <si>
    <t>FIAT Grande Punto, OPEL Corsa D  06-, Front L/R, +ABS</t>
  </si>
  <si>
    <t>GK6561 GSP</t>
  </si>
  <si>
    <t>GK6561 GSP - РљРѕРјРїР»РµРєС‚ РїС–РґС€РёРїРЅРёРєР° СЃС‚СѓРїРёС†С–</t>
  </si>
  <si>
    <t>353.06</t>
  </si>
  <si>
    <t>GK6561</t>
  </si>
  <si>
    <t>RENAULT Logan  04-, Front L/R, +ABS</t>
  </si>
  <si>
    <t>GK6575 GSP</t>
  </si>
  <si>
    <t>GK6575 GSP - РљРѕРјРїР»РµРєС‚ РїС–РґС€РёРїРЅРёРєР° СЃС‚СѓРїРёС†С–</t>
  </si>
  <si>
    <t>389.97</t>
  </si>
  <si>
    <t>GK6575</t>
  </si>
  <si>
    <t>CITROEN Jumpy , FIAT Scudo, PEUGEOT Expert  07-, Front L/R, +ABS</t>
  </si>
  <si>
    <t>GK6578 GSP</t>
  </si>
  <si>
    <t>GK6578 GSP - РљРѕРјРїР»РµРєС‚ РїС–РґС€РёРїРЅРёРєР° СЃС‚СѓРїРёС†С–</t>
  </si>
  <si>
    <t>328.86</t>
  </si>
  <si>
    <t>GK6578</t>
  </si>
  <si>
    <t>FIAT Sedici, SUZUKI SX4, Front L/R, +ABS</t>
  </si>
  <si>
    <t>GK6636 GSP</t>
  </si>
  <si>
    <t>GK6636 GSP - РљРѕРјРїР»РµРєС‚ РїС–РґС€РёРїРЅРёРєР° СЃС‚СѓРїРёС†С–</t>
  </si>
  <si>
    <t>GK6636</t>
  </si>
  <si>
    <t>FORD Kuga  08-, Front L/R</t>
  </si>
  <si>
    <t>GK6653 GSP</t>
  </si>
  <si>
    <t>GK6653 GSP - РљРѕРјРїР»РµРєС‚ РїС–РґС€РёРїРЅРёРєР° СЃС‚СѓРїРёС†С–</t>
  </si>
  <si>
    <t>343.28</t>
  </si>
  <si>
    <t>GK6653</t>
  </si>
  <si>
    <t>FORD Fiesta VI  07-, Front L/R, +ABS</t>
  </si>
  <si>
    <t>GK6658 GSP</t>
  </si>
  <si>
    <t>GK6658 GSP - РљРѕРјРїР»РµРєС‚ РїС–РґС€РёРїРЅРёРєР° СЃС‚СѓРїРёС†С–</t>
  </si>
  <si>
    <t>316.16</t>
  </si>
  <si>
    <t>GK6658</t>
  </si>
  <si>
    <t>RENAULT Kangoo, Clio, Modus  98-, Rear L/R</t>
  </si>
  <si>
    <t>GK6720 GSP</t>
  </si>
  <si>
    <t>GK6720 GSP - РљРѕРјРїР»РµРєС‚ РїС–РґС€РёРїРЅРёРєР° СЃС‚СѓРїРёС†С–</t>
  </si>
  <si>
    <t>379.50</t>
  </si>
  <si>
    <t>GK6720</t>
  </si>
  <si>
    <t>CHEVROLET Aveo (T300), Front L/R, +ABS</t>
  </si>
  <si>
    <t>GK6878 GSP</t>
  </si>
  <si>
    <t>GK6878 GSP - РљРѕРјРїР»РµРєС‚ РїС–РґС€РёРїРЅРёРєР° СЃС‚СѓРїРёС†С–</t>
  </si>
  <si>
    <t>279.26</t>
  </si>
  <si>
    <t>GK6878</t>
  </si>
  <si>
    <t>TOYOTA Yaris  05-, Front L/R, +ABS</t>
  </si>
  <si>
    <t>GK7536 GSP</t>
  </si>
  <si>
    <t>GK7536 GSP - РљРѕРјРїР»РµРєС‚ РїС–РґС€РёРїРЅРёРєР° СЃС‚СѓРїРёС†С–</t>
  </si>
  <si>
    <t>343.79</t>
  </si>
  <si>
    <t>GK7536</t>
  </si>
  <si>
    <t>MAZDA 6 (GH)  07-, Front L/R, +ABS</t>
  </si>
  <si>
    <t>HENGST</t>
  </si>
  <si>
    <t>E1010L</t>
  </si>
  <si>
    <t>E1010L     (HENGST)</t>
  </si>
  <si>
    <t>222.07</t>
  </si>
  <si>
    <t>HENGST FILTER</t>
  </si>
  <si>
    <t>=LX1780/3  FORD FocusII, III, C-Max 1.0-1.6, VOLVO S40,V40 1.6-2.0</t>
  </si>
  <si>
    <t>E106H D34</t>
  </si>
  <si>
    <t>E106H D34     (HENGST)</t>
  </si>
  <si>
    <t>88.97</t>
  </si>
  <si>
    <t>=OX154/1DEco  BMW 320i-328i, 520i-530i (M50,M52,M54 - engines) 95-</t>
  </si>
  <si>
    <t>E107H D166</t>
  </si>
  <si>
    <t>E107H D166     (HENGST)</t>
  </si>
  <si>
    <t>154.61</t>
  </si>
  <si>
    <t>=OX418DEco  OPEL 1.3 CDTI-eng.  03-, FIAT DOBLO 1.3D/JTD  04-  (UFI filtration system)  /OE682/</t>
  </si>
  <si>
    <t>E10H02</t>
  </si>
  <si>
    <t>E10H02     (HENGST)</t>
  </si>
  <si>
    <t>91.14</t>
  </si>
  <si>
    <t>=HX15  MB/RENAULT/MAN/SCANIA/VOLVO - trucks (Р°РЅР°Р»РѕРі H601/4) РіРёРґСЂРѕС„РёР»СЊС‚СЂ</t>
  </si>
  <si>
    <t>E110H D24</t>
  </si>
  <si>
    <t>E110H D24     (HENGST)</t>
  </si>
  <si>
    <t>100.73</t>
  </si>
  <si>
    <t>=OX68D  BMW 320i, 325i -93, 520i, 525i  -91 (M20 - engines)</t>
  </si>
  <si>
    <t>E112H D180</t>
  </si>
  <si>
    <t>E112H D180     (HENGST)</t>
  </si>
  <si>
    <t>164.74</t>
  </si>
  <si>
    <t>=OX441DEco  NISSAN, OPEL, RENAULT 2.0DCi, 2.5DCi  05-</t>
  </si>
  <si>
    <t>E115H01 D208</t>
  </si>
  <si>
    <t xml:space="preserve">E115H01 D208     (HENGST) !!Р·Р°РјС–РЅР° РґР»СЏ E115H D208  </t>
  </si>
  <si>
    <t>118.99</t>
  </si>
  <si>
    <t>= OX 388DEco, Audi A1-A6, Q3, Q5 , VW, Skoda, Seat  1.6-2.0 TDI - eng. 03/04 -</t>
  </si>
  <si>
    <t>E11H D117</t>
  </si>
  <si>
    <t>E11H D117     (HENGST)</t>
  </si>
  <si>
    <t>94.22</t>
  </si>
  <si>
    <t>=OX153/7D1Eco  HONDA Accord VIII 2,2i-CTDi 1/04-&gt;</t>
  </si>
  <si>
    <t>E11H D155</t>
  </si>
  <si>
    <t>E11H D155     (HENGST)</t>
  </si>
  <si>
    <t>87.89</t>
  </si>
  <si>
    <t>=OX153/7DEco  MB W202/W203 (C240-C320) 97-, W210/W211 (E240-E430) 96-, W220 (S280-S600) 98-</t>
  </si>
  <si>
    <t>E11H D57</t>
  </si>
  <si>
    <t>E11H D57     (HENGST)</t>
  </si>
  <si>
    <t>105.79</t>
  </si>
  <si>
    <t>=OX153D3Eco  MB W202/W203 (C220CDI) 97-, W210/W211 (E220CDI) 98-, VITO 108CDI-112CDI 99-</t>
  </si>
  <si>
    <t>E11H02 D155</t>
  </si>
  <si>
    <t>E11H02 D155     (HENGST)</t>
  </si>
  <si>
    <t>186.62</t>
  </si>
  <si>
    <t>E120SF006</t>
  </si>
  <si>
    <t>E120SF006     (HENGST)</t>
  </si>
  <si>
    <t>570.53</t>
  </si>
  <si>
    <t>#KHD LIEBHERR A/R300-Serie ,  97-\n</t>
  </si>
  <si>
    <t>E122H D187</t>
  </si>
  <si>
    <t>E122H D187     (HENGST)</t>
  </si>
  <si>
    <t>228.21</t>
  </si>
  <si>
    <t>=OX361/4DEco  BMW E81/E82/E87 118D/120D/123D 04/07-&gt;/E90/E91/E92/E93 320D 03/07-&gt;/E83 2.0D 09/07-&gt;</t>
  </si>
  <si>
    <t>E125H D209</t>
  </si>
  <si>
    <t>E125H D209     (HENGST)</t>
  </si>
  <si>
    <t>366.73</t>
  </si>
  <si>
    <t>=OX560DEco  BMW 325d, 330d (E90-93), 525d, 530d (F10/F11), 730d, 740d (F01/F02), X5, X6</t>
  </si>
  <si>
    <t>E128H D24</t>
  </si>
  <si>
    <t>E128H D24     (HENGST)</t>
  </si>
  <si>
    <t>101.09</t>
  </si>
  <si>
    <t>=OX41D  BMW 525,525i,728i -87, 530i,535i,730i,735i 87-95 (M30 - engines)</t>
  </si>
  <si>
    <t>E13H D47</t>
  </si>
  <si>
    <t>E13H D47     (HENGST)</t>
  </si>
  <si>
    <t>=OX146DEco  MAN trucks 96-</t>
  </si>
  <si>
    <t>E152L</t>
  </si>
  <si>
    <t>E152L     (HENGST)</t>
  </si>
  <si>
    <t>129.84</t>
  </si>
  <si>
    <t>=LX296  AUDI 100 2.0, 2.3, 2.8 91-94, A6 1.8-2.8 94-97  /308 X 184 X 57.3/</t>
  </si>
  <si>
    <t>E153H D25</t>
  </si>
  <si>
    <t>E153H D25     (HENGST)</t>
  </si>
  <si>
    <t>146.48</t>
  </si>
  <si>
    <t>=OX92D  MB W124 (400E, 500E, E420, E500) -97, W140 (400SE, 500SE, S420, S500) 91-98</t>
  </si>
  <si>
    <t>E154H D48</t>
  </si>
  <si>
    <t>E154H D48     (HENGST)</t>
  </si>
  <si>
    <t>84.27</t>
  </si>
  <si>
    <t>=OX143DEco  VW/AUDI 1.9TDI 96- (Р°РЅР°Р»РѕРі HU726/2X)</t>
  </si>
  <si>
    <t>E160H01 D28</t>
  </si>
  <si>
    <t>E160H01 D28     (HENGST)</t>
  </si>
  <si>
    <t>171.07</t>
  </si>
  <si>
    <t>=OX161DEco  MB VARIO/ATEGO 96- (OM904. - engines)</t>
  </si>
  <si>
    <t>E161H01 D28</t>
  </si>
  <si>
    <t>E161H01 D28     (HENGST)</t>
  </si>
  <si>
    <t>167.81</t>
  </si>
  <si>
    <t>=OX 174DEco, MB  ATEGO I 98-04,  ATEGO II 01/04 -, AXOR I 01 -04,  AXOR II 10/04 -\n</t>
  </si>
  <si>
    <t>E170HN D16</t>
  </si>
  <si>
    <t>E170HN D16     (HENGST)</t>
  </si>
  <si>
    <t>=OX38D  MB W201 (2.0D, 2.5D/TD) -93, W124 (200D - 300D/TD) -95, 208D-508D 88-96</t>
  </si>
  <si>
    <t>E172H D35</t>
  </si>
  <si>
    <t>E172H D35     (HENGST)</t>
  </si>
  <si>
    <t>112.30</t>
  </si>
  <si>
    <t>=OX123/1DEco  MB W202 (C200D-C250D) 95-00, W210 (E200D-E300D/TD) 95-99, SPRINTER, VITO 96-</t>
  </si>
  <si>
    <t>E19H D83</t>
  </si>
  <si>
    <t>E19H D83     (HENGST)</t>
  </si>
  <si>
    <t>94.03</t>
  </si>
  <si>
    <t>=OX188DEco  AUDI/VW GOLF, BORA, TRANSPORTER, SHARAN 1.9TDI, 2.8 VR6 99-</t>
  </si>
  <si>
    <t>E200H D22</t>
  </si>
  <si>
    <t>E200H D22     (HENGST)</t>
  </si>
  <si>
    <t>168.54</t>
  </si>
  <si>
    <t>=OX103D  BMW 530i, 540i, 730i, 740i, 830Ci (M60 -engines) 92-95 (РјРµС‚Р°Р»Р»РёС‡РµСЃРєР°СЏ РєСЂС‹С€РєР°)</t>
  </si>
  <si>
    <t>E202H01 D34</t>
  </si>
  <si>
    <t>E202H01 D34     (HENGST)</t>
  </si>
  <si>
    <t>93.13</t>
  </si>
  <si>
    <t>=OX152/1DEco  BMW 530i, 540i, 730i, 740i, 830Ci (M60, M62 - engines) 92- (РїР»Р°СЃС‚РёРєРѕРІР°СЏ РєСЂС‹С€РєР°)</t>
  </si>
  <si>
    <t>E203H D67</t>
  </si>
  <si>
    <t>E203H D67     (HENGST)</t>
  </si>
  <si>
    <t>=OX367DEco  BMW E60/E61/E63/E64/E65/E66/X5 3.5L-4.8L</t>
  </si>
  <si>
    <t>E203H04 D67</t>
  </si>
  <si>
    <t>E203H04 D67     (HENGST)</t>
  </si>
  <si>
    <t>=OX636DEco  BMW 6 (E63)  4.0-6.0С– 03-,  7(E65, E66) 11/01 -</t>
  </si>
  <si>
    <t>E204H D218</t>
  </si>
  <si>
    <t>E204H D218     (HENGST)</t>
  </si>
  <si>
    <t>216.46</t>
  </si>
  <si>
    <t>=OX404DEco  BMW 3 (E91, E92, E93, F30, F31) 05 - 11,  Mini</t>
  </si>
  <si>
    <t>E206L</t>
  </si>
  <si>
    <t>E206L     (HENGST)</t>
  </si>
  <si>
    <t xml:space="preserve">=LX622  AUDI A4, VW PASSAT 1.6, 1.8, 1.8T, 2.3, 1.9TDI 96- </t>
  </si>
  <si>
    <t>E21K</t>
  </si>
  <si>
    <t>E21K     (HENGST)</t>
  </si>
  <si>
    <t>124.78</t>
  </si>
  <si>
    <t>=KX 38, Webasto</t>
  </si>
  <si>
    <t>E226H</t>
  </si>
  <si>
    <t>E226H     (HENGST)</t>
  </si>
  <si>
    <t>311.40</t>
  </si>
  <si>
    <t>= OX 46, MAN, TATRA</t>
  </si>
  <si>
    <t>E240L</t>
  </si>
  <si>
    <t>E240L     (HENGST)</t>
  </si>
  <si>
    <t>=LX511/1  MB SPRINTER all engines 95-00</t>
  </si>
  <si>
    <t>E243L</t>
  </si>
  <si>
    <t>E243L     (HENGST)</t>
  </si>
  <si>
    <t>139.60</t>
  </si>
  <si>
    <t>=LX537  VW T4 2.0, 2.5, 2.8VR6, 1.9TD, 2.4D, 2.5TDI 90- (277 X 218 X 63)</t>
  </si>
  <si>
    <t>E251H D11</t>
  </si>
  <si>
    <t>E251H D11     (HENGST)</t>
  </si>
  <si>
    <t>203.08</t>
  </si>
  <si>
    <t>=OX69D  MB/MAN trucks &amp; buses (Р°РЅР°Р»РѕРі W12110/2X)</t>
  </si>
  <si>
    <t>E27H D125</t>
  </si>
  <si>
    <t>E27H D125     (HENGST)</t>
  </si>
  <si>
    <t>126.95</t>
  </si>
  <si>
    <t>=OX379DEco  AUDI A3/A4 /A6/TT 2.0FSI/TFSI 05/03-&gt;, VW Golf V/Passat/Touran/Eos 2.0/FSI 10/03-&gt;, SKODA Octavia</t>
  </si>
  <si>
    <t>E28H01 D26</t>
  </si>
  <si>
    <t>E28H01 D26     (HENGST)</t>
  </si>
  <si>
    <t>166.01</t>
  </si>
  <si>
    <t>=OX177/3DEco  BMW 330D, 530D, 730D,  X5 3.0D  03-</t>
  </si>
  <si>
    <t>E2945LI</t>
  </si>
  <si>
    <t>E2945LI     (HENGST)</t>
  </si>
  <si>
    <t>126.58</t>
  </si>
  <si>
    <t>=LA395  Toyota Auris, Avensis, Camry (V40), Corolla, Rav4  05-</t>
  </si>
  <si>
    <t>E2954LC03</t>
  </si>
  <si>
    <t>E2954LC03     (HENGST) !!Р—Р°РјС–РЅР° РґР»СЏ E2954LC02</t>
  </si>
  <si>
    <t>361.13</t>
  </si>
  <si>
    <t>MB C-Class III (S204) 07 -, E-Class IV (W212) 09 -, CLS II (C218) 01/11 -, GLK-CLASS (X204) 08 -</t>
  </si>
  <si>
    <t>E2976LI</t>
  </si>
  <si>
    <t>E2976LI     (HENGST)</t>
  </si>
  <si>
    <t>152.99</t>
  </si>
  <si>
    <t>=LA396  QASHQAI 07-&gt;</t>
  </si>
  <si>
    <t>E29H D89</t>
  </si>
  <si>
    <t>E29H D89     (HENGST)</t>
  </si>
  <si>
    <t>115.55</t>
  </si>
  <si>
    <t>=OX166/1DEco  BMW 316I/TI,  318I/CI  01-</t>
  </si>
  <si>
    <t>E29L</t>
  </si>
  <si>
    <t>E29L     (HENGST)</t>
  </si>
  <si>
    <t>102.53</t>
  </si>
  <si>
    <t>=LX54  VW/AUDI 1.6D/TD -91, AUDI 80  2.0 16V, 2.3E -96 /336.5 X 135.5 X 56.9/</t>
  </si>
  <si>
    <t>E301L</t>
  </si>
  <si>
    <t>E301L     (HENGST)</t>
  </si>
  <si>
    <t>145.39</t>
  </si>
  <si>
    <t>=LX684  VW GOLF, AUDI A3, SKODA OCTAVIA 1.8, 1.8T, 1.9TDI/SDI 96- /364 X 184,5 X 50.3/</t>
  </si>
  <si>
    <t>E30H D51</t>
  </si>
  <si>
    <t>E30H D51     (HENGST)</t>
  </si>
  <si>
    <t>72.70</t>
  </si>
  <si>
    <t>=OX346DEco  SMART 0.6-0.8 (=OX141/1D)</t>
  </si>
  <si>
    <t>E316L</t>
  </si>
  <si>
    <t>E316L     (HENGST)</t>
  </si>
  <si>
    <t>1375.61</t>
  </si>
  <si>
    <t>=LX 832, Volvo FH12  93-</t>
  </si>
  <si>
    <t>E338L</t>
  </si>
  <si>
    <t>E338L     (HENGST)</t>
  </si>
  <si>
    <t>133.64</t>
  </si>
  <si>
    <t xml:space="preserve">= LX 572, CITROГ‹N BX,  Jumpy , C5,  FIAT Scudo, PEUGEOT  405, 406, 607,EXPERT </t>
  </si>
  <si>
    <t>E33H D96</t>
  </si>
  <si>
    <t>E33H D96     (HENGST)</t>
  </si>
  <si>
    <t>=OX191DEco  FORD TRANSIT  2.4DI, MONDEO 2.0DI/TDCI  00-</t>
  </si>
  <si>
    <t>E34H D213</t>
  </si>
  <si>
    <t>E34H D213     (HENGST)</t>
  </si>
  <si>
    <t>438.34</t>
  </si>
  <si>
    <t>=OX359DEco  DAF  01- (e34hd97)</t>
  </si>
  <si>
    <t>E350H D44</t>
  </si>
  <si>
    <t>E350H D44     (HENGST)</t>
  </si>
  <si>
    <t>186.26</t>
  </si>
  <si>
    <t>=OX164DEco  AUDI A4,A6,A8 2.5TDI 97-, VW PASSAT 2.5TDI 98-</t>
  </si>
  <si>
    <t>E351L</t>
  </si>
  <si>
    <t>E351L     (HENGST)</t>
  </si>
  <si>
    <t>191.14</t>
  </si>
  <si>
    <t>=LX686  VOLVO 850 2.0i - 2.5i 91-96, S70, V70 Р±РµРЅР·РёРЅ 97-00 /350 X 186 X 47.3/</t>
  </si>
  <si>
    <t>E355L</t>
  </si>
  <si>
    <t>E355L     (HENGST)</t>
  </si>
  <si>
    <t>215.56</t>
  </si>
  <si>
    <t>=LX876  RENAULT MASTER 2.5TD, 2.8DTI 98-, 2.2DCI 00- /318 X 262 X 42.3/</t>
  </si>
  <si>
    <t>E35H D102</t>
  </si>
  <si>
    <t>E35H D102     (HENGST)</t>
  </si>
  <si>
    <t>=OX193DEco  CITROEN BERLINGO, PEUGEOT PARTNER 1.1i, 1.4i, 1.6i  00-</t>
  </si>
  <si>
    <t>E37H D84</t>
  </si>
  <si>
    <t>E37H D84     (HENGST)</t>
  </si>
  <si>
    <t>97.29</t>
  </si>
  <si>
    <t>=OX360DEco  SKODA Fabia 03-&gt; SEAT Cordoba/Ibiza 02-&gt; VW Polo 02-&gt;</t>
  </si>
  <si>
    <t>E38H D106</t>
  </si>
  <si>
    <t>E38H D106     (HENGST)</t>
  </si>
  <si>
    <t>126.22</t>
  </si>
  <si>
    <t>=OX183/1DEco  MB W211 (E200CDI), W203 (C180 KOMPRESSOR, C200 KOMPRESSOR) 02-</t>
  </si>
  <si>
    <t>E40H D105</t>
  </si>
  <si>
    <t>E40H D105     (HENGST)</t>
  </si>
  <si>
    <t>151.90</t>
  </si>
  <si>
    <t>=OX171/2DEco  FORD FIESTA, FUSION 1.4TDCI, PEUGEOT 206 1.4HDI 01-</t>
  </si>
  <si>
    <t>E422H D86</t>
  </si>
  <si>
    <t>E422H D86     (HENGST)</t>
  </si>
  <si>
    <t>278.85</t>
  </si>
  <si>
    <t>=OX425DEco  M.A.N. Serie TG-A 2/04-&gt;</t>
  </si>
  <si>
    <t>E422KP D98</t>
  </si>
  <si>
    <t>E422KP D98     (HENGST)</t>
  </si>
  <si>
    <t>352.09</t>
  </si>
  <si>
    <t>=KX191/1DEco  M.A.N. TG-A TG310A, TG350A, TG390A, TG430A 2/04--&gt;</t>
  </si>
  <si>
    <t>E44H D110</t>
  </si>
  <si>
    <t>E44H D110     (HENGST)</t>
  </si>
  <si>
    <t>117.18</t>
  </si>
  <si>
    <t>=OX339/2DEco  FORD Focus II 2.0TDCi, PEUGEOT 307/407 2.0, VOLVO S40/V50 2.0D</t>
  </si>
  <si>
    <t>E455L01-2</t>
  </si>
  <si>
    <t>E455L01-2     (HENGST)</t>
  </si>
  <si>
    <t>362.39</t>
  </si>
  <si>
    <t>LX804/S  MB W220 (S280, S320, S430, S500) 98-  РєРјРї(2С€С‚)  /A1207-2/</t>
  </si>
  <si>
    <t>E468L</t>
  </si>
  <si>
    <t>E468L     (HENGST)</t>
  </si>
  <si>
    <t>155.88</t>
  </si>
  <si>
    <t>=LX977D  SKODA FABIA 1.4i 16V 99-, VW GOLF,BORA 1.6I 16V 00- /288 X 189 X 42/</t>
  </si>
  <si>
    <t>E470L</t>
  </si>
  <si>
    <t>E470L     (HENGST)</t>
  </si>
  <si>
    <t>153.71</t>
  </si>
  <si>
    <t>=LX935  FORD TRANSIT 2.0DI, 2.4DI 00-, 2.3i 01- /282 X 180 X 57.3/</t>
  </si>
  <si>
    <t>E474L</t>
  </si>
  <si>
    <t>E474L     (HENGST)</t>
  </si>
  <si>
    <t>142.14</t>
  </si>
  <si>
    <t>=LX1258  Renault Kangoo 1.5DCI `01-|Renault Clio 1.5DCI`01-</t>
  </si>
  <si>
    <t>E482L</t>
  </si>
  <si>
    <t>E482L     (HENGST)</t>
  </si>
  <si>
    <t>=LX1566  AUDI A3 1,6/2,0FSI 5/03-&gt; ,SEAT Altea 1,6/2,0FSI 3/04-&gt; ,VW Caddy III 1,6/2,0SDI 3/04-&gt; ,Golf V 1,6/</t>
  </si>
  <si>
    <t>E500KP02 D36</t>
  </si>
  <si>
    <t>E500KP02 D36     (HENGST)</t>
  </si>
  <si>
    <t>289.16</t>
  </si>
  <si>
    <t>=KX80DEco  MB - trucks &amp; buses 96-</t>
  </si>
  <si>
    <t>E52KP D36</t>
  </si>
  <si>
    <t>E52KP D36     (HENGST)</t>
  </si>
  <si>
    <t>185.72</t>
  </si>
  <si>
    <t>=KX67/2DEco  MB VARIO/ATEGO 96- (OM904. - engines)</t>
  </si>
  <si>
    <t>E53KP D61</t>
  </si>
  <si>
    <t>E53KP D61     (HENGST)</t>
  </si>
  <si>
    <t>131.47</t>
  </si>
  <si>
    <t>=KX70DEco  MB W202, W210, W220 (OM611,OM612,OM613 CDI - engines)  97-</t>
  </si>
  <si>
    <t>E55KP D69</t>
  </si>
  <si>
    <t>E55KP D69     (HENGST)</t>
  </si>
  <si>
    <t>117.36</t>
  </si>
  <si>
    <t>=KX84DEco  CITROEN JUMPY, BERLINGO, PEUGEOT PARTNER 1.9D 98-</t>
  </si>
  <si>
    <t>E56KP D72</t>
  </si>
  <si>
    <t>E56KP D72     (HENGST)</t>
  </si>
  <si>
    <t>272.70</t>
  </si>
  <si>
    <t>=KX73/1DEco  MAN - trucks 00-</t>
  </si>
  <si>
    <t>E587L</t>
  </si>
  <si>
    <t>E587L     (HENGST)</t>
  </si>
  <si>
    <t>178.30</t>
  </si>
  <si>
    <t>=LX786  VW T5 1.9TDI, 2.5TDI, 2.0, 3.2 V6  03-</t>
  </si>
  <si>
    <t>E610H D38</t>
  </si>
  <si>
    <t>E610H D38     (HENGST)</t>
  </si>
  <si>
    <t>80.83</t>
  </si>
  <si>
    <t>=OX182DEco  OPEL OMEGA 2.5i, 2.6i, 3.0i  99-, ASTRA,VECTRA 1.8 16V 98-</t>
  </si>
  <si>
    <t>E611H D256</t>
  </si>
  <si>
    <t>E611H D256     (HENGST) !!Р—Р°РјС–РЅР° РґР»СЏ E611H D122</t>
  </si>
  <si>
    <t>115.37</t>
  </si>
  <si>
    <t>ALFA ROMEO 159, 1.8 MPI 03.07-,  CHEVROLET Aveo II (T300) 11-, CRUZE, ORLANDO,09 -,   OPEL  Astra H, J, Corsa D, Vectra C 05-</t>
  </si>
  <si>
    <t>E614L</t>
  </si>
  <si>
    <t>E614L     (HENGST)</t>
  </si>
  <si>
    <t>217.18</t>
  </si>
  <si>
    <t>=LX 1583, Vivaro, Primastar,  Trafic 2.0-2.5dCi  01-</t>
  </si>
  <si>
    <t>E61H D215</t>
  </si>
  <si>
    <t>E61H D215     (HENGST)</t>
  </si>
  <si>
    <t>132.37</t>
  </si>
  <si>
    <t>=OX387DEco  BMW E81/E87/E90/E91/E92/E93/E60/E61/E63/E65/E66/E83/E70 2.0-3.0 09/04-&gt;</t>
  </si>
  <si>
    <t>E630H02 D103</t>
  </si>
  <si>
    <t>E630H02 D103     (HENGST)</t>
  </si>
  <si>
    <t>93.31</t>
  </si>
  <si>
    <t>=OX258DEco  OPEL ASTRA/VECTRA B 2.2 16V 02-</t>
  </si>
  <si>
    <t>E640KP D185</t>
  </si>
  <si>
    <t>E640KP D185     (HENGST)</t>
  </si>
  <si>
    <t>388.43</t>
  </si>
  <si>
    <t>=KX265DEco  GM CDTI - engines  08-</t>
  </si>
  <si>
    <t>E66KP D36</t>
  </si>
  <si>
    <t>E66KP D36     (HENGST)</t>
  </si>
  <si>
    <t>299.46</t>
  </si>
  <si>
    <t>=KX181DEco, DAF CF75 , CF85, XF95  01 -</t>
  </si>
  <si>
    <t>E68KP01 D73</t>
  </si>
  <si>
    <t>E68KP01 D73     (HENGST) !!Р·Р°РјС–РЅР° РґР»СЏ E68KP D73</t>
  </si>
  <si>
    <t>333.28</t>
  </si>
  <si>
    <t>=KX182DEco, SCANIA 4 - series  95 -04 , SCANIA BUS</t>
  </si>
  <si>
    <t>E69KP D100</t>
  </si>
  <si>
    <t>E69KP D100     (HENGST)</t>
  </si>
  <si>
    <t>199.64</t>
  </si>
  <si>
    <t>=KX85DEco  CITROEN/PEUGEOT/FIAT 2.0, 2.2 diesel engines 01-</t>
  </si>
  <si>
    <t>E718L</t>
  </si>
  <si>
    <t>E718L     (HENGST)</t>
  </si>
  <si>
    <t>178.85</t>
  </si>
  <si>
    <t>=LX2885  Mitsubishi Pajero III/IV 00-</t>
  </si>
  <si>
    <t>E71H D141</t>
  </si>
  <si>
    <t>E71H D141     (HENGST)</t>
  </si>
  <si>
    <t>=OX380DEco  MB 280CDI, 320CDI, VIANO, SPRINTER CDI  05-</t>
  </si>
  <si>
    <t>E732L</t>
  </si>
  <si>
    <t>E732L     (HENGST)</t>
  </si>
  <si>
    <t>=LX792  VW TOUAREG 3.2i 02-, 5.0TDI (РїРѕ 2 С€С‚.) 02- /388.9 X 185.1 X 57.3/</t>
  </si>
  <si>
    <t>E751L</t>
  </si>
  <si>
    <t>E751L     (HENGST)</t>
  </si>
  <si>
    <t>=LX1611  TOYOTA Previa 2,4-16V 2/00-&gt;/Rav4 2,0-16V 5/00-&gt;</t>
  </si>
  <si>
    <t>E763L</t>
  </si>
  <si>
    <t>E763L     (HENGST)</t>
  </si>
  <si>
    <t>=LX827  DAEWOO LANOS 1.4-1.6 97- /208.5 X 199 X 40/</t>
  </si>
  <si>
    <t>E798L</t>
  </si>
  <si>
    <t>E798L     (HENGST)</t>
  </si>
  <si>
    <t>137.80</t>
  </si>
  <si>
    <t>=LX994  RENAULT CLIO, KANGOO, MEGANE 1.4 07/96-  /1457433311/</t>
  </si>
  <si>
    <t>E79KP D118</t>
  </si>
  <si>
    <t>E79KP D118     (HENGST)</t>
  </si>
  <si>
    <t>241.41</t>
  </si>
  <si>
    <t>=KX201DEco  CITROEN C4/C5, FORD C-Max, PEUGEOT 307/407, VOLVO S40/V50 2,0HDI 04-&gt;</t>
  </si>
  <si>
    <t>E811H D62</t>
  </si>
  <si>
    <t>E811H D62     (HENGST)</t>
  </si>
  <si>
    <t>=OX384DEco  HYUNDAI Elantra/Santa Fe/Tucson 2.0CRDi 04/01-&gt;, KIA Carens II/Sportage 2.0CRDi  07/02-&gt;</t>
  </si>
  <si>
    <t>E816H D236</t>
  </si>
  <si>
    <t>E816H D236     (HENGST)</t>
  </si>
  <si>
    <t>174.69</t>
  </si>
  <si>
    <t>=OX420DEco  AUDI 3.0TDI  10-</t>
  </si>
  <si>
    <t>E821L</t>
  </si>
  <si>
    <t>E821L     (HENGST)</t>
  </si>
  <si>
    <t>255.16</t>
  </si>
  <si>
    <t>=LX1845  MERCEDES Sprinter 06.06-&gt; VW Crafter 04.0-&gt;</t>
  </si>
  <si>
    <t>E82KP D36</t>
  </si>
  <si>
    <t>E82KP D36     (HENGST)</t>
  </si>
  <si>
    <t>307.24</t>
  </si>
  <si>
    <t>=KX262DEco  DAF 05-</t>
  </si>
  <si>
    <t>E88H D24</t>
  </si>
  <si>
    <t>E88H D24     (HENGST)</t>
  </si>
  <si>
    <t>96.39</t>
  </si>
  <si>
    <t>=OX91D  BMW 316i,318i/Ti -94, 518i -96 (M40, M42 - engines)</t>
  </si>
  <si>
    <t>E88KP D158</t>
  </si>
  <si>
    <t>E88KP D158     (HENGST)</t>
  </si>
  <si>
    <t>192.05</t>
  </si>
  <si>
    <t>=KX217DEco  VW LT 28-46 II 2.8 TDI 04/02-&gt;</t>
  </si>
  <si>
    <t>E892L</t>
  </si>
  <si>
    <t>E892L     (HENGST)</t>
  </si>
  <si>
    <t>239.43</t>
  </si>
  <si>
    <t>=LX2010  VAG 1.4i, 1.6i  05-  (OE 036129620H)</t>
  </si>
  <si>
    <t>E895L</t>
  </si>
  <si>
    <t>E895L     (HENGST)</t>
  </si>
  <si>
    <t>144.67</t>
  </si>
  <si>
    <t xml:space="preserve">Toyota Auris 07-, Avensis 09- , Corolla, Yaris 07- </t>
  </si>
  <si>
    <t>E89H D213</t>
  </si>
  <si>
    <t>E89H D213     (HENGST)</t>
  </si>
  <si>
    <t>531.65</t>
  </si>
  <si>
    <t>=OX434DEco  DAF CF85, XF105</t>
  </si>
  <si>
    <t>E900LI</t>
  </si>
  <si>
    <t>E900LI     (HENGST)</t>
  </si>
  <si>
    <t>95.84</t>
  </si>
  <si>
    <t>=LA31  SKODA OCTAVIA 97-, VW GOLF III, PASSAT B6  00-</t>
  </si>
  <si>
    <t>E904LI</t>
  </si>
  <si>
    <t>E904LI     (HENGST)</t>
  </si>
  <si>
    <t>118.63</t>
  </si>
  <si>
    <t>=LA49  OPEL VECTRA 95-02 /410 X 145 X 24/</t>
  </si>
  <si>
    <t>E905LI</t>
  </si>
  <si>
    <t>E905LI     (HENGST)</t>
  </si>
  <si>
    <t>161.85</t>
  </si>
  <si>
    <t>=LA45  AUDI A4 95-00, VW PASSAT B5  96-00  /382 X 142.8 X 24/</t>
  </si>
  <si>
    <t>E91KP D165</t>
  </si>
  <si>
    <t>E91KP D165     (HENGST)</t>
  </si>
  <si>
    <t>123.51</t>
  </si>
  <si>
    <t>=KX204D  MOVANO 1.9/2.5CDTI 01-</t>
  </si>
  <si>
    <t>E944LI</t>
  </si>
  <si>
    <t>E944LI     (HENGST)</t>
  </si>
  <si>
    <t>=LA50/1  DAF XF  97-</t>
  </si>
  <si>
    <t>E954LI</t>
  </si>
  <si>
    <t>E954LI !!!Р—Р°РјС–РЅРµРЅРѕ РЅР° E954LI01     (HENGST)</t>
  </si>
  <si>
    <t>=LA154  MAN trucks 00-</t>
  </si>
  <si>
    <t>E989LC</t>
  </si>
  <si>
    <t>E989LC     (HENGST)</t>
  </si>
  <si>
    <t>341.42</t>
  </si>
  <si>
    <t>=LAK 156, MB E-CLASS (W211)  All eng. 02 - 08</t>
  </si>
  <si>
    <t>E998LC</t>
  </si>
  <si>
    <t>E998LC     (HENGST)</t>
  </si>
  <si>
    <t>195.48</t>
  </si>
  <si>
    <t>=LAK181  AUDI A3 5/03-&gt; ,VW Golf V 1,4-2,0/2,0TDI 10/03-&gt; Passat B5 2,0TDI/2,5TDI ,SEAT Toledo III 10/04-&gt;</t>
  </si>
  <si>
    <t>H104WK</t>
  </si>
  <si>
    <t>H104WK     (HENGST)</t>
  </si>
  <si>
    <t>19.71</t>
  </si>
  <si>
    <t>=KL15o.F.  AUDI 80, 100(C2,C3)  - 94, VW Golf I, II, Jetta , Passat II, 140x36mm</t>
  </si>
  <si>
    <t>H108WK</t>
  </si>
  <si>
    <t>H108WK     (HENGST)</t>
  </si>
  <si>
    <t>252.63</t>
  </si>
  <si>
    <t>=KL66  BMW 3,5,7,8 - series 2.0-4.0 Р±РµРЅР·РёРЅ 92-</t>
  </si>
  <si>
    <t>H109WK</t>
  </si>
  <si>
    <t>H109WK     (HENGST)</t>
  </si>
  <si>
    <t>242.86</t>
  </si>
  <si>
    <t>=KL35  BMW 316i, 318i (M40, M43 - engines) 90-94, 540i (M60 - engines) 92-94</t>
  </si>
  <si>
    <t>H10W13</t>
  </si>
  <si>
    <t>H10W13     (HENGST)</t>
  </si>
  <si>
    <t>64.74</t>
  </si>
  <si>
    <t>=OC383  Lada 2101-2107  (MANN  W 920/21)</t>
  </si>
  <si>
    <t>H10W15</t>
  </si>
  <si>
    <t>H10W15     (HENGST)</t>
  </si>
  <si>
    <t>105.43</t>
  </si>
  <si>
    <t>=OC236  JEEP CHEROKEE,WRANGLER 2.5, 4.0 91- /93 X 92 (3/4 - 16 UNF)/</t>
  </si>
  <si>
    <t>H10W17</t>
  </si>
  <si>
    <t>H10W17     (HENGST)</t>
  </si>
  <si>
    <t>100.00</t>
  </si>
  <si>
    <t>=OC236, Nissan ALMERA II 00 -, NAVARA 04 -</t>
  </si>
  <si>
    <t>H10W19</t>
  </si>
  <si>
    <t>H10W19     (HENGST)</t>
  </si>
  <si>
    <t>122.61</t>
  </si>
  <si>
    <t>=OC540  Hyundai, Kia 2.9CRDi  01-</t>
  </si>
  <si>
    <t>H110WK</t>
  </si>
  <si>
    <t>H110WK     (HENGST)</t>
  </si>
  <si>
    <t>135.99</t>
  </si>
  <si>
    <t>=KL83  OPEL CORSA 1.2-1.6  93-, OMEGA B 2.0-3.2 94-, VECTRA 1.6-2.6 95-</t>
  </si>
  <si>
    <t>H111WK</t>
  </si>
  <si>
    <t>H111WK     (HENGST)</t>
  </si>
  <si>
    <t>135.63</t>
  </si>
  <si>
    <t>=KL79  VW/AUDI 1.6 - 3.0  Р±РµРЅР·РёРЅ 97- (Р°РЅР°Р»РѕРі WK730/1)</t>
  </si>
  <si>
    <t>H112WK</t>
  </si>
  <si>
    <t>H112WK     (HENGST)</t>
  </si>
  <si>
    <t>=KL248  PEUGEOT 106/206/306/307/405/406/407/607, CITROEN Berlingo/C2/C5/Evasion/Saxo/Xantia/FIAT/VOLVO/SMART</t>
  </si>
  <si>
    <t>H119WK</t>
  </si>
  <si>
    <t>H119WK     (HENGST)</t>
  </si>
  <si>
    <t>218.99</t>
  </si>
  <si>
    <t>=KC69  AUDI 80,100,A4,A6  1.6-2.5 diesel eng. 91- /182.5 X 80 (M16X1.5)/</t>
  </si>
  <si>
    <t>H120WK</t>
  </si>
  <si>
    <t>H120WK     (HENGST)</t>
  </si>
  <si>
    <t>220.26</t>
  </si>
  <si>
    <t>=KC90  FORD TRANSIT 2.5D/TD  84-10/97  /163 X 80/</t>
  </si>
  <si>
    <t>H12W05</t>
  </si>
  <si>
    <t>H12W05     (HENGST)</t>
  </si>
  <si>
    <t>=OC384  Lada 2108-21099, РћРєР°  (MANN   W 914/2)</t>
  </si>
  <si>
    <t>H130W</t>
  </si>
  <si>
    <t>H130W     (HENGST)</t>
  </si>
  <si>
    <t>80.11</t>
  </si>
  <si>
    <t xml:space="preserve">=OC217/6, SUZUKI  Gr. Vitara 1.6, 2.5  98 -03, </t>
  </si>
  <si>
    <t>H132WK</t>
  </si>
  <si>
    <t>H132WK     (HENGST)</t>
  </si>
  <si>
    <t>=KL13  98x36mm  FIAT Ducato 1.8   -90, PEUGEOT 205 1.2 -98</t>
  </si>
  <si>
    <t>H13W01</t>
  </si>
  <si>
    <t>H13W01     (HENGST)</t>
  </si>
  <si>
    <t>68.90</t>
  </si>
  <si>
    <t xml:space="preserve">MAZDA E2000,E2200, ISUZU MIDI 2.2D 89-, HYUNDAI 1.5-2.5 90- </t>
  </si>
  <si>
    <t>H14/2W</t>
  </si>
  <si>
    <t>H14/2W     (HENGST)</t>
  </si>
  <si>
    <t>70.34</t>
  </si>
  <si>
    <t>=OC47  VW/AUDI -97 (Р°РЅР°Р»РѕРі W719/5)</t>
  </si>
  <si>
    <t>H140WK01</t>
  </si>
  <si>
    <t>H140WK01     (HENGST)</t>
  </si>
  <si>
    <t>206.88</t>
  </si>
  <si>
    <t>=KL313  MB W164/203/211/639 1,6-3,2 CDI 03-</t>
  </si>
  <si>
    <t>H144WK</t>
  </si>
  <si>
    <t>H144WK     (HENGST)</t>
  </si>
  <si>
    <t>317.37</t>
  </si>
  <si>
    <t xml:space="preserve">= KL474  FIAT Doblo/Palio/Punto/Strada 1.9D 9.99-&gt; </t>
  </si>
  <si>
    <t>H14W07</t>
  </si>
  <si>
    <t>H14W07     (HENGST)</t>
  </si>
  <si>
    <t>105.61</t>
  </si>
  <si>
    <t>=OC49  BMW 316,318,320,520,525 (M10,M20 eng.) -91 (W719/5) /118,4 X 75 (3/4 - 16 UNF)./</t>
  </si>
  <si>
    <t>H14W23</t>
  </si>
  <si>
    <t>H14W23     (HENGST)</t>
  </si>
  <si>
    <t>=OC606  FORD ESCORT,FIESTA,FOCUS,MONDEO 1.4. - 2.0. Р±РµРЅР·РёРЅ 92-  /72 X 76 (3/4 - 16 UNF)/</t>
  </si>
  <si>
    <t>H14W27</t>
  </si>
  <si>
    <t>H14W27     (HENGST)</t>
  </si>
  <si>
    <t>96.02</t>
  </si>
  <si>
    <t>=OC264  VW/AUDI 1.8-2.8 Р±РµРЅР·РёРЅ 91-  /118 X 75 (3/4 - 16 UNF)/ (Р°РЅР°Р»РѕРі W719/30)</t>
  </si>
  <si>
    <t>H14W32</t>
  </si>
  <si>
    <t>H14W32     (HENGST)</t>
  </si>
  <si>
    <t>68.72</t>
  </si>
  <si>
    <t>=OC478  TOYOTA 4Runner 4,0/4,7 8/02-&gt;/Land Cruiser 4,0-4,7/Lexus/Tundra</t>
  </si>
  <si>
    <t>H14W40</t>
  </si>
  <si>
    <t>H14W40     (HENGST)</t>
  </si>
  <si>
    <t>85.90</t>
  </si>
  <si>
    <t>=OC110o.F.  MB W201 (E2.0-E2.6) 85-93, W124 (200E-300E) 86-93 /118 X 75 (3/4 - 16 UNF)/</t>
  </si>
  <si>
    <t>H150WK</t>
  </si>
  <si>
    <t>H150WK     (HENGST)</t>
  </si>
  <si>
    <t>383.19</t>
  </si>
  <si>
    <t>=KL160/1  BMW 330D, 520D, 525D, 530D  99- (M47, M57 -engines)</t>
  </si>
  <si>
    <t>H155WK02</t>
  </si>
  <si>
    <t>H155WK02     (HENGST)</t>
  </si>
  <si>
    <t>334.54</t>
  </si>
  <si>
    <t>=KL156/3  Audi, Skoda, VW 1.2i-1.6i  05-</t>
  </si>
  <si>
    <t>H167WK</t>
  </si>
  <si>
    <t>H167WK     (HENGST)</t>
  </si>
  <si>
    <t>330.57</t>
  </si>
  <si>
    <t>=KL174  MB VITO 108CDI-112CDI 99-, SPRINTER CDI (OM611 DELA/DE22LA) 00- (СЃ РґР°С‚С‡РёРєРѕРј)</t>
  </si>
  <si>
    <t>H168WK</t>
  </si>
  <si>
    <t>H168WK     (HENGST)</t>
  </si>
  <si>
    <t>106.15</t>
  </si>
  <si>
    <t>=KC5  BOGDAN (Isuzu eng.) EURO II/III,  TOYOTA LANDCRUISER 4.0D/TD  80-89</t>
  </si>
  <si>
    <t>H173WK</t>
  </si>
  <si>
    <t>H173WK     (HENGST)</t>
  </si>
  <si>
    <t>132.73</t>
  </si>
  <si>
    <t>#Case, Demag, Kawasaki</t>
  </si>
  <si>
    <t>H17W20</t>
  </si>
  <si>
    <t>H17W20     (HENGST)</t>
  </si>
  <si>
    <t>165.64</t>
  </si>
  <si>
    <t>=OC273  NISSAN PATROL 2.8TD 88-00, PRIMERA 2.0D/TD 91- /129.5 X 94 (1 - 12 UNF)/</t>
  </si>
  <si>
    <t>H17W30</t>
  </si>
  <si>
    <t>H17W30     (HENGST)</t>
  </si>
  <si>
    <t>=OC470  VW PASSAT/AUDI A4/SKODA SUPERB 1,8T 96-</t>
  </si>
  <si>
    <t>H17WK04</t>
  </si>
  <si>
    <t>H17WK04     (HENGST)</t>
  </si>
  <si>
    <t>147.56</t>
  </si>
  <si>
    <t>=KC94  SCANIA - trucks  96-</t>
  </si>
  <si>
    <t>H17WK07</t>
  </si>
  <si>
    <t>H17WK07     (HENGST)</t>
  </si>
  <si>
    <t>168.36</t>
  </si>
  <si>
    <t>=KC83  TOYOTA HIACE, HILUX 2.4D 89-, COROLLA 1.8D, 2.0D 87- /139 X 85 (3/4 - 16 UNF)/</t>
  </si>
  <si>
    <t>H17WK09</t>
  </si>
  <si>
    <t>H17WK09     (HENGST)</t>
  </si>
  <si>
    <t xml:space="preserve">=KC46 MITSUBISHI L 200  96 -07, PAJERO III 2.5-3.0TD  02 -, KIA BESTA  2.2D 93- 03,  ISUZU TROOPER 2.8TD 88-92, 3.1TD 91- </t>
  </si>
  <si>
    <t>H18W01</t>
  </si>
  <si>
    <t>H18W01     (HENGST)</t>
  </si>
  <si>
    <t>186.80</t>
  </si>
  <si>
    <t>DAF  F,N, FORD Cargo, IVECO, LEYLAND-DAF    /207.5 X 92 (1 - 12 UNF)/</t>
  </si>
  <si>
    <t>H18WDK02</t>
  </si>
  <si>
    <t>H18WDK02     (HENGST)</t>
  </si>
  <si>
    <t>274.15</t>
  </si>
  <si>
    <t>=KC197  RVI Trucks  01-</t>
  </si>
  <si>
    <t>H18WDK03</t>
  </si>
  <si>
    <t>H18WDK03     (HENGST)</t>
  </si>
  <si>
    <t>=KC178  DAF 95 XF 530  01/97 - 09/02</t>
  </si>
  <si>
    <t>H18WK04</t>
  </si>
  <si>
    <t>H18WK04     (HENGST)</t>
  </si>
  <si>
    <t>182.82</t>
  </si>
  <si>
    <t>=KC7  DAF/RENAULT - trucks /207.5 X 92 (M16X1.5)/</t>
  </si>
  <si>
    <t>H192WK</t>
  </si>
  <si>
    <t>H192WK     (HENGST)</t>
  </si>
  <si>
    <t>249.73</t>
  </si>
  <si>
    <t>=KL446  FORD, SSANGYONG diesel engines  98-</t>
  </si>
  <si>
    <t>H19W06</t>
  </si>
  <si>
    <t>H19W06     (HENGST)</t>
  </si>
  <si>
    <t>=OC105  VW LT 2.4D/TD 78-96, T4 2.4D/TD 92- /183.5 X 92 (3/4 - 16 UNF)/</t>
  </si>
  <si>
    <t>H19W10</t>
  </si>
  <si>
    <t>H19W10     (HENGST)</t>
  </si>
  <si>
    <t>300.91</t>
  </si>
  <si>
    <t>=OC502  Iveco trucks 00-</t>
  </si>
  <si>
    <t>H19WK01</t>
  </si>
  <si>
    <t>H19WK01     (HENGST)</t>
  </si>
  <si>
    <t>194.94</t>
  </si>
  <si>
    <t>=KC 28, Bedford, GM, Caterpillar</t>
  </si>
  <si>
    <t>H200W10</t>
  </si>
  <si>
    <t>H200W10     (HENGST) !!Р·Р°РјС–РЅР° РґР»СЏ H200W01</t>
  </si>
  <si>
    <t>=OC121  RENAULT CARGO,  VOLVO CARGO\n</t>
  </si>
  <si>
    <t>H200WN01</t>
  </si>
  <si>
    <t>H200WN01     (HENGST) !!Р·Р°РјС–РЅР° РґР»СЏ H200WN</t>
  </si>
  <si>
    <t>346.66</t>
  </si>
  <si>
    <t>RENAULT CARGO,  VOLVO CARGO,  IKARUS</t>
  </si>
  <si>
    <t>H203WK</t>
  </si>
  <si>
    <t>H203WK     (HENGST)</t>
  </si>
  <si>
    <t>292.95</t>
  </si>
  <si>
    <t>=KC116  TRANSIT 2.0-2.4D 00-&gt;</t>
  </si>
  <si>
    <t>H205W01</t>
  </si>
  <si>
    <t>H205W01     (HENGST)</t>
  </si>
  <si>
    <t>162.75</t>
  </si>
  <si>
    <t>=OC214  AUDI 100 2.4D -94, A6 2.5TDI -97, VW T4 1.9D/TD 90- /111 X 108 (3/4 - 16 UNF)/</t>
  </si>
  <si>
    <t>H206W</t>
  </si>
  <si>
    <t>H206W     (HENGST)</t>
  </si>
  <si>
    <t>165.10</t>
  </si>
  <si>
    <t>=OC275, MITSUBISHI L200 2.8-3.2 TD, PAJERO III 2.8TD  -&gt; 07, TOYOTA Avensis 2.0D,  -&gt;03, HILUX 2.4 TD 95 - 06\n</t>
  </si>
  <si>
    <t>H207WK02</t>
  </si>
  <si>
    <t>H207WK02     (HENGST)  !!Р·Р°РјС–РЅР° РґР»СЏ H207WK01</t>
  </si>
  <si>
    <t>832.93</t>
  </si>
  <si>
    <t>=KL229/4  VW TRANSPORTER V  1.9TDI, 2.5TDI, TOUAREG 2.5TDI  03-</t>
  </si>
  <si>
    <t>H209W</t>
  </si>
  <si>
    <t>H209W     (HENGST)</t>
  </si>
  <si>
    <t>181.74</t>
  </si>
  <si>
    <t>=OC274  MITSUBISHI L200,L300,L400, PAJERO 2.5D/TD 86- /125 X 102 (M26X1.5)/</t>
  </si>
  <si>
    <t>H210W01</t>
  </si>
  <si>
    <t>H210W01     (HENGST)</t>
  </si>
  <si>
    <t>206.69</t>
  </si>
  <si>
    <t>=OC206  MAN trucks &amp; buses 87- /177 X 108 (M30X2)/</t>
  </si>
  <si>
    <t>H210WN</t>
  </si>
  <si>
    <t>H210WN     (HENGST)</t>
  </si>
  <si>
    <t>209.41</t>
  </si>
  <si>
    <t>=OC248  RENAULT/IVECO/FIAT DUCATO 2.5, 2.8 diesel eng. 82-</t>
  </si>
  <si>
    <t>H214WK</t>
  </si>
  <si>
    <t>H214WK     (HENGST)</t>
  </si>
  <si>
    <t>280.66</t>
  </si>
  <si>
    <t>=KL483  FORD Fiesta IV 1.8 DI 04/00-&gt;/ Focus 1.8/DI/TDI/TDDI 02/99-11/04/ Tourneo/Transit connect 1.8 DI 06/02-&gt;</t>
  </si>
  <si>
    <t>H24W04</t>
  </si>
  <si>
    <t>H24W04     (HENGST)</t>
  </si>
  <si>
    <t>158.05</t>
  </si>
  <si>
    <t>=OC485  AUDI 80 2.6, 2.8  92-96, A4,A6,A8 2.4-3.0  95- /139.5 X 92 (3/4 - 16 UNF)/</t>
  </si>
  <si>
    <t>H278WK</t>
  </si>
  <si>
    <t>H278WK     (HENGST)</t>
  </si>
  <si>
    <t>483.19</t>
  </si>
  <si>
    <t>=KL228/2D  MERCEDES (W169,W203,S203,CL203,W211,S211,) A 160-E320CDI 4/03-&gt;| Vito (W639) 2.2CDI 9/03-&gt;</t>
  </si>
  <si>
    <t>H280WK</t>
  </si>
  <si>
    <t>H280WK     (HENGST)</t>
  </si>
  <si>
    <t>338.16</t>
  </si>
  <si>
    <t>=KL572  VAG FCI/TFCI  05-</t>
  </si>
  <si>
    <t>H300W09</t>
  </si>
  <si>
    <t>H300W09     (HENGST)</t>
  </si>
  <si>
    <t>349.73</t>
  </si>
  <si>
    <t>=OC404 VW LT 28-46 II 04/96 - 07/06</t>
  </si>
  <si>
    <t>H316WK</t>
  </si>
  <si>
    <t>H316WK     (HENGST)</t>
  </si>
  <si>
    <t>170.89</t>
  </si>
  <si>
    <t>=KC389  TOYOTA  Auris 1.4D - 2.2D  07-, COROLLA VII 06 -</t>
  </si>
  <si>
    <t>H328WK</t>
  </si>
  <si>
    <t>H328WK     (HENGST) !!Р—Р°РјС–РЅР° РґР»СЏ H7091WK30 D199</t>
  </si>
  <si>
    <t>675.78</t>
  </si>
  <si>
    <t>Renault V.I. Volvo Kerax, Magnum FH 13, FH 16, FM/FMX</t>
  </si>
  <si>
    <t>H342WK</t>
  </si>
  <si>
    <t>H342WK     (HENGST)</t>
  </si>
  <si>
    <t>462.94</t>
  </si>
  <si>
    <t>=KL781  RENAULT/DACIA  Duster  1.5DCi  10-</t>
  </si>
  <si>
    <t>H35WK02 D87</t>
  </si>
  <si>
    <t>H35WK02 D87     (HENGST)</t>
  </si>
  <si>
    <t>=KC63/1D  MB W201,W124,W202,W210,T1,T2,SPRINTER,VITO (OM601/OM602) /97.5 X 85 (M12X1.5)/</t>
  </si>
  <si>
    <t>H60WK07</t>
  </si>
  <si>
    <t>H60WK07     (HENGST)</t>
  </si>
  <si>
    <t>=KC24, Atlas, Deutz, Volvo</t>
  </si>
  <si>
    <t>H700WK</t>
  </si>
  <si>
    <t>H700WK     (HENGST)</t>
  </si>
  <si>
    <t>756.25</t>
  </si>
  <si>
    <t>=KC362D  RENAULT Magnum 90 -, Premium I, II 96-, 05 -, VOLVO FM / FMX 09/05 -, FH 12 93 -, FH 16 II 09 -</t>
  </si>
  <si>
    <t>H70WDK14</t>
  </si>
  <si>
    <t>H70WDK14     (HENGST)</t>
  </si>
  <si>
    <t>169.44</t>
  </si>
  <si>
    <t>=KC102  MAN trucks &amp; buses (РЅР°РІРµСЂС‚РЅС‹Р№) /145.4 X 75 (M16X1.5)/</t>
  </si>
  <si>
    <t>H70WK02</t>
  </si>
  <si>
    <t>H70WK02     (HENGST)</t>
  </si>
  <si>
    <t>=KC18  VW/AUDI/FIAT/CITROEN/PEUGEOT diesel engines (WK842/2) /152.5 X 80 (M16X1.5)/</t>
  </si>
  <si>
    <t>H70WK04</t>
  </si>
  <si>
    <t>H70WK04     (HENGST)</t>
  </si>
  <si>
    <t>181.02</t>
  </si>
  <si>
    <t>=KL41  VW GOLF,JETTA 1.6D/TD -91, TRANSPORTER 1.6TD -92, LT 2.4D/TD -92</t>
  </si>
  <si>
    <t>H70WK05</t>
  </si>
  <si>
    <t>H70WK05     (HENGST)</t>
  </si>
  <si>
    <t>199.46</t>
  </si>
  <si>
    <t>=KL75 VW/SEAT diesel engines 88- (СЃ РїРѕРґРѕРіСЂРµРІРѕРј)</t>
  </si>
  <si>
    <t>H70WK08</t>
  </si>
  <si>
    <t>H70WK08     (HENGST)</t>
  </si>
  <si>
    <t>264.20</t>
  </si>
  <si>
    <t>=KL147D  AUDI A3,A4,A6, VW GOLF4,BORA,PASSAT 1.9TDI  00-,  LT28-35 2.5SDI/TDI 96-</t>
  </si>
  <si>
    <t>H70WK11</t>
  </si>
  <si>
    <t>H70WK11     (HENGST)</t>
  </si>
  <si>
    <t>244.13</t>
  </si>
  <si>
    <t>=KL100/2  MB VITO 108CDI-112CDI 99-, SPRINTER CDI - engines (OM611 DELA/DE22LA) 00-</t>
  </si>
  <si>
    <t>H70WK14</t>
  </si>
  <si>
    <t>H70WK14     (HENGST)</t>
  </si>
  <si>
    <t>219.53</t>
  </si>
  <si>
    <t>=KC101  ACCENT/MATRIX/H-1 CRDI 02-10, SANTA FГ‰ II 03/06 -</t>
  </si>
  <si>
    <t>H80WK01</t>
  </si>
  <si>
    <t>H80WK01     (HENGST)</t>
  </si>
  <si>
    <t>159.50</t>
  </si>
  <si>
    <t>=KL9  BMW 316i 87-90, 318i 84-90, 325i 83-93, 518i 89-97 (M10,M20,M40,M43 - engines)</t>
  </si>
  <si>
    <t>H80WK04</t>
  </si>
  <si>
    <t>H80WK04     (HENGST)</t>
  </si>
  <si>
    <t>238.88</t>
  </si>
  <si>
    <t>=KL19  MB W123 (230E, 280E) -85, W124 (200-300 - series) -95  (С€С‚СѓС†РµСЂ)</t>
  </si>
  <si>
    <t>H80WK07</t>
  </si>
  <si>
    <t>H80WK07     (HENGST)</t>
  </si>
  <si>
    <t>=KL2  VW/AUDI 1.6 - 2.8  Р±РµРЅР·РёРЅ 91- (Р°РЅР°Р»РѕРі WK830/7)</t>
  </si>
  <si>
    <t>H82WK01</t>
  </si>
  <si>
    <t>H82WK01     (HENGST)  !!Р·Р°РјС–РЅР° РґР»СЏ  H310WK</t>
  </si>
  <si>
    <t>113.93</t>
  </si>
  <si>
    <t>=KL14  CITROEN/PEUGEOT 1.3-2.0, OPEL 1.2-3.0 -98, Tavria/Slavuta 1.2i, 1.3i</t>
  </si>
  <si>
    <t>H82WK02</t>
  </si>
  <si>
    <t>H82WK02     (HENGST)</t>
  </si>
  <si>
    <t>200.55</t>
  </si>
  <si>
    <t>=KL65  MB W202 (C180-C230) 94-, W210 (E200-E240) 95-, W140 (S280-S600) 94- (WK831)</t>
  </si>
  <si>
    <t>H84WK03</t>
  </si>
  <si>
    <t>H84WK03     (HENGST)</t>
  </si>
  <si>
    <t>190.42</t>
  </si>
  <si>
    <t>=KL28  AUDI 80 1.6, 1.8 -91,  A6 2.0 16V 94-97, SEAT TOLEDO 1.8 16V 91-99</t>
  </si>
  <si>
    <t>H90W13</t>
  </si>
  <si>
    <t>H90W13     (HENGST)</t>
  </si>
  <si>
    <t>=OC100  FIAT DUCATO 2.0 -94, PEUGEOT BOXER 1.9D 96- (W712/8) /87.5 X 75 (M20X1.5)/</t>
  </si>
  <si>
    <t>H90W17</t>
  </si>
  <si>
    <t>H90W17     (HENGST)</t>
  </si>
  <si>
    <t>=OC295  VW GOLF,VENTO,POLO,BORA,CADDY 1.4, 1.6 91-</t>
  </si>
  <si>
    <t>H90W23</t>
  </si>
  <si>
    <t>H90W23     (HENGST)</t>
  </si>
  <si>
    <t>86.44</t>
  </si>
  <si>
    <t>=OC976  FIAT, PSA, TOYOTA  97-</t>
  </si>
  <si>
    <t>H90W25</t>
  </si>
  <si>
    <t>H90W25     (HENGST)</t>
  </si>
  <si>
    <t>74.87</t>
  </si>
  <si>
    <t>=OC115, HONDA  Accord 1.6-3.0i, 83-02, 08-&gt;,Civic 1.4-1.8, 05 -&gt;, FR-V  04 -,  HR-V 1.6 99 -, JAZZ III 08 -</t>
  </si>
  <si>
    <t>H90W27</t>
  </si>
  <si>
    <t>H90W27     (HENGST)</t>
  </si>
  <si>
    <t>109.77</t>
  </si>
  <si>
    <t xml:space="preserve">FORD FocusII 1.8-2.0, 2.0 LPG,  -12, MondeoIII, IV 1.8-2.3,-07, C-Max I 07-,TRANSIT 2.3 16V [RWD] 04/06-, MAZDA 3 I,II 2.0, 03-, 6 II (GH)1.8 MZR-2.0 MZR,  07 -, CX-5, CX-7  15 -, VOLVO S40 II, S80 II, V70III 04- </t>
  </si>
  <si>
    <t>H90W28</t>
  </si>
  <si>
    <t>H90W28     (HENGST)</t>
  </si>
  <si>
    <t>88.25</t>
  </si>
  <si>
    <t>=OC458  ALFA ROMEO/FIAT/LANCIA 1.9JTD/2.4JTD</t>
  </si>
  <si>
    <t>H97W05</t>
  </si>
  <si>
    <t>H97W05     (HENGST)</t>
  </si>
  <si>
    <t>66.19</t>
  </si>
  <si>
    <t>=OC196  MAZDA 626 1.6, 2.0 -87, MX6 2.5 24V 92-, XEDOX6 2.0 V6 94- /85 X 65 (M20X1.5)/</t>
  </si>
  <si>
    <t>H97W06</t>
  </si>
  <si>
    <t>H97W06     (HENGST)</t>
  </si>
  <si>
    <t>=OC195  MAZDA 323 1.6 85-93, 1.5i 94-01, 626 1.8, 2.0 -99 /65 X 65 (M20X1.5)/</t>
  </si>
  <si>
    <t>H97W07</t>
  </si>
  <si>
    <t>H97W07     (HENGST)</t>
  </si>
  <si>
    <t>63.83</t>
  </si>
  <si>
    <t>=OC534  Toyota 1.0i-1.6i  03-</t>
  </si>
  <si>
    <t>H97W08</t>
  </si>
  <si>
    <t>H97W08     (HENGST)</t>
  </si>
  <si>
    <t>68.36</t>
  </si>
  <si>
    <t>=OC194  NISSAN MAXIMA 2.0, 3.0 95-, KIA SPORTAGE 2.0 16V 94- /85 X 65 (M20X1.5)/</t>
  </si>
  <si>
    <t>H97W10</t>
  </si>
  <si>
    <t>H97W10     (HENGST)</t>
  </si>
  <si>
    <t>66.91</t>
  </si>
  <si>
    <t>=OC218  NISSAN MICRA 1.0i, 1.3i, 92-, PRIMERA, SUNNY 2.0i -95  /85 X 65 (3/4 - 16 UNF)/</t>
  </si>
  <si>
    <t>H97W11</t>
  </si>
  <si>
    <t>H97W11     (HENGST)</t>
  </si>
  <si>
    <t>82.64</t>
  </si>
  <si>
    <t>=OC495  MITSUBISHI Colt VI 1.1-1.5 6/04-&gt;,SMART Forfour 1.1-1.5 4/04-&gt;</t>
  </si>
  <si>
    <t>T250W</t>
  </si>
  <si>
    <t>T250W     (HENGST)</t>
  </si>
  <si>
    <t>423.52</t>
  </si>
  <si>
    <t>=AL12, Avia, DAF, Leyland, Mercedes-Benz</t>
  </si>
  <si>
    <t>Z10 D64</t>
  </si>
  <si>
    <t>Z10 D64     (HENGST)</t>
  </si>
  <si>
    <t>326.77</t>
  </si>
  <si>
    <t xml:space="preserve">=OZ1D, Renault  Major - 10/96,  G - 91, Magnum  - 92 </t>
  </si>
  <si>
    <t>Z12 D64</t>
  </si>
  <si>
    <t>Z12 D64     (HENGST)</t>
  </si>
  <si>
    <t>351.90</t>
  </si>
  <si>
    <t>=OZ5D, DAF 85CF, 95 XF 01-06</t>
  </si>
  <si>
    <t>Z13 D94</t>
  </si>
  <si>
    <t>Z13 D94     (HENGST)</t>
  </si>
  <si>
    <t>387.17</t>
  </si>
  <si>
    <t>=OZ3  RENAULT - trucks (MAGNUM, PREMIUM) 00-</t>
  </si>
  <si>
    <t>HEPU</t>
  </si>
  <si>
    <t>P999</t>
  </si>
  <si>
    <t>P999 1.5L (СЃРёРЅС–Р№) x12</t>
  </si>
  <si>
    <t>148.04</t>
  </si>
  <si>
    <t>Konzentrat| Frostschutz bis -37В°C bei MischungsverhГ¤ltnis 50:50 /FEBI 01089, 86089/ 12 Flaschen je Karton / 480 Fl. je Palette</t>
  </si>
  <si>
    <t>P999-005</t>
  </si>
  <si>
    <t>P999 5L (СЃРёРЅС–Р№) x4</t>
  </si>
  <si>
    <t>455.15</t>
  </si>
  <si>
    <t>Konzentrat| Frostschutz bis -37В°C bei MischungsverhГ¤ltnis 50:50 /FEBI 22268/ 4 Kanister je Karton / 128 Kanister je Pal.</t>
  </si>
  <si>
    <t>P999-020</t>
  </si>
  <si>
    <t>P999 20L (СЃРёРЅС–Р№)</t>
  </si>
  <si>
    <t>1851.32</t>
  </si>
  <si>
    <t>Konzentrat| Frostschutz bis -37В°C bei MischungsverhГ¤ltnis 50:50 /FEBI 22270/ 28 Kanister je Palette</t>
  </si>
  <si>
    <t>P999-G12</t>
  </si>
  <si>
    <t>P999 G12 1.5L (С‡РµСЂРІРѕРЅРёР№) x12</t>
  </si>
  <si>
    <t>157.79</t>
  </si>
  <si>
    <t>Konzentrat| Frostschutz bis -37В°C bei MischungsverhГ¤ltnis 50:50 /FEBI 86381, 01381/ 12 Flaschen je Karton / 480 Fl. je Palette</t>
  </si>
  <si>
    <t>P999-G12-005</t>
  </si>
  <si>
    <t>P999 G12 5L (С‡РµСЂРІРѕРЅРёР№) x4</t>
  </si>
  <si>
    <t>484.21</t>
  </si>
  <si>
    <t>Konzentrat| Frostschutz bis -37В°C bei MischungsverhГ¤ltnis 50:50 /FEBI 22272/ 4 Kanister je Karton / 128 Kanister je Pal.</t>
  </si>
  <si>
    <t>P999-G12plus</t>
  </si>
  <si>
    <t>P999 G12plus 1.5L (С„С–РѕР»РµС‚РѕРІРёР№) x12</t>
  </si>
  <si>
    <t>156.32</t>
  </si>
  <si>
    <t>Konzentrat| Frostschutz bis -37В°C bei MischungsverhГ¤ltnis 50:50 /FEBI 19400/ 12 Flaschen je Karton / 480 Fl. je Palette</t>
  </si>
  <si>
    <t>P999-G12plus-005</t>
  </si>
  <si>
    <t>P999 G12plus 5L (С„С–РѕР»РµС‚РѕРІРёР№) x4</t>
  </si>
  <si>
    <t>496.53</t>
  </si>
  <si>
    <t>Konzentrat| Frostschutz bis -37В°C bei MischungsverhГ¤ltnis 50:50 /FEBI 19402/ 4 Kanister je Karton / 128 Kanister je Pal.</t>
  </si>
  <si>
    <t>P999-GRN</t>
  </si>
  <si>
    <t>P999 GRN 1.5L (Р·РµР»РµРЅРёР№) x12</t>
  </si>
  <si>
    <t>156.68</t>
  </si>
  <si>
    <t>MB 325.0 &amp; 325.2 вЂў ASTM D3306/D4985вЂў Dacia/Renault вЂў AFNOR NF R15-601вЂў MTU MTL 5048 вЂў JIS K 2234</t>
  </si>
  <si>
    <t>P999-YLW</t>
  </si>
  <si>
    <t>P999 YLW 1.5L (Р¶РѕРІС‚РёР№) x12</t>
  </si>
  <si>
    <t>154.11</t>
  </si>
  <si>
    <t>MTU MTL 5048 вЂў MB 000 989 08 25 вЂў JIS K 2234 вЂў AFNOR NF R15-601 вЂў ASTM D3306/D4985</t>
  </si>
  <si>
    <t>SK-C20-001</t>
  </si>
  <si>
    <t>Winter Screenwash -20 РЎ 1L (x12)</t>
  </si>
  <si>
    <t>51.86</t>
  </si>
  <si>
    <t>SK-C20-005</t>
  </si>
  <si>
    <t>Winter Screenwash -20 РЎ 5L (x4)</t>
  </si>
  <si>
    <t>132.96</t>
  </si>
  <si>
    <t>ZHM-SERVO-001</t>
  </si>
  <si>
    <t>ZHM-SERVO 1L (РіС–РґСЂРѕРїС–РґСЃРёР»СЋРІР°С‡) x12</t>
  </si>
  <si>
    <t>158.15</t>
  </si>
  <si>
    <t>MB 236.3, Mercedes 000 989 91 03    Farbe/colour: gelb/yellow  /FEBI 02615/ 12 bottles per box / 600 btls. p. pallet</t>
  </si>
  <si>
    <t>ZHS-SERVO-001</t>
  </si>
  <si>
    <t>ZHS-SERVO 1L (РіС–РґСЂРѕРїС–РґСЃРёР»СЋРІР°С‡) x12</t>
  </si>
  <si>
    <t>164.59</t>
  </si>
  <si>
    <t>vergleichbar/comp. VW G 002 000  Einsatzbereich -40В°C / +110В°C    Farbe/colour: grГјn/green  12 bottles per box / 600 btls. p. pallet</t>
  </si>
  <si>
    <t>HEPU - IPD</t>
  </si>
  <si>
    <t>P139</t>
  </si>
  <si>
    <t>P139   HEPU - РќР°СЃРѕСЃ РѕС…РѕР»РѕРґР¶СѓСЋС‡РѕС— СЂС–РґРёРЅРё</t>
  </si>
  <si>
    <t>1486.46</t>
  </si>
  <si>
    <t>Hepu</t>
  </si>
  <si>
    <t>MERCEDES  G 270 CDI (01 - )\nMERCEDES SPRINTER 2-t CDI ( - 06)\nMERCEDES SPRINTER 3-t CDI ( - 06)\nMERCEDES SPRINTER 4-t CDI ( - 06)</t>
  </si>
  <si>
    <t>P147</t>
  </si>
  <si>
    <t>P147   HEPU - РќР°СЃРѕСЃ РѕС…РѕР»РѕРґР¶СѓСЋС‡РѕС— СЂС–РґРёРЅРё</t>
  </si>
  <si>
    <t>1811.24</t>
  </si>
  <si>
    <t>MERCEDES  C/E/G/ML240/280/320430/500 (97 - )\nMERCEDES CLK 320, 430, 55, 240, 500 (99 - )\nMERCEDES SL 320, 500, 350, 55 (01 - )\nMERCEDES SLK 320, 55 (00 - )\nMERCEDES VIANO 3.2 (03 - )\nMERCEDES VITO 122, 123 (03 - )</t>
  </si>
  <si>
    <t>P1531</t>
  </si>
  <si>
    <t>P1531   HEPU - РќР°СЃРѕСЃ РѕС…РѕР»РѕРґР¶СѓСЋС‡РѕС— СЂС–РґРёРЅРё</t>
  </si>
  <si>
    <t>1614.68</t>
  </si>
  <si>
    <t>MERCEDES  C200/220CDI, E200/220/270CDI (02 - )\nMERCEDES CLK 220 CDI (05 - )</t>
  </si>
  <si>
    <t>P1535</t>
  </si>
  <si>
    <t>P1535   HEPU - РќР°СЃРѕСЃ РѕС…РѕР»РѕРґР¶СѓСЋС‡РѕС— СЂС–РґРёРЅРё</t>
  </si>
  <si>
    <t>2528.80</t>
  </si>
  <si>
    <t>MERCEDES CLK 500 (06 - )\nMERCEDES CLS 500 (06 - )\nMERCEDES  E/ML/S/CL 450/500/63 (05 - )\nMERCEDES GL-CLASS GL 450, GL 500 (06 - )\nMERCEDES GL-KLASSE GL 450, GL 500 (06 - )\nMERCEDES SL 500 (06 - )</t>
  </si>
  <si>
    <t>P1538</t>
  </si>
  <si>
    <t>P1538   HEPU - РќР°СЃРѕСЃ РѕС…РѕР»РѕРґР¶СѓСЋС‡РѕС— СЂС–РґРёРЅРё</t>
  </si>
  <si>
    <t>1868.93</t>
  </si>
  <si>
    <t>MERCEDES SPRINTER 309/311/315/318/324 (06 - )\nMERCEDES SPRINTER 309/311/315/318/324 (06 - )\nMERCEDES SPRINTER 3-t  (06 - )\nMERCEDES SPRINTER  509, 511, 515, 518 (06 - )\nMERCEDES VIANO CDI, CDI 2.2 (03 - )\nMERCEDES VITO 109/111/115 CDI (03 - )</t>
  </si>
  <si>
    <t>P176</t>
  </si>
  <si>
    <t>P176   HEPU - РќР°СЃРѕСЃ РѕС…РѕР»РѕРґР¶СѓСЋС‡РѕС— СЂС–РґРёРЅРё</t>
  </si>
  <si>
    <t>1080.13</t>
  </si>
  <si>
    <t>MERCEDES T1 208D, 210D, 308D, 310D (88 - 96)\nMERCEDES VITO 108/110 2,3  (96 - 03)\nSSANGYONG KORANDO 2.9 D (96 - )\nSSANGYONG MUSSO 2.9 D (96 - )</t>
  </si>
  <si>
    <t>P202</t>
  </si>
  <si>
    <t>P202   HEPU - РќР°СЃРѕСЃ РѕС…РѕР»РѕРґР¶СѓСЋС‡РѕС— СЂС–РґРёРЅРё</t>
  </si>
  <si>
    <t>843.96</t>
  </si>
  <si>
    <t>FORD TRANSIT 2.5 DI/TD/D/TDI (85 - )</t>
  </si>
  <si>
    <t>P247</t>
  </si>
  <si>
    <t>P247   HEPU - РќР°СЃРѕСЃ РѕС…РѕР»РѕРґР¶СѓСЋС‡РѕС— СЂС–РґРёРЅРё</t>
  </si>
  <si>
    <t>1524.80</t>
  </si>
  <si>
    <t>FORD MONDEO 2.0DI/TDDi/TDCi, 2.2TDCi (00 - 07)  FORD TRANSIT 2.0 DI, 2.0 TDCi (00 - 06)</t>
  </si>
  <si>
    <t>P316</t>
  </si>
  <si>
    <t>P316   HEPU - РќР°СЃРѕСЃ РѕС…РѕР»РѕРґР¶СѓСЋС‡РѕС— СЂС–РґРёРЅРё</t>
  </si>
  <si>
    <t>668.19</t>
  </si>
  <si>
    <t>LADA 110 2.0 i (96 - )\nOPEL ASTRA F 1.7D, 1.7TD, 1.8i, 2.0i (91 - 99)\nOPEL ASTRA G 2.0, 1.7TD (98 - 05)\nOPEL ASTRA H 2.0 Turbo (04 - )\nOPEL CALIBRA A 2.0 i 16V, 2.0 i Turbo (90 - 97)\nOPEL FRONTERA A/B 2.2 i (95 - )\nOPEL KADETT E 1.7D, 2.0 GSI (88 - 94)\nOPEL OMEGA B 2.0 16V, 2.2 16V (94 - 99)\nOPEL SINTRA 2.2 i 16V (96 - 99)\nOPEL SPEEDSTER 2.0 Turbo (03 - )\nOPEL VECTRA A 1.7D, 2.0 (88 - 95)\nOPEL VECTRA B 1.8 i 16V, 2.0 i 16V (95 - )\nOPEL ZAFIRA 2.0, 2.0 OPC (02 - )</t>
  </si>
  <si>
    <t>P320</t>
  </si>
  <si>
    <t>P320   HEPU - РќР°СЃРѕСЃ РѕС…РѕР»РѕРґР¶СѓСЋС‡РѕС— СЂС–РґРёРЅРё</t>
  </si>
  <si>
    <t>830.94</t>
  </si>
  <si>
    <t>OPEL CALIBRA A 2.5 i V6 (93 - 97)\nOPEL OMEGA B 2.5, 2.6, 3.0, 3.2 (94 - 03)\nOPEL SIGNUM 3.2, SINTRA 3.0 (96 - )\nOPEL VECTRA A/B 2.5, 2.6, C 3,2 (93 - 03)\nSAAB 900/9000/ 2.5, 3.0 (93 - 98 )</t>
  </si>
  <si>
    <t>P323</t>
  </si>
  <si>
    <t>P323   HEPU - РќР°СЃРѕСЃ РѕС…РѕР»РѕРґР¶СѓСЋС‡РѕС— СЂС–РґРёРЅРё</t>
  </si>
  <si>
    <t>1237.82</t>
  </si>
  <si>
    <t>FIAT 500/DOBLO/GRANDE PUNTO 1.3 D (03 - )\nFIAT IDEA/PANDA/STRADA 1.3 D, 1.4 (04 - )\nLANCIA MUSA/YPSILON 1.3 JTD, 1.3 (03 - )\nOPEL AGILA/ASTRA H/COMBO 1.3 CDTI (03 - )\nOPEL CORSA C/D  MERIVA  TIGRA 1.3 CDTI (03 - )\nSUZUKI IGNIS, SWIFT, WAGON 1.3 DDiS (03 - )</t>
  </si>
  <si>
    <t>P324</t>
  </si>
  <si>
    <t>P324   HEPU - РќР°СЃРѕСЃ РѕС…РѕР»РѕРґР¶СѓСЋС‡РѕС— СЂС–РґРёРЅРё</t>
  </si>
  <si>
    <t>805.26</t>
  </si>
  <si>
    <t>OPEL ASTRA F, COMBO 1.6 (98 - )\nOPEL ASTRA G 1.6 16V, 1.4 16V, 1.6 CNG (01 - 05)\nOPEL COMBO Tour 1.6 16V (06 - )\nOPEL CORSA C, MERIVA 1.4 (00 - )\nOPEL VECTRA B/C, ZAFIRA 1.6 (95 - )</t>
  </si>
  <si>
    <t>P367</t>
  </si>
  <si>
    <t>P367   HEPU - РќР°СЃРѕСЃ РѕС…РѕР»РѕРґР¶СѓСЋС‡РѕС— СЂС–РґРёРЅРё</t>
  </si>
  <si>
    <t>1055.35</t>
  </si>
  <si>
    <t>CHEVROLET LACETTI (J200) 1,8  2006-  (eng. T18SED,  F18D3)</t>
  </si>
  <si>
    <t>P470</t>
  </si>
  <si>
    <t>P470   HEPU - РќР°СЃРѕСЃ РѕС…РѕР»РѕРґР¶СѓСЋС‡РѕС— СЂС–РґРёРЅРё</t>
  </si>
  <si>
    <t>976.15</t>
  </si>
  <si>
    <t>BMW 316, 318 (01 - )\nBMW 5 518 i, 518 g (89 - 97)\nBMW Z3 1.8, 1.9 (95 - 99)</t>
  </si>
  <si>
    <t>P472</t>
  </si>
  <si>
    <t>P472   HEPU - РќР°СЃРѕСЃ РѕС…РѕР»РѕРґР¶СѓСЋС‡РѕС— СЂС–РґРёРЅРё</t>
  </si>
  <si>
    <t>BMW 320, 323, 325, 328, 330 (90 - 05), 520, 523, 525, 528, 530 (89 - ), 728 i,iL, 730 i,Li, 735 i,Li (01 - ), X3 2.5 i, 3.0 i (04 - ), X5 3.0 i (00 - ), Z3 2.0, 2.2, 2.8, 3.0 (97 - 03), Z4 2.2, 2.5, 3.0 (03 - )</t>
  </si>
  <si>
    <t>P512</t>
  </si>
  <si>
    <t>P512   HEPU - РќР°СЃРѕСЃ РѕС…РѕР»РѕРґР¶СѓСЋС‡РѕС— СЂС–РґРёРЅРё</t>
  </si>
  <si>
    <t>399.10</t>
  </si>
  <si>
    <t>P513</t>
  </si>
  <si>
    <t>P513   HEPU - РќР°СЃРѕСЃ РѕС…РѕР»РѕРґР¶СѓСЋС‡РѕС— СЂС–РґРёРЅРё</t>
  </si>
  <si>
    <t>759.87</t>
  </si>
  <si>
    <t>VW PASSAT 1.3/1.6/1.8/2.0 , 1.9 D (80 - 97)\nVW POLO 1.6/1.8, 1.7/1.9D (95 - 99)\nVW SANTANA 1.8 (83 - 84)\nVW SCIROCCO 1.5, 1.6, 1.8, 1.8 16V (80 - 92)\nVW SHARAN 1.9 TDI, 2.0 (95 - )\nVW TRANSPORTER III 1.6, 1.6 D, 1.6 TD (79 - 92)\nVW TRANSPORTER IV 1.8, 1.9D/TD, 2.0 (79 - 92)\nVW VENTO 1.6, 1.8, 1.9 SDI/TD/TDI, 2.0 (91 - 98)</t>
  </si>
  <si>
    <t>P518</t>
  </si>
  <si>
    <t>P518   HEPU - РќР°СЃРѕСЃ РѕС…РѕР»РѕРґР¶СѓСЋС‡РѕС— СЂС–РґРёРЅРё</t>
  </si>
  <si>
    <t>680.30</t>
  </si>
  <si>
    <t>AUDI A4 1.6, 1.8, 1.8 T (95 - )\nAUDI A6 1.8, 1.8 T (95 - 97)\nAUDI CABRIOLET 1.8 (97 - )\nVW DERBY 100, 100 1.6 (95 - 01)\nVW FLIGHT 100, 100 1.6 (95 - 01)\nVW PASSAT 1.6, 1.8, 1.8 T (96 - )\nVW POLO 100, 100 1.6, 1.6 (95 - 01)</t>
  </si>
  <si>
    <t>P528</t>
  </si>
  <si>
    <t>P528   HEPU - РќР°СЃРѕСЃ РѕС…РѕР»РѕРґР¶СѓСЋС‡РѕС— СЂС–РґРёРЅРё</t>
  </si>
  <si>
    <t>741.06</t>
  </si>
  <si>
    <t>VW TRANSPORTER IV 2.4 D, 2.5 (90 - 98)\nVW TRANSPORTER T4 2.4 D, 2.5 (90 - 98)</t>
  </si>
  <si>
    <t>P536</t>
  </si>
  <si>
    <t>P536   HEPU - РќР°СЃРѕСЃ РѕС…РѕР»РѕРґР¶СѓСЋС‡РѕС— СЂС–РґРёРЅРё</t>
  </si>
  <si>
    <t>784.10</t>
  </si>
  <si>
    <t>AUDI 100 2.4 D (90 - 94)\nAUDI A6 2.5 TDI (94 - 97)\nVW CRAFTER 2.5 TDI (06 - )\nVW LT 28-46 II 2.5 SDI, 2.5 TDI (01 - )\nVW LT 40-55 I 2.4 D, 2.4 TD (90 - 96)\nVW LT II 2.5 SDI, 2.5 TDI (01 - )\nVW TRANSPORTER IV 2.4 D, 2.5, 2.5 TDI ( - 98)</t>
  </si>
  <si>
    <t>P545</t>
  </si>
  <si>
    <t>P545   HEPU - РќР°СЃРѕСЃ РѕС…РѕР»РѕРґР¶СѓСЋС‡РѕС— СЂС–РґРёРЅРё</t>
  </si>
  <si>
    <t>831.48</t>
  </si>
  <si>
    <t>AUDI A3/A4 1.6, A6 1.8 (95 - ), SEAT CORDOBA, TOLEDO II 1.6 (99 - ), SEAT IBIZA III, LEON 1.6 (99 - 02), SKODA OCTAVIA 1.6 (97 - ), VW BORA 1.6 (98 - 05), VW GOLF IV, JETTA IV 1.6 (97 - ), VW NEW BEETLE, PASSAT 1.6 (99 - 00), VW POLO, DERBY 1.6 (95 - 01)</t>
  </si>
  <si>
    <t>P550</t>
  </si>
  <si>
    <t>P550   HEPU - РќР°СЃРѕСЃ РѕС…РѕР»РѕРґР¶СѓСЋС‡РѕС— СЂС–РґРёРЅРё</t>
  </si>
  <si>
    <t>AUDI A3/A4/A6 1.9 TDI (00 - )\nFORD GALAXY 1.9 TDI (95 - 06)\nSEAT ALHAMBRA 1.9 TDI, 2.0 TDI (96 - )\nSEAT LEON/TOLEDO II 1.9 TDI (03 - 06)\nSKODA OCTAVIA 1.4, 1.9 TDI (99 - )\nSKODA SUPERB 1.9 TDI (02 - )\nVW BORA/ GOLF IV / JETTA IV  1.9 TDI ( - 05)\nVW NEW BEETLE /PASSAT/SHARAN 1.9 TDI (01 - )</t>
  </si>
  <si>
    <t>P551</t>
  </si>
  <si>
    <t>P551   HEPU - РќР°СЃРѕСЃ РѕС…РѕР»РѕРґР¶СѓСЋС‡РѕС— СЂС–РґРёРЅРё</t>
  </si>
  <si>
    <t>894.23</t>
  </si>
  <si>
    <t>AUDI A3/A4/A6 2.0 TDI (03 - )\nMITSUBISHI OUTLANDER/GRANDIS 2.0 DI-D (05 - )\nSEAT ALTEA/ TOLEDO III 2.0 TDI (04 - )\nSEAT LEON 1.9 TDI, 2.0 TDI (01 - )\nSEAT IBIZA/TOLEDO II 1.9 TDI (04- 06)\nVW GOLF IV /BORA/ JETTA IV 1.9 TDI ( - 05)\nVW GOLF V /JETTA/TOURAN/PASSAT 2.0 TDI (03 - )</t>
  </si>
  <si>
    <t>P557</t>
  </si>
  <si>
    <t>P557   HEPU - РќР°СЃРѕСЃ РѕС…РѕР»РѕРґР¶СѓСЋС‡РѕС— СЂС–РґРёРЅРё</t>
  </si>
  <si>
    <t>856.43</t>
  </si>
  <si>
    <t>AUDI A2 1.4 ( - 05)\nSEAT CORDOBA/AROSA/IBIZA lll/IV 1.4 ( - 04)\nSEAT INCA/LEON/TOLEDO 1.4 (99 - )\nSKODA OCTAVIA/FABIA/ROOMSTER 1.4 (99 - )\nVW BORA/CADDY/JETTA IV 1.4, 1.6 ( - 05)\nVW DERBY/FLIGHT 1.4 (99 - 01)\nVW GOLF IV/V 1.4 (97 - )\nVW LUPO/NEW BEETLE/POLO 1.4 (01 - )</t>
  </si>
  <si>
    <t>P560</t>
  </si>
  <si>
    <t>P560   HEPU - РќР°СЃРѕСЃ РѕС…РѕР»РѕРґР¶СѓСЋС‡РѕС— СЂС–РґРёРЅРё</t>
  </si>
  <si>
    <t>957.52</t>
  </si>
  <si>
    <t>AUDI A4 S4, RS4 (97 - 01)\nAUDI A6 2.7 T (01 - 05)\nAUDI ALLROAD 2.7 T ( - 05)</t>
  </si>
  <si>
    <t>P572</t>
  </si>
  <si>
    <t>P572   HEPU - РќР°СЃРѕСЃ РѕС…РѕР»РѕРґР¶СѓСЋС‡РѕС— СЂС–РґРёРЅРё</t>
  </si>
  <si>
    <t>970.00</t>
  </si>
  <si>
    <t>AUDI A3/A4 1.6, 2.0 (03 - )\nAUDI A6 2.0, 1.8 (01 - 05)\nSEAT ALTEA 1.6, 2.0 FSI (04 - )\nSEAT LEON 1.6, 1.6 16V, 2.0 FSI (05 - )\nSEAT TOLEDO III 1.6, 2.0 FSI (04 - )\nSKODA OCTAVIA 1.6, 2.0 FSI (04 - )\nVW BORA 1.6 ( - 05)\nVW CADDY III 1.6 (04 - )\nVW EOS 2.0 FSI (06 - )\nVW GOLF IV 1.6 ( - 05)\nVW GOLF V 1.6, 2.0 FSI (04 - )\nVW GOLF V PLUS 1.6, 2.0 FSI (05 - )\nVW JETTA 1.6, 2.0 FSI (05 - )\nVW JETTA IV 1.6 ( - 05)\nVW NEW BEETLE 1.6 (03 - )\nVW PASSAT/TOURAN 1.6, 2.0 (03 - )</t>
  </si>
  <si>
    <t>P574</t>
  </si>
  <si>
    <t>P574   HEPU - РќР°СЃРѕСЃ РѕС…РѕР»РѕРґР¶СѓСЋС‡РѕС— СЂС–РґРёРЅРё</t>
  </si>
  <si>
    <t>885.19</t>
  </si>
  <si>
    <t>Heavy Duty Version:\nAUDI 100 2.4 D (90 - 94)\nAUDI A6 2.5 TDI (94 - 97)\nVW CRAFTER 30-50 2.5 TDI (06 - )\nVW LT 28-35 II 2.5 SDI, 2.5 TDI (01 - )\nVW LT 28-46 II 2.5 SDI, 2.5 TDI (01 - )\nVW LT 40-55 I 2.4 D, 2.4 TD (90 - 96)\nVW LT II 2.5 SDI, 2.5 TDI (01 - )\nVW TRANSPORTER T4 2.4 D, 2.5, 2.5 TDI ( - 98)</t>
  </si>
  <si>
    <t>P576</t>
  </si>
  <si>
    <t>P576   HEPU - РќР°СЃРѕСЃ РѕС…РѕР»РѕРґР¶СѓСЋС‡РѕС— СЂС–РґРёРЅРё</t>
  </si>
  <si>
    <t>2487.57</t>
  </si>
  <si>
    <t>VW MULTIVAN V 2.5 TDI (03 - )\nVW MULTIVAN T5 2.5 TDI (03 - )\nVW TOUAREG 2.5 R5 TDI (03 - )\nVW TRANSPORTER V 2.5 TDI (03 - )\nVW TRANSPORTER T5 2.5 TDI (03 - )</t>
  </si>
  <si>
    <t>P581</t>
  </si>
  <si>
    <t>P581   HEPU - РќР°СЃРѕСЃ РѕС…РѕР»РѕРґР¶СѓСЋС‡РѕС— СЂС–РґРёРЅРё</t>
  </si>
  <si>
    <t>1049.57</t>
  </si>
  <si>
    <t>AUDI A3 1.6 FSI (03 - )\nVW EOS 1.6 FSI (06 - )\nVW GOLF V 1.6 FSI (03 - )\nVW GOLF V PLUS 1.6 FSI (05 - )\nVW JETTA III 1.6 FSI (05 - )\nVW JETTA V III 1.6 FSI (05 - )\nVW PASSAT 1.6 FSI (05 - )\nVW TOURAN 1.6 FSI (03 - )</t>
  </si>
  <si>
    <t>P620</t>
  </si>
  <si>
    <t>P620   HEPU - РќР°СЃРѕСЃ РѕС…РѕР»РѕРґР¶СѓСЋС‡РѕС— СЂС–РґРёРЅРё</t>
  </si>
  <si>
    <t>420.80</t>
  </si>
  <si>
    <t>VAZ 2101-07</t>
  </si>
  <si>
    <t>P625</t>
  </si>
  <si>
    <t>P625   HEPU - РќР°СЃРѕСЃ РѕС…РѕР»РѕРґР¶СѓСЋС‡РѕС— СЂС–РґРёРЅРё</t>
  </si>
  <si>
    <t>492.59</t>
  </si>
  <si>
    <t>VAZ 110-112, 117-119 (Kalina)  1.5, 1.5 16V</t>
  </si>
  <si>
    <t>P791</t>
  </si>
  <si>
    <t>P791   HEPU - РќР°СЃРѕСЃ РѕС…РѕР»РѕРґР¶СѓСЋС‡РѕС— СЂС–РґРёРЅРё</t>
  </si>
  <si>
    <t>565.47</t>
  </si>
  <si>
    <t>CHEVROLET AVEO (KALOS) 1.4 (05 - ) DAEWOO LANOS 1.4, 1.5, 1.6 16V (97 - )</t>
  </si>
  <si>
    <t>P795</t>
  </si>
  <si>
    <t>P795   HEPU - РќР°СЃРѕСЃ РѕС…РѕР»РѕРґР¶СѓСЋС‡РѕС— СЂС–РґРёРЅРё</t>
  </si>
  <si>
    <t>633.83</t>
  </si>
  <si>
    <t>CHEVROLET KALOS 1.4 16V (05 - )\nDAEWOO KALOS 1.4 16V (03 - )\nDAEWOO LACETTI 1.4, 1.6 (04 - )\nDAEWOO NUBIRA 1.6 16V, 1.6, 1.8 (03 - )\nDAEWOO REZZO 1.6 (00 - )\nDAEWOO TACUMA 1.6 (00 - )</t>
  </si>
  <si>
    <t>P842</t>
  </si>
  <si>
    <t>P842   HEPU - РќР°СЃРѕСЃ РѕС…РѕР»РѕРґР¶СѓСЋС‡РѕС— СЂС–РґРёРЅРё</t>
  </si>
  <si>
    <t>796.58</t>
  </si>
  <si>
    <t>RENAULT CLIO II 1.4 16V, 1.6 16V (98 - ), CLIO III 1.4 16V, 1.6 16V (05 - ),GRAND SCENIC 1.6 (04 - ), KANGOO 1.6 16V (01 - ), LAGUNA 1.6 16V (97 - 01), LAGUNA II 1.6 16V (01 - ), MEGANE 1.4 16V, 1.6 16V (99 - ), MEGANE II  1.6, 1.4 (02 - ),\nMODUS 1.4, 1.6 (04 - ), SCENIC 1.4 16V, 1.6 16V (99 - 03), SCENIC II 1.4, 1.6, 1.6 16V (03 - ), CITROГ‹N XANTIA 2.0 i 16V (98 - 03), DACIA LOGAN 1.6 16V (06 - ), LOGAN MCV 1.6 16V (07 - ), NISSAN KUBISTAR 1.6 16V (03 - )</t>
  </si>
  <si>
    <t>P849</t>
  </si>
  <si>
    <t>P849   HEPU - РќР°СЃРѕСЃ РѕС…РѕР»РѕРґР¶СѓСЋС‡РѕС— СЂС–РґРёРЅРё</t>
  </si>
  <si>
    <t>743.41</t>
  </si>
  <si>
    <t>DACIA LOGAN 1.4, 1.6 (04 - )\nDACIA LOGAN MCV 1.4, 1.6 (07 - )\nRENAULT CLIO II 1.6 (98 - 05)\nRENAULT KANGOO 1.4 (98 - )\nRENAULT MEGANE 1.6 e, 1.6 i (96 - )\nRENAULT MEGANE I 1.6 e, 1.6 i (96 - 99)\nRENAULT SYMBOL 1.4 (98 - 03)\nRENAULT THALIA 1.4 (00 - )</t>
  </si>
  <si>
    <t>P956</t>
  </si>
  <si>
    <t>P956   HEPU - РќР°СЃРѕСЃ РѕС…РѕР»РѕРґР¶СѓСЋС‡РѕС— СЂС–РґРёРЅРё</t>
  </si>
  <si>
    <t>1220.82</t>
  </si>
  <si>
    <t>OPEL MOVANO/VIVARO 2.2 DTI, 2.5 (99 - )   RENAULT TRAFIC II/MASTER III 2.5 dCi (01 - )| LAGUNA II/MASTER II 2.2 dCI, (01 - ) | AVANTIME/ESPACEIII/lV 2.2 dCi (02 - 03) | VEL SATIS/MEGANE 2.0/2.2 dCi (02 - ) NISSAN INTERSTAR dCi 120/140/ 90/100 (02 - ) | PRIMASTAR dCi 140/150/120/90 (03 - )\n\n\n\n\n</t>
  </si>
  <si>
    <t>P958</t>
  </si>
  <si>
    <t>P958   HEPU - РќР°СЃРѕСЃ РѕС…РѕР»РѕРґР¶СѓСЋС‡РѕС— СЂС–РґРёРЅРё</t>
  </si>
  <si>
    <t>730.57</t>
  </si>
  <si>
    <t>DACIA LOGAN/ LOGAN MC 1.5 dCi (05 - )\nNISSAN ALMERA/KUBISTAR 1.5 dCi (03 - )\nNISSAN MARCH/MICRA/NOTE/PULSAR 1.5 dCi (03 - )\nRENAULT CLIO ll/III 1.2, 1.5 dCi (01 - )\nRENAULT KANGOO/GRAND-SCENIC 1.5 dCi (01 - )\nRENAULT MEGANE/MODUS/SCENIC 1.5 dCi (02 - )\nRENAULT SYMBOL/THALIA 1.5 dCi (01 - )\nSUZUKI JIMNY 1.5 DDiS (03 - )</t>
  </si>
  <si>
    <t>K2</t>
  </si>
  <si>
    <t>K2 007 50ml Р‘Р°РіР°С‚РѕС„СѓРЅРєС†С–РѕРЅР°Р»СЊРЅРёР№ РїСЂРµРїР°СЂР°С‚</t>
  </si>
  <si>
    <t>20.94</t>
  </si>
  <si>
    <t>!!! РџРѕСЃС‚Р°РІРєР° С‚РѕР»СЊРєРѕ РїРѕ РѕС‚РґРµР»СЊРЅРѕРјСѓ РёРЅРІРѕР№СЃСѓ, РІ РѕС‚РґРµР»СЊРЅРѕР№ С‚Р°СЂРµ</t>
  </si>
  <si>
    <t>K2 007 150ml Р‘Р°РіР°С‚РѕС„СѓРЅРєС†С–РѕРЅР°Р»СЊРЅРёР№ РїСЂРµРїР°СЂР°С‚</t>
  </si>
  <si>
    <t>43.38</t>
  </si>
  <si>
    <t>K2 007 250ml Р‘Р°РіР°С‚РѕС„СѓРЅРєС†С–РѕРЅР°Р»СЊРЅРёР№ РїСЂРµРїР°СЂР°С‚</t>
  </si>
  <si>
    <t>49.92</t>
  </si>
  <si>
    <t>K2 007 400ml Р‘Р°РіР°С‚РѕС„СѓРЅРєС†С–РѕРЅР°Р»СЊРЅРёР№ РїСЂРµРїР°СЂР°С‚</t>
  </si>
  <si>
    <t>61.70</t>
  </si>
  <si>
    <t>K2 007 500ml Р‘Р°РіР°С‚РѕС„СѓРЅРєС†С–РѕРЅР°Р»СЊРЅРёР№ РїСЂРµРїР°СЂР°С‚</t>
  </si>
  <si>
    <t>72.36</t>
  </si>
  <si>
    <t>B101</t>
  </si>
  <si>
    <t>K2 BONDIX PLUS 10g. 15СЃРµРє. РЎСѓРїРµСЂРєР»РµР№</t>
  </si>
  <si>
    <t>B105</t>
  </si>
  <si>
    <t>K2 MEGA PREN 40ml Р±Р°РіР°С‚РѕС„СѓРЅРєС†С–РѕРЅР°Р»СЊРЅРёР№ РєР»РµР№</t>
  </si>
  <si>
    <t>16.45</t>
  </si>
  <si>
    <t>B110</t>
  </si>
  <si>
    <t>K2 MEGA MIRROR 6ml РєР»РµР№ РґР»СЏ РґР·РµСЂРєР°Р»Р° Р·Р°РґРЅСЊРѕРіРѕ РІРёРґСѓ 60СЃРµРє.</t>
  </si>
  <si>
    <t>25.80</t>
  </si>
  <si>
    <t>B151</t>
  </si>
  <si>
    <t>K2 PROLOK HIGH 6ML РєР»РµР№ Р°РЅР°РµСЂРѕР±РЅРёР№ РІРёСЃРѕРєРѕС— РјС–С†РЅРѕСЃС‚С–</t>
  </si>
  <si>
    <t>48.80</t>
  </si>
  <si>
    <t>B200</t>
  </si>
  <si>
    <t>K2 SIL BLACK (BLACK SILICON +350РЎ) 300g РЎРёР»С–РєРѕРЅ РіРµСЂРјРµС‚РёРє (С‡РѕСЂРЅРёР№)</t>
  </si>
  <si>
    <t>81.14</t>
  </si>
  <si>
    <t>B205</t>
  </si>
  <si>
    <t>K2 SIL BLACK (BLACK SILICON +350РЎ) 21g РЎРёР»С–РєРѕРЅ РіРµСЂРјРµС‚РёРє (С‡РѕСЂРЅРёР№)</t>
  </si>
  <si>
    <t>B210</t>
  </si>
  <si>
    <t>K2 SIL BLACK (BLACK SILICON +350РЎ) 85g РЎРёР»С–РєРѕРЅ РіРµСЂРјРµС‚РёРє (С‡РѕСЂРЅРёР№)</t>
  </si>
  <si>
    <t>33.09</t>
  </si>
  <si>
    <t>B220</t>
  </si>
  <si>
    <t>K2 SIL BLUE (BLUE SILICON +315РЎ) 85g РЎРёР»С–РєРѕРЅ РіРµСЂРјРµС‚РёРє (СЃРёРЅС–Р№)</t>
  </si>
  <si>
    <t>32.72</t>
  </si>
  <si>
    <t>B230</t>
  </si>
  <si>
    <t>K2 SIL RED (RED SILICON +350РЎ) 300g РЎРёР»С–РєРѕРЅ РіРµСЂРјРµС‚РёРє (С‡РµСЂРІРѕРЅРёР№)</t>
  </si>
  <si>
    <t>B235</t>
  </si>
  <si>
    <t>K2 SIL RED (RED SILICON +350РЎ) 21g РЎРёР»С–РєРѕРЅ РіРµСЂРјРµС‚РёРє (С‡РµСЂРІРѕРЅРёР№)</t>
  </si>
  <si>
    <t>16.27</t>
  </si>
  <si>
    <t>B240</t>
  </si>
  <si>
    <t>K2 SIL RED (RED SILICON +350РЎ) 85g РЎРёР»С–РєРѕРЅ РіРµСЂРјРµС‚РёРє (С‡РµСЂРІРѕРЅРёР№)</t>
  </si>
  <si>
    <t>34.96</t>
  </si>
  <si>
    <t>B245</t>
  </si>
  <si>
    <t>K2 SIL RED-BLIS (RED SILICON +350РЎ) 21g РЎРёР»С–РєРѕРЅ РіРµСЂРјРµС‚РёРє (С‡РµСЂРІРѕРЅРёР№)</t>
  </si>
  <si>
    <t>B250</t>
  </si>
  <si>
    <t>K2 SIL GREY (GREY SILICON +350РЎ) 85g РЎРёР»С–РєРѕРЅ РіРµСЂРјРµС‚РёРє (СЃС–СЂРёР№)</t>
  </si>
  <si>
    <t>35.15</t>
  </si>
  <si>
    <t>B300</t>
  </si>
  <si>
    <t>K2 AUTOBAND РЎС‚СЂС–С‡РєР° РєР»РµР№РєР° Рґ/СЂРµРјРѕРЅС‚Сѓ С€Р»Р°РЅРіС–РІ</t>
  </si>
  <si>
    <t>34.21</t>
  </si>
  <si>
    <t>B305</t>
  </si>
  <si>
    <t>K2 BANDEX-BLISTER РЎС‚СЂС–С‡РєР° РІРёСЃРѕРєРѕС‚РµРјРї. Рґ/СЂРµРј. РіР»СѓС€РЅРёРєС–РІ</t>
  </si>
  <si>
    <t>29.35</t>
  </si>
  <si>
    <t>B310</t>
  </si>
  <si>
    <t>K2 TIRE DOKTOR USA 355ml Р—Р°СЃС–Р± РґР»СЏ Р°РІР°СЂС–Р№РЅРѕС— РІСѓР»РєР°РЅС–Р·Р°С†С–С— (Р°РµСЂРѕР·РѕР»СЊ)</t>
  </si>
  <si>
    <t>90.68</t>
  </si>
  <si>
    <t>B320</t>
  </si>
  <si>
    <t>K2 MEGA BOND 60g РҐРѕР»РѕРґРЅР° Р·РІР°СЂРєР°</t>
  </si>
  <si>
    <t>68.06</t>
  </si>
  <si>
    <t>B325</t>
  </si>
  <si>
    <t>ZAR Р†Р·РѕР»СЏС†С–Р№РЅР° СЃС‚СЂС–С‡РєР° (РјР°Р»Р°)</t>
  </si>
  <si>
    <t>EK0011</t>
  </si>
  <si>
    <t>K2 TEMPO 120g Р’РѕСЃРєРѕРІР° РїР°СЃС‚Р° Рґ/РїРѕР»С–СЂСѓРІ. РєСѓР·РѕРІР°</t>
  </si>
  <si>
    <t>30.85</t>
  </si>
  <si>
    <t>EK1171Рњ</t>
  </si>
  <si>
    <t>K2 AKRA 770ml  Р—Р°СЃС–Р± РґР»СЏ Р·РѕРІРЅС–С€РЅСЊРѕРіРѕ РјРёС‚С‚СЏ РґРІРёРіСѓРЅР° (СЂС–РґРёРЅР°)</t>
  </si>
  <si>
    <t>47.68</t>
  </si>
  <si>
    <t>EK177 - РєРѕРґ РїСЂР°Р№СЃР° 2009 (Рљ307 - РѕС‚СЃСѓС‚СЃС‚РІСѓРµС‚)</t>
  </si>
  <si>
    <t>EK140</t>
  </si>
  <si>
    <t>K2 EXPRESS PLUS 500ml РЁР°РјРїСѓРЅСЊ Р· РІРѕСЃРєРѕРј (Р¶РѕРІС‚РёР№)</t>
  </si>
  <si>
    <t>27.48</t>
  </si>
  <si>
    <t>Р•Рљ140 - РєРѕРґ РїСЂР°Р№СЃР° 2009 (Рљ040 - РЅРµС‚)</t>
  </si>
  <si>
    <t>EK141</t>
  </si>
  <si>
    <t>K2 EXPRESS PLUS 1L РЁР°РјРїСѓРЅСЊ Р· РІРѕСЃРєРѕРј (Р¶РѕРІС‚РёР№)</t>
  </si>
  <si>
    <t>41.69</t>
  </si>
  <si>
    <t>EK141 - РєРѕРґ РїСЂР°Р№СЃР° 2009 (Рљ041 - РЅРµС‚ РІ РїСЂР°Р№СЃРµ)</t>
  </si>
  <si>
    <t>EK4170</t>
  </si>
  <si>
    <t>K2 POLO PROTECTANT 770ml РџРѕР»С–СЂРѕР»СЊ РїР°РЅРµР»С– РїСЂРёР»Р°РґС–РІ (Р· СЂРѕР·РїРёР»СЋРІР°С‡РµРј)</t>
  </si>
  <si>
    <t>43.19</t>
  </si>
  <si>
    <t>ET231</t>
  </si>
  <si>
    <t>K2 RADIATOR STOP LEAK 400ml Р С–РґРєРёР№ РіРµСЂРјРµС‚РёРє РґР»СЏ СЂР°РґС–Р°С‚РѕСЂР°</t>
  </si>
  <si>
    <t>34.03</t>
  </si>
  <si>
    <t>ET233</t>
  </si>
  <si>
    <t>K2 RADIATOR STOP LEAK 250ml Р С–РґРєРёР№ РіРµСЂРјРµС‚РёРє РґР»СЏ СЂР°РґС–Р°С‚РѕСЂР°</t>
  </si>
  <si>
    <t>28.23</t>
  </si>
  <si>
    <t>ET3112</t>
  </si>
  <si>
    <t>K2 TURBO BENZIN 50ml РћС‡РёС‰СѓРІР°С‡ С–РЅР¶РµРєС‚РѕСЂС–РІ РґР»СЏ Р±РµРЅР·РёРЅРѕРІРёС… РґРІРёРіСѓРЅС–РІ</t>
  </si>
  <si>
    <t>26.18</t>
  </si>
  <si>
    <t>ET3122</t>
  </si>
  <si>
    <t>K2 TURBO DIESEL 50ml РћС‡РёС‰СѓРІР°С‡ С„РѕСЂСЃСѓРЅРѕРє РґР»СЏ РґРёР·РµР»СЊРЅРёС… РґРІРёРіСѓРЅС–РІ</t>
  </si>
  <si>
    <t>K010</t>
  </si>
  <si>
    <t>K2 BALSAM 700ml РЎРёР»С–РєРѕРЅРѕРІРµ РјРѕР»РѕС‡РєРѕ-РїРѕР»С–СЂРѕР»СЊ РґР»СЏ Р»Р°РєСѓ (Р· СЂРѕР·РїРёР»СЋРІР°С‡РµРј)</t>
  </si>
  <si>
    <t>55.72</t>
  </si>
  <si>
    <t>K030</t>
  </si>
  <si>
    <t>K2 BONO BLACK Р—Р°СЃС–Р± РґРѕРіР»СЏРґСѓ Р·Р° С€РёРЅР°РјРё С‚Р° С‡РѕСЂРЅРёРјРё Р±Р°РјРїРµСЂР°РјРё (СЂС–РґРёРЅР°)</t>
  </si>
  <si>
    <t>31.78</t>
  </si>
  <si>
    <t>K030 - РєРѕРґ РїСЂР°Р№СЃР° 2009 (СЂР°РЅРµРµ РёСЃРїРѕР»СЊР·РѕРІР°Р»СЃСЏ РґР»СЏ K2 EXPRESS 500ml РЁР°РјРїСѓРЅСЊ, Рљ330 - РЅРµС‚)</t>
  </si>
  <si>
    <t>K073</t>
  </si>
  <si>
    <t>K2 ULTRA WAX 300ml Р’РѕСЃРєРѕРІР° РїР°СЃС‚Р°</t>
  </si>
  <si>
    <t>73.85</t>
  </si>
  <si>
    <t>K087M</t>
  </si>
  <si>
    <t>K2 SPID WAX 770ml Р’С–СЃРє (СЂС–РґРёРЅР°, Р· СЂРѕР·РїРёР»СЋРІР°С‡РµРј)</t>
  </si>
  <si>
    <t>63.94</t>
  </si>
  <si>
    <t>K117Рњ</t>
  </si>
  <si>
    <t>K2 NUTA INSECT 770ml РњРёСЋС‡РёР№ Р·Р°СЃС–Р± РґР»СЏ РІРёРґР°Р»РµРЅРЅСЏ СЃР»С–РґС–РІ РєРѕРјР°С… (СЂС–РґРёРЅР°)</t>
  </si>
  <si>
    <t>44.31</t>
  </si>
  <si>
    <t>K130</t>
  </si>
  <si>
    <t>K2 EXPRESS 500ml РЁР°РјРїСѓРЅСЊ</t>
  </si>
  <si>
    <t>Рљ130 - РєРѕРґ РїСЂР°Р№СЃР° 2009 (Рљ030 - РїРµСЂРµРїСЂРёСЃРІРѕРёР»Рё BONO BLACK)</t>
  </si>
  <si>
    <t>K131</t>
  </si>
  <si>
    <t>K2 EXPRESS 1L РЁР°РјРїСѓРЅСЊ</t>
  </si>
  <si>
    <t>K131 - РєРѕРґ РІ РїСЂР°Р№СЃРµ 2009 (Рљ031 - РЅРµС‚)</t>
  </si>
  <si>
    <t>K140</t>
  </si>
  <si>
    <t>K2 EXPRESS PLUS 500ml РЁР°РјРїСѓРЅСЊ Р· РІРѕСЃРєРѕРј (Р±С–Р»РёР№)</t>
  </si>
  <si>
    <t>Рљ140 - РєРѕРґ РїСЂР°Р№СЃР° 2009 (Рљ040 - РЅРµС‚)</t>
  </si>
  <si>
    <t>K141</t>
  </si>
  <si>
    <t>K2 EXPRESS PLUS 1L РЁР°РјРїСѓРЅСЊ Р· РІРѕСЃРєРѕРј (Р±С–Р»РёР№)</t>
  </si>
  <si>
    <t>Рљ141 - РєРѕРґ РїСЂР°Р№СЃР° 2009 (Рљ041 - РЅРµС‚ РІ РїСЂР°Р№СЃРµ)</t>
  </si>
  <si>
    <t>K150 (K443)</t>
  </si>
  <si>
    <t>K2 BONO 300ml SPRAY РЈРЅС–РІРµСЂСЃР°Р»СЊРЅРёР№ РІС–РґРЅРѕРІР»СЋРІР°С‡ Р·РѕРІРЅС–С€РЅС–С… РїРѕРІРµСЂС…РѕРЅСЊ</t>
  </si>
  <si>
    <t>37.77</t>
  </si>
  <si>
    <t>K150 - РєРѕРґ РІ РїСЂР°Р№СЃРµ 2009 (Рљ443 - РЅРµС‚)</t>
  </si>
  <si>
    <t>K156</t>
  </si>
  <si>
    <t>K2 BOLD 600ml SPRAY Р—Р°СЃС–Р± РґРѕРіР»СЏРґСѓ Р·Р° С€РёРЅР°РјРё (Р°РµСЂРѕР·РѕР»СЊ)</t>
  </si>
  <si>
    <t>78.90</t>
  </si>
  <si>
    <t>K156 - РєРѕРґ РїСЂР°Р№СЃР° 2009 (Рљ316 - РѕС‚СЃСѓС‚СЃС‚РІСѓРµС‚)</t>
  </si>
  <si>
    <t>K157</t>
  </si>
  <si>
    <t>K2 BOLD 700ml Р—Р°СЃС–Р± РґРѕРіР»СЏРґСѓ Р·Р° С€РёРЅР°РјРё (СЂС–РґРёРЅР°)</t>
  </si>
  <si>
    <t>62.07</t>
  </si>
  <si>
    <t>K157 - РєРѕРґ РїСЂР°Р№СЃР° 2009 (Рљ317 - РѕС‚СЃСѓС‚СЃС‚РІСѓРµС‚)</t>
  </si>
  <si>
    <t>K167M</t>
  </si>
  <si>
    <t>K2 FELIX 770ml ATOM Р—Р°СЃС–Р± РґР»СЏ РјРёС‚С‚СЏ РґРёСЃРєС–РІ С– РєРѕРІРїР°РєС–РІ (СЂС–РґРёРЅР°)</t>
  </si>
  <si>
    <t>53.85</t>
  </si>
  <si>
    <t>Рљ167 - РєРѕРґ РїСЂР°Р№СЃР° 2009 (Рљ327 - РѕС‚СЃСѓС‚СЃС‚РІСѓРµС‚)</t>
  </si>
  <si>
    <t>K175</t>
  </si>
  <si>
    <t>K2 AKRA 5L Р—Р°СЃС–Р± РґР»СЏ Р·РѕРІРЅС–С€РЅСЊРѕРіРѕ РјРёС‚С‚СЏ РґРІРёРіСѓРЅР° (СЂС–РґРёРЅР°)</t>
  </si>
  <si>
    <t>193.51</t>
  </si>
  <si>
    <t>K175 - РєРѕРґ РїСЂР°Р№СЃР° 2009 (Рљ305 - РѕС‚СЃСѓС‚СЃС‚РІСѓРµС‚)</t>
  </si>
  <si>
    <t>K193</t>
  </si>
  <si>
    <t>K2 TAR REMOVER 300ml Р—Р°СЃС–Р± РґР»СЏ РІРёРґР°Р»Р»РµРЅСЏ СЃР»С–РґС–РІ РіСѓРґСЂРѕРЅСѓ (Р±С–С‚СѓРјСѓ)</t>
  </si>
  <si>
    <t>38.89</t>
  </si>
  <si>
    <t>K206</t>
  </si>
  <si>
    <t>K2 TAPIS 600ml Р—Р°СЃС–Р± РґР»СЏ С‡РёС‰РµРЅРЅСЏ С‚РєР°РЅРёРЅ (Р°РµСЂРѕР·РѕР»СЊ)</t>
  </si>
  <si>
    <t>K207Рњ</t>
  </si>
  <si>
    <t>K2 TAPIS 770ml ATOM Р—Р°СЃС–Р± РґР»СЏ С‡РёС‰РµРЅРЅСЏ С‚РєР°РЅРёРЅ (Р· СЂРѕР·РїРёР»СЋРІР°С‡РµРј)</t>
  </si>
  <si>
    <t>K217M</t>
  </si>
  <si>
    <t>K2 OSCAR 770ml ATOM РџСЂРµРїР°СЂР°С‚ РґР»СЏ С‡РёСЃС‚РєРё РїР»Р°СЃС‚РёРєСѓ</t>
  </si>
  <si>
    <t>52.91</t>
  </si>
  <si>
    <t>K403 cherry</t>
  </si>
  <si>
    <t>K2 POLO COCKPIT 300ml РџРѕР»С–СЂРѕР»СЊ Рґ/РїР°РЅРµР»С– (РІРёС€РЅСЏ)</t>
  </si>
  <si>
    <t>37.95</t>
  </si>
  <si>
    <t>K403 fresh</t>
  </si>
  <si>
    <t>K2 POLO COCKPIT 300ml РџРѕР»С–СЂРѕР»СЊ Рґ/РїР°РЅРµР»С– (СЃРІС–Р¶С–СЃС‚СЊ)</t>
  </si>
  <si>
    <t>K403 lavender</t>
  </si>
  <si>
    <t>K2 POLO COCKPIT 300ml РџРѕР»С–СЂРѕР»СЊ Рґ/РїР°РЅРµР»С– (Р»Р°РІР°РЅРґР°)</t>
  </si>
  <si>
    <t>K403 lemon</t>
  </si>
  <si>
    <t>K2 POLO COCKPIT 300ml РџРѕР»С–СЂРѕР»СЊ Рґ/РїР°РЅРµР»С– (Р»РёРјРѕРЅ)</t>
  </si>
  <si>
    <t>K406 cherry</t>
  </si>
  <si>
    <t>K2 POLO COCKPIT 600ml РџРѕР»С–СЂРѕР»СЊ Рґ/РїР°РЅРµР»С– (РІРёС€РЅСЏ)</t>
  </si>
  <si>
    <t>61.32</t>
  </si>
  <si>
    <t>K406 fresh</t>
  </si>
  <si>
    <t>K2 POLO COCKPIT 600ml РџРѕР»С–СЂРѕР»СЊ Рґ/РїР°РЅРµР»С– (СЃРІС–Р¶С–СЃС‚СЊ)</t>
  </si>
  <si>
    <t>K406 lavender</t>
  </si>
  <si>
    <t>K2 POLO COCKPIT 600ml РџРѕР»С–СЂРѕР»СЊ Рґ/РїР°РЅРµР»С– (Р»Р°РІР°РЅРґР°)</t>
  </si>
  <si>
    <t>K406 lemon</t>
  </si>
  <si>
    <t>K2 POLO COCKPIT 600ml РџРѕР»С–СЂРѕР»СЊ Рґ/РїР°РЅРµР»С– (Р»РёРјРѕРЅ)</t>
  </si>
  <si>
    <t>K406 new car</t>
  </si>
  <si>
    <t>K2 POLO COCKPIT 600ml РџРѕР»С–СЂРѕР»СЊ Рґ/РїР°РЅРµР»С– (РЅРѕРІРµ Р°РІС‚Рѕ)</t>
  </si>
  <si>
    <t>K406 peach</t>
  </si>
  <si>
    <t>K2 POLO COCKPIT 600ml РџРѕР»С–СЂРѕР»СЊ Рґ/РїР°РЅРµР»С– (РїРµСЂСЃРёРє)</t>
  </si>
  <si>
    <t>K406 strawberry</t>
  </si>
  <si>
    <t>K2 POLO COCKPIT 600ml РџРѕР»С–СЂРѕР»СЊ Рґ/РїР°РЅРµР»С– (РїРѕР»СѓРЅРёС†СЏ)</t>
  </si>
  <si>
    <t>K406 vanilia</t>
  </si>
  <si>
    <t>K2 POLO COCKPIT 600ml РџРѕР»С–СЂРѕР»СЊ Рґ/РїР°РЅРµР»С– (РІР°РЅС–Р»СЊ)</t>
  </si>
  <si>
    <t>K407 fresh</t>
  </si>
  <si>
    <t>K2 POLO COCKPIT 750ml РџРѕР»С–СЂРѕР»СЊ Рґ/РїР°РЅРµР»С– (СЃРІС–Р¶С–СЃС‚СЊ)</t>
  </si>
  <si>
    <t>69.74</t>
  </si>
  <si>
    <t>K407 lavender</t>
  </si>
  <si>
    <t>K2 POLO COCKPIT 750ml РџРѕР»С–СЂРѕР»СЊ Рґ/РїР°РЅРµР»С– (Р»Р°РІР°РЅРґР°)</t>
  </si>
  <si>
    <t>K407 new car</t>
  </si>
  <si>
    <t>K2 POLO COCKPIT 750ml РџРѕР»С–СЂРѕР»СЊ Рґ/РїР°РЅРµР»С– (РЅРѕРІРµ Р°РІС‚Рѕ)</t>
  </si>
  <si>
    <t>K407 vanilia</t>
  </si>
  <si>
    <t>K2 POLO COCKPIT 750ml РџРѕР»С–СЂРѕР»СЊ Рґ/РїР°РЅРµР»С– (РІР°РЅС–Р»СЊ)</t>
  </si>
  <si>
    <t>K410</t>
  </si>
  <si>
    <t>K2 POLO PROTECTANT 350ml РџРѕР»С–СЂРѕР»СЊ РїР°РЅРµР»С– РїСЂРёР»Р°РґС–РІ (Р°РµСЂРѕР·РѕР»СЊ)</t>
  </si>
  <si>
    <t>33.28</t>
  </si>
  <si>
    <t>K418</t>
  </si>
  <si>
    <t>K2 POLO PROTECTANT 750ml РџРѕР»С–СЂРѕР»СЊ РїР°РЅРµР»С– РїСЂРёР»Р°РґС–РІ (Р°РµСЂРѕР·РѕР»СЊ)</t>
  </si>
  <si>
    <t>K507M</t>
  </si>
  <si>
    <t>K2 NUTA 770ml РЈРЅС–РІРµСЂСЃР°Р»СЊРЅРёР№ РјРёСЋС‡РёР№ Р·Р°СЃС–Р± (Р· СЂРѕР·РїРёР»СЋРІР°С‡РµРј)</t>
  </si>
  <si>
    <t>29.54</t>
  </si>
  <si>
    <t>K509</t>
  </si>
  <si>
    <t>K2 NUTA MAX 1:200 50ml РљРѕРЅС†РµРЅС‚СЂР°С‚ РІ Р±Р°С‡РѕРє РѕРјРёРІР°С‡Р°</t>
  </si>
  <si>
    <t>Рљ509 - РєРѕРґ РІ РїСЂР°Р№СЃРµ 2009 (Рљ120 - РѕС‚СЃСѓС‚СЃС‚РІСѓРµС‚)</t>
  </si>
  <si>
    <t>K511</t>
  </si>
  <si>
    <t>K2 VIZIO PLUS 200ml РћС‡РёС‰СѓРІР°С‡ СЃРєР»Р° - вЂњР°РЅС‚РёРґРѕС‰вЂќ (Р°РµСЂРѕР·РѕР»СЊ)</t>
  </si>
  <si>
    <t>34.40</t>
  </si>
  <si>
    <t>Рљ511 - РєРѕРґ РІ РїСЂР°Р№СЃРµ 2009 (Рљ161 - РѕС‚СЃСѓС‚СЃС‚РІСѓРµС‚)</t>
  </si>
  <si>
    <t>K603</t>
  </si>
  <si>
    <t>K2 ALASKA -60C 300ml СЂРѕР·РјРѕСЂРѕР¶СѓРІР°С‡ РґР»СЏ РІС–РєРѕРЅ (Р°РµСЂРѕР·РѕР»СЊ)</t>
  </si>
  <si>
    <t>K607</t>
  </si>
  <si>
    <t>K2 ALASKA -70C 700ml Р РѕР·РјРѕСЂРѕР¶СѓРІР°С‡ РґР»СЏ РІС–РєРѕРЅ (СЂС–РґРёРЅР°, Р· СЂРѕР·РїРёР»СЋРІР°С‡РµРј)</t>
  </si>
  <si>
    <t>K608</t>
  </si>
  <si>
    <t>K2 ALASKA -60C 750ml Р РѕР·РјРѕСЂРѕР¶СѓРІР°С‡ РґР»СЏ РІС–РєРѕРЅ (Р°РµСЂРѕР·РѕР»СЊ)</t>
  </si>
  <si>
    <t>K632</t>
  </si>
  <si>
    <t>K2 FOX 200ml SPRAY Р—Р°СЃС–Р± РІС–Рґ Р·Р°РїРѕС‚С–РІР°РЅРЅСЏ РІС–РєРѕРЅ (Р°РµСЂРѕР·РѕР»СЊ)</t>
  </si>
  <si>
    <t>31.41</t>
  </si>
  <si>
    <t>K633</t>
  </si>
  <si>
    <t>K2 SIL 300ml SPRAY 100% СЃРёР»С–РєРѕРЅ РІ СЃРїСЂРµС—</t>
  </si>
  <si>
    <t>Рљ633 - РєРѕРґ РІ РїСЂР°Р№СЃРµ 2009 (Рљ263 - РѕС‚СЃСѓС‚СЃС‚РІСѓРµС‚)</t>
  </si>
  <si>
    <t>K655</t>
  </si>
  <si>
    <t>K2 GERWAZY 50ml Р РѕР·РјРѕСЂРѕР¶СѓРІР°С‡ Р·Р°РјРєС–РІ (Р°РµСЂРѕР·РѕР»СЊ)</t>
  </si>
  <si>
    <t>T220</t>
  </si>
  <si>
    <t>K2 RADIATOR FLUSH 400ml РџСЂРѕРјРёРІРєР° РґР»СЏ СЂР°РґС–Р°С‚РѕСЂР°</t>
  </si>
  <si>
    <t>30.48</t>
  </si>
  <si>
    <t>T221</t>
  </si>
  <si>
    <t>K2 RADIATOR FLUSH 250ml РџСЂРѕРјРёРІРєР° РґР»СЏ СЂР°РґС–Р°С‚РѕСЂР°</t>
  </si>
  <si>
    <t>26.74</t>
  </si>
  <si>
    <t>T230</t>
  </si>
  <si>
    <t>K2 STOP LEAK 18,5g Р“РµСЂРјРµС‚РёРє РґРѕ СЂР°РґС–Р°С‚РѕСЂР° (РїРѕСЂРѕС€РѕРє)</t>
  </si>
  <si>
    <t>T232</t>
  </si>
  <si>
    <t>K2 STOP LEAK-BLISTER 18,5g Р“РµСЂРјРµС‚РёРє РґРѕ СЂР°РґС–Р°С‚РѕСЂР° (РїРѕСЂРѕС€РѕРє, Р±Р»С–СЃС‚РµСЂ)</t>
  </si>
  <si>
    <t>15.89</t>
  </si>
  <si>
    <t>T300</t>
  </si>
  <si>
    <t>K2 TURBO DFA-39 500ml РђРЅС‚РёРіРµР»СЊ РґР»СЏ РґРёР·РµР»СЊРЅРѕРіРѕ РїР°Р»РёРІР°</t>
  </si>
  <si>
    <t>T301</t>
  </si>
  <si>
    <t>K2 TURBO DFA-39 1L РђРЅС‚РёРіРµР»СЊ РґР»СЏ РґРёР·РµР»СЊРЅРѕРіРѕ РїР°Р»РёРІР°</t>
  </si>
  <si>
    <t>151.07</t>
  </si>
  <si>
    <t>T310</t>
  </si>
  <si>
    <t>K2 TURBO DFA-39 50ml РђРЅС‚РёРіРµР»СЊ РґР»СЏ РґРёР·РµР»СЊРЅРѕРіРѕ РїР°Р»РёРІР°</t>
  </si>
  <si>
    <t>19.44</t>
  </si>
  <si>
    <t>T317</t>
  </si>
  <si>
    <t>K2 LPG 50, 50ml РџСЂРёСЃР°РґРєР° РґРѕ РїР°Р»РёРІР° С‰Рѕ Р·Р°С…РёС‰Р°С” РґРІРёРіСѓРЅ Р· Р¶РёРІР». РЅР° Р·СЂС–РґР¶. РіР°Р·С–</t>
  </si>
  <si>
    <t>32.34</t>
  </si>
  <si>
    <t>T350</t>
  </si>
  <si>
    <t>K2 DOKTOR CAR SPEC 443ml РњРѕС‚РѕСЂ РґРѕРєС‚РѕСЂ (РґРѕР±Р°РІРєР° РґРѕ РјР°СЃС‚РёР»Р°)</t>
  </si>
  <si>
    <t>61.14</t>
  </si>
  <si>
    <t>T371</t>
  </si>
  <si>
    <t>K2 MOTOR FLUSH 250ml РџСЂРѕРјРёРІРєР° РјР°СЃР»СЏРЅРѕС— СЃРёСЃС‚РµРјРё</t>
  </si>
  <si>
    <t>T375</t>
  </si>
  <si>
    <t>K2 MOTOR SEALER 355ml Р“РµСЂРјРµС‚РёРє РјР°СЃР»СЏРЅРѕС— СЃРёСЃС‚РµРјРё</t>
  </si>
  <si>
    <t>T440</t>
  </si>
  <si>
    <t>K2 SUPER START 400ml РџСЂРµРїР°СЂР°С‚ РґР»СЏ РїРѕР»РµРіС€РµРЅРЅСЏ Р·Р°РїСѓСЃРєСѓ РґРІРёРіСѓРЅР° (Р°РµСЂРѕР·РѕР»СЊ)</t>
  </si>
  <si>
    <t>65.44</t>
  </si>
  <si>
    <t>V121</t>
  </si>
  <si>
    <t>K2 VIVA РѕСЃРІС–Р¶СѓРІР°С‡ РїРѕРІС–С‚СЂСЏ СЃР°Р»РѕРЅР°  (men)</t>
  </si>
  <si>
    <t>25.61</t>
  </si>
  <si>
    <t>V122</t>
  </si>
  <si>
    <t>K2 VIVA РѕСЃРІС–Р¶СѓРІР°С‡ РїРѕРІС–С‚СЂСЏ СЃР°Р»РѕРЅР°  (Р»РёРјРѕРЅ)</t>
  </si>
  <si>
    <t>V123</t>
  </si>
  <si>
    <t>K2 VIVA РѕСЃРІС–Р¶СѓРІР°С‡ РїРѕРІС–С‚СЂСЏ СЃР°Р»РѕРЅР°  (love)</t>
  </si>
  <si>
    <t>V124</t>
  </si>
  <si>
    <t>K2 VIVA РѕСЃРІС–Р¶СѓРІР°С‡ РїРѕРІС–С‚СЂСЏ СЃР°Р»РѕРЅР°  (РІР°РЅС–Р»СЊ)</t>
  </si>
  <si>
    <t>V201</t>
  </si>
  <si>
    <t>K2 COSMO РѕСЃРІС–Р¶СѓРІР°С‡ РїРѕРІС–С‚СЂСЏ СЃР°Р»РѕРЅР° Р· СЂРѕР·РїРёР»СЋРІР°С‡РµРј 50 РјР» (РѕРєРµР°РЅ)</t>
  </si>
  <si>
    <t>34.59</t>
  </si>
  <si>
    <t>V202</t>
  </si>
  <si>
    <t>K2 COSMO РѕСЃРІС–Р¶СѓРІР°С‡ РїРѕРІС–С‚СЂСЏ СЃР°Р»РѕРЅР° Р· СЂРѕР·РїРёР»СЋРІР°С‡РµРј 50 РјР» (РІРёС€РЅСЏ)</t>
  </si>
  <si>
    <t>V203</t>
  </si>
  <si>
    <t>K2 COSMO РѕСЃРІС–Р¶СѓРІР°С‡ РїРѕРІС–С‚СЂСЏ СЃР°Р»РѕРЅР° Р· СЂРѕР·РїРёР»СЋРІР°С‡РµРј 50 РјР» (РЅРѕРІРµ Р°РІС‚Рѕ)</t>
  </si>
  <si>
    <t>V204</t>
  </si>
  <si>
    <t>K2 COSMO РѕСЃРІС–Р¶СѓРІР°С‡ РїРѕРІС–С‚СЂСЏ СЃР°Р»РѕРЅР° Р· СЂРѕР·РїРёР»СЋРІР°С‡РµРј 50 РјР» (man)</t>
  </si>
  <si>
    <t>V205</t>
  </si>
  <si>
    <t>K2 COSMO РѕСЃРІС–Р¶СѓРІР°С‡ РїРѕРІС–С‚СЂСЏ СЃР°Р»РѕРЅР° Р· СЂРѕР·РїРёР»СЋРІР°С‡РµРј 50 РјР» (Р»РёРјРѕРЅ)</t>
  </si>
  <si>
    <t>V206</t>
  </si>
  <si>
    <t>K2 COSMO РѕСЃРІС–Р¶СѓРІР°С‡ РїРѕРІС–С‚СЂСЏ СЃР°Р»РѕРЅР° Р· СЂРѕР·РїРёР»СЋРІР°С‡РµРј 50 РјР» (РїРѕР»СѓРЅРёС†СЏ)</t>
  </si>
  <si>
    <t>V207</t>
  </si>
  <si>
    <t>K2 COSMO РѕСЃРІС–Р¶СѓРІР°С‡ РїРѕРІС–С‚СЂСЏ СЃР°Р»РѕРЅР° Р· СЂРѕР·РїРёР»СЋРІР°С‡РµРј 50 РјР» (РІР°РЅС–Р»СЊ)</t>
  </si>
  <si>
    <t>V208</t>
  </si>
  <si>
    <t>K2 COSMO РѕСЃРІС–Р¶СѓРІР°С‡ РїРѕРІС–С‚СЂСЏ СЃР°Р»РѕРЅР° Р· СЂРѕР·РїРёР»СЋРІР°С‡РµРј 50 РјР» (Р·РµР»РµРЅРµ СЏР±Р»СѓРєРѕ)</t>
  </si>
  <si>
    <t>V252</t>
  </si>
  <si>
    <t>K2 FRESH KEY РѕСЃРІС–Р¶СѓРІР°С‡ РїРѕРІС–С‚СЂСЏ СЃР°Р»РѕРЅР° 5 РјР» (РјР°РЅРґР°СЂРёРЅ)</t>
  </si>
  <si>
    <t>18.32</t>
  </si>
  <si>
    <t>V253</t>
  </si>
  <si>
    <t>K2 FRESH KEY РѕСЃРІС–Р¶СѓРІР°С‡ РїРѕРІС–С‚СЂСЏ СЃР°Р»РѕРЅР° 5 РјР» (Р·РµР». С‡Р°Р№)</t>
  </si>
  <si>
    <t>V254</t>
  </si>
  <si>
    <t>K2 FRESH KEY РѕСЃРІС–Р¶СѓРІР°С‡ РїРѕРІС–С‚СЂСЏ СЃР°Р»РѕРЅР° 5 РјР» (РІР°РЅС–Р»СЊ)</t>
  </si>
  <si>
    <t>V450</t>
  </si>
  <si>
    <t>K2 VENTO РѕСЃРІС–Р¶СѓРІР°С‡ РїРѕРІС–С‚СЂСЏ СЃР°Р»РѕРЅР° 8 РјР» (РїРѕР»СѓРЅРёС†СЏ)</t>
  </si>
  <si>
    <t>28.79</t>
  </si>
  <si>
    <t>V451</t>
  </si>
  <si>
    <t>K2 VENTO РѕСЃРІС–Р¶СѓРІР°С‡ РїРѕРІС–С‚СЂСЏ СЃР°Р»РѕРЅР° 8 РјР» (Р·РµР». СЏР±Р»СѓРєРѕ)</t>
  </si>
  <si>
    <t>V452</t>
  </si>
  <si>
    <t>K2 VENTO РѕСЃРІС–Р¶СѓРІР°С‡ РїРѕРІС–С‚СЂСЏ СЃР°Р»РѕРЅР° 8 РјР» (Р·РµР». С‡Р°Р№)</t>
  </si>
  <si>
    <t>V453</t>
  </si>
  <si>
    <t>K2 VENTO РѕСЃРІС–Р¶СѓРІР°С‡ РїРѕРІС–С‚СЂСЏ СЃР°Р»РѕРЅР° 8 РјР» (СЃРІС–Р¶С–СЃС‚СЊ)</t>
  </si>
  <si>
    <t>V454</t>
  </si>
  <si>
    <t>K2 VENTO РѕСЃРІС–Р¶СѓРІР°С‡ РїРѕРІС–С‚СЂСЏ СЃР°Р»РѕРЅР° 8 РјР» (РѕРєРµР°РЅ)</t>
  </si>
  <si>
    <t>V455</t>
  </si>
  <si>
    <t>K2 VENTO РѕСЃРІС–Р¶СѓРІР°С‡ РїРѕРІС–С‚СЂСЏ СЃР°Р»РѕРЅР° 8 РјР» (Р»РёРјРѕРЅ)</t>
  </si>
  <si>
    <t>V456</t>
  </si>
  <si>
    <t>K2 VENTO РѕСЃРІС–Р¶СѓРІР°С‡ РїРѕРІС–С‚СЂСЏ СЃР°Р»РѕРЅР° 8 РјР» (РЅРѕРІРµ Р°РІС‚Рѕ)</t>
  </si>
  <si>
    <t>V457</t>
  </si>
  <si>
    <t>K2 VENTO РѕСЃРІС–Р¶СѓРІР°С‡ РїРѕРІС–С‚СЂСЏ СЃР°Р»РѕРЅР° 8 РјР» (РІР°РЅС–Р»СЊ)</t>
  </si>
  <si>
    <t>V490</t>
  </si>
  <si>
    <t>K2 CARO РѕСЃРІС–Р¶СѓРІР°С‡ РїРѕРІС–С‚СЂСЏ СЃР°Р»РѕРЅР° 4 РјР» (РїРѕР»СѓРЅРёС†СЏ)</t>
  </si>
  <si>
    <t>V491</t>
  </si>
  <si>
    <t>K2 CARO РѕСЃРІС–Р¶СѓРІР°С‡ РїРѕРІС–С‚СЂСЏ СЃР°Р»РѕРЅР° 4 РјР» (Р·РµР». СЏР±Р»СѓРєРѕ)</t>
  </si>
  <si>
    <t>V492</t>
  </si>
  <si>
    <t>K2 CARO РѕСЃРІС–Р¶СѓРІР°С‡ РїРѕРІС–С‚СЂСЏ СЃР°Р»РѕРЅР° 4 РјР» (Р·РµР». С‡Р°Р№)</t>
  </si>
  <si>
    <t>V493</t>
  </si>
  <si>
    <t>K2 CARO РѕСЃРІС–Р¶СѓРІР°С‡ РїРѕРІС–С‚СЂСЏ СЃР°Р»РѕРЅР° 4 РјР» (Р°СЂРєС‚РёРєР°)</t>
  </si>
  <si>
    <t>V494</t>
  </si>
  <si>
    <t>K2 CARO РѕСЃРІС–Р¶СѓРІР°С‡ РїРѕРІС–С‚СЂСЏ СЃР°Р»РѕРЅР° 4 РјР» (РѕРєРµР°РЅ)</t>
  </si>
  <si>
    <t>V495</t>
  </si>
  <si>
    <t>K2 CARO РѕСЃРІС–Р¶СѓРІР°С‡ РїРѕРІС–С‚СЂСЏ СЃР°Р»РѕРЅР° 4 РјР» (Р»РёРјРѕРЅ)</t>
  </si>
  <si>
    <t>V496</t>
  </si>
  <si>
    <t>K2 CARO РѕСЃРІС–Р¶СѓРІР°С‡ РїРѕРІС–С‚СЂСЏ СЃР°Р»РѕРЅР° 4 РјР» (РЅРѕРІРµ Р°РІС‚Рѕ)</t>
  </si>
  <si>
    <t>V497</t>
  </si>
  <si>
    <t>K2 CARO РѕСЃРІС–Р¶СѓРІР°С‡ РїРѕРІС–С‚СЂСЏ СЃР°Р»РѕРЅР° 4 РјР» (РІР°РЅС–Р»СЊ)</t>
  </si>
  <si>
    <t>W100</t>
  </si>
  <si>
    <t>K2 KLIMA DOCTOR 500ml РћС‡РёСЃРЅРёРє Р°РІС‚РѕРєРѕРЅРґРёС†С–РѕРЅРµСЂС–РІ (Р°РµСЂРѕР·РѕР»СЊ)</t>
  </si>
  <si>
    <t>78.53</t>
  </si>
  <si>
    <t>W115</t>
  </si>
  <si>
    <t>K2 VULCAN 500ml Р—Р°СЃС–Р± РґР»СЏ РїРѕР»РµРіС€РµРЅРЅСЏ РІС–РґРєСЂСѓС‡СѓРІР°РЅРЅСЏ Р±РѕР»С‚С–РІ</t>
  </si>
  <si>
    <t>72.54</t>
  </si>
  <si>
    <t>W128</t>
  </si>
  <si>
    <t>K2 ZMYWACZ DO GAZNIKOW 400ML РѕС‡РёСЃРЅРёРє РєР°СЂР±СЋСЂР°С‚РѕСЂР°</t>
  </si>
  <si>
    <t>68.62</t>
  </si>
  <si>
    <t>KLEEN-FLO</t>
  </si>
  <si>
    <t>Diesel Fuel Conditioner - РЎС‚Р°Р±С–Р»С–Р·Р°С‚РѕСЂ РґРёР·РµР»СЊРЅРѕРіРѕ РїР°Р»РёРІР° 1L (СЂС–РґРёРЅР°)</t>
  </si>
  <si>
    <t>266.90</t>
  </si>
  <si>
    <t>KNECHT</t>
  </si>
  <si>
    <t>HX15</t>
  </si>
  <si>
    <t>HX15     (KNECHT)</t>
  </si>
  <si>
    <t>Knecht</t>
  </si>
  <si>
    <t>MB/RENAULT/MAN/SCANIA/VOLVO - trucks (Р°РЅР°Р»РѕРі H601/4) РіРёРґСЂРѕС„РёР»СЊС‚СЂ</t>
  </si>
  <si>
    <t>KC102</t>
  </si>
  <si>
    <t>KC102     (KNECHT)   !!Р·Р°РјС–РЅР° РґР»СЏ KC66/1,KC74</t>
  </si>
  <si>
    <t>163.41</t>
  </si>
  <si>
    <t>MAN trucks &amp; buses (РЅР°РІРµСЂС‚РЅС‹Р№) /145.4 X 75 (M16X1.5)/</t>
  </si>
  <si>
    <t>KC109</t>
  </si>
  <si>
    <t>KC109     (KNECHT)</t>
  </si>
  <si>
    <t>295.22</t>
  </si>
  <si>
    <t>FORD TRANSIT 2.5D/TD 10/97- /138 X 85 (12.0)/</t>
  </si>
  <si>
    <t>KC116</t>
  </si>
  <si>
    <t>KC116     (KNECHT)</t>
  </si>
  <si>
    <t>412.44</t>
  </si>
  <si>
    <t>TRANSIT 2.0-2.4D 00-&gt;</t>
  </si>
  <si>
    <t>KC140</t>
  </si>
  <si>
    <t>KC140     (KNECHT)</t>
  </si>
  <si>
    <t>435.28</t>
  </si>
  <si>
    <t>CITROГ‰N\tJumper 2.0-2.8 HDi,  FIAT Ducato 1.9-2.8 JTD  00-06</t>
  </si>
  <si>
    <t>KC161</t>
  </si>
  <si>
    <t>KC161     (KNECHT)</t>
  </si>
  <si>
    <t>355.05</t>
  </si>
  <si>
    <t>Renault Mascott  04 -10</t>
  </si>
  <si>
    <t>KC179</t>
  </si>
  <si>
    <t>KC179     (KNECHT)</t>
  </si>
  <si>
    <t>345.44</t>
  </si>
  <si>
    <t>FIAT Multipla 1.9 JTD 04/02-&gt;/Punto 1.9 JTD 02/00-&gt;.KIA Sorento 2.5 CRDI 08/02-&gt;</t>
  </si>
  <si>
    <t>KC18</t>
  </si>
  <si>
    <t>KC18     (KNECHT)</t>
  </si>
  <si>
    <t>149.76</t>
  </si>
  <si>
    <t>VW/AUDI/FIAT/CITROEN/PEUGEOT diesel engines /152.5 X 80 (M16X1.5), СЃРїСЂРѕРєР»Р°РґРєРѕР№/ (WK842/2)</t>
  </si>
  <si>
    <t>KC182</t>
  </si>
  <si>
    <t>KC182     (KNECHT)</t>
  </si>
  <si>
    <t>368.98</t>
  </si>
  <si>
    <t>IVECO TRANSPORTER  01-</t>
  </si>
  <si>
    <t>KC188</t>
  </si>
  <si>
    <t>KC188     (KNECHT)</t>
  </si>
  <si>
    <t>285.41</t>
  </si>
  <si>
    <t>DAF, IVECO  00-</t>
  </si>
  <si>
    <t>KC191</t>
  </si>
  <si>
    <t>KC191     (KNECHT)</t>
  </si>
  <si>
    <t>247.75</t>
  </si>
  <si>
    <t>CASE (CNH GLOBAL)TRACTORS , COMBINES /33357/</t>
  </si>
  <si>
    <t>KC197</t>
  </si>
  <si>
    <t>KC197     (KNECHT)</t>
  </si>
  <si>
    <t>262.12</t>
  </si>
  <si>
    <t>Renault  Kerax, Magnum, Premium 00-</t>
  </si>
  <si>
    <t>KC20</t>
  </si>
  <si>
    <t>KC20     (KNECHT)</t>
  </si>
  <si>
    <t>101.02</t>
  </si>
  <si>
    <t>FORD TRANSIT 2.4D 77-86 (BOSCH-SYSTEM) /78.5 X 75 (M16X1.5)/</t>
  </si>
  <si>
    <t>KC22</t>
  </si>
  <si>
    <t>KC22     (KNECHT)</t>
  </si>
  <si>
    <t>MB W123 (OM616), 207D/209D,307D/309D,407D (OM616, OM617)  /94 X 80 (M14X1.5)/</t>
  </si>
  <si>
    <t>KC220D</t>
  </si>
  <si>
    <t>KC220D     (KNECHT)</t>
  </si>
  <si>
    <t>851.33</t>
  </si>
  <si>
    <t>Volvo FM 9 01-05</t>
  </si>
  <si>
    <t>KC226</t>
  </si>
  <si>
    <t>KC226     (KNECHT)</t>
  </si>
  <si>
    <t>431.94</t>
  </si>
  <si>
    <t>SPORTAGE/TUCSON 2.0 CRDI</t>
  </si>
  <si>
    <t>KC24</t>
  </si>
  <si>
    <t>KC24     (KNECHT)</t>
  </si>
  <si>
    <t>93.86</t>
  </si>
  <si>
    <t>MAN/RENAULT/SCANIA/VOLVO - trucks /118 X 75 (M16X1.5)/</t>
  </si>
  <si>
    <t>KC251</t>
  </si>
  <si>
    <t>KC251     (KNECHT)</t>
  </si>
  <si>
    <t>373.10</t>
  </si>
  <si>
    <t>Renault Premium II, Magnum DXi, VOLVO  FH,FM,FXM 05-  /WIX 33721/</t>
  </si>
  <si>
    <t>KC28</t>
  </si>
  <si>
    <t>KC28     (KNECHT)</t>
  </si>
  <si>
    <t>217.54</t>
  </si>
  <si>
    <t>Caterpillar, KOMATSU, MASSEY-FERGUSON, div.</t>
  </si>
  <si>
    <t>KC388D</t>
  </si>
  <si>
    <t>KC388D     (KNECHT)</t>
  </si>
  <si>
    <t>317.39</t>
  </si>
  <si>
    <t>MITSUBISHI L 200 2.5 DI-D  06-</t>
  </si>
  <si>
    <t>KC46</t>
  </si>
  <si>
    <t>KC46     (KNECHT)</t>
  </si>
  <si>
    <t>204.54</t>
  </si>
  <si>
    <t>ISUZU TROOPER 2.8TD 88-92, 3.1TD 91- (Р°РЅР°Р»РѕРі WK920/1) /135 X 92 (M20X1.5)/</t>
  </si>
  <si>
    <t>KC63/1D</t>
  </si>
  <si>
    <t>KC63/1D     (KNECHT)   !!Р·Р°РјС–РЅР° РґР»СЏ KC63D</t>
  </si>
  <si>
    <t>132.18</t>
  </si>
  <si>
    <t>MB W201,W124,W202,W210,T1,T2,SPRINTER,VITO (OM601/OM602) /97.5 X 85 (M12X1.5)/</t>
  </si>
  <si>
    <t>KC67</t>
  </si>
  <si>
    <t>KC67     (KNECHT)</t>
  </si>
  <si>
    <t>208.65</t>
  </si>
  <si>
    <t>NISSAN diesel engines, FORD MAVERIC 2.7TD -98 /135 X 92 (3/4 - 16 UNF)/</t>
  </si>
  <si>
    <t>KC75</t>
  </si>
  <si>
    <t>KC75     (KNECHT)</t>
  </si>
  <si>
    <t>173.88</t>
  </si>
  <si>
    <t>VOLVO - trucks</t>
  </si>
  <si>
    <t>KC94</t>
  </si>
  <si>
    <t>KC94     (KNECHT)</t>
  </si>
  <si>
    <t>144.96</t>
  </si>
  <si>
    <t>SCANIA - trucks 96-     /142 X 92 (M24X1.5)/</t>
  </si>
  <si>
    <t>KL100/1</t>
  </si>
  <si>
    <t>KL100/1     (KNECHT)</t>
  </si>
  <si>
    <t>320.72</t>
  </si>
  <si>
    <t>MB A-class A160CDI, A170CDI 01-, VANEO 1.7CDI 02-</t>
  </si>
  <si>
    <t>KL100/2</t>
  </si>
  <si>
    <t>KL100/2     (KNECHT)</t>
  </si>
  <si>
    <t>320.27</t>
  </si>
  <si>
    <t>MB VITO 108CDI-112CDI 99-, SPRINTER CDI - engines (OM611 DELA/DE22LA) 00-</t>
  </si>
  <si>
    <t>KL121</t>
  </si>
  <si>
    <t>KL121     (KNECHT)</t>
  </si>
  <si>
    <t>316.60</t>
  </si>
  <si>
    <t>MAZDA 626 1.8, 2.0, 2.5 24V  92-97,  XEDOX6 1.6 16V, 2.0 V6 92- (MANN: WK614/1)</t>
  </si>
  <si>
    <t>KL128</t>
  </si>
  <si>
    <t>KL128     (KNECHT)</t>
  </si>
  <si>
    <t>344.65</t>
  </si>
  <si>
    <t>MITSUBISHI LANCER 1.3i, 1.6i  92-, SPACE WAGON/RUNNER 1.8i 91-98 ( WK614/30 )</t>
  </si>
  <si>
    <t>KL13o.F.</t>
  </si>
  <si>
    <t>KL13o.F.     (KNECHT)</t>
  </si>
  <si>
    <t>РЈРќРР’Р•Р РЎРђР›Р¬РќР«Р™-Р‘Р•РќР—РРќ (Р°РЅР°Р»РѕРі WK31/2, Р±РµР· СѓРїР°РєРѕРІРєРё)</t>
  </si>
  <si>
    <t>KL147D</t>
  </si>
  <si>
    <t>KL147D     (KNECHT)   !!Р·Р°РјС–РЅР° РґР»СЏ KL147</t>
  </si>
  <si>
    <t>298.21</t>
  </si>
  <si>
    <t>AUDI A3,A4,A6, VW GOLF4,BORA,PASSAT 1.9TDI  00-,  LT28-35 2.5SDI/TDI 96-</t>
  </si>
  <si>
    <t>KL156/3</t>
  </si>
  <si>
    <t>KL156/3     (KNECHT)</t>
  </si>
  <si>
    <t>388.51</t>
  </si>
  <si>
    <t>Audi, Skoda, VW 1.2i-1.6i  05- (4bar)</t>
  </si>
  <si>
    <t>KL160/1</t>
  </si>
  <si>
    <t>KL160/1     (KNECHT)   !!Р·Р°РјС–РЅР° РґР»СЏ KL160</t>
  </si>
  <si>
    <t>572.39</t>
  </si>
  <si>
    <t>BMW 330D, 520D, 525D, 530D  99- (M47, M57 -engines)</t>
  </si>
  <si>
    <t>KL169/4D</t>
  </si>
  <si>
    <t>KL169/4D     (KNECHT)   !!Р·Р°РјС–РЅР° РґР»СЏ KL169/3D, KL169/4</t>
  </si>
  <si>
    <t>544.15</t>
  </si>
  <si>
    <t>BMW  3(E46), 5(E61),X3,X5 2,5-3,3D 04-10</t>
  </si>
  <si>
    <t>KL174</t>
  </si>
  <si>
    <t>KL174     (KNECHT)</t>
  </si>
  <si>
    <t>380.47</t>
  </si>
  <si>
    <t>MB VITO 108CDI-112CDI 99-, SPRINTER CDI (OM611 DELA/DE22LA) 00- (СЃ РґР°С‚С‡РёРєРѕРј)</t>
  </si>
  <si>
    <t>KL195</t>
  </si>
  <si>
    <t>KL195     (KNECHT)</t>
  </si>
  <si>
    <t>410.58</t>
  </si>
  <si>
    <t>MERCEDES Sprinter 2-t/3-t/4-t mot.OM612/OM 4/00-&gt;</t>
  </si>
  <si>
    <t>KL2</t>
  </si>
  <si>
    <t>KL2     (KNECHT)</t>
  </si>
  <si>
    <t>VW/AUDI 1.6 - 2.8  Р±РµРЅР·РёРЅ 91- (Р°РЅР°Р»РѕРі WK830/7)</t>
  </si>
  <si>
    <t>KL228/2D</t>
  </si>
  <si>
    <t>KL228/2D     (KNECHT)</t>
  </si>
  <si>
    <t>637.74</t>
  </si>
  <si>
    <t>MERCEDES (W169,W203,S203,CL203,W211,S211,) A 160-E320CDI 4/03-&gt;| Vito (W639) 2.2CDI 9/03-&gt;</t>
  </si>
  <si>
    <t>KL229/2</t>
  </si>
  <si>
    <t>KL229/2     (KNECHT)</t>
  </si>
  <si>
    <t>551.73</t>
  </si>
  <si>
    <t>VW TRANSPORTER V 2.5 TDI  06-</t>
  </si>
  <si>
    <t>KL229/4</t>
  </si>
  <si>
    <t>KL229/4     (KNECHT)   !!Р·Р°РјС–РЅР° РґР»СЏ KL229/3</t>
  </si>
  <si>
    <t>915.75</t>
  </si>
  <si>
    <t>VW TRANSPORTER V  1.9TDI, 2.5TDI, TOUAREG 2.5TDI  03-</t>
  </si>
  <si>
    <t>KL248</t>
  </si>
  <si>
    <t>KL248     (KNECHT)</t>
  </si>
  <si>
    <t>165.76</t>
  </si>
  <si>
    <t>PEUGEOT 106/206/306/307/405/406/407/607, CITROEN Berlingo/C2/C5/Evasion/Saxo/Xantia/FIAT/VOLVO/SMART</t>
  </si>
  <si>
    <t>KL28</t>
  </si>
  <si>
    <t>KL28     (KNECHT)</t>
  </si>
  <si>
    <t>269.52</t>
  </si>
  <si>
    <t>AUDI 80 1.6, 1.8 -91,  A6 2.0 16V 94-97, SEAT TOLEDO 1.8 16V 91-99</t>
  </si>
  <si>
    <t>KL313</t>
  </si>
  <si>
    <t>KL313     (KNECHT)</t>
  </si>
  <si>
    <t>394.87</t>
  </si>
  <si>
    <t>MB W164/203/211/639 1,6-3,2 CDI 03-</t>
  </si>
  <si>
    <t>KL36</t>
  </si>
  <si>
    <t>KL36     (KNECHT)</t>
  </si>
  <si>
    <t>299.34</t>
  </si>
  <si>
    <t>AUDI 80 1.6-2.8 91-96, A4,A6 1.8-2.7 97-,  A8  2.8, 3.7, 4.2 96- (Р°РЅР°Р»РѕРі WK725)</t>
  </si>
  <si>
    <t>KL416/1</t>
  </si>
  <si>
    <t>KL416/1     (KNECHT)   !!Р·Р°РјС–РЅР° РґР»СЏ KL72</t>
  </si>
  <si>
    <t>217.15</t>
  </si>
  <si>
    <t>Dacia, Nissan, Renault  06-</t>
  </si>
  <si>
    <t>KL458</t>
  </si>
  <si>
    <t>KL458     (KNECHT)</t>
  </si>
  <si>
    <t>FORD Fusion / Fiesta  / MAZDA 2, 1.3-1.6 02-</t>
  </si>
  <si>
    <t>KL473</t>
  </si>
  <si>
    <t>KL473     (KNECHT)</t>
  </si>
  <si>
    <t>613.06</t>
  </si>
  <si>
    <t>BMW X5 3.0D 12.03-&gt;</t>
  </si>
  <si>
    <t>KL505</t>
  </si>
  <si>
    <t>KL505     (KNECHT)</t>
  </si>
  <si>
    <t>957.26</t>
  </si>
  <si>
    <t>KYRON/REXTON XDI 04-&gt;</t>
  </si>
  <si>
    <t>KL567</t>
  </si>
  <si>
    <t>KL567     (KNECHT)</t>
  </si>
  <si>
    <t>1119.68</t>
  </si>
  <si>
    <t>Alfa Romeo, Fiat, Lancia 1.3- 2.4JTDM, 1.6-2.4 Mulijet, OPEL 1.3-2.0CDTI,   04-11  ( WF8408)</t>
  </si>
  <si>
    <t>KL572</t>
  </si>
  <si>
    <t>KL572     (KNECHT)</t>
  </si>
  <si>
    <t>386.83</t>
  </si>
  <si>
    <t>VAG 1.2-2.0 TFSI / TSI  05-</t>
  </si>
  <si>
    <t>KL573</t>
  </si>
  <si>
    <t>KL573     (KNECHT)</t>
  </si>
  <si>
    <t>146.73</t>
  </si>
  <si>
    <t>CHEVROLET Epica 2.0/2.5 06/06-, Lacetti 1.4-1.8,  Matiz 0.8-1.0, DAEWOO Evanda 2.0 08/02-&gt;/Lacetti 1.4-1.8 02/04-&gt;/Lanos 1.4-1.6/16V 05/97-, Nubira 1.6/1.8 07/03-&gt;</t>
  </si>
  <si>
    <t>KL61</t>
  </si>
  <si>
    <t>KL61     (KNECHT)</t>
  </si>
  <si>
    <t>222.84</t>
  </si>
  <si>
    <t>KL638</t>
  </si>
  <si>
    <t>KL638     (KNECHT)</t>
  </si>
  <si>
    <t>545.00</t>
  </si>
  <si>
    <t>RENAULT 1.5DCi, 2.0DCi, 3.0DCi  06-   / H431WK /</t>
  </si>
  <si>
    <t>KL63o.F.</t>
  </si>
  <si>
    <t>KL63o.F.     (KNECHT)</t>
  </si>
  <si>
    <t>80.23</t>
  </si>
  <si>
    <t xml:space="preserve">RENAULT 19, 21,Trafic, Master 1.4-2.0, 80-91, PEUGEOT 205, 309, 405 1.6- 2.0, 80 -94  (Р°РЅР°Р»РѕРі WK42/2) </t>
  </si>
  <si>
    <t>KL658</t>
  </si>
  <si>
    <t>KL658     (KNECHT)</t>
  </si>
  <si>
    <t>532.97</t>
  </si>
  <si>
    <t>Audi A6 II 2.0TDI, Seat Exeo 2.0TDI, 08-</t>
  </si>
  <si>
    <t>KL75</t>
  </si>
  <si>
    <t>KL75     (KNECHT)   !!Р·Р°РјС–РЅР° РґР»СЏ KL55</t>
  </si>
  <si>
    <t>251.28</t>
  </si>
  <si>
    <t>VW/SEAT diesel engines 88- (СЃ РїРѕРґРѕРіСЂРµРІРѕРј)</t>
  </si>
  <si>
    <t>KL778</t>
  </si>
  <si>
    <t>KL778     (KNECHT)</t>
  </si>
  <si>
    <t>466.08</t>
  </si>
  <si>
    <t>Ibica,  1.2 TDI , Skoda Fabia, Roomster 1.2TDI 10-\n</t>
  </si>
  <si>
    <t>KL781</t>
  </si>
  <si>
    <t>KL781     (KNECHT)</t>
  </si>
  <si>
    <t>622.61</t>
  </si>
  <si>
    <t xml:space="preserve">RENAULT/DACIA  Duster  1.5DCi  10- </t>
  </si>
  <si>
    <t>KL79</t>
  </si>
  <si>
    <t>KL79     (KNECHT)</t>
  </si>
  <si>
    <t>164.90</t>
  </si>
  <si>
    <t>VW/AUDI 1.6 - 3.0  Р±РµРЅР·РёРЅ 97- (Р°РЅР°Р»РѕРі WK730/1)</t>
  </si>
  <si>
    <t>KL83</t>
  </si>
  <si>
    <t>KL83     (KNECHT)</t>
  </si>
  <si>
    <t>187.34</t>
  </si>
  <si>
    <t>OPEL CORSA 1.2-1.6  93-, OMEGA B 2.0-3.2 94-, VECTRA 1.6-2.6 95-</t>
  </si>
  <si>
    <t>KLH44/22</t>
  </si>
  <si>
    <t>KLH44/22     (KNECHT)</t>
  </si>
  <si>
    <t>559.84</t>
  </si>
  <si>
    <t xml:space="preserve">Renault Megane II 1.5-2.0 DCi 05- </t>
  </si>
  <si>
    <t>KX178DEco</t>
  </si>
  <si>
    <t>KX178DEco     (KNECHT)</t>
  </si>
  <si>
    <t>430.21</t>
  </si>
  <si>
    <t>AUDI A3 1.9TDI/2.0TDI 05/03-&gt;. VW Caddy/GolfV/Touran 1.9TDi/2.0TDi 02/03-&gt;</t>
  </si>
  <si>
    <t>KX181DEco</t>
  </si>
  <si>
    <t>KX181DEco     (KNECHT)</t>
  </si>
  <si>
    <t>277.83</t>
  </si>
  <si>
    <t xml:space="preserve">DAF LKV 99 - </t>
  </si>
  <si>
    <t>KX191/1DEco</t>
  </si>
  <si>
    <t>KX191/1DEco     (KNECHT)</t>
  </si>
  <si>
    <t>341.59</t>
  </si>
  <si>
    <t>M.A.N. TG-A TG310A, TG350A, TG390A, TG430A 2/04--&gt;</t>
  </si>
  <si>
    <t>KX192D</t>
  </si>
  <si>
    <t>KX192D     (KNECHT)   !!Р·Р°РјС–РЅР° РґР»СЏ KX192</t>
  </si>
  <si>
    <t>896.31</t>
  </si>
  <si>
    <t>VW Touareg 3.0 V6 TDI 11/04-&gt;/AUDI Q7 3.0TDI quattro 03/06-&gt;</t>
  </si>
  <si>
    <t>KX204D</t>
  </si>
  <si>
    <t>KX204D     (KNECHT)</t>
  </si>
  <si>
    <t>257.45</t>
  </si>
  <si>
    <t>MOVANO 1.9/2.5CDTI 01-</t>
  </si>
  <si>
    <t>KX206D</t>
  </si>
  <si>
    <t>KX206D     (KNECHT)   !!Р·Р°РјС–РЅР° РґР»СЏ KX83D</t>
  </si>
  <si>
    <t>152.02</t>
  </si>
  <si>
    <t>RENAULT LAGUNA 2.2D/DCI 94-, MASTER 2.5D 98-01, 2.8DTI 98-</t>
  </si>
  <si>
    <t>KX208DEco</t>
  </si>
  <si>
    <t>KX208DEco     (KNECHT)</t>
  </si>
  <si>
    <t>416.56</t>
  </si>
  <si>
    <t>OPEL CDTI-eng. ALL  03-, CITROEN JUMPER 2.2HDI, 3.0HDI  06-, CHEVROLET CAPTIVA, EPICA, LACETTI 2.0D  06-</t>
  </si>
  <si>
    <t>KX218DEco</t>
  </si>
  <si>
    <t>KX218DEco     (KNECHT)</t>
  </si>
  <si>
    <t>257.75</t>
  </si>
  <si>
    <t>NISSAN Primastar 2.5 DCI 09/03-&gt;.OPEL Movano 1.9/3.0/DTI 10/01-&gt;/Vivaro 2.5 /DTI/CDTI 05/03-&gt;.RENAULT Master II 1.9-2.5/DCI 09/00-&gt;/ III 2.5/3.0/DCI 10/03-&gt;/Trafic II 2.5 DCI 03/01-&gt;</t>
  </si>
  <si>
    <t>KX220DEco</t>
  </si>
  <si>
    <t>KX220DEco     (KNECHT)</t>
  </si>
  <si>
    <t>413.19</t>
  </si>
  <si>
    <t>VAG 1.9TDI, 2.0TDI  03-</t>
  </si>
  <si>
    <t>KX222DEco</t>
  </si>
  <si>
    <t>KX222DEco     (KNECHT)</t>
  </si>
  <si>
    <t>418.99</t>
  </si>
  <si>
    <t>VW CRAFTER 2.5 TDI  06-</t>
  </si>
  <si>
    <t>KX228DEco</t>
  </si>
  <si>
    <t>KX228DEco     (KNECHT)</t>
  </si>
  <si>
    <t>458.82</t>
  </si>
  <si>
    <t>VAG A3/ EOS/ GolF V/ JETTA III/ TOURAN/ Octavia 1.9TDI/ 2.0TDI 02/ 03-&gt; 1K0127434B/ 1K0127177B</t>
  </si>
  <si>
    <t>KX24D</t>
  </si>
  <si>
    <t>KX24D     (KNECHT)</t>
  </si>
  <si>
    <t>151.44</t>
  </si>
  <si>
    <t>Perkins, div.</t>
  </si>
  <si>
    <t>KX38</t>
  </si>
  <si>
    <t>KX38     (KNECHT)</t>
  </si>
  <si>
    <t>152.81</t>
  </si>
  <si>
    <t>DEUTZ-FAHR, JOHN DEERE, STEINBOCK РёРЅРґСѓСЃС‚СЂРёР°Р»СЊРЅР°СЏ Рё СЃ/С… С‚РµС…РЅРёРєР°</t>
  </si>
  <si>
    <t>KX63/1</t>
  </si>
  <si>
    <t>KX63/1     (KNECHT)</t>
  </si>
  <si>
    <t>138.35</t>
  </si>
  <si>
    <t>CITROEN JUMPY, BERLINGO, FIAT SCUDO, PEUGEOT EXPERT  1.9D/TD 95-</t>
  </si>
  <si>
    <t>KX67/2DEco</t>
  </si>
  <si>
    <t>KX67/2DEco     (KNECHT)   !!Р·Р°РјС–РЅР° РґР»СЏ KX67/1DEco</t>
  </si>
  <si>
    <t>183.23</t>
  </si>
  <si>
    <t>MB VARIO/ATEGO 96- (OM904. - engines)</t>
  </si>
  <si>
    <t>KX68DEco</t>
  </si>
  <si>
    <t>KX68DEco     (KNECHT)   !!Р·Р°РјС–РЅР° РґР»СЏ KX49D</t>
  </si>
  <si>
    <t>127.70</t>
  </si>
  <si>
    <t>MB - trucks diesel engines</t>
  </si>
  <si>
    <t>KX70DEco</t>
  </si>
  <si>
    <t>KX70DEco     (KNECHT)</t>
  </si>
  <si>
    <t>163.97</t>
  </si>
  <si>
    <t>MB W202, W210, W220 (OM611,OM612,OM613 CDI - engines)  97-</t>
  </si>
  <si>
    <t>KX73/1DEco</t>
  </si>
  <si>
    <t>KX73/1DEco     (KNECHT)</t>
  </si>
  <si>
    <t>264.42</t>
  </si>
  <si>
    <t>MAN - trucks 00-</t>
  </si>
  <si>
    <t>KX80DEco</t>
  </si>
  <si>
    <t>KX80DEco !!!Р—Р°РјС–РЅРµРЅРѕ РЅР° KX80/1DEco     (KNECHT)</t>
  </si>
  <si>
    <t>292.08</t>
  </si>
  <si>
    <t>MB - trucks &amp; buses 96-</t>
  </si>
  <si>
    <t>KX84DEco</t>
  </si>
  <si>
    <t>KX84DEco     (KNECHT)</t>
  </si>
  <si>
    <t>205.85</t>
  </si>
  <si>
    <t>CITROEN JUMPY, BERLINGO, PEUGEOT PARTNER 1.9D 98- (РѕРІР°Р»СЊРЅРёР№)</t>
  </si>
  <si>
    <t>LA109</t>
  </si>
  <si>
    <t>LA109     (KNECHT)</t>
  </si>
  <si>
    <t>188.12</t>
  </si>
  <si>
    <t>TOYOTA Yaris/Vitz/Platz/Spacio 99-&gt;/Rav4 00-&gt;</t>
  </si>
  <si>
    <t>LA119</t>
  </si>
  <si>
    <t>LA119     (KNECHT)</t>
  </si>
  <si>
    <t>194.98</t>
  </si>
  <si>
    <t>NISSAN ALMERA 08/00- /220 X 202 X 30/</t>
  </si>
  <si>
    <t>LA120</t>
  </si>
  <si>
    <t>LA120     (KNECHT)</t>
  </si>
  <si>
    <t>AUDI A2 00-, SKODA FABIA 99- /252 X 216 X 32/</t>
  </si>
  <si>
    <t>LA144</t>
  </si>
  <si>
    <t>LA144     (KNECHT)</t>
  </si>
  <si>
    <t>247.36</t>
  </si>
  <si>
    <t>FIAT PUNTO (+ A/C) 09/99-, DOBLO 01-</t>
  </si>
  <si>
    <t>LA157</t>
  </si>
  <si>
    <t>LA157     (KNECHT)</t>
  </si>
  <si>
    <t>166.34</t>
  </si>
  <si>
    <t>Toyota Avensis / Corolla , Corolla Verso    02-08</t>
  </si>
  <si>
    <t>LA182</t>
  </si>
  <si>
    <t>LA182     (KNECHT)</t>
  </si>
  <si>
    <t>TOUAREG/MULTIVAN/T5</t>
  </si>
  <si>
    <t>LA216</t>
  </si>
  <si>
    <t>LA216     (KNECHT)</t>
  </si>
  <si>
    <t>192.43</t>
  </si>
  <si>
    <t>HONDA Accord VIII 2.0/2.4 2/03-&gt;, TOYOTA Avensis T25 1.8 4/03-&gt;</t>
  </si>
  <si>
    <t>LA229</t>
  </si>
  <si>
    <t>LA229     (KNECHT)</t>
  </si>
  <si>
    <t>287.57</t>
  </si>
  <si>
    <t>MB VITO/VIANO 03-&gt;</t>
  </si>
  <si>
    <t>LA230</t>
  </si>
  <si>
    <t>LA230     (KNECHT)</t>
  </si>
  <si>
    <t>184.78</t>
  </si>
  <si>
    <t>MICRA/NOTE/MODUS 03-&gt;</t>
  </si>
  <si>
    <t>LA287</t>
  </si>
  <si>
    <t>LA287     (KNECHT)</t>
  </si>
  <si>
    <t>596.33</t>
  </si>
  <si>
    <t>LA289</t>
  </si>
  <si>
    <t>LA289     (KNECHT)</t>
  </si>
  <si>
    <t>215.38</t>
  </si>
  <si>
    <t>NAVARA/PATHFINDER 2.5DCi, 05-,  PICK UP 2.5 DI, 03/02 -</t>
  </si>
  <si>
    <t>LA296/S</t>
  </si>
  <si>
    <t>LA296/S     (KNECHT)</t>
  </si>
  <si>
    <t>198.71</t>
  </si>
  <si>
    <t>CARISMA 95-06, Pagero Sport (K90) 98-08  (РєРјРї 2 С€С‚)  \n</t>
  </si>
  <si>
    <t>LA298</t>
  </si>
  <si>
    <t>LA298     (KNECHT)</t>
  </si>
  <si>
    <t>162.03</t>
  </si>
  <si>
    <t>KIA Carnival III 2.9 CRDI 06/06-&gt;/Cerato 1.6/2.0/CRDI 04/04-&gt;</t>
  </si>
  <si>
    <t>LA301</t>
  </si>
  <si>
    <t>LA301     (KNECHT)</t>
  </si>
  <si>
    <t>KIA RIO II/SPORTAGE, Hyundai I30, I40  06-</t>
  </si>
  <si>
    <t>LA307</t>
  </si>
  <si>
    <t>LA307     (KNECHT)</t>
  </si>
  <si>
    <t>200.67</t>
  </si>
  <si>
    <t>SPRINTER/CRAFTER 06-&gt;</t>
  </si>
  <si>
    <t>LA31</t>
  </si>
  <si>
    <t>LA31     (KNECHT)   !!Р·Р°РјС–РЅР° РґР»СЏ LA13</t>
  </si>
  <si>
    <t>111.43</t>
  </si>
  <si>
    <t>SKODA OCTAVIA 97-, VW GOLF III, PASSAT B6  00-</t>
  </si>
  <si>
    <t>LA343</t>
  </si>
  <si>
    <t>LA343     (KNECHT)</t>
  </si>
  <si>
    <t>209.89</t>
  </si>
  <si>
    <t>LA362</t>
  </si>
  <si>
    <t>LA362     (KNECHT)</t>
  </si>
  <si>
    <t>328.96</t>
  </si>
  <si>
    <t>CHEVROLET Lacetti 1.4-2.0/D/16V 03/05-&gt;/Nubira 1.6-2.0/D 03/05-&gt;.DAEWOO Lacetti 1.4-1.8 02/04-&gt;/Nubira 1.6/1.8 07/03-&gt;</t>
  </si>
  <si>
    <t>LA382</t>
  </si>
  <si>
    <t>LA382     (KNECHT)</t>
  </si>
  <si>
    <t>344.95</t>
  </si>
  <si>
    <t>Opel Vivaro, Renault Trafic II 2/01--&gt;</t>
  </si>
  <si>
    <t>LA395</t>
  </si>
  <si>
    <t>LA395     (KNECHT)</t>
  </si>
  <si>
    <t>174.39</t>
  </si>
  <si>
    <t>Toyota Auris, Avensis, Camry (V40), Corolla, Rav4  05-</t>
  </si>
  <si>
    <t>LA396</t>
  </si>
  <si>
    <t>LA396     (KNECHT)</t>
  </si>
  <si>
    <t>200.48</t>
  </si>
  <si>
    <t>Nissan QASHQAI,  X-TRAIL  1.5-2.0,   07-</t>
  </si>
  <si>
    <t>LA424</t>
  </si>
  <si>
    <t>LA424     (KNECHT)</t>
  </si>
  <si>
    <t>281.49</t>
  </si>
  <si>
    <t>MITSUBISHI ASX, Lancer X 08- Outlander II, III,  07- Peugeot 4007, 4008  07- ,  Citroen C4 Aircross 07-</t>
  </si>
  <si>
    <t>LA75</t>
  </si>
  <si>
    <t>LA75     (KNECHT)</t>
  </si>
  <si>
    <t>OPEL ASTRA 02/98-, ZAFIRA 04/99-, CHEVI NIVA (DELPHI-HOUSING) /288 X 196 X 29/</t>
  </si>
  <si>
    <t>LA83</t>
  </si>
  <si>
    <t>LA83     (KNECHT)</t>
  </si>
  <si>
    <t>326.02</t>
  </si>
  <si>
    <t>MB SPRINTER 01/95-, VW LT 05/96- /365 X 155 X 29/</t>
  </si>
  <si>
    <t>LA921/S</t>
  </si>
  <si>
    <t>LA921/S     (KNECHT)</t>
  </si>
  <si>
    <t>324.06</t>
  </si>
  <si>
    <t>Citroen C-ELYSEE 1.2-1.6 VTI 11/12 -, Peugeot 301 1.6 HDI 12- Р¦С–РЅР° Р·Р° Рє-РєС‚(2С€С‚)</t>
  </si>
  <si>
    <t>LA93</t>
  </si>
  <si>
    <t>LA93     (KNECHT)</t>
  </si>
  <si>
    <t>189.29</t>
  </si>
  <si>
    <t>A4/A6 00-&gt;</t>
  </si>
  <si>
    <t>LAK131</t>
  </si>
  <si>
    <t>LAK131     (KNECHT)</t>
  </si>
  <si>
    <t>317.78</t>
  </si>
  <si>
    <t>TOYOTA AVENSIS,LAND CRUISER,PREVIA,YARIS 1,0-4,0'00-</t>
  </si>
  <si>
    <t>LAK182</t>
  </si>
  <si>
    <t>LAK182     (KNECHT)</t>
  </si>
  <si>
    <t>307.58</t>
  </si>
  <si>
    <t>PORSCHE Cayenne 9/02-&gt; ,VW Touareg 10/02-&gt; ,T5 [+A/C] 4/03-&gt;</t>
  </si>
  <si>
    <t>LAK221/S</t>
  </si>
  <si>
    <t>LAK221/S     (KNECHT)</t>
  </si>
  <si>
    <t>592.80</t>
  </si>
  <si>
    <t>BMW X5 (E70) 3.0/4.8/D/SI/I 02/07-&gt;  Р¦Р•РќРђ Р—Рђ РљРњРџ(2РЁРў)\n</t>
  </si>
  <si>
    <t>LAK295/S</t>
  </si>
  <si>
    <t>LAK295/S     (KNECHT)</t>
  </si>
  <si>
    <t>634.19</t>
  </si>
  <si>
    <t>MERCEDES W164/W251/X164,   05-  (РєРјРї 2 С€С‚)\n</t>
  </si>
  <si>
    <t>LAK307</t>
  </si>
  <si>
    <t>LAK307     (KNECHT)</t>
  </si>
  <si>
    <t>314.25</t>
  </si>
  <si>
    <t>SPRINTER 06-&gt;</t>
  </si>
  <si>
    <t>LAK63</t>
  </si>
  <si>
    <t>LAK63     (KNECHT)</t>
  </si>
  <si>
    <t>246.18</t>
  </si>
  <si>
    <t>VW BORA, GOLF IV 08/97- (СѓРіРѕР»СЊРЅС‹Р№) /282 X 206 X 30/</t>
  </si>
  <si>
    <t>LAK888</t>
  </si>
  <si>
    <t>LAK888     (KNECHT)</t>
  </si>
  <si>
    <t>277.17</t>
  </si>
  <si>
    <t>VAG (A3 III, LEON, OCTAVIA, GOLF) 12-</t>
  </si>
  <si>
    <t>LX1008/3</t>
  </si>
  <si>
    <t>LX1008/3     (KNECHT)</t>
  </si>
  <si>
    <t>246.97</t>
  </si>
  <si>
    <t>MITSUBISHI Colt VI 1,1/1,3/1,5 6/04-&gt;</t>
  </si>
  <si>
    <t>LX1024</t>
  </si>
  <si>
    <t>LX1024     (KNECHT)</t>
  </si>
  <si>
    <t>852.90</t>
  </si>
  <si>
    <t>MAN TGA, TGX, TGS 00-</t>
  </si>
  <si>
    <t>LX1039</t>
  </si>
  <si>
    <t>LX1039     (KNECHT)</t>
  </si>
  <si>
    <t>114.36</t>
  </si>
  <si>
    <t>HYUNDAI SONATA 2.0i, 2.5i, 2.7i 06/98-, TRAJET (all eng.) /239 X 190 X 41.5/</t>
  </si>
  <si>
    <t>LX1049</t>
  </si>
  <si>
    <t>LX1049     (KNECHT)</t>
  </si>
  <si>
    <t>97.69</t>
  </si>
  <si>
    <t>HONDA CIVIC 1.5i, 1.6i 11/95-01/01, CR-V 2.0i 95-01 /190 X 197,5 X 49,8/</t>
  </si>
  <si>
    <t>LX1080</t>
  </si>
  <si>
    <t>LX1080     (KNECHT)</t>
  </si>
  <si>
    <t>240.10</t>
  </si>
  <si>
    <t>LX1142</t>
  </si>
  <si>
    <t>LX1142     (KNECHT)</t>
  </si>
  <si>
    <t>527.28</t>
  </si>
  <si>
    <t>IVECO Daily II 29L/35C/50C 5/99-&gt;|</t>
  </si>
  <si>
    <t>LX1211</t>
  </si>
  <si>
    <t>LX1211     (KNECHT)</t>
  </si>
  <si>
    <t>188.65</t>
  </si>
  <si>
    <t>LX1258</t>
  </si>
  <si>
    <t>LX1258     (KNECHT)</t>
  </si>
  <si>
    <t>192.63</t>
  </si>
  <si>
    <t>Renault Kangoo 1.5DCI `01-|Renault Clio 1.5DCI`01-</t>
  </si>
  <si>
    <t>LX1286</t>
  </si>
  <si>
    <t>LX1286     (KNECHT)</t>
  </si>
  <si>
    <t>183.02</t>
  </si>
  <si>
    <t>TOYOTA Corolla 1,4-1,8 16V 10/01-&gt;/Avensis 2,0 5/01-&gt;</t>
  </si>
  <si>
    <t>LX1298</t>
  </si>
  <si>
    <t>LX1298     (KNECHT)</t>
  </si>
  <si>
    <t>142.80</t>
  </si>
  <si>
    <t>NISSAN ALMERA 1.4, 1.6  95-00 /228 РҐ 168 РҐ 34/</t>
  </si>
  <si>
    <t>LX1465</t>
  </si>
  <si>
    <t>LX1465     (KNECHT)</t>
  </si>
  <si>
    <t>107.50</t>
  </si>
  <si>
    <t>HYUNDAI Getz 1,0-1,6 9/02-&gt;</t>
  </si>
  <si>
    <t>LX1482</t>
  </si>
  <si>
    <t>LX1482     (KNECHT)</t>
  </si>
  <si>
    <t>300.12</t>
  </si>
  <si>
    <t>AUDI A3, SEAT Altea, Leon 1.8-2.0TDI 04-, SKODA Octavia 1.8-2.0 TDI 04-, VW Caddy III, Golf V, Jetta III 1.4-2.0TDI 05-, Passat 1.9-2.0 TDI 05- (РґР»СЏ Р·Р°РїРёР»РµРЅРёС… СѓРјРѕРІ)</t>
  </si>
  <si>
    <t>LX1518</t>
  </si>
  <si>
    <t>LX1518     (KNECHT)</t>
  </si>
  <si>
    <t>SUBARU Forester I/II, Legacy 2.0, 2.5  98-07  IMPREZA 1.6i,  -00</t>
  </si>
  <si>
    <t>LX1566</t>
  </si>
  <si>
    <t>LX1566     (KNECHT)</t>
  </si>
  <si>
    <t>280.63</t>
  </si>
  <si>
    <t>AUDI A3 1,6/2,0FSI 5/03-&gt; ,SEAT Altea 1,6/2,0FSI 3/04-&gt; ,VW Caddy III 1,6/2,0SDI 3/04-&gt; ,Golf V 1,6/</t>
  </si>
  <si>
    <t>LX1573</t>
  </si>
  <si>
    <t>LX1573     (KNECHT)</t>
  </si>
  <si>
    <t>247.17</t>
  </si>
  <si>
    <t>MERCEDES Vito 119/122 W639 mot.M112 9/03-&gt;</t>
  </si>
  <si>
    <t>LX1586</t>
  </si>
  <si>
    <t>LX1586     (KNECHT)</t>
  </si>
  <si>
    <t>208.91</t>
  </si>
  <si>
    <t>Ford Transit 2.2TDCI 06--  / AP023/4 /</t>
  </si>
  <si>
    <t>LX1656</t>
  </si>
  <si>
    <t>LX1656     (KNECHT)</t>
  </si>
  <si>
    <t>349.56</t>
  </si>
  <si>
    <t>OPEL Movano 2.2CDTi/2.5CDTi 03-&gt;, RENAULT Master 2.2DCi/2.5DCi 03-&gt;</t>
  </si>
  <si>
    <t>LX1700</t>
  </si>
  <si>
    <t>LX1700     (KNECHT)</t>
  </si>
  <si>
    <t>251.67</t>
  </si>
  <si>
    <t>TOYOTA Land Cruiser 3.0D 4WD 1/03-&gt;|</t>
  </si>
  <si>
    <t>LX1706</t>
  </si>
  <si>
    <t>LX1706     (KNECHT)</t>
  </si>
  <si>
    <t>196.55</t>
  </si>
  <si>
    <t>Ford Transit 2,4D  06-\n</t>
  </si>
  <si>
    <t>LX1780/3</t>
  </si>
  <si>
    <t>LX1780/3     (KNECHT)   !!Р·Р°РјС–РЅР° РґР»СЏ LX1780</t>
  </si>
  <si>
    <t>FORD C-Max, Kuga, Focus II,III, Volvo V40 1.0-2.0 04-</t>
  </si>
  <si>
    <t>LX1785</t>
  </si>
  <si>
    <t>LX1785     (KNECHT)</t>
  </si>
  <si>
    <t>235.78</t>
  </si>
  <si>
    <t>HYUNDAI Tucson / KIA Sportage 2.0-2.7, 2.0D, 04-10</t>
  </si>
  <si>
    <t>LX1808</t>
  </si>
  <si>
    <t>LX1808     (KNECHT)</t>
  </si>
  <si>
    <t>131.82</t>
  </si>
  <si>
    <t>RIO II 05-&gt;</t>
  </si>
  <si>
    <t>LX1827</t>
  </si>
  <si>
    <t>LX1827     (KNECHT)</t>
  </si>
  <si>
    <t>197.73</t>
  </si>
  <si>
    <t>FIAT 500 1.2 10/07-&gt;/Grande Punto 1.2/1.4 10/05-&gt;/Idea 1.4 10/05-&gt;/Linea 1.4 06/07-&gt;.LANCIA Musa 1.4 09/05-&gt;</t>
  </si>
  <si>
    <t>LX1845</t>
  </si>
  <si>
    <t>LX1845     (KNECHT)</t>
  </si>
  <si>
    <t>327.94</t>
  </si>
  <si>
    <t>MERCEDES Sprinter 06.06-&gt; VW Crafter 04.0-&gt;</t>
  </si>
  <si>
    <t>LX1850/1</t>
  </si>
  <si>
    <t>LX1850/1     (KNECHT)   !!Р·Р°РјС–РЅР° РґР»СЏ LX1850/S</t>
  </si>
  <si>
    <t>368.00</t>
  </si>
  <si>
    <t>Mercedes (left)</t>
  </si>
  <si>
    <t>LX1850/2</t>
  </si>
  <si>
    <t xml:space="preserve">LX1850/2     (KNECHT)   !!Р·Р°РјС–РЅР° РґР»СЏ LX1850/S </t>
  </si>
  <si>
    <t>357.40</t>
  </si>
  <si>
    <t>Mercedes (right)</t>
  </si>
  <si>
    <t>LX1883</t>
  </si>
  <si>
    <t>LX1883     (KNECHT)</t>
  </si>
  <si>
    <t>OPEL MOVANO 2.3 CDTI  10-  /WA9670/</t>
  </si>
  <si>
    <t>LX1915</t>
  </si>
  <si>
    <t>LX1915     (KNECHT)</t>
  </si>
  <si>
    <t>155.16</t>
  </si>
  <si>
    <t>CHEVROLET Aveo 1.2/1.4 03/06-&gt;/Kalos 1.2/1.4/16V 03/05-&gt;.DAEWOO Kalos 1.2/1.4/16V 09/02-&gt;</t>
  </si>
  <si>
    <t>LX1920</t>
  </si>
  <si>
    <t>LX1920     (KNECHT)   !!Р·Р°РјС–РЅР° РґР»СЏ LX1502</t>
  </si>
  <si>
    <t>293.85</t>
  </si>
  <si>
    <t>FIAT 500 1.3 D 10/07-&gt;/ Doblo 1.3 D 10/05-&gt;/Grande Punto 1.3 D 10/05-&gt;/Linea 1.3 D 06/07-&gt;.LANCIA Musa/Ypsilon 1.3 Multijet 09/06-&gt;</t>
  </si>
  <si>
    <t>LX1945</t>
  </si>
  <si>
    <t>LX1945     (KNECHT)</t>
  </si>
  <si>
    <t>228.13</t>
  </si>
  <si>
    <t>HONDA Accord VIII 2.0/2.4 02/03-&gt;</t>
  </si>
  <si>
    <t>LX1953</t>
  </si>
  <si>
    <t>LX1953     (KNECHT)</t>
  </si>
  <si>
    <t>175.56</t>
  </si>
  <si>
    <t>RENAULT DUSTER 1.5 DCI  10-</t>
  </si>
  <si>
    <t>LX1983</t>
  </si>
  <si>
    <t>LX1983     (KNECHT)</t>
  </si>
  <si>
    <t>153.59</t>
  </si>
  <si>
    <t>Nissan QASHQAI, X-TRAIL II  (AP185/5)</t>
  </si>
  <si>
    <t>LX2033</t>
  </si>
  <si>
    <t>LX2033     (KNECHT)</t>
  </si>
  <si>
    <t>215.78</t>
  </si>
  <si>
    <t>#BMW, Citroen, Peugeot</t>
  </si>
  <si>
    <t>LX208</t>
  </si>
  <si>
    <t>LX208     (KNECHT)</t>
  </si>
  <si>
    <t>164.58</t>
  </si>
  <si>
    <t>LX2097</t>
  </si>
  <si>
    <t>LX2097     (KNECHT)</t>
  </si>
  <si>
    <t>326.61</t>
  </si>
  <si>
    <t>BMW X5 4.8i  07-  (РїСЂР°РІС‹Р№, РґРѕРїРѕР»РЅРµРЅРёРµ Рє LX2098)</t>
  </si>
  <si>
    <t>LX2098</t>
  </si>
  <si>
    <t>LX2098     (KNECHT)</t>
  </si>
  <si>
    <t>BMW X5 4.8i  07-  (Р»РµРІС‹Р№, РґРѕРїРѕР»РЅРµРЅРёРµ Рє LX2097)</t>
  </si>
  <si>
    <t>LX220</t>
  </si>
  <si>
    <t>LX220     (KNECHT)   !!Р·Р°РјС–РЅР° РґР»СЏ LX470</t>
  </si>
  <si>
    <t>209.70</t>
  </si>
  <si>
    <t>VW TRANSPORTER 1.6-2.1 -92, AUDI 100 1.8i-2.3i  -90, LADA 2110 /212 X 212 X 57/</t>
  </si>
  <si>
    <t>LX2616</t>
  </si>
  <si>
    <t>LX2616     (KNECHT)</t>
  </si>
  <si>
    <t>300.27</t>
  </si>
  <si>
    <t>MITSUBISHI LANCER X, OUTLANDER 07-</t>
  </si>
  <si>
    <t>LX2633</t>
  </si>
  <si>
    <t>LX2633     (KNECHT)</t>
  </si>
  <si>
    <t>306.01</t>
  </si>
  <si>
    <t>Ford Fiesta VI 08 -, B-MAX 1.0-1.6, 12 - , MAZDA 2, 1.6, 08 -</t>
  </si>
  <si>
    <t>LX266</t>
  </si>
  <si>
    <t>LX266     (KNECHT)</t>
  </si>
  <si>
    <t>111.03</t>
  </si>
  <si>
    <t>VW GOLF II, JETTA II 1.6, 1.8 83-91 /200 X 94 X 50/</t>
  </si>
  <si>
    <t>LX2679</t>
  </si>
  <si>
    <t>LX2679     (KNECHT)</t>
  </si>
  <si>
    <t>165.56</t>
  </si>
  <si>
    <t>Daewoo Lacetti/ Nubira 1. 4 -  1. 8  04-</t>
  </si>
  <si>
    <t>LX2792</t>
  </si>
  <si>
    <t>LX2792     (KNECHT)</t>
  </si>
  <si>
    <t>220.88</t>
  </si>
  <si>
    <t xml:space="preserve">Toyota Auris 07-,  Avensis 09-,  Corolla, Yaris 07-  </t>
  </si>
  <si>
    <t>LX2832</t>
  </si>
  <si>
    <t>LX2832     (KNECHT)</t>
  </si>
  <si>
    <t>191.45</t>
  </si>
  <si>
    <t>HYUNDAI SANTA FГ‰ 2.2CRDI, 2.7I  05-</t>
  </si>
  <si>
    <t>LX2833</t>
  </si>
  <si>
    <t>LX2833     (KNECHT)</t>
  </si>
  <si>
    <t>308.76</t>
  </si>
  <si>
    <t>Fiat Sedici 1.6i 16V 06-&gt;, Suzuki SX-4 1.5i, 1.6VVT 06-&gt;  /WA9549/</t>
  </si>
  <si>
    <t>LX2844</t>
  </si>
  <si>
    <t>LX2844     (KNECHT)   !!Р·Р°РјС–РЅР° РґР»СЏ LX994</t>
  </si>
  <si>
    <t>RENAULT Logan, Logan MCV, Sandero</t>
  </si>
  <si>
    <t>LX2869</t>
  </si>
  <si>
    <t>LX2869     (KNECHT)</t>
  </si>
  <si>
    <t>353.09</t>
  </si>
  <si>
    <t>Hyundai ix35 2.0, 2.0CRDI| Kia Sportage 2.0, 2.0CRDI  10-  /WA9710/</t>
  </si>
  <si>
    <t>LX2882</t>
  </si>
  <si>
    <t>LX2882     (KNECHT)</t>
  </si>
  <si>
    <t>LX2890</t>
  </si>
  <si>
    <t>LX2890     (KNECHT)</t>
  </si>
  <si>
    <t>KIA CERATO 1.6 CVVT  06 -  /28113-2F800/ СЃРѕ СЃРєРѕСЃРѕРј</t>
  </si>
  <si>
    <t>LX296</t>
  </si>
  <si>
    <t>LX296     (KNECHT)</t>
  </si>
  <si>
    <t>178.31</t>
  </si>
  <si>
    <t>AUDI 100 2.0, 2.3, 2.8 91-94, A6 1.8-2.8 94-97  /308 X 184 X 57.3/</t>
  </si>
  <si>
    <t>LX2995</t>
  </si>
  <si>
    <t>LX2995     (KNECHT)</t>
  </si>
  <si>
    <t>321.51</t>
  </si>
  <si>
    <t>Citroen Berlingo III, C3 II, C4, C5 II, DS3| Peugeot 207, 308, 3008,5008, 1.6HDI, 08 -</t>
  </si>
  <si>
    <t>LX339</t>
  </si>
  <si>
    <t>LX339     (KNECHT)</t>
  </si>
  <si>
    <t>241.47</t>
  </si>
  <si>
    <t>AUDI 100 (2.4D, 2.5TDI 91-94), A6 (2.5TDI 94-97)  /308 X 184 X 70.3/</t>
  </si>
  <si>
    <t>LX343</t>
  </si>
  <si>
    <t>LX343     (KNECHT)   !!Р·Р°РјС–РЅР° РґР»СЏ LX551</t>
  </si>
  <si>
    <t>206.95</t>
  </si>
  <si>
    <t>BMW 320i 90-98, 325i 90-, 525i, 530i 00- /242 X 178 X 57.3/</t>
  </si>
  <si>
    <t>LX439/1</t>
  </si>
  <si>
    <t>LX439/1     (KNECHT)   !!Р·Р°РјС–РЅР° РґР»СЏ LX439</t>
  </si>
  <si>
    <t>224.60</t>
  </si>
  <si>
    <t>MB C-class (W202) C180-C230, C200D-C250D 93-99, M-class (W163) ML230-ML430 98-</t>
  </si>
  <si>
    <t>LX511/1</t>
  </si>
  <si>
    <t>LX511/1     (KNECHT)   !!Р·Р°РјС–РЅР° РґР»СЏ LX511</t>
  </si>
  <si>
    <t>314.85</t>
  </si>
  <si>
    <t>MB SPRINTER all engines 95-00 /315 X 276 X 70.3/</t>
  </si>
  <si>
    <t>LX537</t>
  </si>
  <si>
    <t>LX537     (KNECHT)</t>
  </si>
  <si>
    <t>247.73</t>
  </si>
  <si>
    <t>VW T4 2.0, 2.5, 2.8VR6, 1.9TD, 2.4D, 2.5TDI 90- (277 X 218 X 63)</t>
  </si>
  <si>
    <t>LX542</t>
  </si>
  <si>
    <t>LX542     (KNECHT)</t>
  </si>
  <si>
    <t>MAZDA 626 1.8i 91-99, 2.0 91-, MX 6 92-, MX 5 98- /258.5 X 164 X 40/</t>
  </si>
  <si>
    <t>LX572</t>
  </si>
  <si>
    <t>LX572     (KNECHT)   !!Р·Р°РјС–РЅР° РґР»СЏ LX301</t>
  </si>
  <si>
    <t>FIAT SCUDO, PEUGEOT EXPERT, CITROEN JUMPY 1.6, 1.9D/TD 96- /325 X 156 X 57/</t>
  </si>
  <si>
    <t>LX593/1</t>
  </si>
  <si>
    <t>LX593/1     (KNECHT)   !!Р·Р°РјС–РЅР° РґР»СЏ LX593</t>
  </si>
  <si>
    <t>268.74</t>
  </si>
  <si>
    <t>AUDI A4,A6 VW PASSAT 2,5TDI 97- /254 X 212.5 X 70/</t>
  </si>
  <si>
    <t>LX704/1</t>
  </si>
  <si>
    <t>LX704/1     (KNECHT)   !!Р·Р°РјС–РЅР° РґР»СЏ LX704</t>
  </si>
  <si>
    <t>223.05</t>
  </si>
  <si>
    <t>OPEL Movano/Vivaro 1.9TD 8/01-&gt;| RENAULT</t>
  </si>
  <si>
    <t>LX773</t>
  </si>
  <si>
    <t>LX773     (KNECHT)</t>
  </si>
  <si>
    <t>RENAULT LAGUNA 1.6i, 1.8i 97-, MEGANE 1.4i, 1.6i 99- /176 X 140 X 75.3/</t>
  </si>
  <si>
    <t>LX786</t>
  </si>
  <si>
    <t>LX786     (KNECHT)</t>
  </si>
  <si>
    <t>201.36</t>
  </si>
  <si>
    <t>LX798/1</t>
  </si>
  <si>
    <t>LX798/1     (KNECHT)   !!Р·Р°РјС–РЅР° РґР»СЏ LX798</t>
  </si>
  <si>
    <t>170.07</t>
  </si>
  <si>
    <t>FORD FOCUS (all engines) 98-, FIESTA 1.8DI 00- /265 X 147 X 47.3/</t>
  </si>
  <si>
    <t>LX819</t>
  </si>
  <si>
    <t>LX819     (KNECHT)</t>
  </si>
  <si>
    <t>260.11</t>
  </si>
  <si>
    <t>AUDI A4 (all engines) 00- /266.5 X 212.5 X 70.3/</t>
  </si>
  <si>
    <t>LX827</t>
  </si>
  <si>
    <t>LX827     (KNECHT)</t>
  </si>
  <si>
    <t>133.58</t>
  </si>
  <si>
    <t>DAEWOO LANOS 1.4-1.6 97- /208.5 X 199 X 40/</t>
  </si>
  <si>
    <t>OC105</t>
  </si>
  <si>
    <t>OC105     (KNECHT)</t>
  </si>
  <si>
    <t>165.84</t>
  </si>
  <si>
    <t>VW LT 2.4D/TD 78-96, T4 2.4D/TD 92- /183.5 X 92 (3/4 - 16 UNF)/</t>
  </si>
  <si>
    <t>OC1051</t>
  </si>
  <si>
    <t>OC1051     (KNECHT)   !!Р·Р°РјС–РЅР° РґР»СЏ OC244</t>
  </si>
  <si>
    <t>105.26</t>
  </si>
  <si>
    <t>FORD C-MAX, B-MAX, Focus II,III, Mondeo IV 1.4-1.6  04-, VOLVO S40 II, S60 II, 04-</t>
  </si>
  <si>
    <t>OC1052</t>
  </si>
  <si>
    <t>OC1052     (KNECHT)</t>
  </si>
  <si>
    <t>147.90</t>
  </si>
  <si>
    <t>NISSAN ALMERA II 1.5,\t00 -,   350Z  3.5 06 -, JUKE 1.6 10 -</t>
  </si>
  <si>
    <t>OC1063</t>
  </si>
  <si>
    <t>OC1063     (KNECHT)   !!Р·Р°РјС–РЅР° РґР»СЏ OC466</t>
  </si>
  <si>
    <t>171.84</t>
  </si>
  <si>
    <t>FORD Fiesta VI, B-MAX, C-MAX, Focus II,III, Mondeo III, IV, MAZDA 6  1.0-2.0 ,   00-</t>
  </si>
  <si>
    <t>OC110</t>
  </si>
  <si>
    <t>OC110     (KNECHT)</t>
  </si>
  <si>
    <t>111.22</t>
  </si>
  <si>
    <t>MB W201 (E2.0-E2.6) 85-93, W124 (200E-300E) 86-93 /118 X 75 (3/4 - 16 UNF)/</t>
  </si>
  <si>
    <t>OC110o.F.</t>
  </si>
  <si>
    <t>OC110o.F.     (KNECHT)</t>
  </si>
  <si>
    <t>122.28</t>
  </si>
  <si>
    <t>OC120</t>
  </si>
  <si>
    <t>OC120     (KNECHT)</t>
  </si>
  <si>
    <t>110.05</t>
  </si>
  <si>
    <t>TOYOTA HIACE, HILUX 1.8, 2.0 -89 /117.5 X 75 (3/4 - 16 UNF)/</t>
  </si>
  <si>
    <t>OC121</t>
  </si>
  <si>
    <t>OC121     (KNECHT)</t>
  </si>
  <si>
    <t>198.93</t>
  </si>
  <si>
    <t>RENAULT/VOLVO - trucks (FULL FLOW) /256 X 108 (1 1/8 - 16 UNF)/</t>
  </si>
  <si>
    <t>OC194</t>
  </si>
  <si>
    <t>OC194     (KNECHT)</t>
  </si>
  <si>
    <t>147.70</t>
  </si>
  <si>
    <t>NISSAN MAXIMA 2.0, 3.0 95-, KIA SPORTAGE 2.0 16V 94- /85 X 65 (M20X1.5)/</t>
  </si>
  <si>
    <t>OC195</t>
  </si>
  <si>
    <t>OC195     (KNECHT)   !!Р·Р°РјС–РЅР° РґР»СЏ OC285</t>
  </si>
  <si>
    <t>80.02</t>
  </si>
  <si>
    <t>MAZDA 323 1.6 85-93, 1.5i 94-01, 626 1.8, 2.0 -99 /65 X 65 (M20X1.5)/</t>
  </si>
  <si>
    <t>OC204</t>
  </si>
  <si>
    <t>OC204     (KNECHT)</t>
  </si>
  <si>
    <t>100.83</t>
  </si>
  <si>
    <t>VOLVO trucks &amp; PKW (PKW: 2.4-2.9 Р±РµРЅР·РёРЅ) 86- /92 X 79.5 (3/4 - 16 UNF)/</t>
  </si>
  <si>
    <t>OC205</t>
  </si>
  <si>
    <t>OC205     (KNECHT)   !!Р·Р°РјС–РЅР° РґР»СЏ OC152</t>
  </si>
  <si>
    <t>94.42</t>
  </si>
  <si>
    <t>MAZDA E2000,E2200, ISUZU MIDI 2.2D 89-, HYUNDAI 1.5-2.5 90- /72 X 75 (M20X1.5)/</t>
  </si>
  <si>
    <t>OC215</t>
  </si>
  <si>
    <t>OC215     (KNECHT)   !!Р·Р°РјС–РЅР° РґР»СЏ OC182</t>
  </si>
  <si>
    <t>85.63</t>
  </si>
  <si>
    <t>SUZUKI SWIFT 1.0-1.6 89-, DAEWOO MATIZ  04- /65 X 65 (3/4 - 16 UNF)/</t>
  </si>
  <si>
    <t>OC222</t>
  </si>
  <si>
    <t>OC222     (KNECHT)</t>
  </si>
  <si>
    <t>115.34</t>
  </si>
  <si>
    <t>VOLVO 340, 360, 440, 460, 480 1.4-2.0 86-96 /79.5 X 92 (M20X1.5)/</t>
  </si>
  <si>
    <t>OC230</t>
  </si>
  <si>
    <t>OC230     (KNECHT)   !!Р·Р°РјС–РЅР° РґР»СЏ OC113</t>
  </si>
  <si>
    <t>104.33</t>
  </si>
  <si>
    <t>MITSUBISHI GALANT, LANCER, L300  1.8, 2.0 87- /64 X 75 (M20X1.5)/ (MANN W815/80)</t>
  </si>
  <si>
    <t>OC232</t>
  </si>
  <si>
    <t>OC232     (KNECHT)   !!Р·Р°РјС–РЅР° РґР»СЏ OC208</t>
  </si>
  <si>
    <t>FORD TRANSIT 2.5D/TD/DI 83-00 /95 X 92 (M22X1.5)/</t>
  </si>
  <si>
    <t>OC237/1</t>
  </si>
  <si>
    <t>OC237/1     (KNECHT)   !!Р·Р°РјС–РЅР° РґР»СЏ OC237</t>
  </si>
  <si>
    <t>102.40</t>
  </si>
  <si>
    <t>ROVER 114, 214, 218, 414, 420, 25, 45, 75 Р±РµРЅР·РёРЅ 90- /92 X 75 (13/16 - 16 UNF)/</t>
  </si>
  <si>
    <t>OC247</t>
  </si>
  <si>
    <t>OC247     (KNECHT)</t>
  </si>
  <si>
    <t>114.24</t>
  </si>
  <si>
    <t>JEEP CHEROKEE/GR. CHEROKEE 2.5TD -99 (MANN: W719/14) /118 X 75 (3/4 - 16 UNF)/</t>
  </si>
  <si>
    <t>OC264</t>
  </si>
  <si>
    <t>OC264     (KNECHT)   !!Р·Р°РјС–РЅР° РґР»СЏ OC154,OC240</t>
  </si>
  <si>
    <t>111.62</t>
  </si>
  <si>
    <t>VW/AUDI 1.8-2.8 Р±РµРЅР·РёРЅ 91-  /118 X 75 (3/4 - 16 UNF)/ (Р°РЅР°Р»РѕРі W719/30)</t>
  </si>
  <si>
    <t>OC273</t>
  </si>
  <si>
    <t>OC273     (KNECHT)</t>
  </si>
  <si>
    <t>201.46</t>
  </si>
  <si>
    <t>NISSAN PATROL 2.8TD 88-00, PRIMERA 2.0D/TD 91- /129.5 X 94 (1 - 12 UNF)/</t>
  </si>
  <si>
    <t>OC274</t>
  </si>
  <si>
    <t>OC274     (KNECHT)</t>
  </si>
  <si>
    <t>208.28</t>
  </si>
  <si>
    <t>MITSUBISHI L200,L300,L400, PAJERO 2.5D/TD 86- /125 X 102 (M26X1.5)/</t>
  </si>
  <si>
    <t>OC275</t>
  </si>
  <si>
    <t>OC275     (KNECHT)</t>
  </si>
  <si>
    <t>TOYOTA HIACE, HILUX 2.4D/TD 89- /120 X 102 (M24X1.5)/</t>
  </si>
  <si>
    <t>OC282</t>
  </si>
  <si>
    <t>OC282     (KNECHT)</t>
  </si>
  <si>
    <t>350.19</t>
  </si>
  <si>
    <t>VOLVO - trucks (BY PASS) (Р°РЅР°Р»РѕРі WP11102) /258 X 108 (3/8 - 16 UNF)/</t>
  </si>
  <si>
    <t>OC288</t>
  </si>
  <si>
    <t>OC288     (KNECHT)</t>
  </si>
  <si>
    <t>203.42</t>
  </si>
  <si>
    <t>FORD MONDEO 2.5i 07/94-11/00, 3.0i 04/02- /99.5 X 92 (M22X1.5)/</t>
  </si>
  <si>
    <t>OC384</t>
  </si>
  <si>
    <t>OC384     (KNECHT)   !!Р·Р°РјС–РЅР° РґР»СЏ OC4</t>
  </si>
  <si>
    <t>74.41</t>
  </si>
  <si>
    <t>Lada 2108-21099, РћРєР°  (MANN   W 914/2)</t>
  </si>
  <si>
    <t>OC404</t>
  </si>
  <si>
    <t>OC404     (KNECHT)</t>
  </si>
  <si>
    <t>413.70</t>
  </si>
  <si>
    <t>VW LT 2.8TDI 98-</t>
  </si>
  <si>
    <t>OC458</t>
  </si>
  <si>
    <t>OC458     (KNECHT)</t>
  </si>
  <si>
    <t>ALFA ROMEO/FIAT/LANCIA 1.9JTD/2.4JTD</t>
  </si>
  <si>
    <t>OC47o.F.</t>
  </si>
  <si>
    <t>OC47o.F.     (KNECHT)</t>
  </si>
  <si>
    <t>76.09</t>
  </si>
  <si>
    <t>VW/AUDI -97 (Р°РЅР°Р»РѕРі W719/5) /118 X 75 (3/4 - 16 UNF)/  Р±РµР· СѓРїР°РєРѕРІРєРё</t>
  </si>
  <si>
    <t>OC485</t>
  </si>
  <si>
    <t>OC485     (KNECHT)   !!Р·Р°РјС–РЅР° РґР»СЏ OC311</t>
  </si>
  <si>
    <t>227.91</t>
  </si>
  <si>
    <t>AUDI 80 2.6, 2.8  92-96, A4,A6,A8 2.4-3.0  95- /139.5 X 92 (3/4 - 16 UNF)/</t>
  </si>
  <si>
    <t>OC486</t>
  </si>
  <si>
    <t>OC486     (KNECHT)</t>
  </si>
  <si>
    <t>219.31</t>
  </si>
  <si>
    <t>FIAT DUCATO/IVECO DAILY II 2.3,2.8 JTD 02-</t>
  </si>
  <si>
    <t>OC49</t>
  </si>
  <si>
    <t>OC49     (KNECHT)</t>
  </si>
  <si>
    <t>129.94</t>
  </si>
  <si>
    <t>BMW 316,318,320,520,525 (M10,M20 eng.) -91 (W719/5) /118,4 X 75 (3/4 - 16 UNF)./</t>
  </si>
  <si>
    <t>OC495</t>
  </si>
  <si>
    <t>OC495     (KNECHT)</t>
  </si>
  <si>
    <t>114.56</t>
  </si>
  <si>
    <t>MITSUBISHI Colt VI 1.1-1.5 /04-,SMART Forfour 1.1-1.5 /04-</t>
  </si>
  <si>
    <t>OC51o.F.</t>
  </si>
  <si>
    <t>OC51o.F.     (KNECHT)</t>
  </si>
  <si>
    <t>VW/AUDI/SEAT/VOLVO diesel engines (Р°РЅР°Р»РѕРі W940/25) /139.5 X 92 (3/4 - 16 UNF)/</t>
  </si>
  <si>
    <t>OC570</t>
  </si>
  <si>
    <t>OC570     (KNECHT)   !!Р·Р°РјС–РЅР° РґР»СЏ OC616</t>
  </si>
  <si>
    <t>277.37</t>
  </si>
  <si>
    <t>FIAT Ducato 2.3JTD 04/02-&gt;  Eng. 240405-</t>
  </si>
  <si>
    <t>OC571</t>
  </si>
  <si>
    <t>OC571     (KNECHT)</t>
  </si>
  <si>
    <t>282.27</t>
  </si>
  <si>
    <t>#Opel  ANTARA 3.2i  06-</t>
  </si>
  <si>
    <t>OC575</t>
  </si>
  <si>
    <t>OC575     (KNECHT)</t>
  </si>
  <si>
    <t>120.83</t>
  </si>
  <si>
    <t>#Suzuki, Kawasaki, u.a.</t>
  </si>
  <si>
    <t>OC593/4</t>
  </si>
  <si>
    <t>OC593/4     (KNECHT)</t>
  </si>
  <si>
    <t>195.77</t>
  </si>
  <si>
    <t>VAG 1.2TSI, 1.4TSI  07-</t>
  </si>
  <si>
    <t>OC727</t>
  </si>
  <si>
    <t>OC727     (KNECHT) !!Р·Р°РјС–РЅР° РґР»СЏ OC471</t>
  </si>
  <si>
    <t>134.24</t>
  </si>
  <si>
    <t>RENAULT Kangoo/Megane II/Trafic/DUSTER/LOGAN 1.5DCi/1.9DCi  OPEL VIVARO 1.9 DTI  01-</t>
  </si>
  <si>
    <t>OC978</t>
  </si>
  <si>
    <t>OC978     (KNECHT)</t>
  </si>
  <si>
    <t>168.50</t>
  </si>
  <si>
    <t>MB A, B160 CDI, 180CDI, CITAN 180 CDI, NISSAN Note, Qashqai 1.5DCI,  RENAULT CLIO IV, Kangoo 1.5 DCI, Megane III 1.5 DCI,  DACIA Dokker, Duster, Logan II 1.5 DCI     /WL7513/\n</t>
  </si>
  <si>
    <t>OC981</t>
  </si>
  <si>
    <t>OC981     (KNECHT)   !!Р·Р°РјС–РЅР° РґР»СЏ OC82, OC231</t>
  </si>
  <si>
    <t>115.15</t>
  </si>
  <si>
    <t>Saab 900/ 9000/ 9-3/ 9-5 2, 0/ 2, 0  /WL7323/</t>
  </si>
  <si>
    <t>OC983</t>
  </si>
  <si>
    <t>OC983     (KNECHT)   !!Р·Р°РјС–РЅР° РґР»СЏ OC66,OC296</t>
  </si>
  <si>
    <t>106.57</t>
  </si>
  <si>
    <t>Fiat Panda, Punto, Uno, Bravo, Mare</t>
  </si>
  <si>
    <t>OC986</t>
  </si>
  <si>
    <t>OC986     (KNECHT)   !!Р·Р°РјС–РЅР° РґР»СЏ OC259</t>
  </si>
  <si>
    <t>117.30</t>
  </si>
  <si>
    <t>#Alfa Romeo, Fiat, Lancia h=86.2mm</t>
  </si>
  <si>
    <t>OC988</t>
  </si>
  <si>
    <t>OC988     (KNECHT)</t>
  </si>
  <si>
    <t>LEXUS\tGS 300, LS 400, RX 300, -03, TOYOTA   Auris 1.4D-4D 07 -, Yaris II 1.4 D-4D 06 -, HIACE IV 2.4, LAND CRUISER 3.0 D-4D 10 -</t>
  </si>
  <si>
    <t>OC99</t>
  </si>
  <si>
    <t>OC99     (KNECHT)</t>
  </si>
  <si>
    <t>140.25</t>
  </si>
  <si>
    <t>RENAULT 1.7-3.0 Р±РµРЅР·РёРЅ 87- (MANN: W712/47) /87.5 X 75 (M20X1.5)/</t>
  </si>
  <si>
    <t>OC99o.F.</t>
  </si>
  <si>
    <t>OC99o.F.     (KNECHT)</t>
  </si>
  <si>
    <t>136.86</t>
  </si>
  <si>
    <t>OX122D</t>
  </si>
  <si>
    <t>OX122D     (KNECHT)</t>
  </si>
  <si>
    <t>182.23</t>
  </si>
  <si>
    <t>AUDI A8 3.7i (AEW) 95-, 4.2i  (AEM, ABZ) 94-98, S8 (AHC) 96-99</t>
  </si>
  <si>
    <t>OX123/1DEco</t>
  </si>
  <si>
    <t>OX123/1DEco     (KNECHT)   !!Р·Р°РјС–РЅР° РґР»СЏ OX123D</t>
  </si>
  <si>
    <t>143.40</t>
  </si>
  <si>
    <t>MB W202 (C200D-C250D) 95-00, W210 (E200D-E300D/TD) 95-99, SPRINTER, VITO 96-</t>
  </si>
  <si>
    <t>OX125</t>
  </si>
  <si>
    <t>OX125     (KNECHT)</t>
  </si>
  <si>
    <t>289.92</t>
  </si>
  <si>
    <t>VW GOLF III,PASSAT,SHARAN,VENTO,FORD GALAXY 2.8 VR6 91- (РїРѕ в„– РґРІРёРі.)</t>
  </si>
  <si>
    <t>OX133DEco</t>
  </si>
  <si>
    <t>OX133DEco     (KNECHT)   !!Р·Р°РјС–РЅР° РґР»СЏ OX105D</t>
  </si>
  <si>
    <t>110.50</t>
  </si>
  <si>
    <t>MB W202 (C180-C280) -00, W124,W210 (E200-E320) 92-97, SPRINTER,VITO Р±РµРЅР·РёРЅ 95-</t>
  </si>
  <si>
    <t>OX143DEco</t>
  </si>
  <si>
    <t>OX143DEco     (KNECHT)</t>
  </si>
  <si>
    <t>97.78</t>
  </si>
  <si>
    <t>VW/AUDI 1.9TDI 96- (Р°РЅР°Р»РѕРі HU726/2X)</t>
  </si>
  <si>
    <t>OX149DEco</t>
  </si>
  <si>
    <t>OX149DEco     (KNECHT)</t>
  </si>
  <si>
    <t>123.78</t>
  </si>
  <si>
    <t>VOLVO S40, S60, S70, S80, V40, V70 1.6-2.9 Р±РµРЅР·РёРЅ 97-</t>
  </si>
  <si>
    <t>OX152/1DEco</t>
  </si>
  <si>
    <t>OX152/1DEco     (KNECHT)   !!Р·Р°РјС–РЅР° РґР»СЏ OX152DEco</t>
  </si>
  <si>
    <t>210.90</t>
  </si>
  <si>
    <t>BMW 530i, 540i, 730i, 740i, 830Ci (M60, M62 - engines) 92- (РїР»Р°СЃС‚РёРєРѕРІР°СЏ РєСЂС‹С€РєР°)</t>
  </si>
  <si>
    <t>OX153/7D1Eco</t>
  </si>
  <si>
    <t>OX153/7D1Eco     (KNECHT)</t>
  </si>
  <si>
    <t>149.28</t>
  </si>
  <si>
    <t>HONDA Accord VIII 2,2i-CTDi 1/04-&gt;</t>
  </si>
  <si>
    <t>OX153/7DEco</t>
  </si>
  <si>
    <t>OX153/7DEco     (KNECHT)   !!Р·Р°РјС–РЅР° РґР»СЏ OX153DEco</t>
  </si>
  <si>
    <t>138.49</t>
  </si>
  <si>
    <t>OX153D1Eco</t>
  </si>
  <si>
    <t>OX153D1Eco     (KNECHT)</t>
  </si>
  <si>
    <t>130.05</t>
  </si>
  <si>
    <t>OPEL ASTRA 2.0DI/DTI 98-, OMEGA 2.0DTI 97-00, 2.2DTI 00-</t>
  </si>
  <si>
    <t>OX153D3Eco</t>
  </si>
  <si>
    <t>OX153D3Eco     (KNECHT)</t>
  </si>
  <si>
    <t>124.14</t>
  </si>
  <si>
    <t>MB W202/W203 (C220CDI) 97-, W210/W211 (E220CDI) 98-, VITO 108CDI-112CDI 99-</t>
  </si>
  <si>
    <t>OX154/1DEco</t>
  </si>
  <si>
    <t>OX154/1DEco     (KNECHT)   !!Р·Р°РјС–РЅР° РґР»СЏ OX154DEco</t>
  </si>
  <si>
    <t>150.32</t>
  </si>
  <si>
    <t>BMW 320i-328i, 520i-530i (M50,M52,M54 - engines) 95-</t>
  </si>
  <si>
    <t>OX156DEco</t>
  </si>
  <si>
    <t>OX156DEco     (KNECHT)</t>
  </si>
  <si>
    <t>174.25</t>
  </si>
  <si>
    <t>BMW 330D 99-, 530D 98-, 730D 98- (M57D30 - engines)</t>
  </si>
  <si>
    <t>OX160DEco</t>
  </si>
  <si>
    <t>OX160DEco     (KNECHT)</t>
  </si>
  <si>
    <t>207.14</t>
  </si>
  <si>
    <t>AUDI A6,A8 3.7, 4.2, 3.3TDI 98-, VW Golf III, Passat 2.8 VR6 91- (РїРѕ в„– РґРІРёРі.)</t>
  </si>
  <si>
    <t>OX161DEco</t>
  </si>
  <si>
    <t>OX161DEco     (KNECHT)</t>
  </si>
  <si>
    <t>153.31</t>
  </si>
  <si>
    <t>OX163/4DEco</t>
  </si>
  <si>
    <t>OX163/4DEco     (KNECHT)   !!Р·Р°РјС–РЅР° РґР»СЏ OX163/1DEco</t>
  </si>
  <si>
    <t>149.01</t>
  </si>
  <si>
    <t>OPEL  ASTRA, CORSA, COMBO, MERIVA 1.7DI/DTI  00-</t>
  </si>
  <si>
    <t>OX164DEco</t>
  </si>
  <si>
    <t>OX164DEco     (KNECHT)</t>
  </si>
  <si>
    <t>221.55</t>
  </si>
  <si>
    <t>OX171/2DEco</t>
  </si>
  <si>
    <t>OX171/2DEco     (KNECHT)</t>
  </si>
  <si>
    <t>FORD FIESTA, FUSION 1.4TDCI, PEUGEOT 206 1.4HDI 01-</t>
  </si>
  <si>
    <t>OX174DEco</t>
  </si>
  <si>
    <t>OX174DEco     (KNECHT)</t>
  </si>
  <si>
    <t>184.98</t>
  </si>
  <si>
    <t>MB trucks &amp; buses (ATEGO, AXOR, CITARO) 98-</t>
  </si>
  <si>
    <t>OX179DEco</t>
  </si>
  <si>
    <t>OX179DEco     (KNECHT)</t>
  </si>
  <si>
    <t>197.53</t>
  </si>
  <si>
    <t>MB W210 (E320CDI) 99-02, W220 (S320CDI) 00-</t>
  </si>
  <si>
    <t>OX188DEco</t>
  </si>
  <si>
    <t>OX188DEco     (KNECHT)</t>
  </si>
  <si>
    <t>118.16</t>
  </si>
  <si>
    <t>AUDI/VW GOLF, BORA, TRANSPORTER, SHARAN 1.9TDI, 2.8 VR6 99-</t>
  </si>
  <si>
    <t>OX191DEco</t>
  </si>
  <si>
    <t>OX191DEco     (KNECHT)</t>
  </si>
  <si>
    <t>140.22</t>
  </si>
  <si>
    <t>OX196/1D1Eco</t>
  </si>
  <si>
    <t>OX196/1D1Eco     (KNECHT)</t>
  </si>
  <si>
    <t>189.88</t>
  </si>
  <si>
    <t>RANGE ROVER 3.6 TD 8</t>
  </si>
  <si>
    <t>OX196/1DEco</t>
  </si>
  <si>
    <t>OX196/1DEco     (KNECHT)</t>
  </si>
  <si>
    <t>AUDI A6 3,0TDI 5/04-&gt; ,A8 3,0TDI/4,0TDI 3/03-&gt;</t>
  </si>
  <si>
    <t>OX196/3D</t>
  </si>
  <si>
    <t>OX196/3D     (KNECHT)  !!Р·Р°РјС–РЅР° РґР»СЏ OX196/3DEco</t>
  </si>
  <si>
    <t>218.72</t>
  </si>
  <si>
    <t>VAG 2.7TDI - 4.2TDI  06-</t>
  </si>
  <si>
    <t>OX210DEco</t>
  </si>
  <si>
    <t>OX210DEco     (KNECHT)</t>
  </si>
  <si>
    <t>191.64</t>
  </si>
  <si>
    <t>RENAULT ESPACE, LAGUNA, MASTER 2.2DCI, OPEL MOVANO 2.2DTI  00-</t>
  </si>
  <si>
    <t>OX258DEco</t>
  </si>
  <si>
    <t>OX258DEco     (KNECHT)   !!Р·Р°РјС–РЅР° РґР»СЏ OX258Eco</t>
  </si>
  <si>
    <t>OPEL ASTRA/VECTRA B 2.2 16V 02-</t>
  </si>
  <si>
    <t>OX339/2DEco</t>
  </si>
  <si>
    <t>OX339/2DEco     (KNECHT)</t>
  </si>
  <si>
    <t>FORD Focus II 2.0TDCi, PEUGEOT 307/407 2.0, VOLVO S40/V50 2.0D</t>
  </si>
  <si>
    <t>OX351DEco</t>
  </si>
  <si>
    <t>OX351DEco     (KNECHT)</t>
  </si>
  <si>
    <t>163.40</t>
  </si>
  <si>
    <t>HYUNDAI/KIA  CRDI 1.4-1.6  06-</t>
  </si>
  <si>
    <t>OX371DEco</t>
  </si>
  <si>
    <t>OX371DEco     (KNECHT)</t>
  </si>
  <si>
    <t>168.11</t>
  </si>
  <si>
    <t>FIAT Grande Punto/Punto/Doblo, OPEL Astra/Corsa/Agila 1,3JTD 03 -(Filtrauto filtration system)</t>
  </si>
  <si>
    <t>OX377DEco</t>
  </si>
  <si>
    <t>OX377DEco     (KNECHT)</t>
  </si>
  <si>
    <t>Hyundai, KIA 2.0CRDI, 2.2CRDI  08-</t>
  </si>
  <si>
    <t>OX380DEco</t>
  </si>
  <si>
    <t>OX380DEco     (KNECHT)</t>
  </si>
  <si>
    <t>177.62</t>
  </si>
  <si>
    <t>MB 280CDI, 320CDI, VIANO, SPRINTER CDI  05-</t>
  </si>
  <si>
    <t>OX383DEco</t>
  </si>
  <si>
    <t>OX383DEco     (KNECHT)</t>
  </si>
  <si>
    <t>216.36</t>
  </si>
  <si>
    <t>MERCEDES W220/W221/C215/C216/R230 S600/65 AMG 09/02-&gt;</t>
  </si>
  <si>
    <t>OX384DEco</t>
  </si>
  <si>
    <t>OX384DEco     (KNECHT)</t>
  </si>
  <si>
    <t>HYUNDAI Elantra/Santa Fe/Tucson 2.0CRDi 04/01-&gt;, KIA Carens II/Sportage 2.0CRDi  07/02-&gt;</t>
  </si>
  <si>
    <t>OX388DEco</t>
  </si>
  <si>
    <t>OX388DEco     (KNECHT)</t>
  </si>
  <si>
    <t>121.62</t>
  </si>
  <si>
    <t xml:space="preserve">VAG TDI  07- </t>
  </si>
  <si>
    <t>OX413D1Eco</t>
  </si>
  <si>
    <t>OX413D1Eco     (KNECHT)</t>
  </si>
  <si>
    <t>133.39</t>
  </si>
  <si>
    <t>TOYOTA 2.0D, 2.2D  06- /WL7447/</t>
  </si>
  <si>
    <t>OX414D1Eco</t>
  </si>
  <si>
    <t>OX414D1Eco     (KNECHT)</t>
  </si>
  <si>
    <t>Lexus RX 300-350 / Toyota RAV 4 III 3.5 I 05-</t>
  </si>
  <si>
    <t>OX416D1Eco</t>
  </si>
  <si>
    <t>OX416D1Eco     (KNECHT)</t>
  </si>
  <si>
    <t>Toyota Avensis 1.6-2.0 / Corolla VIII 1.6 VVTI / Yaris 1.8 I 09-  /WL7472/</t>
  </si>
  <si>
    <t>OX416D2Eco</t>
  </si>
  <si>
    <t>OX416D2Eco     (KNECHT)</t>
  </si>
  <si>
    <t>76.70</t>
  </si>
  <si>
    <t>Toyota AURIS 1.6,  YARIS II 1.33 VVT-I \t09-</t>
  </si>
  <si>
    <t>OX418DEco</t>
  </si>
  <si>
    <t>OX418DEco     (KNECHT)</t>
  </si>
  <si>
    <t>168.31</t>
  </si>
  <si>
    <t>OPEL 1.3 CDTI-eng.  03-, FIAT DOBLO 1.3D/JTD  04-  (UFI filtration system)  /OE682/</t>
  </si>
  <si>
    <t>OX436DEco</t>
  </si>
  <si>
    <t>OX436DEco     (KNECHT)</t>
  </si>
  <si>
    <t>Hyundai/Kia 2.0CDI, 2.2CRDI</t>
  </si>
  <si>
    <t>OX636DEco</t>
  </si>
  <si>
    <t>OX636DEco     (KNECHT)</t>
  </si>
  <si>
    <t>222.45</t>
  </si>
  <si>
    <t>BMW 540i, 740i, 760i,  05-</t>
  </si>
  <si>
    <t>OX68D</t>
  </si>
  <si>
    <t>OX68D     (KNECHT)</t>
  </si>
  <si>
    <t>134.80</t>
  </si>
  <si>
    <t>BMW 320i, 325i -93, 520i, 525i  -91 (M20 - engines)</t>
  </si>
  <si>
    <t>OX69D</t>
  </si>
  <si>
    <t>OX69D     (KNECHT)   !!Р·Р°РјС–РЅР° РґР»СЏ OX69</t>
  </si>
  <si>
    <t>254.62</t>
  </si>
  <si>
    <t>MB/MAN trucks &amp; buses (Р°РЅР°Р»РѕРі W12110/2X)</t>
  </si>
  <si>
    <t>OX91D</t>
  </si>
  <si>
    <t>OX91D     (KNECHT)</t>
  </si>
  <si>
    <t>BMW 316i,318i/Ti -94, 518i -96 (M40, M42 - engines)</t>
  </si>
  <si>
    <t>KYB</t>
  </si>
  <si>
    <t>KYB331014</t>
  </si>
  <si>
    <t>331014 KYB - РЎС‚С–Р№РєР° Р°РјРѕСЂС‚РёР·Р°С‚РѕСЂР°, "Excel-G" (Twin Tube Gas)</t>
  </si>
  <si>
    <t>1695.93</t>
  </si>
  <si>
    <t>NISSAN Primera P12/WP12 all 02- (Front, R)</t>
  </si>
  <si>
    <t>KYB331015</t>
  </si>
  <si>
    <t>331015 KYB - РЎС‚С–Р№РєР° Р°РјРѕСЂС‚РёР·Р°С‚РѕСЂР°, "Excel-G" (Twin Tube Gas)</t>
  </si>
  <si>
    <t>NISSAN Primera P12/WP12 all 02- (Front, L)</t>
  </si>
  <si>
    <t>KYB331701</t>
  </si>
  <si>
    <t>331701 KYB - РЎС‚С–Р№РєР° Р°РјРѕСЂС‚РёР·Р°С‚РѕСЂР°, "Excel-G" (Twin Tube Gas)</t>
  </si>
  <si>
    <t>1747.12</t>
  </si>
  <si>
    <t>MB Sprinter, VW Crafter (!!!Exc. Heavy Duty) 06- (Front, L/R)</t>
  </si>
  <si>
    <t>KYB331702</t>
  </si>
  <si>
    <t>331702 KYB - РЎС‚С–Р№РєР° Р°РјРѕСЂС‚РёР·Р°С‚РѕСЂР°, "Excel-G" (Twin Tube Gas)</t>
  </si>
  <si>
    <t>1791.92</t>
  </si>
  <si>
    <t>MB Sprinter, VW Crafter !!!Heavy Duty 06- (Front, L/R)</t>
  </si>
  <si>
    <t>KYB332100</t>
  </si>
  <si>
    <t>332100 KYB - РЎС‚С–Р№РєР° Р°РјРѕСЂС‚РёР·Р°С‚РѕСЂР°, "Excel-G" (Twin Tube Gas)</t>
  </si>
  <si>
    <t>1037.82</t>
  </si>
  <si>
    <t>DAEWOO Matiz 98-04 (Front, R)</t>
  </si>
  <si>
    <t>KYB332101</t>
  </si>
  <si>
    <t>332101 KYB - РЎС‚С–Р№РєР° Р°РјРѕСЂС‚РёР·Р°С‚РѕСЂР°, "Excel-G" (Twin Tube Gas)</t>
  </si>
  <si>
    <t>DAEWOO Matiz 98-04 (Front, L)</t>
  </si>
  <si>
    <t>KYB332109</t>
  </si>
  <si>
    <t>332109 KYB - РЎС‚С–Р№РєР° Р°РјРѕСЂС‚РёР·Р°С‚РѕСЂР°, "Excel-G" (Twin Tube Gas)</t>
  </si>
  <si>
    <t>1144.66</t>
  </si>
  <si>
    <t>HYUNDAI Accent (LC) (Rear, L)</t>
  </si>
  <si>
    <t>KYB333310</t>
  </si>
  <si>
    <t>333310 KYB - РЎС‚С–Р№РєР° Р°РјРѕСЂС‚РёР·Р°С‚РѕСЂР°, "Excel-G" (Twin Tube Gas)</t>
  </si>
  <si>
    <t>1356.74</t>
  </si>
  <si>
    <t>NISSAN Almera (N16), Almera Classic (B10)  01- (Front, R)</t>
  </si>
  <si>
    <t>KYB333311</t>
  </si>
  <si>
    <t>333311 KYB - РЎС‚С–Р№РєР° Р°РјРѕСЂС‚РёР·Р°С‚РѕСЂР°, "Excel-G" (Twin Tube Gas)</t>
  </si>
  <si>
    <t>NISSAN Almera (N16), Almera Classic (B10)  01- (Front, L)</t>
  </si>
  <si>
    <t>KYB333366</t>
  </si>
  <si>
    <t>333366 KYB - РЎС‚С–Р№РєР° Р°РјРѕСЂС‚РёР·Р°С‚РѕСЂР°, "Excel-G" (Twin Tube Gas)</t>
  </si>
  <si>
    <t>1539.13</t>
  </si>
  <si>
    <t>HYUNDAI Matrix 01- (Front, R)</t>
  </si>
  <si>
    <t>KYB333367</t>
  </si>
  <si>
    <t>333367 KYB - РЎС‚С–Р№РєР° Р°РјРѕСЂС‚РёР·Р°С‚РѕСЂР°, "Excel-G" (Twin Tube Gas)</t>
  </si>
  <si>
    <t>HYUNDAI Matrix 01- (Front, L)</t>
  </si>
  <si>
    <t>KYB333368</t>
  </si>
  <si>
    <t>333368 KYB - РЎС‚С–Р№РєР° Р°РјРѕСЂС‚РёР·Р°С‚РѕСЂР°, "Excel-G" (Twin Tube Gas)   !!! Р—Р°РјС–РЅР° РґР»СЏ 333258</t>
  </si>
  <si>
    <t>1144.84</t>
  </si>
  <si>
    <t>TOYOTA Yaris 99-06 (Front, L/R)</t>
  </si>
  <si>
    <t>KYB333390</t>
  </si>
  <si>
    <t>333390 KYB - РЎС‚С–Р№РєР° Р°РјРѕСЂС‚РёР·Р°С‚РѕСЂР°, "Excel-G" (Twin Tube Gas)</t>
  </si>
  <si>
    <t>NISSAN TIIDA 07- (Front, R)</t>
  </si>
  <si>
    <t>KYB333391</t>
  </si>
  <si>
    <t>333391 KYB - РЎС‚С–Р№РєР° Р°РјРѕСЂС‚РёР·Р°С‚РѕСЂР°, "Excel-G" (Twin Tube Gas)</t>
  </si>
  <si>
    <t>NISSAN TIIDA 07- (Front, L)</t>
  </si>
  <si>
    <t>KYB333417</t>
  </si>
  <si>
    <t>333417 KYB - РЎС‚С–Р№РєР° Р°РјРѕСЂС‚РёР·Р°С‚РѕСЂР°, "Excel-G" (Twin Tube Gas)</t>
  </si>
  <si>
    <t>999.60</t>
  </si>
  <si>
    <t>CHEVROLET Aveo 02- (Front, R)</t>
  </si>
  <si>
    <t>KYB333418</t>
  </si>
  <si>
    <t>333418 KYB - РЎС‚С–Р№РєР° Р°РјРѕСЂС‚РёР·Р°С‚РѕСЂР°, "Excel-G" (Twin Tube Gas)</t>
  </si>
  <si>
    <t>CHEVROLET Aveo 02- (Front, L)</t>
  </si>
  <si>
    <t>KYB333419</t>
  </si>
  <si>
    <t>333419 KYB - РЎС‚С–Р№РєР° Р°РјРѕСЂС‚РёР·Р°С‚РѕСЂР°, "Excel-G" (Twin Tube Gas)</t>
  </si>
  <si>
    <t>925.65</t>
  </si>
  <si>
    <t>CHEVROLET Lacetti 04- (Rear, R)</t>
  </si>
  <si>
    <t>KYB333420</t>
  </si>
  <si>
    <t>333420 KYB - РЎС‚С–Р№РєР° Р°РјРѕСЂС‚РёР·Р°С‚РѕСЂР°, "Excel-G" (Twin Tube Gas)</t>
  </si>
  <si>
    <t>CHEVROLET Lacetti 04- (Rear, L)</t>
  </si>
  <si>
    <t>KYB333490</t>
  </si>
  <si>
    <t>333490 KYB - РЎС‚С–Р№РєР° Р°РјРѕСЂС‚РёР·Р°С‚РѕСЂР°, "Excel-G" (Twin Tube Gas)</t>
  </si>
  <si>
    <t>1450.25</t>
  </si>
  <si>
    <t>KIA Cerato 04-08 (Front, R)</t>
  </si>
  <si>
    <t>KYB333491</t>
  </si>
  <si>
    <t>333491 KYB - РЎС‚С–Р№РєР° Р°РјРѕСЂС‚РёР·Р°С‚РѕСЂР°, "Excel-G" (Twin Tube Gas)</t>
  </si>
  <si>
    <t>KIA Cerato 04-08 (Front, L)</t>
  </si>
  <si>
    <t>KYB333492</t>
  </si>
  <si>
    <t>333492 KYB - РЎС‚С–Р№РєР° Р°РјРѕСЂС‚РёР·Р°С‚РѕСЂР°, "Excel-G" (Twin Tube Gas)</t>
  </si>
  <si>
    <t>1532.20</t>
  </si>
  <si>
    <t>KIA Cerato 04-06 (Rear, R)</t>
  </si>
  <si>
    <t>KYB333493</t>
  </si>
  <si>
    <t>333493 KYB - РЎС‚С–Р№РєР° Р°РјРѕСЂС‚РёР·Р°С‚РѕСЂР°, "Excel-G" (Twin Tube Gas)</t>
  </si>
  <si>
    <t>KIA Cerato 04-06 (Rear, L)</t>
  </si>
  <si>
    <t>KYB333504</t>
  </si>
  <si>
    <t>333504 KYB - РЎС‚С–Р№РєР° Р°РјРѕСЂС‚РёР·Р°С‚РѕСЂР°, "Excel-G" (Twin Tube Gas)</t>
  </si>
  <si>
    <t>1271.94</t>
  </si>
  <si>
    <t>HYUNDAI Matrix 01- (Rear, R)</t>
  </si>
  <si>
    <t>KYB333505</t>
  </si>
  <si>
    <t>333505 KYB - РЎС‚С–Р№РєР° Р°РјРѕСЂС‚РёР·Р°С‚РѕСЂР°, "Excel-G" (Twin Tube Gas)</t>
  </si>
  <si>
    <t>HYUNDAI Matrix 01- (Rear, L)</t>
  </si>
  <si>
    <t>KYB333516</t>
  </si>
  <si>
    <t>333516 KYB - РЎС‚С–Р№РєР° Р°РјРѕСЂС‚РёР·Р°С‚РѕСЂР°, "Excel-G" (Twin Tube Gas)</t>
  </si>
  <si>
    <t>HYUNDAI Accent (MC), KIA Rio II  04- (Front, R)</t>
  </si>
  <si>
    <t>KYB333517</t>
  </si>
  <si>
    <t>333517 KYB - РЎС‚С–Р№РєР° Р°РјРѕСЂС‚РёР·Р°С‚РѕСЂР°, "Excel-G" (Twin Tube Gas)</t>
  </si>
  <si>
    <t>HYUNDAI Accent (MC), KIA Rio II  04- (Front, L)</t>
  </si>
  <si>
    <t>KYB333707</t>
  </si>
  <si>
    <t>333707 KYB - РЎС‚С–Р№РєР° Р°РјРѕСЂС‚РёР·Р°С‚РѕСЂР°, "Excel-G" (Twin Tube Gas)</t>
  </si>
  <si>
    <t>RENAULT Clio Symbol 1.6i 16, 1.5dCi  01-08 (Front, L/R)  (x = 52 mm)</t>
  </si>
  <si>
    <t>KYB333712</t>
  </si>
  <si>
    <t>333712 KYB - РЎС‚С–Р№РєР° Р°РјРѕСЂС‚РёР·Р°С‚РѕСЂР°, "Excel-G" (Twin Tube Gas)   !!! Р—Р°РјС–РЅР° РґР»СЏ 333950</t>
  </si>
  <si>
    <t>1123.68</t>
  </si>
  <si>
    <t>VW Golf II/III, Jetta II, Caddy II, Polo, Vento, Seat Arosa, Cordoba 83-04 (Front, L/R)</t>
  </si>
  <si>
    <t>KYB333713</t>
  </si>
  <si>
    <t>333713 KYB - РЎС‚С–Р№РєР° Р°РјРѕСЂС‚РёР·Р°С‚РѕСЂР°, "Excel-G" (Twin Tube Gas)   !!! Р—Р°РјС–РЅР° РґР»СЏ 333259</t>
  </si>
  <si>
    <t>1212.04</t>
  </si>
  <si>
    <t>VW Bora 1.4/1.6 98-| SKODA Octavia 1.4/1.6/1.9TD 96-04| SEAT Leon/Toledo II 1.4/.1.6 99- (Front, L/R)</t>
  </si>
  <si>
    <t>KYB333715</t>
  </si>
  <si>
    <t>333715 KYB - РЎС‚С–Р№РєР° Р°РјРѕСЂС‚РёР·Р°С‚РѕСЂР°, "Excel-G" (Twin Tube Gas)   !!! Р—Р°РјС–РЅР° РґР»СЏ 333912</t>
  </si>
  <si>
    <t>1191.41</t>
  </si>
  <si>
    <t>OPEL Vectra B 1.6-2.0/1.7TD/2.0D !!!Exc. Sport sus. 95-02 (Front, R)</t>
  </si>
  <si>
    <t>KYB333716</t>
  </si>
  <si>
    <t>333716 KYB - РЎС‚С–Р№РєР° Р°РјРѕСЂС‚РёР·Р°С‚РѕСЂР°, "Excel-G" (Twin Tube Gas)   !!! Р—Р°РјС–РЅР° РґР»СЏ 333913</t>
  </si>
  <si>
    <t>OPEL Vectra B 1.6-2.0/1.7TD/2.0D !!!Exc. Sport sus. 95-02 (Front, L)</t>
  </si>
  <si>
    <t>KYB333721</t>
  </si>
  <si>
    <t>333721 KYB - РЎС‚С–Р№РєР° Р°РјРѕСЂС‚РёР·Р°С‚РѕСЂР°, "Excel-G" (Twin Tube Gas)</t>
  </si>
  <si>
    <t>NISSAN Micra (K12) All 03- (Front, R)</t>
  </si>
  <si>
    <t>KYB333722</t>
  </si>
  <si>
    <t>333722 KYB - РЎС‚С–Р№РєР° Р°РјРѕСЂС‚РёР·Р°С‚РѕСЂР°, "Excel-G" (Twin Tube Gas)</t>
  </si>
  <si>
    <t>NISSAN Micra (K12) All 03- (Front, L)</t>
  </si>
  <si>
    <t>KYB333729</t>
  </si>
  <si>
    <t>333729 KYB - РЎС‚С–Р№РєР° Р°РјРѕСЂС‚РёР·Р°С‚РѕСЂР°, "Excel-G" (Twin Tube Gas)   !!! Р—Р°РјС–РЅР° РґР»СЏ 333929</t>
  </si>
  <si>
    <t>1253.46</t>
  </si>
  <si>
    <t>CITROEN Berlingo, PEUGEOT Partner All 02-08 (Front, R)</t>
  </si>
  <si>
    <t>KYB333730</t>
  </si>
  <si>
    <t>333730 KYB - РЎС‚С–Р№РєР° Р°РјРѕСЂС‚РёР·Р°С‚РѕСЂР°, "Excel-G" (Twin Tube Gas)   !!! Р—Р°РјС–РЅР° РґР»СЏ 333930</t>
  </si>
  <si>
    <t>CITROEN Berlingo, PEUGEOT Partner All 02-08 (Front, L)</t>
  </si>
  <si>
    <t>KYB333741</t>
  </si>
  <si>
    <t>333741 KYB - РЎС‚С–Р№РєР° Р°РјРѕСЂС‚РёР·Р°С‚РѕСЂР°, "Excel-G" (Twin Tube Gas)</t>
  </si>
  <si>
    <t>1068.40</t>
  </si>
  <si>
    <t>DACIA/RENAULT Logan 04- (Front, L/R)</t>
  </si>
  <si>
    <t>KYB333751</t>
  </si>
  <si>
    <t>333751 KYB - РЎС‚С–Р№РєР° Р°РјРѕСЂС‚РёР·Р°С‚РѕСЂР°, "Excel-G" (Twin Tube Gas)</t>
  </si>
  <si>
    <t>1441.54</t>
  </si>
  <si>
    <t>FIAT Sedici (2WD), SUZUKI SX4 (2WD)  05- (Front, R)</t>
  </si>
  <si>
    <t>KYB333752</t>
  </si>
  <si>
    <t>333752 KYB - РЎС‚С–Р№РєР° Р°РјРѕСЂС‚РёР·Р°С‚РѕСЂР°, "Excel-G" (Twin Tube Gas)</t>
  </si>
  <si>
    <t>FIAT Sedici (2WD), SUZUKI SX4 (2WD)  05- (Front, L)</t>
  </si>
  <si>
    <t>KYB333753</t>
  </si>
  <si>
    <t>333753 KYB - РЎС‚С–Р№РєР° Р°РјРѕСЂС‚РёР·Р°С‚РѕСЂР°, "Excel-G" (Twin Tube Gas)</t>
  </si>
  <si>
    <t>1318.52</t>
  </si>
  <si>
    <t>FIAT Sedici (4WD), SUZUKI SX4 (4WD)  05- (Front, R)</t>
  </si>
  <si>
    <t>KYB333754</t>
  </si>
  <si>
    <t>333754 KYB - РЎС‚С–Р№РєР° Р°РјРѕСЂС‚РёР·Р°С‚РѕСЂР°, "Excel-G" (Twin Tube Gas)</t>
  </si>
  <si>
    <t>FIAT Sedici (4WD), SUZUKI SX4 (4WD)  05- (Front, L)</t>
  </si>
  <si>
    <t>KYB333755</t>
  </si>
  <si>
    <t>333755 KYB - РЎС‚С–Р№РєР° Р°РјРѕСЂС‚РёР·Р°С‚РѕСЂР°, "Excel-G" (Twin Tube Gas)   !!! Р—Р°РјС–РЅР° РґР»СЏ 333945</t>
  </si>
  <si>
    <t>1153.19</t>
  </si>
  <si>
    <t>OPEL Corsa C 1.0, 1.2, 1.3 CDTi, 1.7Di, Combo !!!Exc.H/D 00- (Front, R)</t>
  </si>
  <si>
    <t>KYB333756</t>
  </si>
  <si>
    <t>333756 KYB - РЎС‚С–Р№РєР° Р°РјРѕСЂС‚РёР·Р°С‚РѕСЂР°, "Excel-G" (Twin Tube Gas)   !!! Р—Р°РјС–РЅР° РґР»СЏ 333946</t>
  </si>
  <si>
    <t>OPEL Corsa C 1.0, 1.2, 1.3 CDTi, 1.7Di, Combo !!!Exc.H/D 00- (Front, L)</t>
  </si>
  <si>
    <t>KYB333768</t>
  </si>
  <si>
    <t>333768 KYB - РЎС‚С–Р№РєР° Р°РјРѕСЂС‚РёР·Р°С‚РѕСЂР°, "Excel-G" (Twin Tube GAS)</t>
  </si>
  <si>
    <t>1601.00</t>
  </si>
  <si>
    <t>PEUGOET 308/SW 1.6-2.0 16V 07- (Front, R)</t>
  </si>
  <si>
    <t>KYB333769</t>
  </si>
  <si>
    <t>333769 KYB - РЎС‚С–Р№РєР° Р°РјРѕСЂС‚РёР·Р°С‚РѕСЂР°, "Excel-G" (Twin Tube GAS)</t>
  </si>
  <si>
    <t>PEUGOET 308/SW 1.6-2.0 16V 07- (Front, L)</t>
  </si>
  <si>
    <t>KYB333848</t>
  </si>
  <si>
    <t>333848 KYB - РЎС‚С–Р№РєР° Р°РјРѕСЂС‚РёР·Р°С‚РѕСЂР°, "Excel-G" (Twin Tube Gas)</t>
  </si>
  <si>
    <t>1211.15</t>
  </si>
  <si>
    <t>RENAULT Kangoo 97- /OE= 7700 311 596, 7700 314 021/ (Front, L/R)</t>
  </si>
  <si>
    <t>KYB334017</t>
  </si>
  <si>
    <t>334017 KYB - РЎС‚С–Р№РєР° Р°РјРѕСЂС‚РёР·Р°С‚РѕСЂР°, "Excel-G" (Twin Tube Gas)</t>
  </si>
  <si>
    <t>1293.10</t>
  </si>
  <si>
    <t>MB W201, W124, S124 82-97 (Front, L/R)</t>
  </si>
  <si>
    <t>KYB334203</t>
  </si>
  <si>
    <t>334203 KYB - РЎС‚С–Р№РєР° Р°РјРѕСЂС‚РёР·Р°С‚РѕСЂР°, "Excel-G" (Twin Tube Gas)</t>
  </si>
  <si>
    <t>1293.28</t>
  </si>
  <si>
    <t>TOYOTA Avensis 97-02 (Front, R)</t>
  </si>
  <si>
    <t>KYB334204</t>
  </si>
  <si>
    <t>334204 KYB - РЎС‚С–Р№РєР° Р°РјРѕСЂС‚РёР·Р°С‚РѕСЂР°, "Excel-G" (Twin Tube Gas)</t>
  </si>
  <si>
    <t>TOYOTA Avensis 97-02 (Front, L)</t>
  </si>
  <si>
    <t>KYB334338</t>
  </si>
  <si>
    <t>334338 KYB - РЎС‚С–Р№РєР° Р°РјРѕСЂС‚РёР·Р°С‚РѕСЂР°, "Excel-G" (Twin Tube Gas)</t>
  </si>
  <si>
    <t>2119.91</t>
  </si>
  <si>
    <t>TOYOTA Camry (V30) 01-06 (Front, R)</t>
  </si>
  <si>
    <t>KYB334339</t>
  </si>
  <si>
    <t>334339 KYB - РЎС‚С–Р№РєР° Р°РјРѕСЂС‚РёР·Р°С‚РѕСЂР°, "Excel-G" (Twin Tube Gas)</t>
  </si>
  <si>
    <t>TOYOTA Camry (V30) 01-06 (Front, L)</t>
  </si>
  <si>
    <t>KYB334340</t>
  </si>
  <si>
    <t>334340 KYB - РЎС‚С–Р№РєР° Р°РјРѕСЂС‚РёР·Р°С‚РѕСЂР°, "Excel-G" (Twin Tube Gas)</t>
  </si>
  <si>
    <t>TOYOTA Camry (V30) 01-06 (Rear, R)</t>
  </si>
  <si>
    <t>KYB334341</t>
  </si>
  <si>
    <t>334341 KYB - РЎС‚С–Р№РєР° Р°РјРѕСЂС‚РёР·Р°С‚РѕСЂР°, "Excel-G" (Twin Tube Gas)</t>
  </si>
  <si>
    <t>TOYOTA Camry (V30) 01-06 (Rear, L)</t>
  </si>
  <si>
    <t>KYB334344</t>
  </si>
  <si>
    <t>334344 KYB - РЎС‚С–Р№РєР° Р°РјРѕСЂС‚РёР·Р°С‚РѕСЂР°, "Excel-G" (Twin Tube Gas)</t>
  </si>
  <si>
    <t>1886.85</t>
  </si>
  <si>
    <t>SUBARU Forester II (SG5) 4WD !!!Exc. Self Levelling 02-07 (Rear, R)</t>
  </si>
  <si>
    <t>KYB334345</t>
  </si>
  <si>
    <t>334345 KYB - РЎС‚С–Р№РєР° Р°РјРѕСЂС‚РёР·Р°С‚РѕСЂР°, "Excel-G" (Twin Tube Gas)</t>
  </si>
  <si>
    <t>SUBARU Forester II (SG5) 4WD !!!Exc. Self Levelling 02-07 (Rear, L)</t>
  </si>
  <si>
    <t>KYB334360</t>
  </si>
  <si>
    <t>334360 KYB - РЎС‚С–Р№РєР° Р°РјРѕСЂС‚РёР·Р°С‚РѕСЂР°, "Excel-G" (Twin Tube Gas)</t>
  </si>
  <si>
    <t>NISSAN X- Trail (T30) 01-07 (Front, R)</t>
  </si>
  <si>
    <t>KYB334361</t>
  </si>
  <si>
    <t>334361 KYB - РЎС‚С–Р№РєР° Р°РјРѕСЂС‚РёР·Р°С‚РѕСЂР°, "Excel-G" (Twin Tube Gas)</t>
  </si>
  <si>
    <t>NISSAN X- Trail (T30) 01-07 (Front, L)</t>
  </si>
  <si>
    <t>KYB334362</t>
  </si>
  <si>
    <t>334362 KYB - РЎС‚С–Р№РєР° Р°РјРѕСЂС‚РёР·Р°С‚РѕСЂР°, "Excel-G" (Twin Tube Gas)</t>
  </si>
  <si>
    <t>1539.31</t>
  </si>
  <si>
    <t>NISSAN X- Trail (T30) 01-07 (Rear, R)</t>
  </si>
  <si>
    <t>KYB334363</t>
  </si>
  <si>
    <t>334363 KYB - РЎС‚С–Р№РєР° Р°РјРѕСЂС‚РёР·Р°С‚РѕСЂР°, "Excel-G" (Twin Tube Gas)</t>
  </si>
  <si>
    <t>NISSAN X- Trail (T30) 01-07 (Rear, L)</t>
  </si>
  <si>
    <t>KYB334369</t>
  </si>
  <si>
    <t>334369 KYB - РЎС‚С–Р№РєР° Р°РјРѕСЂС‚РёР·Р°С‚РѕСЂР°, "Excel-G" (Twin Tube Gas)</t>
  </si>
  <si>
    <t>1702.33</t>
  </si>
  <si>
    <t>MITSUBISHI Lancer (CS9) 2.0 Sport 03- (Front, L/R)</t>
  </si>
  <si>
    <t>KYB334374</t>
  </si>
  <si>
    <t>334374 KYB - РЎС‚С–Р№РєР° Р°РјРѕСЂС‚РёР·Р°С‚РѕСЂР°, "Excel-G" (Twin Tube Gas)</t>
  </si>
  <si>
    <t>2204.70</t>
  </si>
  <si>
    <t>SUBARU Legacy Outback IV (BP) 4WD !!!Exc. Self Levelling 03-08 (Front, R)</t>
  </si>
  <si>
    <t>KYB334375</t>
  </si>
  <si>
    <t>334375 KYB - РЎС‚С–Р№РєР° Р°РјРѕСЂС‚РёР·Р°С‚РѕСЂР°, "Excel-G" (Twin Tube Gas)</t>
  </si>
  <si>
    <t>SUBARU Legacy Outback IV (BP) 4WD !!!Exc. Self Levelling 03-08 (Front, L)</t>
  </si>
  <si>
    <t>KYB334386</t>
  </si>
  <si>
    <t>334386 KYB - РЎС‚С–Р№РєР° Р°РјРѕСЂС‚РёР·Р°С‚РѕСЂР°, "Excel-G" (Twin Tube Gas)</t>
  </si>
  <si>
    <t>1653.62</t>
  </si>
  <si>
    <t>TOYOTA (USA) CAMRY, AVALON 04- (Front, R)</t>
  </si>
  <si>
    <t>KYB334387</t>
  </si>
  <si>
    <t>334387 KYB - РЎС‚С–Р№РєР° Р°РјРѕСЂС‚РёР·Р°С‚РѕСЂР°, "Excel-G" (Twin Tube Gas)</t>
  </si>
  <si>
    <t>TOYOTA (USA) CAMRY, AVALON 04- (Front, L)</t>
  </si>
  <si>
    <t>KYB334388</t>
  </si>
  <si>
    <t>334388 KYB - РЎС‚С–Р№РєР° Р°РјРѕСЂС‚РёР·Р°С‚РѕСЂР°, "Excel-G" (Twin Tube Gas)</t>
  </si>
  <si>
    <t>1568.82</t>
  </si>
  <si>
    <t>TOYOTA (USA) CAMRY, AVALON 04- (Rear, R)</t>
  </si>
  <si>
    <t>KYB334389</t>
  </si>
  <si>
    <t>334389 KYB - РЎС‚С–Р№РєР° Р°РјРѕСЂС‚РёР·Р°С‚РѕСЂР°, "Excel-G" (Twin Tube Gas)</t>
  </si>
  <si>
    <t>TOYOTA (USA) CAMRY, AVALON 04- (Rear, L)</t>
  </si>
  <si>
    <t>KYB334398</t>
  </si>
  <si>
    <t>334398 KYB - РЎС‚С–Р№РєР° Р°РјРѕСЂС‚РёР·Р°С‚РѕСЂР°, "Excel-G" (Twin Tube Gas)</t>
  </si>
  <si>
    <t>MITSUBISHI Outlander 2WD/4WD 03-08 (Front, L/R)</t>
  </si>
  <si>
    <t>KYB334403</t>
  </si>
  <si>
    <t>334403 KYB - РЎС‚С–Р№РєР° Р°РјРѕСЂС‚РёР·Р°С‚РѕСЂР°, "Excel-G" (Twin Tube Gas)</t>
  </si>
  <si>
    <t>2338.56</t>
  </si>
  <si>
    <t>NISSAN Teana (J31) 03-08, (Front, R)</t>
  </si>
  <si>
    <t>KYB334404</t>
  </si>
  <si>
    <t>334404 KYB - РЎС‚С–Р№РєР° Р°РјРѕСЂС‚РёР·Р°С‚РѕСЂР°, "Excel-G" (Twin Tube Gas)</t>
  </si>
  <si>
    <t>NISSAN Teana (J31) 03-08, (Front, L)</t>
  </si>
  <si>
    <t>KYB334420</t>
  </si>
  <si>
    <t>334420 KYB - РЎС‚С–Р№РєР° Р°РјРѕСЂС‚РёР·Р°С‚РѕСЂР°, "Excel-G" (Twin Tube Gas)</t>
  </si>
  <si>
    <t>1726.50</t>
  </si>
  <si>
    <t>MITSUBISHI Lancer IX (CS1/CS3) 1.3/1.6 03- (Front, L/R)</t>
  </si>
  <si>
    <t>KYB334456</t>
  </si>
  <si>
    <t>334456 KYB - РЎС‚С–Р№РєР° Р°РјРѕСЂС‚РёР·Р°С‚РѕСЂР°, "Excel-G" (Twin Tube Gas)</t>
  </si>
  <si>
    <t>MITSUBISHI Grandis !!!Exc. High Ground Clearance sus 04- (Front, R)</t>
  </si>
  <si>
    <t>KYB334457</t>
  </si>
  <si>
    <t>334457 KYB - РЎС‚С–Р№РєР° Р°РјРѕСЂС‚РёР·Р°С‚РѕСЂР°, "Excel-G" (Twin Tube Gas)</t>
  </si>
  <si>
    <t>MITSUBISHI Grandis !!!Exc. High Ground Clearance sus 04- (Front, L)</t>
  </si>
  <si>
    <t>KYB334458</t>
  </si>
  <si>
    <t>334458 KYB - РЎС‚С–Р№РєР° Р°РјРѕСЂС‚РёР·Р°С‚РѕСЂР°, "Excel-G" (Twin Tube Gas)</t>
  </si>
  <si>
    <t>MITSUBISHI Grandis + High Ground Clearance sus 04- (Front, R)</t>
  </si>
  <si>
    <t>KYB334459</t>
  </si>
  <si>
    <t>334459 KYB - РЎС‚С–Р№РєР° Р°РјРѕСЂС‚РёР·Р°С‚РѕСЂР°, "Excel-G" (Twin Tube Gas)</t>
  </si>
  <si>
    <t>MITSUBISHI Grandis + High Ground Clearance sus 04- (Front, L)</t>
  </si>
  <si>
    <t>KYB334464</t>
  </si>
  <si>
    <t>334464 KYB - РЎС‚С–Р№РєР° Р°РјРѕСЂС‚РёР·Р°С‚РѕСЂР°, "Excel-G" (Twin Tube Gas)</t>
  </si>
  <si>
    <t>1952.63</t>
  </si>
  <si>
    <t>SUZUKI Grand Vitara 06- (Front, R)</t>
  </si>
  <si>
    <t>KYB334465</t>
  </si>
  <si>
    <t>334465 KYB - РЎС‚С–Р№РєР° Р°РјРѕСЂС‚РёР·Р°С‚РѕСЂР°, "Excel-G" (Twin Tube Gas)</t>
  </si>
  <si>
    <t>SUZUKI Grand Vitara 06- (Front, L)</t>
  </si>
  <si>
    <t>KYB334468</t>
  </si>
  <si>
    <t>334468 KYB - РЎС‚С–Р№РєР° Р°РјРѕСЂС‚РёР·Р°С‚РѕСЂР°, "Excel-G" (Twin Tube Gas)</t>
  </si>
  <si>
    <t>1520.29</t>
  </si>
  <si>
    <t xml:space="preserve">SUBARU (USA) Forester 06- (С€С‚РѕРє d=22mm) (Front, R) </t>
  </si>
  <si>
    <t>KYB334469</t>
  </si>
  <si>
    <t>334469 KYB - РЎС‚С–Р№РєР° Р°РјРѕСЂС‚РёР·Р°С‚РѕСЂР°, "Excel-G" (Twin Tube Gas)</t>
  </si>
  <si>
    <t>SUBARU (USA) Forester 06- (С€С‚РѕРє d=22mm) (Front, L)</t>
  </si>
  <si>
    <t>KYB334480</t>
  </si>
  <si>
    <t>334480 KYB - РЎС‚С–Р№РєР° Р°РјРѕСЂС‚РёР·Р°С‚РѕСЂР°, "Excel-G" (Twin Tube Gas)   !!! Р—Р°РјС–РЅР° РґР»СЏ 334150</t>
  </si>
  <si>
    <t>1462.87</t>
  </si>
  <si>
    <t>NISSAN Maxima (A32) 94-98 (Front, R)</t>
  </si>
  <si>
    <t>KYB334481</t>
  </si>
  <si>
    <t>334481 KYB - РЎС‚С–Р№РєР° Р°РјРѕСЂС‚РёР·Р°С‚РѕСЂР°, "Excel-G" (Twin Tube Gas)   !!! Р—Р°РјС–РЅР° РґР»СЏ 334151</t>
  </si>
  <si>
    <t>NISSAN Maxima (A32) 94-98 (Front, L)</t>
  </si>
  <si>
    <t>KYB334508</t>
  </si>
  <si>
    <t>334508 KYB - РЎС‚С–Р№РєР° Р°РјРѕСЂС‚РёР·Р°С‚РѕСЂР°, "Excel-G" (Twin Tube Gas)</t>
  </si>
  <si>
    <t>1611.13</t>
  </si>
  <si>
    <t>KIA Carens III (UN), Magentis 06- (Front, R)</t>
  </si>
  <si>
    <t>KYB334509</t>
  </si>
  <si>
    <t>334509 KYB - РЎС‚С–Р№РєР° Р°РјРѕСЂС‚РёР·Р°С‚РѕСЂР°, "Excel-G" (Twin Tube Gas)</t>
  </si>
  <si>
    <t>KIA Carens III (UN), Magentis 06- (Front, L)</t>
  </si>
  <si>
    <t>KYB334620</t>
  </si>
  <si>
    <t>334620 KYB - РЎС‚С–Р№РєР° Р°РјРѕСЂС‚РёР·Р°С‚РѕСЂР°, "Excel-G" (Twin Tube Gas)</t>
  </si>
  <si>
    <t>1931.47</t>
  </si>
  <si>
    <t>MB Vito (W638) (Front, L/R)</t>
  </si>
  <si>
    <t>KYB334629</t>
  </si>
  <si>
    <t>334629 KYB - РЎС‚С–Р№РєР° Р°РјРѕСЂС‚РёР·Р°С‚РѕСЂР°, "Excel-G" (Twin Tube Gas)</t>
  </si>
  <si>
    <t>1489.18</t>
  </si>
  <si>
    <t>FORD Connect 02- (Front, R)</t>
  </si>
  <si>
    <t>KYB334630</t>
  </si>
  <si>
    <t>334630 KYB - РЎС‚С–Р№РєР° Р°РјРѕСЂС‚РёР·Р°С‚РѕСЂР°, "Excel-G" (Twin Tube Gas)</t>
  </si>
  <si>
    <t>FORD Connect 02- (Front, L)</t>
  </si>
  <si>
    <t>KYB334631</t>
  </si>
  <si>
    <t>334631 KYB - РЎС‚С–Р№РєР° Р°РјРѕСЂС‚РёР·Р°С‚РѕСЂР°, "Excel-G" (Twin Tube Gas)</t>
  </si>
  <si>
    <t>1314.43</t>
  </si>
  <si>
    <t>FIAT Doblo, Doblo Cargo 02- (Front, L/R)</t>
  </si>
  <si>
    <t>KYB334632</t>
  </si>
  <si>
    <t>334632 KYB - РЎС‚С–Р№РєР° Р°РјРѕСЂС‚РёР·Р°С‚РѕСЂР°, "Excel-G" (Twin Tube Gas)   !!! Р—Р°РјС–РЅР° РґР»СЏ 334616</t>
  </si>
  <si>
    <t>1386.78</t>
  </si>
  <si>
    <t>OPEL Vectra C Ch.--48999999 02- (Front, R)</t>
  </si>
  <si>
    <t>KYB334633</t>
  </si>
  <si>
    <t>334633 KYB - РЎС‚С–Р№РєР° Р°РјРѕСЂС‚РёР·Р°С‚РѕСЂР°, "Excel-G" (Twin Tube Gas)   !!! Р—Р°РјС–РЅР° РґР»СЏ 334617</t>
  </si>
  <si>
    <t>OPEL Vectra C Ch.--48999999 02- (Front, L)</t>
  </si>
  <si>
    <t>KYB334634</t>
  </si>
  <si>
    <t>334634 KYB - РЎС‚С–Р№РєР° Р°РјРѕСЂС‚РёР·Р°С‚РѕСЂР°, "Excel-G" (Twin Tube Gas)</t>
  </si>
  <si>
    <t>1339.67</t>
  </si>
  <si>
    <t>OPEL Vectra C Ch.51000001-- (Front, R)</t>
  </si>
  <si>
    <t>KYB334635</t>
  </si>
  <si>
    <t>334635 KYB - РЎС‚С–Р№РєР° Р°РјРѕСЂС‚РёР·Р°С‚РѕСЂР°, "Excel-G" (Twin Tube Gas)</t>
  </si>
  <si>
    <t>OPEL Vectra C Ch.51000001-- (Front, L)</t>
  </si>
  <si>
    <t>KYB334690</t>
  </si>
  <si>
    <t>334690 KYB - РЎС‚С–Р№РєР° Р°РјРѕСЂС‚РёР·Р°С‚РѕСЂР°, "Excel-G" (Twin Tube Gas)</t>
  </si>
  <si>
    <t>1537.18</t>
  </si>
  <si>
    <t>JAGUAR X-Type 01-, (Front L/R)</t>
  </si>
  <si>
    <t>KYB334700</t>
  </si>
  <si>
    <t>334700 KYB - РЎС‚С–Р№РєР° Р°РјРѕСЂС‚РёР·Р°С‚РѕСЂР°, "Excel-G" (Twin Tube Gas)</t>
  </si>
  <si>
    <t>1466.96</t>
  </si>
  <si>
    <t>MAZDA 3 03- (Front, R)</t>
  </si>
  <si>
    <t>KYB334701</t>
  </si>
  <si>
    <t>334701 KYB - РЎС‚С–Р№РєР° Р°РјРѕСЂС‚РёР·Р°С‚РѕСЂР°, "Excel-G" (Twin Tube Gas)</t>
  </si>
  <si>
    <t>MAZDA 3 03- (Front, L)</t>
  </si>
  <si>
    <t>KYB334811</t>
  </si>
  <si>
    <t>334811 KYB - РЎС‚С–Р№РєР° Р°РјРѕСЂС‚РёР·Р°С‚РѕСЂР°, "Excel-G" (Twin Tube Gas)   !!! Р—Р°РјС–РЅР° РґР»СЏ 334951</t>
  </si>
  <si>
    <t>1187.33</t>
  </si>
  <si>
    <t>VW Passat B4 1.6-2.0D/TD 92-97 (Front, L/R)</t>
  </si>
  <si>
    <t>KYB334812</t>
  </si>
  <si>
    <t>334812 KYB - РЎС‚С–Р№РєР° Р°РјРѕСЂС‚РёР·Р°С‚РѕСЂР°, "Excel-G" (Twin Tube Gas)   !!! Р—Р°РјС–РЅР° РґР»СЏ 334220</t>
  </si>
  <si>
    <t>AUDI A3 (8L) 96-03, SKODA Octavia I 1.8-20V, 1.8 T, 2.0, VW Bora, Golf IV (1J)  97-06 (Front, L/R)</t>
  </si>
  <si>
    <t>KYB334815</t>
  </si>
  <si>
    <t>334815 KYB - РЎС‚С–Р№РєР° Р°РјРѕСЂС‚РёР·Р°С‚РѕСЂР°, "Excel-G" (Twin Tube Gas)</t>
  </si>
  <si>
    <t>1377.90</t>
  </si>
  <si>
    <t>TOYOTA Avensis 02- (Front, R)</t>
  </si>
  <si>
    <t>KYB334816</t>
  </si>
  <si>
    <t>334816 KYB - РЎС‚С–Р№РєР° Р°РјРѕСЂС‚РёР·Р°С‚РѕСЂР°, "Excel-G" (Twin Tube Gas)</t>
  </si>
  <si>
    <t>TOYOTA Avensis 02- (Front, L)</t>
  </si>
  <si>
    <t>KYB334831</t>
  </si>
  <si>
    <t>334831 KYB - РЎС‚С–Р№РєР° Р°РјРѕСЂС‚РёР·Р°С‚РѕСЂР°, "Excel-G" (Twin Tube Gas)</t>
  </si>
  <si>
    <t>1250.79</t>
  </si>
  <si>
    <t>RENAULT Scenic II 03- (Front, L/R)</t>
  </si>
  <si>
    <t>KYB334834</t>
  </si>
  <si>
    <t>334834 KYB - РЎС‚С–Р№РєР° Р°РјРѕСЂС‚РёР·Р°С‚РѕСЂР°, "Excel-G" (Twin Tube Gas)</t>
  </si>
  <si>
    <t>1075.86</t>
  </si>
  <si>
    <t>AUDI A3 (8P), SKODA Octavia II (1Z3), VW Golf V 03- (С€С‚РѕРє d=22mm) (Front, L/R)</t>
  </si>
  <si>
    <t>KYB334835</t>
  </si>
  <si>
    <t>334835 KYB - РЎС‚С–Р№РєР° Р°РјРѕСЂС‚РёР·Р°С‚РѕСЂР°, "Excel-G" (Twin Tube Gas)   !!! Р—Р°РјС–РЅР° РґР»СЏ 333872</t>
  </si>
  <si>
    <t>1210.08</t>
  </si>
  <si>
    <t>AUDI A2, SKODA Fabia (6Y), VW Polo/Fox 00- (Front, L/R)</t>
  </si>
  <si>
    <t>KYB334839</t>
  </si>
  <si>
    <t>334839 KYB - РЎС‚С–Р№РєР° Р°РјРѕСЂС‚РёР·Р°С‚РѕСЂР°, "Excel-G" (Twin Tube Gas)</t>
  </si>
  <si>
    <t>FORD Focus II 1.4, 1.6, C-Max 1.6 03- (Front, L)</t>
  </si>
  <si>
    <t>KYB334840</t>
  </si>
  <si>
    <t>334840 KYB - РЎС‚С–Р№РєР° Р°РјРѕСЂС‚РёР·Р°С‚РѕСЂР°, "Excel-G" (Twin Tube Gas)</t>
  </si>
  <si>
    <t>FORD Focus II 1.8/2.0, 1.6TDCi-2.0TDCi, C-Max 1.8, 1.6TDCi/2.0TDCi 03- (Front, R)</t>
  </si>
  <si>
    <t>KYB334841</t>
  </si>
  <si>
    <t>334841 KYB - РЎС‚С–Р№РєР° Р°РјРѕСЂС‚РёР·Р°С‚РѕСЂР°, "Excel-G" (Twin Tube Gas)</t>
  </si>
  <si>
    <t>FORD Focus II 1.8/2.0, 1.6TDCi-2.0TDCi, C-Max 1.8, 1.6TDCi/2.0TDCi 03- (Front, L)</t>
  </si>
  <si>
    <t>KYB334844</t>
  </si>
  <si>
    <t>334844 KYB - РЎС‚С–Р№РєР° Р°РјРѕСЂС‚РёР·Р°С‚РѕСЂР°, "Excel-G" (Twin Tube Gas)   !!! Р—Р°РјС–РЅР° РґР»СЏ 334602</t>
  </si>
  <si>
    <t>OPEL Zafira I 99-05 (Front, R)</t>
  </si>
  <si>
    <t>KYB334845</t>
  </si>
  <si>
    <t>334845 KYB - РЎС‚С–Р№РєР° Р°РјРѕСЂС‚РёР·Р°С‚РѕСЂР°, "Excel-G" (Twin Tube Gas)   !!! Р—Р°РјС–РЅР° РґР»СЏ 334603</t>
  </si>
  <si>
    <t>OPEL Zafira I 99-05 (Front, L)</t>
  </si>
  <si>
    <t>KYB334903</t>
  </si>
  <si>
    <t>334903 KYB - РЎС‚С–Р№РєР° Р°РјРѕСЂС‚РёР·Р°С‚РѕСЂР°, "Excel-G" (Twin Tube Gas)</t>
  </si>
  <si>
    <t>1957.78</t>
  </si>
  <si>
    <t>OPEL Omega B, Omega B Caravan 94-03 (Front, L/R)</t>
  </si>
  <si>
    <t>KYB334928</t>
  </si>
  <si>
    <t>334928 KYB - РЎС‚С–Р№РєР° Р°РјРѕСЂС‚РёР·Р°С‚РѕСЂР°, "Excel-G" (Twin Tube Gas)</t>
  </si>
  <si>
    <t>1690.24</t>
  </si>
  <si>
    <t>CITROEN Jumpy, FIAT Scudo, PEUGEOT Expert 94-02 (Front, L/R)</t>
  </si>
  <si>
    <t>KYB335040</t>
  </si>
  <si>
    <t>335040 KYB - РЎС‚С–Р№РєР° Р°РјРѕСЂС‚РёР·Р°С‚РѕСЂР°, "Excel-G" (Twin Tube Gas)</t>
  </si>
  <si>
    <t>1950.31</t>
  </si>
  <si>
    <t>TOYOTA Rav 4 5-door 00-06 (Front, R)</t>
  </si>
  <si>
    <t>KYB335041</t>
  </si>
  <si>
    <t>335041 KYB - РЎС‚С–Р№РєР° Р°РјРѕСЂС‚РёР·Р°С‚РѕСЂР°, "Excel-G" (Twin Tube Gas)</t>
  </si>
  <si>
    <t>TOYOTA Rav 4 5-door 00-06 (Front, L)</t>
  </si>
  <si>
    <t>KYB3358000</t>
  </si>
  <si>
    <t>3358000 KYB - РЎС‚С–Р№РєР° Р°РјРѕСЂС‚РёР·Р°С‚РѕСЂР°, "Excel-G" (Twin Tube Gas)</t>
  </si>
  <si>
    <t>1740.19</t>
  </si>
  <si>
    <t>SKODA Yeti (5L)| VW Tiguan (5N)  08-,  (Front, L/R)</t>
  </si>
  <si>
    <t>KYB335803</t>
  </si>
  <si>
    <t>335803 KYB - РЎС‚С–Р№РєР° Р°РјРѕСЂС‚РёР·Р°С‚РѕСЂР°, "Excel-G" (Twin Tube Gas)</t>
  </si>
  <si>
    <t>1382.16</t>
  </si>
  <si>
    <t>NISSAN Primastar, OPEL Vivaro, RENAULT Trafic II 01- (Front, L/R)</t>
  </si>
  <si>
    <t>KYB335808</t>
  </si>
  <si>
    <t>335808 KYB - РЎС‚С–Р№РєР° Р°РјРѕСЂС‚РёР·Р°С‚РѕСЂР°, "Excel-G" (Twin Tube Gas)</t>
  </si>
  <si>
    <t>AUDI A3 (8P), VW Golf V, Passat  03- (С€С‚РѕРє d=25mm) (Front, L/R)</t>
  </si>
  <si>
    <t>KYB335809</t>
  </si>
  <si>
    <t>335809 KYB - РЎС‚С–Р№РєР° Р°РјРѕСЂС‚РёР·Р°С‚РѕСЂР°, "Excel-G" (Twin Tube Gas)   !!! Р—Р°РјС–РЅР° РґР»СЏ 335914</t>
  </si>
  <si>
    <t>1458.96</t>
  </si>
  <si>
    <t>MB Sprinter (904) 4-t 96-06 (Front, L/R)</t>
  </si>
  <si>
    <t>KYB335810</t>
  </si>
  <si>
    <t>335810 KYB - РЎС‚С–Р№РєР° Р°РјРѕСЂС‚РёР·Р°С‚РѕСЂР°, "Excel-G" (Twin Tube Gas)   !!! Р—Р°РјС–РЅР° РґР»СЏ 335915</t>
  </si>
  <si>
    <t>1369.54</t>
  </si>
  <si>
    <t>MB Sprinter (901-903) 2t/3t 96-06 (Front, L/R)</t>
  </si>
  <si>
    <t>KYB335811</t>
  </si>
  <si>
    <t>335811 KYB - РЎС‚С–Р№РєР° Р°РјРѕСЂС‚РёР·Р°С‚РѕСЂР°, "Excel-G" (Twin Tube Gas)</t>
  </si>
  <si>
    <t>1702.50</t>
  </si>
  <si>
    <t>BMW 5 (E39) 95-04 (Front, R)</t>
  </si>
  <si>
    <t>KYB335812</t>
  </si>
  <si>
    <t>335812 KYB - РЎС‚С–Р№РєР° Р°РјРѕСЂС‚РёР·Р°С‚РѕСЂР°, "Excel-G" (Twin Tube Gas)</t>
  </si>
  <si>
    <t>BMW 5 (E39) 95-04 (Front, L)</t>
  </si>
  <si>
    <t>KYB335820</t>
  </si>
  <si>
    <t>335820 KYB - РЎС‚С–Р№РєР° Р°РјРѕСЂС‚РёР·Р°С‚РѕСЂР°, "Excel-G" (Twin Tube Gas)</t>
  </si>
  <si>
    <t>1668.73</t>
  </si>
  <si>
    <t>FORD Transit 06-  (Front, L/R)</t>
  </si>
  <si>
    <t>KYB335825</t>
  </si>
  <si>
    <t>335825 KYB - РЎС‚С–Р№РєР° Р°РјРѕСЂС‚РёР·Р°С‚РѕСЂР°, "Excel-G" (Twin Tube Gas)</t>
  </si>
  <si>
    <t>2139.46</t>
  </si>
  <si>
    <t>CHEVROLET Captiva 11-,  (Front, R)</t>
  </si>
  <si>
    <t>KYB335826</t>
  </si>
  <si>
    <t>335826 KYB - РЎС‚С–Р№РєР° Р°РјРѕСЂС‚РёР·Р°С‚РѕСЂР°, "Excel-G" (Twin Tube Gas)</t>
  </si>
  <si>
    <t>CHEVROLET Captiva 11-,  (Front, L)</t>
  </si>
  <si>
    <t>KYB335840</t>
  </si>
  <si>
    <t>335840 KYB - РЎС‚С–Р№РєР° Р°РјРѕСЂС‚РёР·Р°С‚РѕСЂР°, "Excel-G" (Twin Tube Gas)</t>
  </si>
  <si>
    <t>1705.35</t>
  </si>
  <si>
    <t xml:space="preserve">VW Transporter T5  03- (Front, L/R) </t>
  </si>
  <si>
    <t>KYB335844</t>
  </si>
  <si>
    <t>335844 KYB - РЎС‚С–Р№РєР° Р°РјРѕСЂС‚РёР·Р°С‚РѕСЂР°, "Excel-G" (Twin Tube Gas)</t>
  </si>
  <si>
    <t>1980.54</t>
  </si>
  <si>
    <t>CHEVROLET Captiva (C100)|  OPEL Antara 07-  (Front, R)</t>
  </si>
  <si>
    <t>KYB335845</t>
  </si>
  <si>
    <t>335845 KYB - РЎС‚С–Р№РєР° Р°РјРѕСЂС‚РёР·Р°С‚РѕСЂР°, "Excel-G" (Twin Tube Gas)</t>
  </si>
  <si>
    <t>CHEVROLET Captiva (C100)|  OPEL Antara 07-  (Front, L)</t>
  </si>
  <si>
    <t>KYB335931</t>
  </si>
  <si>
    <t>335931 KYB - РЎС‚С–Р№РєР° Р°РјРѕСЂС‚РёР·Р°С‚РѕСЂР°, "Excel-G" (Twin Tube Gas)</t>
  </si>
  <si>
    <t>2399.18</t>
  </si>
  <si>
    <t>MB Vito/Viano (W639) 03-  (Front, L/R)</t>
  </si>
  <si>
    <t>KYB338022</t>
  </si>
  <si>
    <t>338022 KYB - РЎС‚С–Р№РєР° Р°РјРѕСЂС‚РёР·Р°С‚РѕСЂР°, "Excel-G" (Twin Tube Gas)</t>
  </si>
  <si>
    <t>2035.11</t>
  </si>
  <si>
    <t>HYUNDAI Elantra 1.6, 2.0  06-11  (Front, R)</t>
  </si>
  <si>
    <t>KYB338023</t>
  </si>
  <si>
    <t>338023 KYB - РЎС‚С–Р№РєР° Р°РјРѕСЂС‚РёР·Р°С‚РѕСЂР°, "Excel-G" (Twin Tube Gas)</t>
  </si>
  <si>
    <t>HYUNDAI Elantra 1.6, 2.0  06-11  (Front, L)</t>
  </si>
  <si>
    <t>KYB338700</t>
  </si>
  <si>
    <t>338700 KYB - РЎС‚С–Р№РєР° Р°РјРѕСЂС‚РёР·Р°С‚РѕСЂР°, "Excel-G" (Twin Tube Gas)</t>
  </si>
  <si>
    <t>1585.71</t>
  </si>
  <si>
    <t>RENAULT Kangoo I (4x4)  1.6, 1.9dCi  01-  (Front, L/R)</t>
  </si>
  <si>
    <t>KYB338712</t>
  </si>
  <si>
    <t>338712 KYB - РЎС‚С–Р№РєР° Р°РјРѕСЂС‚РёР·Р°С‚РѕСЂР°, "Excel-G" (Twin Tube Gas)</t>
  </si>
  <si>
    <t>1542.33</t>
  </si>
  <si>
    <t>RENAULT Megane II 03-,  (Front, L/R) (РїР°РєРµС‚ "РїРѕРіР°РЅС– РґРѕСЂРѕРіРё")</t>
  </si>
  <si>
    <t>KYB338713</t>
  </si>
  <si>
    <t>338713 KYB - РЎС‚С–Р№РєР° Р°РјРѕСЂС‚РёР·Р°С‚РѕСЂР°, "Excel-G" (Twin Tube Gas)</t>
  </si>
  <si>
    <t>1064.13</t>
  </si>
  <si>
    <t>DACIA/RENAULT Logan MCV, Sandero (Front, L/R)</t>
  </si>
  <si>
    <t>KYB338733</t>
  </si>
  <si>
    <t>338733 KYB - РЎС‚С–Р№РєР° Р°РјРѕСЂС‚РёР·Р°С‚РѕСЂР°, "Excel-G" (Twin Tube Gas)</t>
  </si>
  <si>
    <t>1932.00</t>
  </si>
  <si>
    <t>PEUGEOT Partner| CITROEN Berlingo 08-  (Front, R) *РґР»СЏ OE: 5208.88, 5208.86</t>
  </si>
  <si>
    <t>KYB338734</t>
  </si>
  <si>
    <t>338734 KYB - РЎС‚С–Р№РєР° Р°РјРѕСЂС‚РёР·Р°С‚РѕСЂР°, "Excel-G" (Twin Tube Gas)</t>
  </si>
  <si>
    <t>PEUGEOT Partner| CITROEN Berlingo 08-  (Front, L) *РґР»СЏ OE: 5208.87, 5208.85</t>
  </si>
  <si>
    <t>KYB338735</t>
  </si>
  <si>
    <t>338735 KYB - РЎС‚С–Р№РєР° Р°РјРѕСЂС‚РёР·Р°С‚РѕСЂР°, "Excel-G" (Twin Tube Gas)</t>
  </si>
  <si>
    <t>1948.00</t>
  </si>
  <si>
    <t>PEUGEOT Partner| CITROEN Berlingo 08-  (Front, R) *РґР»СЏ OE: 5208.72</t>
  </si>
  <si>
    <t>KYB338736</t>
  </si>
  <si>
    <t>338736 KYB - РЎС‚С–Р№РєР° Р°РјРѕСЂС‚РёР·Р°С‚РѕСЂР°, "Excel-G" (Twin Tube Gas)</t>
  </si>
  <si>
    <t>PEUGEOT Partner| CITROEN Berlingo 08-  (Front, L) *РґР»СЏ OE: 5208.71</t>
  </si>
  <si>
    <t>KYB338738</t>
  </si>
  <si>
    <t>338738 KYB - РЎС‚С–Р№РєР° Р°РјРѕСЂС‚РёР·Р°С‚РѕСЂР°, "Excel-G" (Twin Tube Gas)</t>
  </si>
  <si>
    <t>1682.77</t>
  </si>
  <si>
    <t>DACIA, RENAULT Duster 1.6i, 1.5dCi  10-  (Rear, L/R)</t>
  </si>
  <si>
    <t>KYB338749</t>
  </si>
  <si>
    <t>338749 KYB - РЎС‚С–Р№РєР° Р°РјРѕСЂС‚РёР·Р°С‚РѕСЂР°, "Excel-G" (Twin Tube Gas)</t>
  </si>
  <si>
    <t>1315.50</t>
  </si>
  <si>
    <t>DACIA/RENAULT Logan II, Sandero II 0.9-1.5dCi  12-  (Front, L/R)</t>
  </si>
  <si>
    <t>KYB338759</t>
  </si>
  <si>
    <t>338759 KYB - РЎС‚С–Р№РєР° Р°РјРѕСЂС‚РёР·Р°С‚РѕСЂР°, "Excel-G" (Twin Tube Gas)</t>
  </si>
  <si>
    <t>1315.68</t>
  </si>
  <si>
    <t>DACIA, RENAULT Logan II, Logan MCV II , Sandero II, Sandero Stepway  13-  (Front, L/R)</t>
  </si>
  <si>
    <t>KYB339023</t>
  </si>
  <si>
    <t>339023 KYB - РЎС‚С–Р№РєР° Р°РјРѕСЂС‚РёР·Р°С‚РѕСЂР°, "Excel-G" (Twin Tube Gas)</t>
  </si>
  <si>
    <t>1443.85</t>
  </si>
  <si>
    <t>TOYOTA Camry (V40) 06- (Front, R)</t>
  </si>
  <si>
    <t>KYB339024</t>
  </si>
  <si>
    <t>339024 KYB - РЎС‚С–Р№РєР° Р°РјРѕСЂС‚РёР·Р°С‚РѕСЂР°, "Excel-G" (Twin Tube Gas)</t>
  </si>
  <si>
    <t>TOYOTA Camry (V40) 06- (Front, L)</t>
  </si>
  <si>
    <t>KYB339025</t>
  </si>
  <si>
    <t>339025 KYB - РЎС‚С–Р№РєР° Р°РјРѕСЂС‚РёР·Р°С‚РѕСЂР°, "Excel-G" (Twin Tube Gas)</t>
  </si>
  <si>
    <t>TOYOTA Camry (V40) 06- (Rear, R)</t>
  </si>
  <si>
    <t>KYB339026</t>
  </si>
  <si>
    <t>339026 KYB - РЎС‚С–Р№РєР° Р°РјРѕСЂС‚РёР·Р°С‚РѕСЂР°, "Excel-G" (Twin Tube Gas)</t>
  </si>
  <si>
    <t>TOYOTA Camry (V40) 06- (Rear, L)</t>
  </si>
  <si>
    <t>KYB339029</t>
  </si>
  <si>
    <t>339029 KYB - РЎС‚С–Р№РєР° Р°РјРѕСЂС‚РёР·Р°С‚РѕСЂР°, "Excel-G" (Twin Tube Gas)</t>
  </si>
  <si>
    <t>882.09</t>
  </si>
  <si>
    <t>CHEVROLET Lacetti 04- (Front, R)</t>
  </si>
  <si>
    <t>KYB339030</t>
  </si>
  <si>
    <t>339030 KYB - РЎС‚С–Р№РєР° Р°РјРѕСЂС‚РёР·Р°С‚РѕСЂР°, "Excel-G" (Twin Tube Gas)</t>
  </si>
  <si>
    <t>CHEVROLET Lacetti 04- (Front, L)</t>
  </si>
  <si>
    <t>KYB339031</t>
  </si>
  <si>
    <t>339031 KYB - РЎС‚С–Р№РєР° Р°РјРѕСЂС‚РёР·Р°С‚РѕСЂР°, "Excel-G" (Twin Tube Gas)</t>
  </si>
  <si>
    <t>1780.90</t>
  </si>
  <si>
    <t>TOYOTA RAV 4 06- (Front, R)</t>
  </si>
  <si>
    <t>KYB339032</t>
  </si>
  <si>
    <t>339032 KYB - РЎС‚С–Р№РєР° Р°РјРѕСЂС‚РёР·Р°С‚РѕСЂР°, "Excel-G" (Twin Tube Gas)</t>
  </si>
  <si>
    <t>TOYOTA RAV 4 06- (Front, L)</t>
  </si>
  <si>
    <t>KYB339066</t>
  </si>
  <si>
    <t>339066 KYB - РЎС‚С–Р№РєР° Р°РјРѕСЂС‚РёР·Р°С‚РѕСЂР°, "Excel-G" (Twin Tube Gas)</t>
  </si>
  <si>
    <t>1812.72</t>
  </si>
  <si>
    <t>TOYOTA Corolla (ZRE151)  07- (Front, R)</t>
  </si>
  <si>
    <t>KYB339067</t>
  </si>
  <si>
    <t>339067 KYB - РЎС‚С–Р№РєР° Р°РјРѕСЂС‚РёР·Р°С‚РѕСЂР°, "Excel-G" (Twin Tube Gas)</t>
  </si>
  <si>
    <t>TOYOTA Corolla (ZRE151)  07- (Front, L)</t>
  </si>
  <si>
    <t>KYB339074</t>
  </si>
  <si>
    <t>339074 KYB - РЎС‚С–Р№РєР° Р°РјРѕСЂС‚РёР·Р°С‚РѕСЂР°, "Excel-G" (Twin Tube Gas)</t>
  </si>
  <si>
    <t>HONDA Civic sedan (AT/MT) 06- (Front, R)</t>
  </si>
  <si>
    <t>KYB339075</t>
  </si>
  <si>
    <t>339075 KYB - РЎС‚С–Р№РєР° Р°РјРѕСЂС‚РёР·Р°С‚РѕСЂР°, "Excel-G" (Twin Tube Gas)</t>
  </si>
  <si>
    <t>HONDA Civic sedan (AT/MT) 06- (Front, L)</t>
  </si>
  <si>
    <t>KYB339080</t>
  </si>
  <si>
    <t>339080 KYB - РЎС‚С–Р№РєР° Р°РјРѕСЂС‚РёР·Р°С‚РѕСЂР°, "Excel-G" (Twin Tube Gas)</t>
  </si>
  <si>
    <t>1335.59</t>
  </si>
  <si>
    <t>MITSUBISHI Outlander, CITROEN C-Crosser, PEUGEOT 4007 07- (Front, R)</t>
  </si>
  <si>
    <t>KYB339081</t>
  </si>
  <si>
    <t>339081 KYB - РЎС‚С–Р№РєР° Р°РјРѕСЂС‚РёР·Р°С‚РѕСЂР°, "Excel-G" (Twin Tube Gas)</t>
  </si>
  <si>
    <t>MITSUBISHI Outlander, CITROEN C-Crosser, PEUGEOT 4007 07- (Front, L)</t>
  </si>
  <si>
    <t>KYB339104</t>
  </si>
  <si>
    <t>339104 KYB - РЎС‚С–Р№РєР° Р°РјРѕСЂС‚РёР·Р°С‚РѕСЂР°, "Excel-G" (Twin Tube Gas)</t>
  </si>
  <si>
    <t>1359.05</t>
  </si>
  <si>
    <t>MITSUBISHI Lancer X 08- (Front, R)</t>
  </si>
  <si>
    <t>KYB339105</t>
  </si>
  <si>
    <t>339105 KYB - РЎС‚С–Р№РєР° Р°РјРѕСЂС‚РёР·Р°С‚РѕСЂР°, "Excel-G" (Twin Tube Gas)</t>
  </si>
  <si>
    <t>MITSUBISHI Lancer X 08- (Front, L)</t>
  </si>
  <si>
    <t>KYB339117</t>
  </si>
  <si>
    <t>339117 KYB - РЎС‚С–Р№РєР° Р°РјРѕСЂС‚РёР·Р°С‚РѕСЂР°, "Excel-G" (Twin Tube Gas)</t>
  </si>
  <si>
    <t>1141.46</t>
  </si>
  <si>
    <t>MITSUBISHI Lancer X (CY) !!!bad road 07-10 /+15mm/ (Front, R)</t>
  </si>
  <si>
    <t>KYB339140</t>
  </si>
  <si>
    <t>339140 KYB - РЎС‚С–Р№РєР° Р°РјРѕСЂС‚РёР·Р°С‚РѕСЂР°, "Excel-G" (Twin Tube Gas)</t>
  </si>
  <si>
    <t>2798.28</t>
  </si>
  <si>
    <t>MAZDA CX-9 07- (Front, R)</t>
  </si>
  <si>
    <t>KYB339141</t>
  </si>
  <si>
    <t>339141 KYB - РЎС‚С–Р№РєР° Р°РјРѕСЂС‚РёР·Р°С‚РѕСЂР°, "Excel-G" (Twin Tube Gas)</t>
  </si>
  <si>
    <t>MAZDA CX-9 07- (Front, L)</t>
  </si>
  <si>
    <t>KYB339155</t>
  </si>
  <si>
    <t>339155 KYB - РЎС‚С–Р№РєР° Р°РјРѕСЂС‚РёР·Р°С‚РѕСЂР°, "Excel-G" (Twin Tube Gas)</t>
  </si>
  <si>
    <t>2543.89</t>
  </si>
  <si>
    <t>MAZDA CX-7 FWD/AWD 2006- (Front, R)</t>
  </si>
  <si>
    <t>KYB339156</t>
  </si>
  <si>
    <t>339156 KYB - РЎС‚С–Р№РєР° Р°РјРѕСЂС‚РёР·Р°С‚РѕСЂР°, "Excel-G" (Twin Tube Gas)</t>
  </si>
  <si>
    <t>MAZDA CX-7 FWD/AWD 2006- (Front, L)</t>
  </si>
  <si>
    <t>KYB339169</t>
  </si>
  <si>
    <t>339169 KYB - РЎС‚С–Р№РєР° Р°РјРѕСЂС‚РёР·Р°С‚РѕСЂР°, "Excel-G" (Twin Tube Gas)</t>
  </si>
  <si>
    <t>SUBARU Forester (SH) 2.0, 2.0D, 2.5i  08-  (Front, R)</t>
  </si>
  <si>
    <t>KYB339170</t>
  </si>
  <si>
    <t>339170 KYB - РЎС‚С–Р№РєР° Р°РјРѕСЂС‚РёР·Р°С‚РѕСЂР°, "Excel-G" (Twin Tube Gas)</t>
  </si>
  <si>
    <t>SUBARU Forester (SH) 2.0, 2.0D, 2.5i  08-  (Front, L)</t>
  </si>
  <si>
    <t>KYB339171</t>
  </si>
  <si>
    <t>339171 KYB - РЎС‚С–Р№РєР° Р°РјРѕСЂС‚РёР·Р°С‚РѕСЂР°, "Excel-G" (Twin Tube Gas)</t>
  </si>
  <si>
    <t>1641.17</t>
  </si>
  <si>
    <t>SUBARU Impreza (GR) 2.0i, 2.5i  08-  (Front, R)</t>
  </si>
  <si>
    <t>KYB339172</t>
  </si>
  <si>
    <t>339172 KYB - РЎС‚С–Р№РєР° Р°РјРѕСЂС‚РёР·Р°С‚РѕСЂР°, "Excel-G" (Twin Tube Gas)</t>
  </si>
  <si>
    <t>SUBARU Impreza (GR) 2.0i, 2.5i  08-  (Front, L)</t>
  </si>
  <si>
    <t>KYB339196</t>
  </si>
  <si>
    <t>339196 KYB - РЎС‚С–Р№РєР° Р°РјРѕСЂС‚РёР·Р°С‚РѕСЂР°, "Excel-G" (Twin Tube Gas)</t>
  </si>
  <si>
    <t>2376.61</t>
  </si>
  <si>
    <t>NISSAN Qashqai 06- (Front, R)</t>
  </si>
  <si>
    <t>KYB339197</t>
  </si>
  <si>
    <t>339197 KYB - РЎС‚С–Р№РєР° Р°РјРѕСЂС‚РёР·Р°С‚РѕСЂР°, "Excel-G" (Twin Tube Gas)</t>
  </si>
  <si>
    <t>NISSAN Qashqai 06- (Front, L)</t>
  </si>
  <si>
    <t>KYB339198</t>
  </si>
  <si>
    <t>339198 KYB - РЎС‚С–Р№РєР° Р°РјРѕСЂС‚РёР·Р°С‚РѕСЂР°, "Excel-G" (Twin Tube Gas)</t>
  </si>
  <si>
    <t>2354.92</t>
  </si>
  <si>
    <t>NISSAN X-Trail (T31), RENAULT Koleos 07- (Front, R)</t>
  </si>
  <si>
    <t>KYB339199</t>
  </si>
  <si>
    <t>339199 KYB - РЎС‚С–Р№РєР° Р°РјРѕСЂС‚РёР·Р°С‚РѕСЂР°, "Excel-G" (Twin Tube Gas)</t>
  </si>
  <si>
    <t>NISSAN X-Trail (T31), RENAULT Koleos 07- (Front, L)</t>
  </si>
  <si>
    <t>KYB339236</t>
  </si>
  <si>
    <t>339236 KYB - РЎС‚С–Р№РєР° Р°РјРѕСЂС‚РёР·Р°С‚РѕСЂР°, "Excel-G" (Twin Tube Gas)</t>
  </si>
  <si>
    <t>2113.86</t>
  </si>
  <si>
    <t>#Toyota VENZA AWD 2008 - - RR</t>
  </si>
  <si>
    <t>KYB339237</t>
  </si>
  <si>
    <t>339237 KYB - РЎС‚С–Р№РєР° Р°РјРѕСЂС‚РёР·Р°С‚РѕСЂР°, "Excel-G" (Twin Tube Gas)</t>
  </si>
  <si>
    <t>#Toyota VENZA AWD 2008 - - RL</t>
  </si>
  <si>
    <t>KYB339253</t>
  </si>
  <si>
    <t>339253 KYB - РЎС‚С–Р№РєР° Р°РјРѕСЂС‚РёР·Р°С‚РѕСЂР°, "Excel-G" (Twin Tube GAS)</t>
  </si>
  <si>
    <t>1464.29</t>
  </si>
  <si>
    <t>MITSUBISHI Asx  10-  (Front, R)</t>
  </si>
  <si>
    <t>KYB339254</t>
  </si>
  <si>
    <t>339254 KYB - РЎС‚С–Р№РєР° Р°РјРѕСЂС‚РёР·Р°С‚РѕСЂР°, "Excel-G" (Twin Tube GAS)</t>
  </si>
  <si>
    <t>MITSUBISHI Asx  10-  (Front, L)</t>
  </si>
  <si>
    <t>KYB339261</t>
  </si>
  <si>
    <t>339261 KYB - РЎС‚С–Р№РєР° Р°РјРѕСЂС‚РёР·Р°С‚РѕСЂР°, "Excel-G" (Twin Tube Gas)</t>
  </si>
  <si>
    <t>HONDA CR-V 07- (Front, R)</t>
  </si>
  <si>
    <t>KYB339262</t>
  </si>
  <si>
    <t>339262 KYB - РЎС‚С–Р№РєР° Р°РјРѕСЂС‚РёР·Р°С‚РѕСЂР°, "Excel-G" (Twin Tube Gas)</t>
  </si>
  <si>
    <t>HONDA CR-V 07- (Front, L)\n</t>
  </si>
  <si>
    <t>KYB339269</t>
  </si>
  <si>
    <t>339269 KYB - РЎС‚С–Р№РєР° Р°РјРѕСЂС‚РёР·Р°С‚РѕСЂР°, "Excel-G" (Twin Tube GAS)   !!! Р—Р°РјС–РЅР° РґР»СЏ 334627</t>
  </si>
  <si>
    <t>2122.04</t>
  </si>
  <si>
    <t>BMW 3 Series (E90) 05- (Front, R)</t>
  </si>
  <si>
    <t>KYB339270</t>
  </si>
  <si>
    <t>339270 KYB - РЎС‚С–Р№РєР° Р°РјРѕСЂС‚РёР·Р°С‚РѕСЂР°, "Excel-G" (Twin Tube GAS)   !!! Р—Р°РјС–РЅР° РґР»СЏ 334628</t>
  </si>
  <si>
    <t>BMW 3 Series (E90) 05- (Front, L)</t>
  </si>
  <si>
    <t>KYB339700</t>
  </si>
  <si>
    <t>339700 KYB - РЎС‚С–Р№РєР° Р°РјРѕСЂС‚РёР·Р°С‚РѕСЂР°, "Excel-G" (Twin Tube Gas)</t>
  </si>
  <si>
    <t>1589.97</t>
  </si>
  <si>
    <t>TOYOTA Auris 07- (Front, R)</t>
  </si>
  <si>
    <t>KYB339701</t>
  </si>
  <si>
    <t>339701 KYB - РЎС‚С–Р№РєР° Р°РјРѕСЂС‚РёР·Р°С‚РѕСЂР°, "Excel-G" (Twin Tube Gas)</t>
  </si>
  <si>
    <t>TOYOTA Auris 07- (Front, L)</t>
  </si>
  <si>
    <t>KYB339702</t>
  </si>
  <si>
    <t>339702 KYB - РЎС‚С–Р№РєР° Р°РјРѕСЂС‚РёР·Р°С‚РѕСЂР°, "Excel-G" (Twin Tube Gas)</t>
  </si>
  <si>
    <t>1593.71</t>
  </si>
  <si>
    <t>OPEL Astra H, Zafira II 04- (Front, R)</t>
  </si>
  <si>
    <t>KYB339703</t>
  </si>
  <si>
    <t>339703 KYB - РЎС‚С–Р№РєР° Р°РјРѕСЂС‚РёР·Р°С‚РѕСЂР°, "Excel-G" (Twin Tube Gas)</t>
  </si>
  <si>
    <t>OPEL Astra H, Zafira II 04- (Front, L)</t>
  </si>
  <si>
    <t>KYB339709</t>
  </si>
  <si>
    <t>339709 KYB - РЎС‚С–Р№РєР° Р°РјРѕСЂС‚РёР·Р°С‚РѕСЂР°, "Excel-G" (Twin Tube Gas)</t>
  </si>
  <si>
    <t>1669.08</t>
  </si>
  <si>
    <t>PEUGEOT 207 1.4i, 1.4i-16V 06- (Front, R)</t>
  </si>
  <si>
    <t>KYB339710</t>
  </si>
  <si>
    <t>339710 KYB - РЎС‚С–Р№РєР° Р°РјРѕСЂС‚РёР·Р°С‚РѕСЂР°, "Excel-G" (Twin Tube Gas)</t>
  </si>
  <si>
    <t>PEUGEOT 207 1.4i, 1.4i-16V 06- (Front, L)</t>
  </si>
  <si>
    <t>KYB339724</t>
  </si>
  <si>
    <t>339724 KYB - РЎС‚С–Р№РєР° Р°РјРѕСЂС‚РёР·Р°С‚РѕСЂР°, "Excel-G" (Twin Tube Gas)</t>
  </si>
  <si>
    <t>1358.16</t>
  </si>
  <si>
    <t>RENAULT Megane III 1.2-2.0D 08-  (Front, L/R)</t>
  </si>
  <si>
    <t>KYB339735</t>
  </si>
  <si>
    <t>339735 KYB - РЎС‚С–Р№РєР° Р°РјРѕСЂС‚РёР·Р°С‚РѕСЂР°, "Excel-G" (Twin Tube Gas)</t>
  </si>
  <si>
    <t>1697.88</t>
  </si>
  <si>
    <t>#FORD KUGA  all 03.2008 - Fr</t>
  </si>
  <si>
    <t>KYB339736</t>
  </si>
  <si>
    <t>339736 KYB - РЎС‚С–Р№РєР° Р°РјРѕСЂС‚РёР·Р°С‚РѕСЂР°, "Excel-G" (Twin Tube Gas)</t>
  </si>
  <si>
    <t>KYB339742</t>
  </si>
  <si>
    <t>339742 KYB - РЎС‚С–Р№РєР° Р°РјРѕСЂС‚РёР·Р°С‚РѕСЂР°, "Excel-G" (Twin Tube Gas)   !!! Р—Р°РјС–РЅР° РґР»СЏ 334502</t>
  </si>
  <si>
    <t>1255.41</t>
  </si>
  <si>
    <t>HYUNDAI Tucson, KIA Sportage 04- (Front, R)</t>
  </si>
  <si>
    <t>KYB339743</t>
  </si>
  <si>
    <t>339743 KYB - РЎС‚С–Р№РєР° Р°РјРѕСЂС‚РёР·Р°С‚РѕСЂР°, "Excel-G" (Twin Tube Gas)   !!! Р—Р°РјС–РЅР° РґР»СЏ 334503</t>
  </si>
  <si>
    <t>HYUNDAI Tucson, KIA Sportage 04- (Front, L)</t>
  </si>
  <si>
    <t>KYB339746</t>
  </si>
  <si>
    <t>339746 KYB - РЎС‚С–Р№РєР° Р°РјРѕСЂС‚РёР·Р°С‚РѕСЂР°, "Excel-G" (Twin Tube Gas)   !!! Р—Р°РјС–РЅР° РґР»СЏ 334504</t>
  </si>
  <si>
    <t>1596.91</t>
  </si>
  <si>
    <t>HYUNDAI Tucson, KIA Sportage 04- (Rear, R)</t>
  </si>
  <si>
    <t>KYB339747</t>
  </si>
  <si>
    <t>339747 KYB - РЎС‚С–Р№РєР° Р°РјРѕСЂС‚РёР·Р°С‚РѕСЂР°, "Excel-G" (Twin Tube Gas)   !!! Р—Р°РјС–РЅР° РґР»СЏ 334505</t>
  </si>
  <si>
    <t>HYUNDAI Tucson, KIA Sportage 04- (Rear, L)</t>
  </si>
  <si>
    <t>KYB339750</t>
  </si>
  <si>
    <t>339750 KYB - РЎС‚С–Р№РєР° Р°РјРѕСЂС‚РёР·Р°С‚РѕСЂР°, "Excel-G" (Twin Tube Gas)   !!! Р—Р°РјС–РЅР° РґР»СЏ 334506</t>
  </si>
  <si>
    <t>1447.05</t>
  </si>
  <si>
    <t>HYUNDAI Santa Fe 06- (Front, R)</t>
  </si>
  <si>
    <t>KYB339751</t>
  </si>
  <si>
    <t>339751 KYB - РЎС‚С–Р№РєР° Р°РјРѕСЂС‚РёР·Р°С‚РѕСЂР°, "Excel-G" (Twin Tube Gas)   !!! Р—Р°РјС–РЅР° РґР»СЏ 334507</t>
  </si>
  <si>
    <t>HYUNDAI Santa Fe 06- (Front, L)</t>
  </si>
  <si>
    <t>KYB339754</t>
  </si>
  <si>
    <t>339754 KYB - РЎС‚С–Р№РєР° Р°РјРѕСЂС‚РёР·Р°С‚РѕСЂР°, "Excel-G" (Twin Tube GAS)</t>
  </si>
  <si>
    <t>1266.08</t>
  </si>
  <si>
    <t>NISSAN Juke 2010- (Front, R)</t>
  </si>
  <si>
    <t>KYB339755</t>
  </si>
  <si>
    <t>339755 KYB - РЎС‚С–Р№РєР° Р°РјРѕСЂС‚РёР·Р°С‚РѕСЂР°, "Excel-G" (Twin Tube GAS)</t>
  </si>
  <si>
    <t>NISSAN Juke 2010- (Front, L)</t>
  </si>
  <si>
    <t>KYB339763</t>
  </si>
  <si>
    <t>339763 KYB - РЎС‚С–Р№РєР° Р°РјРѕСЂС‚РёР·Р°С‚РѕСЂР°, "Excel-G" (Twin Tube GAS)</t>
  </si>
  <si>
    <t>1529.89</t>
  </si>
  <si>
    <t>VW Polo| SEAT Ibiza 2008-  (Front, L/R)</t>
  </si>
  <si>
    <t>KYB339766</t>
  </si>
  <si>
    <t>339766 KYB - РЎС‚С–Р№РєР° Р°РјРѕСЂС‚РёР·Р°С‚РѕСЂР°, "Excel-G" (Twin Tube GAS)</t>
  </si>
  <si>
    <t>1295.94</t>
  </si>
  <si>
    <t>RENAULT Kangoo, Grand Kangoo 1.6, 1.5dCi 08- (Front, L/R)</t>
  </si>
  <si>
    <t>KYB340031</t>
  </si>
  <si>
    <t>340031 KYB - РђРјРѕСЂС‚РёР·Р°С‚РѕСЂ, "Excel-G" (Twin Tube Gas)</t>
  </si>
  <si>
    <t>1367.23</t>
  </si>
  <si>
    <t>HONDA Accord (CU)  08-  (Rear, L/R)</t>
  </si>
  <si>
    <t>KYB340033</t>
  </si>
  <si>
    <t>340033 KYB - РђРјРѕСЂС‚РёР·Р°С‚РѕСЂ, "Excel-G" (Twin Tube Gas)</t>
  </si>
  <si>
    <t>1268.21</t>
  </si>
  <si>
    <t>MITSUBISHI L200  06-  (Front, L/R)</t>
  </si>
  <si>
    <t>KYB340034</t>
  </si>
  <si>
    <t>340034 KYB - РђРјРѕСЂС‚РёР·Р°С‚РѕСЂ, "Excel-G" (Twin Tube Gas)</t>
  </si>
  <si>
    <t>1197.99</t>
  </si>
  <si>
    <t>MITSUBISHI Pajero Sport (KH8W)  10-  (Front, L/R)</t>
  </si>
  <si>
    <t>KYB340036</t>
  </si>
  <si>
    <t>340036 KYB - РђРјРѕСЂС‚РёР·Р°С‚РѕСЂ, "Excel-G" (Twin Tube Gas)</t>
  </si>
  <si>
    <t>HONDA Accord (CU)  08-  (Front, R)</t>
  </si>
  <si>
    <t>KYB340037</t>
  </si>
  <si>
    <t>340037 KYB - РђРјРѕСЂС‚РёР·Р°С‚РѕСЂ, "Excel-G" (Twin Tube Gas)</t>
  </si>
  <si>
    <t>HONDA Accord (CU)  08-  (Front, L)</t>
  </si>
  <si>
    <t>KYB340060</t>
  </si>
  <si>
    <t>340060 KYB - РђРјРѕСЂС‚РёР·Р°С‚РѕСЂ, "Excel-G" (Twin Tube GAS)</t>
  </si>
  <si>
    <t>998.36</t>
  </si>
  <si>
    <t>MITSUBISHI Asx 1.6, 1.8, 2.2D 10-  (Rear, L/R)</t>
  </si>
  <si>
    <t>KYB340115</t>
  </si>
  <si>
    <t>340115 KYB - РђРјРѕСЂС‚РёР·Р°С‚РѕСЂ, "Excel-G" (Twin Tube Gas)</t>
  </si>
  <si>
    <t>1665.70</t>
  </si>
  <si>
    <t>HONDA CR-V IV (RE) all  12-  (Rear, L/R)</t>
  </si>
  <si>
    <t>KYB341081</t>
  </si>
  <si>
    <t>341081 KYB - РђРјРѕСЂС‚РёР·Р°С‚РѕСЂ, "Excel-G" (Twin Tube Gas)</t>
  </si>
  <si>
    <t>BMW 5 (E34) 87-94 (Rear, L/R)</t>
  </si>
  <si>
    <t>KYB341102</t>
  </si>
  <si>
    <t>341102 KYB - РђРјРѕСЂС‚РёР·Р°С‚РѕСЂ, "Excel-G" (Twin Tube Gas)</t>
  </si>
  <si>
    <t>932.76</t>
  </si>
  <si>
    <t>CITROEN Xsara Picasso 99-, PEUGEOT 405 87-96 (Rear, L/R)</t>
  </si>
  <si>
    <t>KYB341120</t>
  </si>
  <si>
    <t>341120 KYB - РђРјРѕСЂС‚РёР·Р°С‚РѕСЂ, "Excel-G" (Twin Tube Gas)</t>
  </si>
  <si>
    <t>941.83</t>
  </si>
  <si>
    <t>NISSAN Primera (P10/P11/WP11) 90-01 (Front, L/R)</t>
  </si>
  <si>
    <t>KYB341131</t>
  </si>
  <si>
    <t>341131 KYB - РђРјРѕСЂС‚РёР·Р°С‚РѕСЂ, "Excel-G" (Twin Tube Gas)</t>
  </si>
  <si>
    <t>1118.35</t>
  </si>
  <si>
    <t>ROVER 200, 400 89-00 (Rear, L/R)</t>
  </si>
  <si>
    <t>KYB341133</t>
  </si>
  <si>
    <t>341133 KYB - РђРјРѕСЂС‚РёР·Р°С‚РѕСЂ, "Excel-G" (Twin Tube Gas)   !!! Р—Р°РјС–РЅР° РґР»СЏ 341902</t>
  </si>
  <si>
    <t>1362.43</t>
  </si>
  <si>
    <t>AUDI 100/A6 91-97 (Rear, L/R)</t>
  </si>
  <si>
    <t>KYB341204</t>
  </si>
  <si>
    <t>341204 KYB - РђРјРѕСЂС‚РёР·Р°С‚РѕСЂ, "Excel-G" (Twin Tube Gas)</t>
  </si>
  <si>
    <t>1081.20</t>
  </si>
  <si>
    <t>MITSUBISHI Carisma, Space Star 95-06 (Rear, L/R)</t>
  </si>
  <si>
    <t>KYB341251</t>
  </si>
  <si>
    <t>341251 KYB - РђРјРѕСЂС‚РёР·Р°С‚РѕСЂ, "Excel-G" (Twin Tube Gas)</t>
  </si>
  <si>
    <t>1165.82</t>
  </si>
  <si>
    <t>MITSUBISHI Pajero III 00-06 (Front, L/R)</t>
  </si>
  <si>
    <t>KYB341260</t>
  </si>
  <si>
    <t>341260 KYB - РђРјРѕСЂС‚РёР·Р°С‚РѕСЂ, "Excel-G" (Twin Tube Gas)</t>
  </si>
  <si>
    <t>1340.39</t>
  </si>
  <si>
    <t>HONDA CR-V (RD1) 95-02 (Front, L/R)</t>
  </si>
  <si>
    <t>KYB341261</t>
  </si>
  <si>
    <t>341261 KYB - РђРјРѕСЂС‚РёР·Р°С‚РѕСЂ, "Excel-G" (Twin Tube Gas)</t>
  </si>
  <si>
    <t>1265.37</t>
  </si>
  <si>
    <t>HONDA CR-V (RD1) 95-02 (Rear, L/R)</t>
  </si>
  <si>
    <t>KYB341279</t>
  </si>
  <si>
    <t>341279 KYB - РђРјРѕСЂС‚РёР·Р°С‚РѕСЂ, "Excel-G" (Twin Tube Gas)</t>
  </si>
  <si>
    <t>1345.36</t>
  </si>
  <si>
    <t>NISSAN Almera Classic (B10)  06- (Rear, L/R)</t>
  </si>
  <si>
    <t>KYB341282</t>
  </si>
  <si>
    <t>341282 KYB - РђРјРѕСЂС‚РёР·Р°С‚РѕСЂ, "Excel-G" (Twin Tube Gas)</t>
  </si>
  <si>
    <t>1049.73</t>
  </si>
  <si>
    <t>NISSAN Almera (N16/N16E) 01- (Rear, L/R)</t>
  </si>
  <si>
    <t>KYB341301</t>
  </si>
  <si>
    <t>341301 KYB - РђРјРѕСЂС‚РёР·Р°С‚РѕСЂ, "Excel-G" (Twin Tube Gas)</t>
  </si>
  <si>
    <t>1945.51</t>
  </si>
  <si>
    <t>SKODA Superb !!!For bad road only 02- (Front, L/R)</t>
  </si>
  <si>
    <t>KYB341330</t>
  </si>
  <si>
    <t>341330 KYB - РђРјРѕСЂС‚РёР·Р°С‚РѕСЂ, "Excel-G" (Twin Tube Gas)</t>
  </si>
  <si>
    <t>HONDA Accord 03- (Front, L/R)</t>
  </si>
  <si>
    <t>KYB341332</t>
  </si>
  <si>
    <t>341332 KYB - РђРјРѕСЂС‚РёР·Р°С‚РѕСЂ, "Excel-G" (Twin Tube Gas)</t>
  </si>
  <si>
    <t>1077.82</t>
  </si>
  <si>
    <t>MAZDA 6 (GG/GY) 2WD 03-07 (Front, R)</t>
  </si>
  <si>
    <t>KYB341333</t>
  </si>
  <si>
    <t>341333 KYB - РђРјРѕСЂС‚РёР·Р°С‚РѕСЂ, "Excel-G" (Twin Tube Gas)</t>
  </si>
  <si>
    <t>MAZDA 6 (GG/GY) 2WD 03-07 (Front, L)</t>
  </si>
  <si>
    <t>KYB341340</t>
  </si>
  <si>
    <t>341340 KYB - РђРјРѕСЂС‚РёР·Р°С‚РѕСЂ, "Excel-G" (Twin Tube Gas)</t>
  </si>
  <si>
    <t>1764.72</t>
  </si>
  <si>
    <t>TOYOTA Land Cruiser Prado (J125 - 3 doors) 03-09 (Front, L/R)</t>
  </si>
  <si>
    <t>KYB341348</t>
  </si>
  <si>
    <t>341348 KYB - РђРјРѕСЂС‚РёР·Р°С‚РѕСЂ, "Excel-G" (Twin Tube Gas)</t>
  </si>
  <si>
    <t>MITSUBISHI Outlander 04- (Rear, L/R)</t>
  </si>
  <si>
    <t>KYB341351</t>
  </si>
  <si>
    <t>341351 KYB - РђРјРѕСЂС‚РёР·Р°С‚РѕСЂ, "Excel-G" (Twin Tube Gas)   !!! Р—Р°РјС–РЅР° РґР»СЏ 341314</t>
  </si>
  <si>
    <t>1276.74</t>
  </si>
  <si>
    <t>KYB341352</t>
  </si>
  <si>
    <t>341352 KYB - РђРјРѕСЂС‚РёР·Р°С‚РѕСЂ, "Excel-G" (Twin Tube Gas)   !!! Р—Р°РјС–РЅР° РґР»СЏ 341315</t>
  </si>
  <si>
    <t>KYB341353</t>
  </si>
  <si>
    <t>341353 KYB - РђРјРѕСЂС‚РёР·Р°С‚РѕСЂ, "Excel-G" (Twin Tube Gas)</t>
  </si>
  <si>
    <t>1413.09</t>
  </si>
  <si>
    <t>SUBARU Legacy (BL) 4WD 03- (Rear, L/R)</t>
  </si>
  <si>
    <t>KYB341368</t>
  </si>
  <si>
    <t>341368 KYB - РђРјРѕСЂС‚РёР·Р°С‚РѕСЂ, "Excel-G" (Twin Tube Gas)</t>
  </si>
  <si>
    <t>1039.42</t>
  </si>
  <si>
    <t>MITSUBISHI Lancer IX (CS1/CS3/CS9) 1.3-2.0 03- (Rear, L/R)</t>
  </si>
  <si>
    <t>KYB341369</t>
  </si>
  <si>
    <t>341369 KYB - РђРјРѕСЂС‚РёР·Р°С‚РѕСЂ, "Excel-G" (Twin Tube Gas)   !!! Р—Р°РјС–РЅР° РґР»СЏ 341331</t>
  </si>
  <si>
    <t>HONDA Accord 03- (Rear, L/R)</t>
  </si>
  <si>
    <t>KYB341444</t>
  </si>
  <si>
    <t>341444 KYB - РђРјРѕСЂС‚РёР·Р°С‚РѕСЂ, "Excel-G" (Twin Tube Gas)</t>
  </si>
  <si>
    <t>1233.90</t>
  </si>
  <si>
    <t>MITSUBISHI Lancer X 08- (Rear, L/R)</t>
  </si>
  <si>
    <t>KYB341449</t>
  </si>
  <si>
    <t>341449 KYB - РђРјРѕСЂС‚РёР·Р°С‚РѕСЂ, "Excel-G" (Twin Tube Gas)</t>
  </si>
  <si>
    <t>MAZDA 6 (GH) 2WD 07- (Front, R)</t>
  </si>
  <si>
    <t>KYB341450</t>
  </si>
  <si>
    <t>341450 KYB - РђРјРѕСЂС‚РёР·Р°С‚РѕСЂ, "Excel-G" (Twin Tube Gas)</t>
  </si>
  <si>
    <t>MAZDA 6 (GH) 2WD 07- (Front, L)</t>
  </si>
  <si>
    <t>KYB341455</t>
  </si>
  <si>
    <t>341455 KYB - РђРјРѕСЂС‚РёР·Р°С‚РѕСЂ, "Excel-G" (Twin Tube Gas)</t>
  </si>
  <si>
    <t>1187.15</t>
  </si>
  <si>
    <t>MITSUBISHI Lancer X (CY) !!!bad road 07-10 /+15mm/ (Rear, L/R)</t>
  </si>
  <si>
    <t>KYB341460</t>
  </si>
  <si>
    <t>341460 KYB - РђРјРѕСЂС‚РёР·Р°С‚РѕСЂ, "Excel-G" (Twin Tube Gas)</t>
  </si>
  <si>
    <t>1231.95</t>
  </si>
  <si>
    <t>HYUNDAI Sonata 05-10 (Front, L/R)</t>
  </si>
  <si>
    <t>KYB341463</t>
  </si>
  <si>
    <t>341463 KYB - РђРјРѕСЂС‚РёР·Р°С‚РѕСЂ, "Excel-G" (Twin Tube Gas)</t>
  </si>
  <si>
    <t>1038.89</t>
  </si>
  <si>
    <t>HONDA CR-V (RD8) 02-06 (Rear, L/R)</t>
  </si>
  <si>
    <t>KYB341486</t>
  </si>
  <si>
    <t>341486 KYB - РђРјРѕСЂС‚РёР·Р°С‚РѕСЂ, "Excel-G" (Twin Tube Gas)</t>
  </si>
  <si>
    <t>1573.98</t>
  </si>
  <si>
    <t>SUBARU Forester (SH) 2.0, 2.0D, 2.5i  08-  (Rear, L/R)</t>
  </si>
  <si>
    <t>KYB341487</t>
  </si>
  <si>
    <t>341487 KYB - РђРјРѕСЂС‚РёР·Р°С‚РѕСЂ, "Excel-G" (Twin Tube Gas)</t>
  </si>
  <si>
    <t>967.25</t>
  </si>
  <si>
    <t>SUBARU Impreza (GR) 2.0i, 2.5i  08-  (Rear, L/R)</t>
  </si>
  <si>
    <t>KYB341492</t>
  </si>
  <si>
    <t>341492 KYB - РђРјРѕСЂС‚РёР·Р°С‚РѕСЂ, "Excel-G" (Twin Tube Gas)</t>
  </si>
  <si>
    <t>1780.72</t>
  </si>
  <si>
    <t>HONDA CR-V (RE) 2.0i-VTEC, 2.2CDTi 07- (Rear, L/R)</t>
  </si>
  <si>
    <t>KYB341716</t>
  </si>
  <si>
    <t>341716 KYB - РђРјРѕСЂС‚РёР·Р°С‚РѕСЂ, "Excel-G" (Twin Tube Gas)   !!! Р—Р°РјС–РЅР° РґР»СЏ 344500</t>
  </si>
  <si>
    <t>1249.01</t>
  </si>
  <si>
    <t>HYUNDAI Santa Fe 06- (Rear, L/R)</t>
  </si>
  <si>
    <t>KYB341731</t>
  </si>
  <si>
    <t>341731 KYB - РђРјРѕСЂС‚РёР·Р°С‚РѕСЂ, "Excel-G" (Twin Tube Gas)</t>
  </si>
  <si>
    <t>1196.39</t>
  </si>
  <si>
    <t>CHEVROLET Epica (KL1_) 06-10  (Rear, R)</t>
  </si>
  <si>
    <t>KYB341737</t>
  </si>
  <si>
    <t>341737 KYB - РђРјРѕСЂС‚РёР·Р°С‚РѕСЂ, "Excel-G" (Twin Tube Gas)</t>
  </si>
  <si>
    <t>CHEVROLET Epica (KL1_) 06-10  (Rear, L)</t>
  </si>
  <si>
    <t>KYB341815</t>
  </si>
  <si>
    <t>341815 KYB - РђРјРѕСЂС‚РёР·Р°С‚РѕСЂ, "Excel-G" (Twin Tube Gas)</t>
  </si>
  <si>
    <t>1331.32</t>
  </si>
  <si>
    <t>TOYOTA Avensis (T25) 02- (Rear, L/R)</t>
  </si>
  <si>
    <t>KYB341816</t>
  </si>
  <si>
    <t>341816 KYB - РђРјРѕСЂС‚РёР·Р°С‚РѕСЂ, "Excel-G" (Twin Tube Gas)</t>
  </si>
  <si>
    <t>TOYOTA Corolla 02- (Rear, L/R)</t>
  </si>
  <si>
    <t>KYB341824</t>
  </si>
  <si>
    <t>341824 KYB - РђРјРѕСЂС‚РёР·Р°С‚РѕСЂ, "Excel-G" (Twin Tube Gas)   !!! Р—Р°РјС–РЅР° РґР»СЏ 341059</t>
  </si>
  <si>
    <t>1019.16</t>
  </si>
  <si>
    <t>LADA 2108-099, 2110-2112 (Rear, L/R)</t>
  </si>
  <si>
    <t>KYB341840</t>
  </si>
  <si>
    <t>341840 KYB - РђРјРѕСЂС‚РёР·Р°С‚РѕСЂ, "Excel-G" (Twin Tube Gas)   !!! Р—Р°РјС–РЅР° РґР»СЏ 341913</t>
  </si>
  <si>
    <t>1865.52</t>
  </si>
  <si>
    <t>BMW 5 (E39) 95-03 (Rear, L/R)</t>
  </si>
  <si>
    <t>KYB341842</t>
  </si>
  <si>
    <t>341842 KYB - РђРјРѕСЂС‚РёР·Р°С‚РѕСЂ, "Excel-G" (Twin Tube Gas)   !!! Р—Р°РјС–РЅР° РґР»СЏ 341904</t>
  </si>
  <si>
    <t>1241.37</t>
  </si>
  <si>
    <t>AUDI A4/A6, VW Passat 96-00 (Front, L/R)</t>
  </si>
  <si>
    <t>KYB341843</t>
  </si>
  <si>
    <t>341843 KYB - РђРјРѕСЂС‚РёР·Р°С‚РѕСЂ, "Excel-G" (Twin Tube Gas)   !!! Р—Р°РјС–РЅР° РґР»СЏ 341207</t>
  </si>
  <si>
    <t>1328.48</t>
  </si>
  <si>
    <t>AUDI A6, VW Passat 00-01 (Front, L/R)</t>
  </si>
  <si>
    <t>KYB341844</t>
  </si>
  <si>
    <t>341844 KYB - РђРјРѕСЂС‚РёР·Р°С‚РѕСЂ, "Excel-G" (Twin Tube Gas)   !!! Р—Р°РјС–РЅР° РґР»СЏ 341273</t>
  </si>
  <si>
    <t>1329.01</t>
  </si>
  <si>
    <t>AUDI A6, SKODA Superb (3U4)| VW Passat  02-04  (Front, L/R)</t>
  </si>
  <si>
    <t>KYB341845</t>
  </si>
  <si>
    <t>341845 KYB - РђРјРѕСЂС‚РёР·Р°С‚РѕСЂ, "Excel-G" (Twin Tube Gas)   !!! Р—Р°РјС–РЅР° РґР»СЏ 341299</t>
  </si>
  <si>
    <t>1157.46</t>
  </si>
  <si>
    <t>AUDI A4 (8E2, 8EC, 8E5, 8ED) 01- (Front, L/R)</t>
  </si>
  <si>
    <t>KYB343047</t>
  </si>
  <si>
    <t>343047 KYB - РђРјРѕСЂС‚РёР·Р°С‚РѕСЂ, "Excel-G" (Twin Tube Gas)   !!! Р—Р°РјС–РЅР° РґР»СЏ 343222</t>
  </si>
  <si>
    <t>588.06</t>
  </si>
  <si>
    <t>OPEL Vectra A, Astra F, DAEWOO Lanos, Nexia (Rear, L/R)</t>
  </si>
  <si>
    <t>KYB343097</t>
  </si>
  <si>
    <t>343097 KYB - РђРјРѕСЂС‚РёР·Р°С‚РѕСЂ, "Excel-G" (Twin Tube Gas)</t>
  </si>
  <si>
    <t>482.65</t>
  </si>
  <si>
    <t>VAZ 2101-07, Niva (Front, L/R)</t>
  </si>
  <si>
    <t>KYB343098</t>
  </si>
  <si>
    <t>343098 KYB - РђРјРѕСЂС‚РёР·Р°С‚РѕСЂ, "Excel-G" (Twin Tube Gas)</t>
  </si>
  <si>
    <t>470.38</t>
  </si>
  <si>
    <t>VAZ 2101-07, Niva (Rear, L/R)</t>
  </si>
  <si>
    <t>KYB343205</t>
  </si>
  <si>
    <t>343205 KYB - РђРјРѕСЂС‚РёР·Р°С‚РѕСЂ, "Excel-G" (Twin Tube Gas)</t>
  </si>
  <si>
    <t>763.17</t>
  </si>
  <si>
    <t>FORD Scorpio 85-98 (Rear, L/R)</t>
  </si>
  <si>
    <t>KYB343216</t>
  </si>
  <si>
    <t>343216 KYB - РђРјРѕСЂС‚РёР·Р°С‚РѕСЂ, "Excel-G" (Twin Tube Gas)   !!! Р—Р°РјС–РЅР° РґР»СЏ 343230</t>
  </si>
  <si>
    <t>681.04</t>
  </si>
  <si>
    <t>OPEL Omega A/B !!!СЃРµРґР°РЅ 87-03 (Rear, L/R)</t>
  </si>
  <si>
    <t>KYB343251</t>
  </si>
  <si>
    <t>343251 KYB - РђРјРѕСЂС‚РёР·Р°С‚РѕСЂ, "Excel-G" (Twin Tube Gas)</t>
  </si>
  <si>
    <t>636.06</t>
  </si>
  <si>
    <t>MITSUBISHI L200 06- (Rear, L/R)</t>
  </si>
  <si>
    <t>KYB343272</t>
  </si>
  <si>
    <t>343272 KYB - РђРјРѕСЂС‚РёР·Р°С‚РѕСЂ, "Excel-G" (Twin Tube Gas)</t>
  </si>
  <si>
    <t>564.06</t>
  </si>
  <si>
    <t>TOYOTA Rav 4 I/II 94- (Rear, L/R)</t>
  </si>
  <si>
    <t>KYB343273</t>
  </si>
  <si>
    <t>343273 KYB - РђРјРѕСЂС‚РёР·Р°С‚РѕСЂ, "Excel-G" (Twin Tube Gas)</t>
  </si>
  <si>
    <t>1007.60</t>
  </si>
  <si>
    <t>FORD Courier, Fiesta 89-95 (Rear, L/R)</t>
  </si>
  <si>
    <t>KYB343281</t>
  </si>
  <si>
    <t>343281 KYB - РђРјРѕСЂС‚РёР·Р°С‚РѕСЂ, "Excel-G" (Twin Tube Gas)</t>
  </si>
  <si>
    <t>953.91</t>
  </si>
  <si>
    <t>AUDI A6, VW Passat 96-04, SKODA Superb 02- (Rear, L/R)</t>
  </si>
  <si>
    <t>KYB343305</t>
  </si>
  <si>
    <t>343305 KYB - РђРјРѕСЂС‚РёР·Р°С‚РѕСЂ, "Excel-G" (Twin Tube Gas)</t>
  </si>
  <si>
    <t>1030.35</t>
  </si>
  <si>
    <t>MB Vito (W638) 97-03 (Rear, L/R)</t>
  </si>
  <si>
    <t>KYB343306</t>
  </si>
  <si>
    <t>343306 KYB - РђРјРѕСЂС‚РёР·Р°С‚РѕСЂ, "Excel-G" (Twin Tube Gas)</t>
  </si>
  <si>
    <t>669.84</t>
  </si>
  <si>
    <t>OPEL Astra G 98-04 (Rear, L/R)</t>
  </si>
  <si>
    <t>KYB343307</t>
  </si>
  <si>
    <t>343307 KYB - РђРјРѕСЂС‚РёР·Р°С‚РѕСЂ, "Excel-G" (Twin Tube Gas)</t>
  </si>
  <si>
    <t>640.33</t>
  </si>
  <si>
    <t>OPEL Astra G !!!РЈРЅС–РІРµСЂСЃР°Р» 98-04 (Rear, L/R)</t>
  </si>
  <si>
    <t>KYB343308</t>
  </si>
  <si>
    <t>343308 KYB - РђРјРѕСЂС‚РёР·Р°С‚РѕСЂ, "Excel-G" (Twin Tube Gas)</t>
  </si>
  <si>
    <t>742.01</t>
  </si>
  <si>
    <t>OPEL Zafira I  99-05, Combo 01- (Rear, L/R)</t>
  </si>
  <si>
    <t>KYB343319</t>
  </si>
  <si>
    <t>343319 KYB - РђРјРѕСЂС‚РёР·Р°С‚РѕСЂ, "Excel-G" (Twin Tube Gas)</t>
  </si>
  <si>
    <t>FORD Galaxy, SEAT Alhambra, VW Sharan (Rear, L/R)</t>
  </si>
  <si>
    <t>KYB343328</t>
  </si>
  <si>
    <t>343328 KYB - РђРјРѕСЂС‚РёР·Р°С‚РѕСЂ, "Excel-G" (Twin Tube Gas)</t>
  </si>
  <si>
    <t>937.03</t>
  </si>
  <si>
    <t>AUDI A2, SEAT Cordoba/Ibiza, SKODA Fabia, VW Polo 99- (Rear, L/R)</t>
  </si>
  <si>
    <t>KYB343348</t>
  </si>
  <si>
    <t>343348 KYB - РђРјРѕСЂС‚РёР·Р°С‚РѕСЂ, "Excel-G" (Twin Tube Gas)   !!! Р—Р°РјС–РЅР° РґР»СЏ 343280</t>
  </si>
  <si>
    <t>1130.26</t>
  </si>
  <si>
    <t>AUDI A3, SKODA Octavia I, VW Bora, Golf IV 98- (Rear, L/R)</t>
  </si>
  <si>
    <t>KYB343392</t>
  </si>
  <si>
    <t>343392 KYB - РђРјРѕСЂС‚РёР·Р°С‚РѕСЂ, "Excel-G" (Twin Tube Gas)</t>
  </si>
  <si>
    <t>740.06</t>
  </si>
  <si>
    <t>FORD Transit RWD 00-06 (Rear, L/R)</t>
  </si>
  <si>
    <t>KYB343393</t>
  </si>
  <si>
    <t>343393 KYB - РђРјРѕСЂС‚РёР·Р°С‚РѕСЂ, "Excel-G" (Twin Tube Gas)</t>
  </si>
  <si>
    <t>FORD Transit FWD 00-06 (Rear, L/R)</t>
  </si>
  <si>
    <t>KYB343398</t>
  </si>
  <si>
    <t>343398 KYB - РђРјРѕСЂС‚РёР·Р°С‚РѕСЂ, "Excel-G" (Twin Tube Gas)</t>
  </si>
  <si>
    <t>847.96</t>
  </si>
  <si>
    <t>HYUNDAI Getz 02- (Rear, L/R)</t>
  </si>
  <si>
    <t>KYB343405</t>
  </si>
  <si>
    <t>343405 KYB - РђРјРѕСЂС‚РёР·Р°С‚РѕСЂ, "Excel-G" (Twin Tube Gas)</t>
  </si>
  <si>
    <t>756.94</t>
  </si>
  <si>
    <t>KIA Picanto 04- (Rear, L/R)</t>
  </si>
  <si>
    <t>KYB343411</t>
  </si>
  <si>
    <t>343411 KYB - РђРјРѕСЂС‚РёР·Р°С‚РѕСЂ, "Excel-G" (Twin Tube Gas)</t>
  </si>
  <si>
    <t>975.07</t>
  </si>
  <si>
    <t>MITSUBISHI Colt (Z30) 04- (Rear, L/R)</t>
  </si>
  <si>
    <t>KYB343412</t>
  </si>
  <si>
    <t>343412 KYB - РђРјРѕСЂС‚РёР·Р°С‚РѕСЂ, "Excel-G" (Twin Tube Gas)</t>
  </si>
  <si>
    <t>MAZDA 3 (BK) 03- (Rear, L/R)</t>
  </si>
  <si>
    <t>KYB343413</t>
  </si>
  <si>
    <t>343413 KYB - РђРјРѕСЂС‚РёР·Р°С‚РѕСЂ, "Excel-G" (Twin Tube Gas)</t>
  </si>
  <si>
    <t>892.76</t>
  </si>
  <si>
    <t>FORD Focus C-Max, Focus II 03- (Rear, L/R)</t>
  </si>
  <si>
    <t>KYB343418</t>
  </si>
  <si>
    <t>343418 KYB - РђРјРѕСЂС‚РёР·Р°С‚РѕСЂ, "Excel-G" (Twin Tube Gas)   !!! Р—Р°РјС–РЅР° РґР»СЏ 348008</t>
  </si>
  <si>
    <t>723.17</t>
  </si>
  <si>
    <t>DACIA/RENAULT Logan 04- (Rear, L/R)</t>
  </si>
  <si>
    <t>KYB343423</t>
  </si>
  <si>
    <t>343423 KYB - РђРјРѕСЂС‚РёР·Р°С‚РѕСЂ, "Excel-G" (Twin Tube Gas)</t>
  </si>
  <si>
    <t>680.33</t>
  </si>
  <si>
    <t>CHEVROLET Aveo 02- (Rear, L/R)</t>
  </si>
  <si>
    <t>KYB343431</t>
  </si>
  <si>
    <t>343431 KYB - РђРјРѕСЂС‚РёР·Р°С‚РѕСЂ, "Excel-G" (Twin Tube Gas)   !!! Р—Р°РјС–РЅР° РґР»СЏ 343804</t>
  </si>
  <si>
    <t>720.86</t>
  </si>
  <si>
    <t>TOYOTA Yaris (P10) 99-06 (Rear, L/R)</t>
  </si>
  <si>
    <t>KYB343437</t>
  </si>
  <si>
    <t>343437 KYB - РђРјРѕСЂС‚РёР·Р°С‚РѕСЂ, "Excel-G" (Twin Tube Gas)</t>
  </si>
  <si>
    <t>969.56</t>
  </si>
  <si>
    <t>MITSUBISHI Grandis !!!High Ground Clearance sus. 04- (Rear, L/R)</t>
  </si>
  <si>
    <t>KYB343440</t>
  </si>
  <si>
    <t>343440 KYB - РђРјРѕСЂС‚РёР·Р°С‚РѕСЂ, "Excel-G" (Twin Tube Gas)</t>
  </si>
  <si>
    <t>1060.04</t>
  </si>
  <si>
    <t>SMART City-Coupe, Roadster, Fortwo  0.6, 0.7, 0.8D  03-  (Rear, L/R)</t>
  </si>
  <si>
    <t>KYB343459</t>
  </si>
  <si>
    <t>343459 KYB - РђРјРѕСЂС‚РёР·Р°С‚РѕСЂ, "Excel-G" (Twin Tube Gas)</t>
  </si>
  <si>
    <t>657.22</t>
  </si>
  <si>
    <t>FIAT Grande Punto, OPEL Corsa D 06-, Aveo (T300)  11- (Rear, L/R)</t>
  </si>
  <si>
    <t>KYB343465</t>
  </si>
  <si>
    <t>343465 KYB - РђРјРѕСЂС‚РёР·Р°С‚РѕСЂ, "Excel-G" (Twin Tube Gas)</t>
  </si>
  <si>
    <t>1102.35</t>
  </si>
  <si>
    <t>NISSAN Tiida All 07- (Rear, L/R)</t>
  </si>
  <si>
    <t>KYB343478</t>
  </si>
  <si>
    <t>343478 KYB - РђРјРѕСЂС‚РёР·Р°С‚РѕСЂ, "Excel-G" (Twin Tube Gas)</t>
  </si>
  <si>
    <t>697.75</t>
  </si>
  <si>
    <t>DAEWOO Matiz 05- (Rear, L/R)</t>
  </si>
  <si>
    <t>KYB343479</t>
  </si>
  <si>
    <t>343479 KYB - РђРјРѕСЂС‚РёР·Р°С‚РѕСЂ, "Excel-G" (Twin Tube Gas)</t>
  </si>
  <si>
    <t>HONDA Civic sedan (AT/MT) 06- (Rear, L/R)</t>
  </si>
  <si>
    <t>KYB343482</t>
  </si>
  <si>
    <t>343482 KYB - РђРјРѕСЂС‚РёР·Р°С‚РѕСЂ, "Excel-G" (Twin Tube Gas)</t>
  </si>
  <si>
    <t>923.34</t>
  </si>
  <si>
    <t>DACIA/RENAULT Logan MCV 07- (Rear, L/R)</t>
  </si>
  <si>
    <t>KYB343484</t>
  </si>
  <si>
    <t>343484 KYB - РђРјРѕСЂС‚РёР·Р°С‚РѕСЂ, "Excel-G" (Twin Tube Gas)</t>
  </si>
  <si>
    <t>744.32</t>
  </si>
  <si>
    <t>MB Sprinter, VW Crafter (Rear, L/R)</t>
  </si>
  <si>
    <t>KYB3438000</t>
  </si>
  <si>
    <t>3438000 KYB - РђРјРѕСЂС‚РёР·Р°С‚РѕСЂ, "Excel-G" (Twin Tube Gas)</t>
  </si>
  <si>
    <t>1160.84</t>
  </si>
  <si>
    <t>CITROEN C-Elysee| PEUGEOT 301  12-  (Rear, L/R)</t>
  </si>
  <si>
    <t>KYB343807</t>
  </si>
  <si>
    <t>343807 KYB - РђРјРѕСЂС‚РёР·Р°С‚РѕСЂ, "Excel-G" (Twin Tube Gas)</t>
  </si>
  <si>
    <t>894.72</t>
  </si>
  <si>
    <t>NISSAN Micra (K12) 03- (Rear, L/R)</t>
  </si>
  <si>
    <t>KYB343810</t>
  </si>
  <si>
    <t>343810 KYB - РђРјРѕСЂС‚РёР·Р°С‚РѕСЂ, "Excel-G" (Twin Tube Gas)</t>
  </si>
  <si>
    <t>NISSAN Note 06- (Rear, L/R)</t>
  </si>
  <si>
    <t>KYB343811</t>
  </si>
  <si>
    <t>343811 KYB - РђРјРѕСЂС‚РёР·Р°С‚РѕСЂ, "Excel-G" (Twin Tube Gas)</t>
  </si>
  <si>
    <t>1059.86</t>
  </si>
  <si>
    <t>FIAT Sedici (2WD), SUZUKI SX4 (2WD)  05- (Rear, L/R)</t>
  </si>
  <si>
    <t>KYB343812</t>
  </si>
  <si>
    <t>343812 KYB - РђРјРѕСЂС‚РёР·Р°С‚РѕСЂ, "Excel-G" (Twin Tube Gas)</t>
  </si>
  <si>
    <t>1229.46</t>
  </si>
  <si>
    <t>FIAT Sedici (4WD), SUZUKI SX4 (4WD)  05- (Rear, L/R)</t>
  </si>
  <si>
    <t>KYB344222</t>
  </si>
  <si>
    <t>344222 KYB - РђРјРѕСЂС‚РёР·Р°С‚РѕСЂ, "Excel-G" (Twin Tube Gas)</t>
  </si>
  <si>
    <t>595.53</t>
  </si>
  <si>
    <t>MITSUBISHI Pajero 91-99 (Front, L/R)</t>
  </si>
  <si>
    <t>KYB344254</t>
  </si>
  <si>
    <t>344254 KYB - РђРјРѕСЂС‚РёР·Р°С‚РѕСЂ, "Excel-G" (Twin Tube Gas)</t>
  </si>
  <si>
    <t>553.58</t>
  </si>
  <si>
    <t>TOYOTA 4-Runner 89-95 (Rear, L/R)</t>
  </si>
  <si>
    <t>KYB344279</t>
  </si>
  <si>
    <t>344279 KYB - РђРјРѕСЂС‚РёР·Р°С‚РѕСЂ, "Excel-G" (Twin Tube Gas)</t>
  </si>
  <si>
    <t>763.34</t>
  </si>
  <si>
    <t>ISUZU Trooper, OPEL Monterey 92-97 (Front, L/R)</t>
  </si>
  <si>
    <t>KYB344285</t>
  </si>
  <si>
    <t>344285 KYB - РђРјРѕСЂС‚РёР·Р°С‚РѕСЂ, "Excel-G" (Twin Tube Gas)</t>
  </si>
  <si>
    <t>HYUNDAI H-1/Starex 97-07 (Front, L/R)</t>
  </si>
  <si>
    <t>KYB344294</t>
  </si>
  <si>
    <t>344294 KYB - РђРјРѕСЂС‚РёР·Р°С‚РѕСЂ, "Excel-G" (Twin Tube Gas)</t>
  </si>
  <si>
    <t>864.50</t>
  </si>
  <si>
    <t>MITSUBISHI Pajero Sport 99-07 (Front, L/R)</t>
  </si>
  <si>
    <t>KYB344295</t>
  </si>
  <si>
    <t>344295 KYB - РђРјРѕСЂС‚РёР·Р°С‚РѕСЂ, "Excel-G" (Twin Tube Gas)</t>
  </si>
  <si>
    <t>870.36</t>
  </si>
  <si>
    <t>MITSUBISHI Pajero Sport 99-07 (Rear, L/R)</t>
  </si>
  <si>
    <t>KYB344300</t>
  </si>
  <si>
    <t>344300 KYB - РђРјРѕСЂС‚РёР·Р°С‚РѕСЂ, "Excel-G" (Twin Tube Gas)</t>
  </si>
  <si>
    <t>964.94</t>
  </si>
  <si>
    <t>MITSUBISHI Pajero III 00-07 (Rear, L/R)</t>
  </si>
  <si>
    <t>KYB344306</t>
  </si>
  <si>
    <t>344306 KYB - РђРјРѕСЂС‚РёР·Р°С‚РѕСЂ, "Excel-G" (Twin Tube Gas)</t>
  </si>
  <si>
    <t>OPEL Movano, RENAULT Master 98- (Front, L/R)</t>
  </si>
  <si>
    <t>KYB344307</t>
  </si>
  <si>
    <t>344307 KYB - РђРјРѕСЂС‚РёР·Р°С‚РѕСЂ, "Excel-G" (Twin Tube Gas)</t>
  </si>
  <si>
    <t>1062.89</t>
  </si>
  <si>
    <t>OPEL Movano, RENAULT Master 98- (Rear, L/R)</t>
  </si>
  <si>
    <t>KYB344359</t>
  </si>
  <si>
    <t>344359 KYB - РђРјРѕСЂС‚РёР·Р°С‚РѕСЂ, "Excel-G" (Twin Tube Gas)</t>
  </si>
  <si>
    <t>KIA Sportage 94-03 (Rear, L/R)</t>
  </si>
  <si>
    <t>KYB344360</t>
  </si>
  <si>
    <t>344360 KYB - РђРјРѕСЂС‚РёР·Р°С‚РѕСЂ, "Excel-G" (Twin Tube Gas)   !!! Р—Р°РјС–РЅР° РґР»СЏ 344107</t>
  </si>
  <si>
    <t>572.24</t>
  </si>
  <si>
    <t>NISSAN Patrol (Y60) 88-97, (Y61) 97- (Front, L/R)</t>
  </si>
  <si>
    <t>KYB344363</t>
  </si>
  <si>
    <t>344363 KYB - РђРјРѕСЂС‚РёР·Р°С‚РѕСЂ, "Excel-G" (Twin Tube Gas)</t>
  </si>
  <si>
    <t>MAZDA 6 (GG/GY) 02-07 (Rear, L/R)</t>
  </si>
  <si>
    <t>KYB344407</t>
  </si>
  <si>
    <t>344407 KYB - РђРјРѕСЂС‚РёР·Р°С‚РѕСЂ, "Excel-G" (Twin Tube Gas)</t>
  </si>
  <si>
    <t>1017.56</t>
  </si>
  <si>
    <t>CITROEN C4, PEUGEOT 307/307SW 00- (Rear, L/R)</t>
  </si>
  <si>
    <t>KYB344408</t>
  </si>
  <si>
    <t>344408 KYB - РђРјРѕСЂС‚РёР·Р°С‚РѕСЂ, "Excel-G" (Twin Tube Gas)</t>
  </si>
  <si>
    <t>PEUGEOT 307, 307SW, 308SW  01- (Rear, L/R)</t>
  </si>
  <si>
    <t>KYB344409</t>
  </si>
  <si>
    <t>344409 KYB - РђРјРѕСЂС‚РёР·Р°С‚РѕСЂ, "Excel-G" (Twin Tube Gas)</t>
  </si>
  <si>
    <t>1025.56</t>
  </si>
  <si>
    <t>MB Sprinter (904) 4-t 96-06 (Rear, L/R)</t>
  </si>
  <si>
    <t>KYB344410</t>
  </si>
  <si>
    <t>344410 KYB - РђРјРѕСЂС‚РёР·Р°С‚РѕСЂ, "Excel-G" (Twin Tube Gas)</t>
  </si>
  <si>
    <t>1049.55</t>
  </si>
  <si>
    <t>TOYOTA Land Cruiser Prado (J125 - 3 doors) 03-09 (Rear, L/R)</t>
  </si>
  <si>
    <t>KYB344416</t>
  </si>
  <si>
    <t>344416 KYB - РђРјРѕСЂС‚РёР·Р°С‚РѕСЂ, "Excel-G" (Twin Tube Gas)</t>
  </si>
  <si>
    <t>TOYOTA Land Cruiser Prado (J120 - 5 doors), FJ Cruiser  02-09 (Rear, L/R)</t>
  </si>
  <si>
    <t>KYB344442</t>
  </si>
  <si>
    <t>344442 KYB - РђРјРѕСЂС‚РёР·Р°С‚РѕСЂ, "Excel-G" (Twin Tube Gas)</t>
  </si>
  <si>
    <t>735.61</t>
  </si>
  <si>
    <t>CHEVROLET Niva (Rear, L/R)</t>
  </si>
  <si>
    <t>KYB344444</t>
  </si>
  <si>
    <t>344444 KYB - РђРјРѕСЂС‚РёР·Р°С‚РѕСЂ, "Excel-G" (Twin Tube Gas)</t>
  </si>
  <si>
    <t>1225.37</t>
  </si>
  <si>
    <t>NISSAN Teana (J31) 03-08 (Rear, L/R)\n</t>
  </si>
  <si>
    <t>KYB344445</t>
  </si>
  <si>
    <t>344445 KYB - РђРјРѕСЂС‚РёР·Р°С‚РѕСЂ, "Excel-G" (Twin Tube Gas)</t>
  </si>
  <si>
    <t>719.26</t>
  </si>
  <si>
    <t>OPEL ASTRA H 05- (Rear, L/R)</t>
  </si>
  <si>
    <t>KYB344456</t>
  </si>
  <si>
    <t>344456 KYB - РђРјРѕСЂС‚РёР·Р°С‚РѕСЂ, "Excel-G" (Twin Tube Gas)</t>
  </si>
  <si>
    <t>VW T5/MULTIVAN V 03- (Rear, L/R)</t>
  </si>
  <si>
    <t>KYB344457</t>
  </si>
  <si>
    <t>344457 KYB - РђРјРѕСЂС‚РёР·Р°С‚РѕСЂ, "Excel-G" (Twin Tube Gas)</t>
  </si>
  <si>
    <t>VW Caddy (2K) Life 04- (Rear, L/R)</t>
  </si>
  <si>
    <t>KYB344458</t>
  </si>
  <si>
    <t>344458 KYB - РђРјРѕСЂС‚РёР·Р°С‚РѕСЂ, "Excel-G" (Twin Tube Gas)</t>
  </si>
  <si>
    <t>793.74</t>
  </si>
  <si>
    <t>VW Caddy (2K) 04- (Rear, L/R)</t>
  </si>
  <si>
    <t>KYB344459</t>
  </si>
  <si>
    <t>344459 KYB - РђРјРѕСЂС‚РёР·Р°С‚РѕСЂ, "Excel-G" (Twin Tube Gas)</t>
  </si>
  <si>
    <t>AUDI A3, SKODA Octavia, VW Golf V/Jetta III/Passat/Touran 04- (Rear, L/R)</t>
  </si>
  <si>
    <t>KYB344471</t>
  </si>
  <si>
    <t>344471 KYB - РђРјРѕСЂС‚РёР·Р°С‚РѕСЂ, "Excel-G" (Twin Tube Gas)</t>
  </si>
  <si>
    <t>605.84</t>
  </si>
  <si>
    <t>GAZ GAZEL (Rear, L/R)</t>
  </si>
  <si>
    <t>KYB344486</t>
  </si>
  <si>
    <t>344486 KYB - РђРјРѕСЂС‚РёР·Р°С‚РѕСЂ, "Excel-G" (Twin Tube Gas)</t>
  </si>
  <si>
    <t>932.58</t>
  </si>
  <si>
    <t>FORD Connect 02- (Rear, L/R)</t>
  </si>
  <si>
    <t>KYB344501</t>
  </si>
  <si>
    <t>344501 KYB - РђРјРѕСЂС‚РёР·Р°С‚РѕСЂ, "Excel-G" (Twin Tube Gas)</t>
  </si>
  <si>
    <t>1021.82</t>
  </si>
  <si>
    <t>KIA Carens III (UN) 06- (Rear, L/R)</t>
  </si>
  <si>
    <t>KYB344700</t>
  </si>
  <si>
    <t>344700 KYB - РђРјРѕСЂС‚РёР·Р°С‚РѕСЂ, "Excel-G" (Twin Tube Gas)</t>
  </si>
  <si>
    <t>1307.32</t>
  </si>
  <si>
    <t>BMW 5 (E39) Estate 96-04 (Rear, L/R)</t>
  </si>
  <si>
    <t>KYB344709</t>
  </si>
  <si>
    <t>344709 KYB - РђРјРѕСЂС‚РёР·Р°С‚РѕСЂ, "Excel-G" (Twin Tube GAS)</t>
  </si>
  <si>
    <t>805.30</t>
  </si>
  <si>
    <t>RENAULT Kangoo 08-  (Rear, L/R)</t>
  </si>
  <si>
    <t>KYB344800</t>
  </si>
  <si>
    <t>344800 KYB - РђРјРѕСЂС‚РёР·Р°С‚РѕСЂ, "Excel-G" (Twin Tube Gas)</t>
  </si>
  <si>
    <t>RENAULT Megane 02- (Rear, L/R)</t>
  </si>
  <si>
    <t>KYB344803</t>
  </si>
  <si>
    <t>344803 KYB - РђРјРѕСЂС‚РёР·Р°С‚РѕСЂ, "Excel-G" (Twin Tube Gas)</t>
  </si>
  <si>
    <t>1170.79</t>
  </si>
  <si>
    <t>OPEL Vivaro, RENAULT Trafic 01- (Rear, L/R)</t>
  </si>
  <si>
    <t>KYB344806</t>
  </si>
  <si>
    <t>344806 KYB - РђРјРѕСЂС‚РёР·Р°С‚РѕСЂ, "Excel-G" (Twin Tube Gas)</t>
  </si>
  <si>
    <t>AUDI A6 (4F, C6) 04- (Rear, L/R)</t>
  </si>
  <si>
    <t>KYB344811</t>
  </si>
  <si>
    <t>344811 KYB - РђРјРѕСЂС‚РёР·Р°С‚РѕСЂ, "Excel-G" (Twin Tube Gas)</t>
  </si>
  <si>
    <t>TOYOTA Auris 06- (Rear, L/R)</t>
  </si>
  <si>
    <t>KYB344812</t>
  </si>
  <si>
    <t>344812 KYB - РђРјРѕСЂС‚РёР·Р°С‚РѕСЂ, "Excel-G" (Twin Tube Gas)</t>
  </si>
  <si>
    <t>1164.93</t>
  </si>
  <si>
    <t>RENAULT Kangoo (KC0_) 1.6, 1.9dCi 4x4  02-  (Rear, L/R)</t>
  </si>
  <si>
    <t>KYB344813</t>
  </si>
  <si>
    <t>344813 KYB - РђРјРѕСЂС‚РёР·Р°С‚РѕСЂ, "Excel-G" (Twin Tube Gas)</t>
  </si>
  <si>
    <t>RENAULT Laguna III 07- (Rear, L/R)</t>
  </si>
  <si>
    <t>KYB344816</t>
  </si>
  <si>
    <t>344816 KYB - РђРјРѕСЂС‚РёР·Р°С‚РѕСЂ, "Excel-G" (Twin Tube GAS)</t>
  </si>
  <si>
    <t>901.83</t>
  </si>
  <si>
    <t>NISSAN Juke 2010- (Rear, L/R)</t>
  </si>
  <si>
    <t>KYB345027</t>
  </si>
  <si>
    <t>345027 KYB - РђРјРѕСЂС‚РёР·Р°С‚РѕСЂ, "Excel-G" (Twin Tube Gas)</t>
  </si>
  <si>
    <t>1113.02</t>
  </si>
  <si>
    <t>SKODA Superb (3U4) 02-07 (Rear, L/R)</t>
  </si>
  <si>
    <t>KYB345031</t>
  </si>
  <si>
    <t>345031 KYB - РђРјРѕСЂС‚РёР·Р°С‚РѕСЂ, "Excel-G" (Twin Tube Gas)</t>
  </si>
  <si>
    <t>996.93</t>
  </si>
  <si>
    <t>FIAT Doblo, Doblo Cargo 00- (Rear, L/R)</t>
  </si>
  <si>
    <t>KYB345032</t>
  </si>
  <si>
    <t>345032 KYB - РђРјРѕСЂС‚РёР·Р°С‚РѕСЂ, "Excel-G" (Twin Tube Gas)</t>
  </si>
  <si>
    <t>#Fiat Doblo, Doblo Cargo-R</t>
  </si>
  <si>
    <t>KYB345056</t>
  </si>
  <si>
    <t>345056 KYB - РђРјРѕСЂС‚РёР·Р°С‚РѕСЂ, "Excel-G" (Twin Tube Gas)</t>
  </si>
  <si>
    <t>1414.16</t>
  </si>
  <si>
    <t>NISSAN Pathfinder (R51) 05- (Rear, L/R)</t>
  </si>
  <si>
    <t>KYB345084</t>
  </si>
  <si>
    <t>345084 KYB - РђРјРѕСЂС‚РёР·Р°С‚РѕСЂ, "Excel-G" (Twin Tube Gas)</t>
  </si>
  <si>
    <t>CHEVROLET Captiva, OPEL Antara  07- (Rear, L/R)</t>
  </si>
  <si>
    <t>KYB348007</t>
  </si>
  <si>
    <t>348007 KYB - РђРјРѕСЂС‚РёР·Р°С‚РѕСЂ, "Excel-G" (Twin Tube Gas)</t>
  </si>
  <si>
    <t>954.45</t>
  </si>
  <si>
    <t>KIA Rio II  05- (Rear, L/R)</t>
  </si>
  <si>
    <t>KYB348034</t>
  </si>
  <si>
    <t>348034 KYB - РђРјРѕСЂС‚РёР·Р°С‚РѕСЂ, "Excel-G" (Twin Tube GAS)</t>
  </si>
  <si>
    <t>1081.55</t>
  </si>
  <si>
    <t>FIAT Linea 1.3 D/1.4, 2007- (Rear, L/R)</t>
  </si>
  <si>
    <t>KYB349024</t>
  </si>
  <si>
    <t>349024 KYB - РђРјРѕСЂС‚РёР·Р°С‚РѕСЂ, "Excel-G" (Twin Tube Gas)</t>
  </si>
  <si>
    <t>TOYOTA RAV 4 06- (Rear, L/R)</t>
  </si>
  <si>
    <t>KYB349038</t>
  </si>
  <si>
    <t>349038 KYB - РђРјРѕСЂС‚РёР·Р°С‚РѕСЂ, "Excel-G" (Twin Tube Gas)</t>
  </si>
  <si>
    <t>869.12</t>
  </si>
  <si>
    <t>HYUNDAI Sonata 05-10 (Rear, L/R)</t>
  </si>
  <si>
    <t>KYB349040</t>
  </si>
  <si>
    <t>349040 KYB - РђРјРѕСЂС‚РёР·Р°С‚РѕСЂ, "Excel-G" (Twin Tube Gas)</t>
  </si>
  <si>
    <t>887.96</t>
  </si>
  <si>
    <t>MITSUBISHI Outlander, CITROEN C-Crosser, PEUGEOT 4007 07- (Rear, L/R)</t>
  </si>
  <si>
    <t>KYB349041</t>
  </si>
  <si>
    <t>349041 KYB - РђРјРѕСЂС‚РёР·Р°С‚РѕСЂ, "Excel-G" (Twin Tube Gas)</t>
  </si>
  <si>
    <t>BMW 3 (E90/E92) STD 05- (Rear, L/R)</t>
  </si>
  <si>
    <t>KYB349044</t>
  </si>
  <si>
    <t>349044 KYB - РђРјРѕСЂС‚РёР·Р°С‚РѕСЂ, "Excel-G" (Twin Tube Gas)</t>
  </si>
  <si>
    <t>693.48</t>
  </si>
  <si>
    <t>MB Sprinter 4/5-t, VW CRAFTER 30/50 06- (Rear, L/R)</t>
  </si>
  <si>
    <t>KYB349045</t>
  </si>
  <si>
    <t>349045 KYB - РђРјРѕСЂС‚РёР·Р°С‚РѕСЂ, "Excel-G" (Twin Tube Gas)</t>
  </si>
  <si>
    <t>MB Sprinter 2/3-t, VW CRAFTER 30/35 HD 06- (Rear, L/R)</t>
  </si>
  <si>
    <t>KYB349057</t>
  </si>
  <si>
    <t>349057 KYB - РђРјРѕСЂС‚РёР·Р°С‚РѕСЂ, "Excel-G" (Twin Tube Gas)</t>
  </si>
  <si>
    <t>MITSUBISHI Pajero IV 07- (Rear, L/R)</t>
  </si>
  <si>
    <t>KYB349066</t>
  </si>
  <si>
    <t>349066 KYB - РђРјРѕСЂС‚РёР·Р°С‚РѕСЂ, "Excel-G" (Twin Tube Gas)</t>
  </si>
  <si>
    <t>1286.52</t>
  </si>
  <si>
    <t>PEUGEOT 308 07- (Rear, L/R)</t>
  </si>
  <si>
    <t>KYB349070</t>
  </si>
  <si>
    <t>349070 KYB - РђРјРѕСЂС‚РёР·Р°С‚РѕСЂ, "Excel-G" (Twin Tube Gas)</t>
  </si>
  <si>
    <t>1145.73</t>
  </si>
  <si>
    <t>MAZDA CX-9 07- (Rear, L/R)</t>
  </si>
  <si>
    <t>KYB349079</t>
  </si>
  <si>
    <t>349079 KYB - РђРјРѕСЂС‚РёР·Р°С‚РѕСЂ, "Excel-G" (Twin Tube Gas)</t>
  </si>
  <si>
    <t>NISSAN Qashqai 06- (Rear, L/R)</t>
  </si>
  <si>
    <t>KYB349080</t>
  </si>
  <si>
    <t>349080 KYB - РђРјРѕСЂС‚РёР·Р°С‚РѕСЂ, "Excel-G" (Twin Tube Gas)</t>
  </si>
  <si>
    <t>846.54</t>
  </si>
  <si>
    <t>FORD Transit FWD 06- (Rear, L/R)</t>
  </si>
  <si>
    <t>KYB349084</t>
  </si>
  <si>
    <t>349084 KYB - РђРјРѕСЂС‚РёР·Р°С‚РѕСЂ, "Excel-G" (Twin Tube Gas)</t>
  </si>
  <si>
    <t>1151.42</t>
  </si>
  <si>
    <t>HYUNDAI i30/i30SW, KIA Cee'd/Pro 06- (Rear, L/R)</t>
  </si>
  <si>
    <t>KYB349090</t>
  </si>
  <si>
    <t>349090 KYB - РђРјРѕСЂС‚РёР·Р°С‚РѕСЂ, "Excel-G" (Twin Tube Gas)</t>
  </si>
  <si>
    <t>1005.29</t>
  </si>
  <si>
    <t>MITSUBISHI Pajero Sport KH8W 09-  (Rear, L/R)</t>
  </si>
  <si>
    <t>KYB349094</t>
  </si>
  <si>
    <t>349094 KYB - РђРјРѕСЂС‚РёР·Р°С‚РѕСЂ, "Excel-G" (Twin Tube Gas)</t>
  </si>
  <si>
    <t>KIA Carnival  06- (Rear, L/R)</t>
  </si>
  <si>
    <t>KYB349106</t>
  </si>
  <si>
    <t>349106 KYB - РђРјРѕСЂС‚РёР·Р°С‚РѕСЂ, "Excel-G" (Twin Tube Gas)</t>
  </si>
  <si>
    <t>1359.58</t>
  </si>
  <si>
    <t>#Kuga</t>
  </si>
  <si>
    <t>KYB349115</t>
  </si>
  <si>
    <t>349115 KYB - РђРјРѕСЂС‚РёР·Р°С‚РѕСЂ, "Excel-G" (Twin Tube Gas)</t>
  </si>
  <si>
    <t>1163.33</t>
  </si>
  <si>
    <t>KIA Sorento (JC) 02- (Rear, L/R)</t>
  </si>
  <si>
    <t>KYB349132</t>
  </si>
  <si>
    <t>349132 KYB - РђРјРѕСЂС‚РёР·Р°С‚РѕСЂ, "Excel-G" (Twin Tube Gas)</t>
  </si>
  <si>
    <t>1311.94</t>
  </si>
  <si>
    <t>KIA Soul 1,6 09-  (Rear, L/R)\n</t>
  </si>
  <si>
    <t>KYB349137</t>
  </si>
  <si>
    <t>349137 KYB - РђРјРѕСЂС‚РёР·Р°С‚РѕСЂ, "Excel-G" (Twin Tube GAS)</t>
  </si>
  <si>
    <t>1158.17</t>
  </si>
  <si>
    <t>SKODA Yeti, 2009- (Rear, L/R)</t>
  </si>
  <si>
    <t>KYB349148</t>
  </si>
  <si>
    <t>349148 KYB - РђРјРѕСЂС‚РёР·Р°С‚РѕСЂ, "Excel-G" (Twin Tube GAS)</t>
  </si>
  <si>
    <t>1098.26</t>
  </si>
  <si>
    <t>FIAT Doblo 1.4/1.8/1.3D/1.6D/2.0D, 2009- (Rear, L/R)</t>
  </si>
  <si>
    <t>KYB349149</t>
  </si>
  <si>
    <t>349149 KYB - РђРјРѕСЂС‚РёР·Р°С‚РѕСЂ, "Excel-G" (Twin Tube GAS)</t>
  </si>
  <si>
    <t>1119.06</t>
  </si>
  <si>
    <t>FIAT Doblo Cargo 1.4-2.0D, 2010- (Rear, L/R)</t>
  </si>
  <si>
    <t>KYB349194</t>
  </si>
  <si>
    <t>349194 KYB - РђРјРѕСЂС‚РёР·Р°С‚РѕСЂ, "Excel-G" (Twin Tube Gas)</t>
  </si>
  <si>
    <t>1001.02</t>
  </si>
  <si>
    <t>FORD C-Max II, Focus III, Grand C-Max  10-  (Rear, L/R)</t>
  </si>
  <si>
    <t>KYB365057</t>
  </si>
  <si>
    <t>365057 KYB - РљР°СЂС‚СЂРёРґР¶ СЃС‚С–Р№РєРё Р°РјРѕСЂС‚РёР·Р°С‚РѕСЂР°, "Excel-G" (Twin Tube Gas)</t>
  </si>
  <si>
    <t>884.23</t>
  </si>
  <si>
    <t>LADA 2108/2109 (Front, L/R)</t>
  </si>
  <si>
    <t>KYB365501</t>
  </si>
  <si>
    <t>365501 KYB - РљР°СЂС‚СЂРёРґР¶ СЃС‚С–Р№РєРё Р°РјРѕСЂС‚РёР·Р°С‚РѕСЂР°, "Excel-G" (Twin Tube Gas)   !!! Р—Р°РјС–РЅР° РґР»СЏ 365025</t>
  </si>
  <si>
    <t>727.43</t>
  </si>
  <si>
    <t>DAEWOO Espero, Lanos, Nexia (Front, L/R)</t>
  </si>
  <si>
    <t>KYB365503</t>
  </si>
  <si>
    <t>365503 KYB - РљР°СЂС‚СЂРёРґР¶ СЃС‚С–Р№РєРё Р°РјРѕСЂС‚РёР·Р°С‚РѕСЂР°, "Excel-G" (Twin Tube Gas)   !!! Р—Р°РјС–РЅР° РґР»СЏ 365071</t>
  </si>
  <si>
    <t>847.79</t>
  </si>
  <si>
    <t>OPEL Vecrta A 88-95 (Front, L/R)</t>
  </si>
  <si>
    <t>KYB365504</t>
  </si>
  <si>
    <t>365504 KYB - РљР°СЂС‚СЂРёРґР¶ СЃС‚С–Р№РєРё Р°РјРѕСЂС‚РёР·Р°С‚РѕСЂР°, "Excel-G" (Twin Tube Gas)   !!! Р—Р°РјС–РЅР° РґР»СЏ 365078</t>
  </si>
  <si>
    <t>867.16</t>
  </si>
  <si>
    <t>OPEL Astra F 91-98 (Front, L/R)</t>
  </si>
  <si>
    <t>KYB365505</t>
  </si>
  <si>
    <t>365505 KYB - РљР°СЂС‚СЂРёРґР¶ СЃС‚С–Р№РєРё Р°РјРѕСЂС‚РёР·Р°С‚РѕСЂР°, "Excel-G" (Twin Tube Gas)   !!! Р—Р°РјС–РЅР° РґР»СЏ 365083</t>
  </si>
  <si>
    <t>BMW 5 (E34) 90-95 (Front, L/R)</t>
  </si>
  <si>
    <t>KYB365507</t>
  </si>
  <si>
    <t>365507 KYB - РљР°СЂС‚СЂРёРґР¶ СЃС‚С–Р№РєРё Р°РјРѕСЂС‚РёР·Р°С‚РѕСЂР°, "Excel-G" (Twin Tube Gas)   !!! Р—Р°РјС–РЅР° РґР»СЏ 365101</t>
  </si>
  <si>
    <t>905.56</t>
  </si>
  <si>
    <t>LADA 2110-2112 (Front, L/R)</t>
  </si>
  <si>
    <t>KYB441040</t>
  </si>
  <si>
    <t>441040 KYB - РђРјРѕСЂС‚РёР·Р°С‚РѕСЂ, "Premium" (Twin Tube Oil)</t>
  </si>
  <si>
    <t>AUDI 100/Avant, 200/Avant 82-90 (Rear, L/R)</t>
  </si>
  <si>
    <t>KYB441048</t>
  </si>
  <si>
    <t>441048 KYB - РђРјРѕСЂС‚РёР·Р°С‚РѕСЂ, "Premium" (Twin Tube Oil)</t>
  </si>
  <si>
    <t>650.99</t>
  </si>
  <si>
    <t>FORD Sierra 82-93 (Rear, L/R)</t>
  </si>
  <si>
    <t>KYB441081</t>
  </si>
  <si>
    <t>441081 KYB - РђРјРѕСЂС‚РёР·Р°С‚РѕСЂ, "Premium" (Twin Tube Oil)</t>
  </si>
  <si>
    <t>699.52</t>
  </si>
  <si>
    <t>MB T1, Sprinter 2t/3t 77-06 (Rear, L/R)</t>
  </si>
  <si>
    <t>KYB441107</t>
  </si>
  <si>
    <t>441107 KYB - РђРјРѕСЂС‚РёР·Р°С‚РѕСЂ, "Premium" (Twin Tube Oil)</t>
  </si>
  <si>
    <t>799.08</t>
  </si>
  <si>
    <t>CITROEN Jumpy, FIAT Scudo, PEUGEOT Expert (в„– 7608--) 97-02 /L max. = 400mm/ (Rear, L/R)</t>
  </si>
  <si>
    <t>KYB441824</t>
  </si>
  <si>
    <t>441824 KYB - РђРјРѕСЂС‚РёР·Р°С‚РѕСЂ, "Premium" (Twin Tube Oil)   !!! Р—Р°РјС–РЅР° РґР»СЏ 441055</t>
  </si>
  <si>
    <t>912.49</t>
  </si>
  <si>
    <t>KYB443134</t>
  </si>
  <si>
    <t>443134 KYB - РђРјРѕСЂС‚РёР·Р°С‚РѕСЂ, "Premium" (Twin Tube Oil)   !!! Р—Р°РјС–РЅР° РґР»СЏ 443244</t>
  </si>
  <si>
    <t>376.69</t>
  </si>
  <si>
    <t>KYB443135</t>
  </si>
  <si>
    <t>443135 KYB - РђРјРѕСЂС‚РёР·Р°С‚РѕСЂ, "Premium" (Twin Tube Oil)</t>
  </si>
  <si>
    <t>515.89</t>
  </si>
  <si>
    <t>OPEL Kadett D/E Caravan 79-91, Astra F Caravan 92-98 (Rear, L/R)</t>
  </si>
  <si>
    <t>KYB443246</t>
  </si>
  <si>
    <t>443246 KYB - РђРјРѕСЂС‚РёР·Р°С‚РѕСЂ, "Premium" (Twin Tube Oil)</t>
  </si>
  <si>
    <t>806.54</t>
  </si>
  <si>
    <t>VW Passat B3/B4 88-97 (Rear, L/R)</t>
  </si>
  <si>
    <t>KYB443301</t>
  </si>
  <si>
    <t>443301 KYB - РђРјРѕСЂС‚РёР·Р°С‚РѕСЂ, "Premium" (Twin Tube Oil)</t>
  </si>
  <si>
    <t>500.24</t>
  </si>
  <si>
    <t>DAEWOO Matiz 98-04 (Rear, L/R)</t>
  </si>
  <si>
    <t>KYB443399</t>
  </si>
  <si>
    <t>443399 KYB - РђРјРѕСЂС‚РёР·Р°С‚РѕСЂ, "Premium" (Twin Tube Oil)</t>
  </si>
  <si>
    <t>580.24</t>
  </si>
  <si>
    <t>KYB443800</t>
  </si>
  <si>
    <t>443800 KYB - РђРјРѕСЂС‚РёР·Р°С‚РѕСЂ, "Premium" (Twin Tube Oil)   !!! Р—Р°РјС–РЅР° РґР»СЏ 443219</t>
  </si>
  <si>
    <t>639.79</t>
  </si>
  <si>
    <t>VW Golf II/III 83-98, SEAT Toledo I 91-98 (Rear, L/R)</t>
  </si>
  <si>
    <t>KYB444119</t>
  </si>
  <si>
    <t>444119 KYB - РђРјРѕСЂС‚РёР·Р°С‚РѕСЂ, "Premium" (Twin Tube Oil)</t>
  </si>
  <si>
    <t>817.39</t>
  </si>
  <si>
    <t>VW T4 91-03 (Front, L/R)</t>
  </si>
  <si>
    <t>KYB444159</t>
  </si>
  <si>
    <t>444159 KYB - РђРјРѕСЂС‚РёР·Р°С‚РѕСЂ, "Premium" (Twin Tube Oil)</t>
  </si>
  <si>
    <t>510.73</t>
  </si>
  <si>
    <t>NISSAN Patrol (Y61) 97- (Front, L/R)</t>
  </si>
  <si>
    <t>KYB444160</t>
  </si>
  <si>
    <t>444160 KYB - РђРјРѕСЂС‚РёР·Р°С‚РѕСЂ, "Premium" (Twin Tube Oil)</t>
  </si>
  <si>
    <t>860.76</t>
  </si>
  <si>
    <t>NISSAN Patrol (Y61) 97- (Rear, L/R)</t>
  </si>
  <si>
    <t>KYB444161</t>
  </si>
  <si>
    <t>444161 KYB - РђРјРѕСЂС‚РёР·Р°С‚РѕСЂ, "Premium" (Twin Tube Oil)</t>
  </si>
  <si>
    <t>914.98</t>
  </si>
  <si>
    <t>VW LT28/35 96-06 (Rear, L/R)</t>
  </si>
  <si>
    <t>KYB551108</t>
  </si>
  <si>
    <t>551108 KYB - РђРјРѕСЂС‚РёР·Р°С‚РѕСЂ, "Gas-A-Just" (Mono Tube Gas)</t>
  </si>
  <si>
    <t>LEXUS GS300  05-11  (Rear, L/R)</t>
  </si>
  <si>
    <t>KYB551122</t>
  </si>
  <si>
    <t>551122 KYB - РђРјРѕСЂС‚РёР·Р°С‚РѕСЂ, "Gas-A-Just" (Mono Tube Gas)</t>
  </si>
  <si>
    <t>2351.19</t>
  </si>
  <si>
    <t>LEXUS LS460  08 -  (Front, L/R)</t>
  </si>
  <si>
    <t>KYB551810</t>
  </si>
  <si>
    <t>551810 KYB - РђРјРѕСЂС‚РёР·Р°С‚РѕСЂ, "Gas-A-Just" (Mono Tube Gas)   !!! Р—Р°РјС–РЅР° РґР»СЏ 551072</t>
  </si>
  <si>
    <t>RENAULT Kangoo 97- /d=40mm/ (Rear, L/R)</t>
  </si>
  <si>
    <t>KYB551811</t>
  </si>
  <si>
    <t>551811 KYB - РђРјРѕСЂС‚РёР·Р°С‚РѕСЂ, "Gas-A-Just" (Mono Tube Gas)   !!! Р—Р°РјС–РЅР° РґР»СЏ 551073</t>
  </si>
  <si>
    <t>RENAULT Kangoo 97- /d=50mm/ (Rear, L/R)</t>
  </si>
  <si>
    <t>KYB553178</t>
  </si>
  <si>
    <t>553178 KYB - РђРјРѕСЂС‚РёР·Р°С‚РѕСЂ, "Gas-A-Just" (Mono Tube Gas)   !!! Р—Р°РјС–РЅР° РґР»СЏ 551048</t>
  </si>
  <si>
    <t>939.87</t>
  </si>
  <si>
    <t>MB W124 85-95 (Rear, L/R)</t>
  </si>
  <si>
    <t>KYB553307</t>
  </si>
  <si>
    <t>553307 KYB - РђРјРѕСЂС‚РёР·Р°С‚РѕСЂ, "Gas-A-Just" (Mono Tube Gas)</t>
  </si>
  <si>
    <t>975.25</t>
  </si>
  <si>
    <t>OPEL Vectra C 02- (Rear, L/R)</t>
  </si>
  <si>
    <t>KYB553308</t>
  </si>
  <si>
    <t>553308 KYB - РђРјРѕСЂС‚РёР·Р°С‚РѕСЂ, "Gas-A-Just" (Mono Tube Gas)</t>
  </si>
  <si>
    <t>FORD Fiesta, MAZDA 2 02-10 (Rear, L/R)</t>
  </si>
  <si>
    <t>KYB553309</t>
  </si>
  <si>
    <t>553309 KYB - РђРјРѕСЂС‚РёР·Р°С‚РѕСЂ, "Gas-A-Just" (Mono Tube Gas)</t>
  </si>
  <si>
    <t>1184.66</t>
  </si>
  <si>
    <t>FORD Fusion 02- (Rear, L/R)</t>
  </si>
  <si>
    <t>KYB553338</t>
  </si>
  <si>
    <t>553338 KYB - РђРјРѕСЂС‚РёР·Р°С‚РѕСЂ, "Gas-A-Just" (Mono Tube Gas)</t>
  </si>
  <si>
    <t>910.00</t>
  </si>
  <si>
    <t>MB Vito/Viano (W639) 03- /46mm/ (Rear, L/R)</t>
  </si>
  <si>
    <t>KYB553339</t>
  </si>
  <si>
    <t>553339 KYB - РђРјРѕСЂС‚РёР·Р°С‚РѕСЂ, "Gas-A-Just" (Mono Tube Gas)</t>
  </si>
  <si>
    <t>DAEWOO Tacuma (KLAU) 00- (Rear, L/R)</t>
  </si>
  <si>
    <t>KYB553340</t>
  </si>
  <si>
    <t>553340 KYB - РђРјРѕСЂС‚РёР·Р°С‚РѕСЂ, "Gas-A-Just" (Mono Tube Gas)</t>
  </si>
  <si>
    <t>861.12</t>
  </si>
  <si>
    <t>MB W169, W245 04- (Rear, L/R)</t>
  </si>
  <si>
    <t>KYB632116</t>
  </si>
  <si>
    <t>632116 KYB - РЎС‚С–Р№РєР° Р°РјРѕСЂС‚РёР·Р°С‚РѕСЂР°, "Premium" (Twin Tube Oil)</t>
  </si>
  <si>
    <t>943.60</t>
  </si>
  <si>
    <t>KYB632117</t>
  </si>
  <si>
    <t>632117 KYB - РЎС‚С–Р№РєР° Р°РјРѕСЂС‚РёР·Р°С‚РѕСЂР°, "Premium" (Twin Tube Oil)</t>
  </si>
  <si>
    <t>KYB633144</t>
  </si>
  <si>
    <t>633144 KYB - РЎС‚С–Р№РєР° Р°РјРѕСЂС‚РёР·Р°С‚РѕСЂР°, "Premium" (Twin Tube Oil)   !!! Р—Р°РјС–РЅР° РґР»СЏ 633087</t>
  </si>
  <si>
    <t>1123.15</t>
  </si>
  <si>
    <t>MAZDA 323 (BG) 89-94 (Rear, L)</t>
  </si>
  <si>
    <t>KYB633708</t>
  </si>
  <si>
    <t>633708 KYB - РЎС‚С–Р№РєР° Р°РјРѕСЂС‚РёР·Р°С‚РѕСЂР°, "Premium" (Twin Tube Oil)</t>
  </si>
  <si>
    <t>941.29</t>
  </si>
  <si>
    <t>RENAULT Clio II !!!Exc. 1.2 98-04 (Front, L/R)</t>
  </si>
  <si>
    <t>KYB633713</t>
  </si>
  <si>
    <t>633713 KYB - РЎС‚С–Р№РєР° Р°РјРѕСЂС‚РёР·Р°С‚РѕСЂР°, "Premium" (Twin Tube Oil)   !!! Р—Р°РјС–РЅР° РґР»СЏ 633208</t>
  </si>
  <si>
    <t>1082.09</t>
  </si>
  <si>
    <t>KYB633717</t>
  </si>
  <si>
    <t>633717 KYB - РЎС‚С–Р№РєР° Р°РјРѕСЂС‚РёР·Р°С‚РѕСЂР°, "Premium" (Twin Tube Oil)</t>
  </si>
  <si>
    <t>1254.88</t>
  </si>
  <si>
    <t>RENAULT Laguna II 01-06 (Front, L/R)</t>
  </si>
  <si>
    <t>KYB633829</t>
  </si>
  <si>
    <t>633829 KYB - РЎС‚С–Р№РєР° Р°РјРѕСЂС‚РёР·Р°С‚РѕСЂР°, "Premium" (Twin Tube Oil)   !!! Р—Р°РјС–РЅР° РґР»СЏ 634009</t>
  </si>
  <si>
    <t>1042.98</t>
  </si>
  <si>
    <t>PEUGEOT 305, 405 82-96 (Front, L/R)</t>
  </si>
  <si>
    <t>KYB633832</t>
  </si>
  <si>
    <t>633832 KYB - РЎС‚С–Р№РєР° Р°РјРѕСЂС‚РёР·Р°С‚РѕСЂР°, "Premium" (Twin Tube Oil)   !!! Р—Р°РјС–РЅР° РґР»СЏ 633067</t>
  </si>
  <si>
    <t>FORD Sierra 84-93 (Front, L/R)</t>
  </si>
  <si>
    <t>KYB633833</t>
  </si>
  <si>
    <t>633833 KYB - РЎС‚С–Р№РєР° Р°РјРѕСЂС‚РёР·Р°С‚РѕСЂР°, "Premium" (Twin Tube Oil)   !!! Р—Р°РјС–РЅР° РґР»СЏ 633045</t>
  </si>
  <si>
    <t>880.32</t>
  </si>
  <si>
    <t>FIAT UNO 83-94 (Front, L/R)</t>
  </si>
  <si>
    <t>KYB633838</t>
  </si>
  <si>
    <t>633838 KYB - РЎС‚С–Р№РєР° Р°РјРѕСЂС‚РёР·Р°С‚РѕСЂР°, "Premium" (Twin Tube Oil)</t>
  </si>
  <si>
    <t>1166.35</t>
  </si>
  <si>
    <t>CITROEN Berlingo, ZX, Xsara, PEUGEOT 306, Partner 91-02 (Front, R)</t>
  </si>
  <si>
    <t>KYB633839</t>
  </si>
  <si>
    <t>633839 KYB - РЎС‚С–Р№РєР° Р°РјРѕСЂС‚РёР·Р°С‚РѕСЂР°, "Premium" (Twin Tube Oil)</t>
  </si>
  <si>
    <t>CITROEN Berlingo, ZX, Xsara, PEUGEOT 306, Partner 91-02 (Front, L)</t>
  </si>
  <si>
    <t>KYB634810</t>
  </si>
  <si>
    <t>634810 KYB - РЎС‚С–Р№РєР° Р°РјРѕСЂС‚РёР·Р°С‚РѕСЂР°, "Premium" (Twin Tube Oil)   !!! Р—Р°РјС–РЅР° РґР»СЏ 634950</t>
  </si>
  <si>
    <t>1030.89</t>
  </si>
  <si>
    <t>VW Passat B3/Golf II/III/IV 1.6/1.8/1.9/TD 88-01| Vento 2.0/2.8 91-98 (Front, L/R)</t>
  </si>
  <si>
    <t>KYB634811</t>
  </si>
  <si>
    <t>634811 KYB - РЎС‚С–Р№РєР° Р°РјРѕСЂС‚РёР·Р°С‚РѕСЂР°, "Premium" (Twin Tube Oil)   !!! Р—Р°РјС–РЅР° РґР»СЏ 634951</t>
  </si>
  <si>
    <t>1075.15</t>
  </si>
  <si>
    <t>KYB634814</t>
  </si>
  <si>
    <t>634814 KYB - РЎС‚С–Р№РєР° Р°РјРѕСЂС‚РёР·Р°С‚РѕСЂР°, "Premium" (Twin Tube Oil)</t>
  </si>
  <si>
    <t>1595.13</t>
  </si>
  <si>
    <t>RENAULT Espace III/IV, RENAULT VelSatis 02- (Front, L/R)</t>
  </si>
  <si>
    <t>KYB635807</t>
  </si>
  <si>
    <t>635807 KYB - РЎС‚С–Р№РєР° Р°РјРѕСЂС‚РёР·Р°С‚РѕСЂР°, "Premium" (Twin Tube Oil)   !!! Р—Р°РјС–РЅР° РґР»СЏ 635853</t>
  </si>
  <si>
    <t>1985.69</t>
  </si>
  <si>
    <t>CITROEN Jumper, FIAT Ducato, PEUGEOT Boxer 1.8 94-06 (Front, L/R)</t>
  </si>
  <si>
    <t>KYB665030</t>
  </si>
  <si>
    <t>665030 KYB - РљР°СЂС‚СЂРёРґР¶ СЃС‚С–Р№РєРё Р°РјРѕСЂС‚РёР·Р°С‚РѕСЂР°, "Premium" (Twin Tube Oil)</t>
  </si>
  <si>
    <t>AUDI 80 78-96, VW Passat 80-88 (Front, L/R)</t>
  </si>
  <si>
    <t>KYB665036</t>
  </si>
  <si>
    <t>665036 KYB - РљР°СЂС‚СЂРёРґР¶ СЃС‚С–Р№РєРё Р°РјРѕСЂС‚РёР·Р°С‚РѕСЂР°, "Premium" (Twin Tube Oil)</t>
  </si>
  <si>
    <t>655.62</t>
  </si>
  <si>
    <t>KYB665059</t>
  </si>
  <si>
    <t>665059 KYB - РљР°СЂС‚СЂРёРґР¶ СЃС‚С–Р№РєРё Р°РјРѕСЂС‚РёР·Р°С‚РѕСЂР°, "Premium" (Twin Tube Oil)</t>
  </si>
  <si>
    <t>803.52</t>
  </si>
  <si>
    <t>KYB665063</t>
  </si>
  <si>
    <t>665063 KYB - РљР°СЂС‚СЂРёРґР¶ СЃС‚С–Р№РєРё Р°РјРѕСЂС‚РёР·Р°С‚РѕСЂР°, "Premium" (Twin Tube Oil)</t>
  </si>
  <si>
    <t>667.53</t>
  </si>
  <si>
    <t>OPEL Vectra A 88-95 (Front, L/R)</t>
  </si>
  <si>
    <t>KYB665501</t>
  </si>
  <si>
    <t>665501 KYB - РљР°СЂС‚СЂРёРґР¶ СЃС‚С–Р№РєРё Р°РјРѕСЂС‚РёР·Р°С‚РѕСЂР°, "Premium" (Twin Tube Oil)   !!! Р—Р°РјС–РЅР° РґР»СЏ 665066</t>
  </si>
  <si>
    <t>712.32</t>
  </si>
  <si>
    <t>KYB665503</t>
  </si>
  <si>
    <t>665503 KYB - РљР°СЂС‚СЂРёРґР¶ СЃС‚С–Р№РєРё Р°РјРѕСЂС‚РёР·Р°С‚РѕСЂР°, "Premium" (Twin Tube Oil)   !!! Р—Р°РјС–РЅР° РґР»СЏ 665089</t>
  </si>
  <si>
    <t>823.25</t>
  </si>
  <si>
    <t>KYB666001</t>
  </si>
  <si>
    <t>666001 KYB - РљР°СЂС‚СЂРёРґР¶ СЃС‚С–Р№РєРё Р°РјРѕСЂС‚РёР·Р°С‚РѕСЂР°, "Premium" (Twin Tube Oil)</t>
  </si>
  <si>
    <t>AUDI 100/A6 76-97 (Front, L/R)</t>
  </si>
  <si>
    <t>KYB910003</t>
  </si>
  <si>
    <t>910003 KYB - Р—Р°С…РёСЃРЅРёР№ РєРѕРјРїР»РµРєС‚ Р°РјРѕСЂС‚РёР·Р°С‚РѕСЂР°</t>
  </si>
  <si>
    <t>188.08</t>
  </si>
  <si>
    <t>AUDI A6, A4, VW Passat (Rear)</t>
  </si>
  <si>
    <t>KYB910004</t>
  </si>
  <si>
    <t>910004 KYB - Р—Р°С…РёСЃРЅРёР№ РєРѕРјРїР»РµРєС‚ Р°РјРѕСЂС‚РёР·Р°С‚РѕСЂР°</t>
  </si>
  <si>
    <t>227.72</t>
  </si>
  <si>
    <t>AUDI A3/A3 Sportback, VW Golf V, VI, Touran 05- (Front)</t>
  </si>
  <si>
    <t>KYB910005</t>
  </si>
  <si>
    <t>910005 KYB - Р—Р°С…РёСЃРЅРёР№ РєРѕРјРїР»РµРєС‚ Р°РјРѕСЂС‚РёР·Р°С‚РѕСЂР°</t>
  </si>
  <si>
    <t>205.15</t>
  </si>
  <si>
    <t>BMW 5 (E39, E60, E61) (Front)</t>
  </si>
  <si>
    <t>KYB910006</t>
  </si>
  <si>
    <t>910006 KYB - Р—Р°С…РёСЃРЅРёР№ РєРѕРјРїР»РµРєС‚ Р°РјРѕСЂС‚РёР·Р°С‚РѕСЂР°</t>
  </si>
  <si>
    <t>208.88</t>
  </si>
  <si>
    <t>BMW 5 (E34), 7 (E32) (Rear)</t>
  </si>
  <si>
    <t>KYB910009</t>
  </si>
  <si>
    <t>910009 KYB - Р—Р°С…РёСЃРЅРёР№ РєРѕРјРїР»РµРєС‚ Р°РјРѕСЂС‚РёР·Р°С‚РѕСЂР°</t>
  </si>
  <si>
    <t>198.39</t>
  </si>
  <si>
    <t>DACIA/RENAULT Logan (Front)</t>
  </si>
  <si>
    <t>KYB910010</t>
  </si>
  <si>
    <t>910010 KYB - Р—Р°С…РёСЃРЅРёР№ РєРѕРјРїР»РµРєС‚ Р°РјРѕСЂС‚РёР·Р°С‚РѕСЂР°</t>
  </si>
  <si>
    <t>234.30</t>
  </si>
  <si>
    <t>CHEVROLET Aveo (Front)</t>
  </si>
  <si>
    <t>KYB910015</t>
  </si>
  <si>
    <t>910015 KYB - Р—Р°С…РёСЃРЅРёР№ РєРѕРјРїР»РµРєС‚ Р°РјРѕСЂС‚РёР·Р°С‚РѕСЂР°</t>
  </si>
  <si>
    <t>223.10</t>
  </si>
  <si>
    <t>FORD TRANSIT 00-06 (Front)</t>
  </si>
  <si>
    <t>KYB910017</t>
  </si>
  <si>
    <t>910017 KYB - Р—Р°С…РёСЃРЅРёР№ РєРѕРјРїР»РµРєС‚ Р°РјРѕСЂС‚РёР·Р°С‚РѕСЂР°</t>
  </si>
  <si>
    <t>FORD Fiesta , MAZDA 2 02- (Front)</t>
  </si>
  <si>
    <t>KYB910026</t>
  </si>
  <si>
    <t>910026 KYB - Р—Р°С…РёСЃРЅРёР№ РєРѕРјРїР»РµРєС‚ Р°РјРѕСЂС‚РёР·Р°С‚РѕСЂР°</t>
  </si>
  <si>
    <t>148.26</t>
  </si>
  <si>
    <t>FORD Focus, C-Max, MAZDA 3, 5, VOLVO S40, V50  (Front)</t>
  </si>
  <si>
    <t>KYB910033</t>
  </si>
  <si>
    <t>910033 KYB - Р—Р°С…РёСЃРЅРёР№ РєРѕРјРїР»РµРєС‚ Р°РјРѕСЂС‚РёР·Р°С‚РѕСЂР°</t>
  </si>
  <si>
    <t>358.56</t>
  </si>
  <si>
    <t>NISSAN Almera (N16/E) 00- (Front)</t>
  </si>
  <si>
    <t>KYB910034</t>
  </si>
  <si>
    <t>910034 KYB - Р—Р°С…РёСЃРЅРёР№ РєРѕРјРїР»РµРєС‚ Р°РјРѕСЂС‚РёР·Р°С‚РѕСЂР°</t>
  </si>
  <si>
    <t>348.07</t>
  </si>
  <si>
    <t>NISSAN X- Trail (T30) 01-07 (Front)</t>
  </si>
  <si>
    <t>KYB910035</t>
  </si>
  <si>
    <t>910035 KYB - Р—Р°С…РёСЃРЅРёР№ РєРѕРјРїР»РµРєС‚ Р°РјРѕСЂС‚РёР·Р°С‚РѕСЂР°</t>
  </si>
  <si>
    <t>363.90</t>
  </si>
  <si>
    <t>NISSAN Primera (P12/WP12) 02- (Front)</t>
  </si>
  <si>
    <t>KYB910036</t>
  </si>
  <si>
    <t>910036 KYB - Р—Р°С…РёСЃРЅРёР№ РєРѕРјРїР»РµРєС‚ Р°РјРѕСЂС‚РёР·Р°С‚РѕСЂР°</t>
  </si>
  <si>
    <t>295.28</t>
  </si>
  <si>
    <t>NISSAN Almera (N15) 95-99 (Rear)</t>
  </si>
  <si>
    <t>KYB910038</t>
  </si>
  <si>
    <t>910038 KYB - Р—Р°С…РёСЃРЅРёР№ РєРѕРјРїР»РµРєС‚ Р°РјРѕСЂС‚РёР·Р°С‚РѕСЂР°</t>
  </si>
  <si>
    <t>358.92</t>
  </si>
  <si>
    <t>NISSAN X- Trail (T30) 01-07 (Rear)</t>
  </si>
  <si>
    <t>KYB910039</t>
  </si>
  <si>
    <t>910039 KYB - Р—Р°С…РёСЃРЅРёР№ РєРѕРјРїР»РµРєС‚ Р°РјРѕСЂС‚РёР·Р°С‚РѕСЂР°</t>
  </si>
  <si>
    <t>305.05</t>
  </si>
  <si>
    <t>NISSAN Primastar, OPEL Vivaro, RENAULT Trafic II 01- (Front)</t>
  </si>
  <si>
    <t>KYB910041</t>
  </si>
  <si>
    <t>910041 KYB - Р—Р°С…РёСЃРЅРёР№ РєРѕРјРїР»РµРєС‚ Р°РјРѕСЂС‚РёР·Р°С‚РѕСЂР°    !!! Р—Р°РјС–РЅР° РґР»СЏ 915908</t>
  </si>
  <si>
    <t>206.92</t>
  </si>
  <si>
    <t>PEUGEOT 206 (Front)</t>
  </si>
  <si>
    <t>KYB910043</t>
  </si>
  <si>
    <t>910043 KYB - Р—Р°С…РёСЃРЅРёР№ РєРѕРјРїР»РµРєС‚ Р°РјРѕСЂС‚РёР·Р°С‚РѕСЂР°</t>
  </si>
  <si>
    <t>183.81</t>
  </si>
  <si>
    <t>RENAULT Laguna II 01-06 (Front)</t>
  </si>
  <si>
    <t>KYB910044</t>
  </si>
  <si>
    <t>910044 KYB - Р—Р°С…РёСЃРЅРёР№ РєРѕРјРїР»РµРєС‚ Р°РјРѕСЂС‚РёР·Р°С‚РѕСЂР°</t>
  </si>
  <si>
    <t>193.95</t>
  </si>
  <si>
    <t>RENAULT Espace III/IV, RENAULT VelSatis 02- (Front)</t>
  </si>
  <si>
    <t>KYB910045</t>
  </si>
  <si>
    <t>910045 KYB - Р—Р°С…РёСЃРЅРёР№ РєРѕРјРїР»РµРєС‚ Р°РјРѕСЂС‚РёР·Р°С‚РѕСЂР°</t>
  </si>
  <si>
    <t>246.03</t>
  </si>
  <si>
    <t>SKODA OCTAVIA II "A5" (1Z3) 04- (Rear) (РѕРІР°Р»)</t>
  </si>
  <si>
    <t>KYB910046</t>
  </si>
  <si>
    <t>910046 KYB - Р—Р°С…РёСЃРЅРёР№ РєРѕРјРїР»РµРєС‚ Р°РјРѕСЂС‚РёР·Р°С‚РѕСЂР°</t>
  </si>
  <si>
    <t>305.41</t>
  </si>
  <si>
    <t>SUBARU Forester II (SG5) 4WD !!!Exc. Self Levelling 02-07 (Rear)</t>
  </si>
  <si>
    <t>KYB910047</t>
  </si>
  <si>
    <t>910047 KYB - Р—Р°С…РёСЃРЅРёР№ РєРѕРјРїР»РµРєС‚ Р°РјРѕСЂС‚РёР·Р°С‚РѕСЂР°</t>
  </si>
  <si>
    <t>299.01</t>
  </si>
  <si>
    <t>TOYOTA Yaris -06 (Front)</t>
  </si>
  <si>
    <t>KYB910052</t>
  </si>
  <si>
    <t>910052 KYB - Р—Р°С…РёСЃРЅРёР№ РєРѕРјРїР»РµРєС‚ Р°РјРѕСЂС‚РёР·Р°С‚РѕСЂР°</t>
  </si>
  <si>
    <t>379.36</t>
  </si>
  <si>
    <t>TOYOTA Yaris -06 (Rear)</t>
  </si>
  <si>
    <t>KYB910056</t>
  </si>
  <si>
    <t>910056 KYB - Р—Р°С…РёСЃРЅРёР№ РєРѕРјРїР»РµРєС‚ Р°РјРѕСЂС‚РёР·Р°С‚РѕСЂР°</t>
  </si>
  <si>
    <t>246.57</t>
  </si>
  <si>
    <t xml:space="preserve"> AUDI Q3| SEAT Alhambra| SKODA Superb| VW Passat, Sharan, Touran, Tiguan 1.2TSI-3.6FSI  03-  (Rear)</t>
  </si>
  <si>
    <t>KYB910059</t>
  </si>
  <si>
    <t>910059 KYB - Р—Р°С…РёСЃРЅРёР№ РєРѕРјРїР»РµРєС‚ Р°РјРѕСЂС‚РёР·Р°С‚РѕСЂР°</t>
  </si>
  <si>
    <t>AUDI A3 (8P), SKODA Octavia II "A5" (1Z3), VW Golf V 03- (С€С‚РѕРє d=22mm) (Front)</t>
  </si>
  <si>
    <t>KYB910063</t>
  </si>
  <si>
    <t>910063 KYB - Р—Р°С…РёСЃРЅРёР№ РєРѕРјРїР»РµРєС‚ Р°РјРѕСЂС‚РёР·Р°С‚РѕСЂР°</t>
  </si>
  <si>
    <t>271.63</t>
  </si>
  <si>
    <t>DAEWOO Nubira III, Lacetti 04- (Front)</t>
  </si>
  <si>
    <t>KYB910064</t>
  </si>
  <si>
    <t>910064 KYB - Р—Р°С…РёСЃРЅРёР№ РєРѕРјРїР»РµРєС‚ Р°РјРѕСЂС‚РёР·Р°С‚РѕСЂР°</t>
  </si>
  <si>
    <t>262.74</t>
  </si>
  <si>
    <t>HYUNDAI Tucson| KIA Sportage 2.0, 2.0CRDI,  2.7 04- (Rear)</t>
  </si>
  <si>
    <t>KYB910066</t>
  </si>
  <si>
    <t>910066 KYB - Р—Р°С…РёСЃРЅРёР№ РєРѕРјРїР»РµРєС‚ Р°РјРѕСЂС‚РёР·Р°С‚РѕСЂР°</t>
  </si>
  <si>
    <t>284.43</t>
  </si>
  <si>
    <t>SUZUKI Grand Vitara 06- (Front)</t>
  </si>
  <si>
    <t>KYB910071</t>
  </si>
  <si>
    <t>910071 KYB - Р—Р°С…РёСЃРЅРёР№ РєРѕРјРїР»РµРєС‚ Р°РјРѕСЂС‚РёР·Р°С‚РѕСЂР°</t>
  </si>
  <si>
    <t>383.09</t>
  </si>
  <si>
    <t>OPEL Vectra C 02- (Front)</t>
  </si>
  <si>
    <t>KYB910074</t>
  </si>
  <si>
    <t>910074 KYB - Р—Р°С…РёСЃРЅРёР№ РєРѕРјРїР»РµРєС‚ Р°РјРѕСЂС‚РёР·Р°С‚РѕСЂР°</t>
  </si>
  <si>
    <t>520.16</t>
  </si>
  <si>
    <t>TOYOTA Rav 4 06-, (Front)</t>
  </si>
  <si>
    <t>KYB910076</t>
  </si>
  <si>
    <t>910076 KYB - Р—Р°С…РёСЃРЅРёР№ РєРѕРјРїР»РµРєС‚ Р°РјРѕСЂС‚РёР·Р°С‚РѕСЂР°</t>
  </si>
  <si>
    <t>235.19</t>
  </si>
  <si>
    <t>HYUNDAI Santa Fe II (CM) 06- (Front)</t>
  </si>
  <si>
    <t>KYB910078</t>
  </si>
  <si>
    <t>910078 KYB - Р—Р°С…РёСЃРЅРёР№ РєРѕРјРїР»РµРєС‚ Р°РјРѕСЂС‚РёР·Р°С‚РѕСЂР°</t>
  </si>
  <si>
    <t>HYUNDAI Tucson| KIA Sportage 2.0, 2.0CRDI, 2.7 04- (Front)</t>
  </si>
  <si>
    <t>KYB910083</t>
  </si>
  <si>
    <t>910083 KYB - Р—Р°С…РёСЃРЅРёР№ РєРѕРјРїР»РµРєС‚ !!! Р—Р°РјС–РЅР° РґР»СЏ 913242/915328/915322/915318/915302/915327/915325</t>
  </si>
  <si>
    <t>155.02</t>
  </si>
  <si>
    <t>DAEWOO  Lanos, Sens, Nexia, Espero  (Front)</t>
  </si>
  <si>
    <t>KYB910084</t>
  </si>
  <si>
    <t>910084 KYB - Р—Р°С…РёСЃРЅРёР№ РєРѕРјРїР»РµРєС‚ Р°РјРѕСЂС‚РёР·Р°С‚РѕСЂР°  !!! Р—Р°РјС–РЅР° РґР»СЏ 915004/916903</t>
  </si>
  <si>
    <t>#33 / A2 / 3 series, 5 series, 6  series, 7 series / Delta, Prisma / Prairie, Sunny / Cordoba, Ibiza IV, Marbella, Panda, Terra / Fabia / Avensis, Camry / Polo</t>
  </si>
  <si>
    <t>KYB910105</t>
  </si>
  <si>
    <t>910105 KYB - Р—Р°С…РёСЃРЅРёР№ РєРѕРјРїР»РµРєС‚ Р°РјРѕСЂС‚РёР·Р°С‚РѕСЂР°</t>
  </si>
  <si>
    <t>346.12</t>
  </si>
  <si>
    <t>(Front, L/R)</t>
  </si>
  <si>
    <t>KYB910113</t>
  </si>
  <si>
    <t>910113 KYB - Р—Р°С…РёСЃРЅРёР№ РєРѕРјРїР»РµРєС‚ Р°РјРѕСЂС‚РёР·Р°С‚РѕСЂР°</t>
  </si>
  <si>
    <t>325.32</t>
  </si>
  <si>
    <t>MB Viano, Vito| all| 09.03- (Front, L/R)</t>
  </si>
  <si>
    <t>KYB910126</t>
  </si>
  <si>
    <t>910126 KYB - Р—Р°С…РёСЃРЅРёР№ РєРѕРјРїР»РµРєС‚ Р°РјРѕСЂС‚РёР·Р°С‚РѕСЂР°</t>
  </si>
  <si>
    <t>656.33</t>
  </si>
  <si>
    <t># FIAT DOBLO (119)/DOBLO CARGO (223)  01-10  FRONT</t>
  </si>
  <si>
    <t>KYB910136</t>
  </si>
  <si>
    <t>910136 KYB - Р—Р°С…РёСЃРЅРёР№ РєРѕРјРїР»РµРєС‚ Р°РјРѕСЂС‚РёР·Р°С‚РѕСЂР°</t>
  </si>
  <si>
    <t>420.25</t>
  </si>
  <si>
    <t># VW TRANSPORTER T5  03-  F</t>
  </si>
  <si>
    <t>KYB910147</t>
  </si>
  <si>
    <t>910147 KYB - Р—Р°С…РёСЃРЅРёР№ РєРѕРјРїР»РµРєС‚ Р°РјРѕСЂС‚РёР·Р°С‚РѕСЂР°</t>
  </si>
  <si>
    <t>315.90</t>
  </si>
  <si>
    <t># HYUND I30 (FD)/KIA CERATO (LD)  07-12  FRONT</t>
  </si>
  <si>
    <t>KYB910148</t>
  </si>
  <si>
    <t>910148 KYB - Р—Р°С…РёСЃРЅРёР№ РєРѕРјРїР»РµРєС‚ Р°РјРѕСЂС‚РёР·Р°С‚РѕСЂР°</t>
  </si>
  <si>
    <t>305.59</t>
  </si>
  <si>
    <t># KIA CEE'D (ED)/ SW (ED)  06-  FRONT</t>
  </si>
  <si>
    <t>KYB910159</t>
  </si>
  <si>
    <t>910159 KYB - Р—Р°С…РёСЃРЅРёР№ РєРѕРјРїР»РµРєС‚ Р°РјРѕСЂС‚РёР·Р°С‚РѕСЂР°</t>
  </si>
  <si>
    <t>344.52</t>
  </si>
  <si>
    <t># CITRO JUMPER/FIAT DUCATO/PEUGE BOXER  06-  FRONT</t>
  </si>
  <si>
    <t>KYB910164</t>
  </si>
  <si>
    <t>910164 KYB - Р—Р°С…РёСЃРЅРёР№ РєРѕРјРїР»РµРєС‚ Р°РјРѕСЂС‚РёР·Р°С‚РѕСЂР°</t>
  </si>
  <si>
    <t>351.98</t>
  </si>
  <si>
    <t>MITSUBISHI Lancer IX (CS_A) 2.0  03-  (Front, L/R)</t>
  </si>
  <si>
    <t>KYB910170</t>
  </si>
  <si>
    <t>910170 KYB - Р—Р°С…РёСЃРЅРёР№ РєРѕРјРїР»РµРєС‚ Р°РјРѕСЂС‚РёР·Р°С‚РѕСЂР°</t>
  </si>
  <si>
    <t>288.52</t>
  </si>
  <si>
    <t>FORD Mondeo IV  07-  (Front, L/R)</t>
  </si>
  <si>
    <t>KYB912025</t>
  </si>
  <si>
    <t>912025 KYB - Р—Р°С…РёСЃРЅРёР№ РєРѕРјРїР»РµРєС‚ Р°РјРѕСЂС‚РёР·Р°С‚РѕСЂР°</t>
  </si>
  <si>
    <t>289.77</t>
  </si>
  <si>
    <t>NISSAN Micra III (K12)  03-, Note (E11)  06-| RENAULT Clio III   05-  (Front, L/R)</t>
  </si>
  <si>
    <t>KYB913121</t>
  </si>
  <si>
    <t>913121 KYB - Р—Р°С…РёСЃРЅРёР№ РєРѕРјРїР»РµРєС‚ Р°РјРѕСЂС‚РёР·Р°С‚РѕСЂР°    !!! Р—Р°РјС–РЅР° РґР»СЏ 915211</t>
  </si>
  <si>
    <t>309.14</t>
  </si>
  <si>
    <t>FORD Escort 95-99 (Rear)</t>
  </si>
  <si>
    <t>KYB915124</t>
  </si>
  <si>
    <t>915124 KYB - Р—Р°С…РёСЃРЅРёР№ РєРѕРјРїР»РµРєС‚ Р°РјРѕСЂС‚РёР·Р°С‚РѕСЂР°</t>
  </si>
  <si>
    <t>320.34</t>
  </si>
  <si>
    <t>MB W201, W124 (Front)</t>
  </si>
  <si>
    <t>KYB915329</t>
  </si>
  <si>
    <t>915329 KYB - Р—Р°С…РёСЃРЅРёР№ РєРѕРјРїР»РµРєС‚ Р°РјРѕСЂС‚РёР·Р°С‚РѕСЂР°</t>
  </si>
  <si>
    <t>224.35</t>
  </si>
  <si>
    <t>OPEL Omega A/B 86-02 (Front)</t>
  </si>
  <si>
    <t>KYB915400</t>
  </si>
  <si>
    <t>915400 KYB - Р—Р°С…РёСЃРЅРёР№ РєРѕРјРїР»РµРєС‚ Р°РјРѕСЂС‚РёР·Р°С‚РѕСЂР°</t>
  </si>
  <si>
    <t>271.10</t>
  </si>
  <si>
    <t>AUDI A3| VW Bora, GolfIV| SEAT Leon, Toledo| SKODA Octavia| MAZDA 3 (BK) (Rear)</t>
  </si>
  <si>
    <t>KYB915401</t>
  </si>
  <si>
    <t>915401 KYB - Р—Р°С…РёСЃРЅРёР№ РєРѕРјРїР»РµРєС‚ Р°РјРѕСЂС‚РёР·Р°С‚РѕСЂР°</t>
  </si>
  <si>
    <t>113.60</t>
  </si>
  <si>
    <t>VW Golf II, Jetta 84-92, SEAT Toledo I 91-98 (Front)</t>
  </si>
  <si>
    <t>KYB915415</t>
  </si>
  <si>
    <t>915415 KYB - Р—Р°С…РёСЃРЅРёР№ РєРѕРјРїР»РµРєС‚ Р°РјРѕСЂС‚РёР·Р°С‚РѕСЂР°</t>
  </si>
  <si>
    <t>268.25</t>
  </si>
  <si>
    <t>AUDI A3, SEAT Toledo II, SKODA Octavia 96-03 (Front)</t>
  </si>
  <si>
    <t>KYB915705</t>
  </si>
  <si>
    <t>915705 KYB - Р—Р°С…РёСЃРЅРёР№ РєРѕРјРїР»РµРєС‚ Р°РјРѕСЂС‚РёР·Р°С‚РѕСЂР°</t>
  </si>
  <si>
    <t>251.54</t>
  </si>
  <si>
    <t>AUDI 100/A6/Avant 91-96 (Rear)</t>
  </si>
  <si>
    <t>KYB930002</t>
  </si>
  <si>
    <t>930002 KYB - РљРѕРјРїР»РµРєС‚ РІС–РґР±С–Р№РЅРёРєС–РІ Р°РјРѕСЂС‚РёР·Р°С‚РѕСЂР°</t>
  </si>
  <si>
    <t>319.10</t>
  </si>
  <si>
    <t>HYUNDAI Getz 02- (Rear)</t>
  </si>
  <si>
    <t>KYB930003</t>
  </si>
  <si>
    <t>930003 KYB - РљРѕРјРїР»РµРєС‚ РІС–РґР±С–Р№РЅРёРєС–РІ Р°РјРѕСЂС‚РёР·Р°С‚РѕСЂР°</t>
  </si>
  <si>
    <t>203.90</t>
  </si>
  <si>
    <t>MITSUBISHI Lancer IX (CS1/CS3) 1.3/1.6, Outlander 03- (Front)</t>
  </si>
  <si>
    <t>KYB935300</t>
  </si>
  <si>
    <t>935300 KYB - Р—Р°С…РёСЃРЅРёР№ РєРѕРјРїР»РµРєС‚ Р°РјРѕСЂС‚РёР·Р°С‚РѕСЂР°</t>
  </si>
  <si>
    <t>258.66</t>
  </si>
  <si>
    <t>OPEL Astra F 91-98 (Front)</t>
  </si>
  <si>
    <t>KYB935302</t>
  </si>
  <si>
    <t>935302 KYB - РљРѕРјРїР»РµРєС‚ РІС–РґР±С–Р№РЅРёРєС–РІ Р°РјРѕСЂС‚РёР·Р°С‚РѕСЂР°</t>
  </si>
  <si>
    <t>OPEL Vectra B 95-02 (Rear)</t>
  </si>
  <si>
    <t>KYB935304</t>
  </si>
  <si>
    <t>935304 KYB - Р—Р°С…РёСЃРЅРёР№ РєРѕРјРїР»РµРєС‚ Р°РјРѕСЂС‚РёР·Р°С‚РѕСЂР°</t>
  </si>
  <si>
    <t>CITROEN C-Crosser| MITSUBISHI Lancer X, Outlander II| PEUGEOT 4007 1.5-2.4  06-  (Front, L/R)</t>
  </si>
  <si>
    <t>KYB940001</t>
  </si>
  <si>
    <t>940001 KYB - Р—Р°С…РёСЃРЅРёР№ РєРѕРјРїР»РµРєС‚ Р°РјРѕСЂС‚РёР·Р°С‚РѕСЂР°</t>
  </si>
  <si>
    <t>103.28</t>
  </si>
  <si>
    <t>MB Sprinter, VW LT 96-06 (Front)</t>
  </si>
  <si>
    <t>KYB942017</t>
  </si>
  <si>
    <t>942017 KYB - Р—Р°С…РёСЃРЅРёР№ РєРѕРјРїР»РµРєС‚ Р°РјРѕСЂС‚РёР·Р°С‚РѕСЂР°</t>
  </si>
  <si>
    <t>MAZDA 626 (GD) 87-92 (Front)</t>
  </si>
  <si>
    <t>KYB945502</t>
  </si>
  <si>
    <t>945502 KYB - Р—Р°С…РёСЃРЅРёР№ РєРѕРјРїР»РµРєС‚ Р°РјРѕСЂС‚РёР·Р°С‚РѕСЂР°</t>
  </si>
  <si>
    <t>139.19</t>
  </si>
  <si>
    <t>RENAULT R9, R11, R19 82-90, Laguna, Megane 93-01 (Front)</t>
  </si>
  <si>
    <t>KYBRA3768</t>
  </si>
  <si>
    <t>RA3768 KYB - РџСЂСѓР¶РёРЅР° РїС–РґРІС–СЃРєРё</t>
  </si>
  <si>
    <t>1008.13</t>
  </si>
  <si>
    <t>RA3768</t>
  </si>
  <si>
    <t>TOYOTA Camry (V20) 2.2  96-01 (Front)</t>
  </si>
  <si>
    <t>KYBRA5194</t>
  </si>
  <si>
    <t>RA5194 KYB - РџСЂСѓР¶РёРЅР° РїС–РґРІС–СЃРєРё</t>
  </si>
  <si>
    <t>616.15</t>
  </si>
  <si>
    <t>RA5194</t>
  </si>
  <si>
    <t>HONDA Civic (EJ9, EK1, EK3) 1.4, 1.5, 1.6  95-01 (Rear)</t>
  </si>
  <si>
    <t>KYBRA5566</t>
  </si>
  <si>
    <t>RA5566 KYB - РџСЂСѓР¶РёРЅР° РїС–РґРІС–СЃРєРё (HD)</t>
  </si>
  <si>
    <t>721.92</t>
  </si>
  <si>
    <t>RA5566</t>
  </si>
  <si>
    <t>BMW 5 (E39)  95-03 (Rear)</t>
  </si>
  <si>
    <t>KYBRA6410</t>
  </si>
  <si>
    <t>RA6410 KYB - РџСЂСѓР¶РёРЅР° РїС–РґРІС–СЃРєРё</t>
  </si>
  <si>
    <t>615.62</t>
  </si>
  <si>
    <t>RA6410</t>
  </si>
  <si>
    <t>MAZDA 3 Exc. Hatchback  04-09 (Rear)</t>
  </si>
  <si>
    <t>KYBRA6692</t>
  </si>
  <si>
    <t>RA6692 KYB - РџСЂСѓР¶РёРЅР° РїС–РґРІС–СЃРєРё</t>
  </si>
  <si>
    <t>RA6692</t>
  </si>
  <si>
    <t>FORD C-Max All  07- (Rear)</t>
  </si>
  <si>
    <t>KYBRC1680</t>
  </si>
  <si>
    <t>RC1680 KYB - РџСЂСѓР¶РёРЅР° РїС–РґРІС–СЃРєРё</t>
  </si>
  <si>
    <t>619.88</t>
  </si>
  <si>
    <t>RC1680</t>
  </si>
  <si>
    <t>VW Bora 1.4, Golf IV 1.4, 1.6 (-A/C)  97-03 (Front)</t>
  </si>
  <si>
    <t>KYBRC1703</t>
  </si>
  <si>
    <t>RC1703 KYB - РџСЂСѓР¶РёРЅР° РїС–РґРІС–СЃРєРё</t>
  </si>
  <si>
    <t>725.12</t>
  </si>
  <si>
    <t>RC1703</t>
  </si>
  <si>
    <t>SKODA Octavia (1U2) 1.8, 1.8T, 2.0, 1.9SDI/TDI (Front)</t>
  </si>
  <si>
    <t>KYBRC2144</t>
  </si>
  <si>
    <t>RC2144 KYB - РџСЂСѓР¶РёРЅР° РїС–РґРІС–СЃРєРё</t>
  </si>
  <si>
    <t>848.67</t>
  </si>
  <si>
    <t>RC2144</t>
  </si>
  <si>
    <t>FIAT Doblo 1.3 JTD, 1.9 D, 1.9 JTD  00- (Front)</t>
  </si>
  <si>
    <t>KYBRC2279</t>
  </si>
  <si>
    <t>RC2279 KYB - РџСЂСѓР¶РёРЅР° РїС–РґРІС–СЃРєРё</t>
  </si>
  <si>
    <t>701.66</t>
  </si>
  <si>
    <t>RC2279</t>
  </si>
  <si>
    <t>RENAULT Kangoo (FC0, KC0) 1.2, 1.4, 1.6  97-08 (Front)</t>
  </si>
  <si>
    <t>KYBRC2280</t>
  </si>
  <si>
    <t>RC2280 KYB - РџСЂСѓР¶РёРЅР° РїС–РґРІС–СЃРєРё</t>
  </si>
  <si>
    <t>712.68</t>
  </si>
  <si>
    <t>RC2280</t>
  </si>
  <si>
    <t>RENAULT Kangoo (FC0, KC0) 1.5DCi  01-08 (Front)</t>
  </si>
  <si>
    <t>KYBRC2282</t>
  </si>
  <si>
    <t>RC2282 KYB - РџСЂСѓР¶РёРЅР° РїС–РґРІС–СЃРєРё</t>
  </si>
  <si>
    <t>728.86</t>
  </si>
  <si>
    <t>RC2282</t>
  </si>
  <si>
    <t>RENAULT Kangoo (FC0, KC0) 1.9D/Dti/DCi  97-08 (Front)</t>
  </si>
  <si>
    <t>KYBRC2850</t>
  </si>
  <si>
    <t>RC2850 KYB - РџСЂСѓР¶РёРЅР° РїС–РґРІС–СЃРєРё</t>
  </si>
  <si>
    <t>609.04</t>
  </si>
  <si>
    <t>RC2850</t>
  </si>
  <si>
    <t>KIA Ceed (ED) 2.0, 1.6CRDi, 2.0CRDi  05- (Front)</t>
  </si>
  <si>
    <t>KYBRC3010</t>
  </si>
  <si>
    <t>RC3010 KYB - РџСЂСѓР¶РёРЅР° РїС–РґРІС–СЃРєРё</t>
  </si>
  <si>
    <t>623.97</t>
  </si>
  <si>
    <t>RC3010</t>
  </si>
  <si>
    <t>MAZDA 3 (BK) 1.4, 1.6  03-09 (Front)</t>
  </si>
  <si>
    <t>KYBRC6368</t>
  </si>
  <si>
    <t>RC6368 KYB - РџСЂСѓР¶РёРЅР° РїС–РґРІС–СЃРєРё</t>
  </si>
  <si>
    <t>444.25</t>
  </si>
  <si>
    <t>RC6368</t>
  </si>
  <si>
    <t>KIA Ceed (ED) Exc. Estate  06- (Rear)</t>
  </si>
  <si>
    <t>KYBRC6375</t>
  </si>
  <si>
    <t>RC6375 KYB - РџСЂСѓР¶РёРЅР° РїС–РґРІС–СЃРєРё</t>
  </si>
  <si>
    <t>537.58</t>
  </si>
  <si>
    <t>RC6375</t>
  </si>
  <si>
    <t>KIA Ceed (ED) Estate Exc. 2.0CRDi  06- (Rear)</t>
  </si>
  <si>
    <t>KYBRC6562</t>
  </si>
  <si>
    <t>RC6562 KYB - РџСЂСѓР¶РёРЅР° РїС–РґРІС–СЃРєРё</t>
  </si>
  <si>
    <t>1078.71</t>
  </si>
  <si>
    <t>RC6562</t>
  </si>
  <si>
    <t>HYUNDAI Tucson (JM) All, KIA Sportage (JE) All  04- (Rear)</t>
  </si>
  <si>
    <t>KYBRD3136</t>
  </si>
  <si>
    <t>RD3136 KYB - РџСЂСѓР¶РёРЅР° РїС–РґРІС–СЃРєРё</t>
  </si>
  <si>
    <t>670.73</t>
  </si>
  <si>
    <t>RD3136</t>
  </si>
  <si>
    <t>NISSAN X-Trail 4WD (T30)  01-05 (Front)</t>
  </si>
  <si>
    <t>KYBRD5961</t>
  </si>
  <si>
    <t>RD5961 KYB - РџСЂСѓР¶РёРЅР° РїС–РґРІС–СЃРєРё</t>
  </si>
  <si>
    <t>734.90</t>
  </si>
  <si>
    <t>RD5961</t>
  </si>
  <si>
    <t>MITSUBISHI Pajero Sport (K96W, K94W) 3.0GLS, 2.5TD GLS  98-08 (Rear)</t>
  </si>
  <si>
    <t>KYBRF3142</t>
  </si>
  <si>
    <t>RF3142 KYB - РџСЂСѓР¶РёРЅР° РїС–РґРІС–СЃРєРё</t>
  </si>
  <si>
    <t>908.23</t>
  </si>
  <si>
    <t>RF3142</t>
  </si>
  <si>
    <t>LEXUS (MCU) RX300, RX330, RX350  03- (Front)</t>
  </si>
  <si>
    <t>KYBRG1267</t>
  </si>
  <si>
    <t>RG1267 KYB - РџСЂСѓР¶РёРЅР° РїС–РґРІС–СЃРєРё</t>
  </si>
  <si>
    <t>671.08</t>
  </si>
  <si>
    <t>RG1267</t>
  </si>
  <si>
    <t>VW Golf III 1.8, 2.0, 2.0GTi, 1.9D, 1.9SDI, 1.9TD  94-99 (Front)</t>
  </si>
  <si>
    <t>KYBRG1659</t>
  </si>
  <si>
    <t>RG1659 KYB - РџСЂСѓР¶РёРЅР° РїС–РґРІС–СЃРєРё</t>
  </si>
  <si>
    <t>778.28</t>
  </si>
  <si>
    <t>RG1659</t>
  </si>
  <si>
    <t>DAEWOO Lanos, Sens All (Front)</t>
  </si>
  <si>
    <t>KYBRG3068</t>
  </si>
  <si>
    <t>RG3068 KYB - РџСЂСѓР¶РёРЅР° РїС–РґРІС–СЃРєРё</t>
  </si>
  <si>
    <t>910.54</t>
  </si>
  <si>
    <t>RG3068</t>
  </si>
  <si>
    <t>DACIA/RENAULT/RENAULT Logan, Logan MCV All  04- (Front)</t>
  </si>
  <si>
    <t>KYBRH1156</t>
  </si>
  <si>
    <t>RH1156 KYB - РџСЂСѓР¶РёРЅР° РїС–РґРІС–СЃРєРё</t>
  </si>
  <si>
    <t>579.17</t>
  </si>
  <si>
    <t>RH1156</t>
  </si>
  <si>
    <t>OPEL Vectra B 1.6, 1.8, Astra G 1.2, 1.4, 1.6, 1.8, 2.2  95-04 (Front)</t>
  </si>
  <si>
    <t>KYBRH1720</t>
  </si>
  <si>
    <t>RH1720 KYB - РџСЂСѓР¶РёРЅР° РїС–РґРІС–СЃРєРё (HD)</t>
  </si>
  <si>
    <t>746.99</t>
  </si>
  <si>
    <t>RH1720</t>
  </si>
  <si>
    <t>VW T5 All 03- (Front)</t>
  </si>
  <si>
    <t>KYBRH1724</t>
  </si>
  <si>
    <t>RH1724 KYB - РџСЂСѓР¶РёРЅР° РїС–РґРІС–СЃРєРё</t>
  </si>
  <si>
    <t>742.19</t>
  </si>
  <si>
    <t>RH1724</t>
  </si>
  <si>
    <t>VW Caddy (2K) 1.6, 1.9TDi  04- (Front)</t>
  </si>
  <si>
    <t>KYBRH2661</t>
  </si>
  <si>
    <t>RH2661 KYB - РџСЂСѓР¶РёРЅР° РїС–РґРІС–СЃРєРё</t>
  </si>
  <si>
    <t>656.68</t>
  </si>
  <si>
    <t>RH2661</t>
  </si>
  <si>
    <t>OPEL Vectra C 1.9CDTi, 2.0DTi, 2.2DTi Ch. 41048790--  02- (Front)</t>
  </si>
  <si>
    <t>KYBRH2712</t>
  </si>
  <si>
    <t>RH2712 KYB - РџСЂСѓР¶РёРЅР° РїС–РґРІС–СЃРєРё</t>
  </si>
  <si>
    <t>637.31</t>
  </si>
  <si>
    <t>RH2712</t>
  </si>
  <si>
    <t>RENAULT Megane II (BM, CM, LM), Scenic (JM) 1.4, 1.6, 1.5DCi  02-08 (Front)</t>
  </si>
  <si>
    <t>KYBRH2958</t>
  </si>
  <si>
    <t>RH2958 KYB - РџСЂСѓР¶РёРЅР° РїС–РґРІС–СЃРєРё</t>
  </si>
  <si>
    <t>378.47</t>
  </si>
  <si>
    <t>RH2958</t>
  </si>
  <si>
    <t>SKODA Fabia II (5J) Exc. Sport sus. 1.2, 1.4, 1.6  06- (Front)</t>
  </si>
  <si>
    <t>KYBRH3311</t>
  </si>
  <si>
    <t>RH3311 KYB - РџСЂСѓР¶РёРЅР° РїС–РґРІС–СЃРєРё</t>
  </si>
  <si>
    <t>RH3311</t>
  </si>
  <si>
    <t>NISSAN Note (E11) 1.6  06- (Front)</t>
  </si>
  <si>
    <t>KYBRH3318</t>
  </si>
  <si>
    <t>RH3318 KYB - РџСЂСѓР¶РёРЅР° РїС–РґРІС–СЃРєРё</t>
  </si>
  <si>
    <t>614.20</t>
  </si>
  <si>
    <t>RH3318</t>
  </si>
  <si>
    <t>OPEL Combo 1.3CDTi, 1.7Di, 1.7DTi  01- (Front)</t>
  </si>
  <si>
    <t>KYBRH5303</t>
  </si>
  <si>
    <t>RH5303 KYB - РџСЂСѓР¶РёРЅР° РїС–РґРІС–СЃРєРё</t>
  </si>
  <si>
    <t>487.09</t>
  </si>
  <si>
    <t>RH5303</t>
  </si>
  <si>
    <t>FORD Fiesta (JD, JH)  01-08 (Rear)</t>
  </si>
  <si>
    <t>KYBRH5537</t>
  </si>
  <si>
    <t>RH5537 KYB - РџСЂСѓР¶РёРЅР° РїС–РґРІС–СЃРєРё (HD)</t>
  </si>
  <si>
    <t>600.86</t>
  </si>
  <si>
    <t>RH5537</t>
  </si>
  <si>
    <t>SKODA Octavia I Estate (1U5) Exc. RS, 4WD, Roomster (5J)  97- (Rear)</t>
  </si>
  <si>
    <t>KYBRH5544</t>
  </si>
  <si>
    <t>RH5544 KYB - РџСЂСѓР¶РёРЅР° РїС–РґРІС–СЃРєРё (HD)</t>
  </si>
  <si>
    <t>635.53</t>
  </si>
  <si>
    <t>RH5544</t>
  </si>
  <si>
    <t>SKODA Octavia I (1U2)  96- (Rear)</t>
  </si>
  <si>
    <t>KYBRH6083</t>
  </si>
  <si>
    <t>RH6083 KYB - РџСЂСѓР¶РёРЅР° РїС–РґРІС–СЃРєРё</t>
  </si>
  <si>
    <t>556.42</t>
  </si>
  <si>
    <t>RH6083</t>
  </si>
  <si>
    <t>SKODA Octavia I (1U5) Exc. RS, 4WD  96- (Rear)</t>
  </si>
  <si>
    <t>KYBRH6086</t>
  </si>
  <si>
    <t>RH6086 KYB - РџСЂСѓР¶РёРЅР° РїС–РґРІС–СЃРєРё</t>
  </si>
  <si>
    <t>558.38</t>
  </si>
  <si>
    <t>RH6086</t>
  </si>
  <si>
    <t>SKODA Fabia I Estate (6Y5)  00-07 (Rear)</t>
  </si>
  <si>
    <t>KYBRH6100</t>
  </si>
  <si>
    <t>RH6100 KYB - РџСЂСѓР¶РёРЅР° РїС–РґРІС–СЃРєРё (HD)</t>
  </si>
  <si>
    <t>552.33</t>
  </si>
  <si>
    <t>RH6100</t>
  </si>
  <si>
    <t>PEUGEOT 307 Exc. SW/Estate, CITROEN C4 1.4, 1.6  00- (Rear)</t>
  </si>
  <si>
    <t>KYBRH6414</t>
  </si>
  <si>
    <t>RH6414 KYB - РџСЂСѓР¶РёРЅР° РїС–РґРІС–СЃРєРё</t>
  </si>
  <si>
    <t>887.43</t>
  </si>
  <si>
    <t>RH6414</t>
  </si>
  <si>
    <t>MAZDA 6 (GG, 4 doors)  02-07 (Rear)</t>
  </si>
  <si>
    <t>KYBRH6575</t>
  </si>
  <si>
    <t>RH6575 KYB - РџСЂСѓР¶РёРЅР° РїС–РґРІС–СЃРєРё</t>
  </si>
  <si>
    <t>743.26</t>
  </si>
  <si>
    <t>RH6575</t>
  </si>
  <si>
    <t>AUDI A4 (8E) Exc. Sport sus.  00-07 (Rear)</t>
  </si>
  <si>
    <t>KYBRH6585</t>
  </si>
  <si>
    <t>RH6585 KYB - РџСЂСѓР¶РёРЅР° РїС–РґРІС–СЃРєРё</t>
  </si>
  <si>
    <t>619.35</t>
  </si>
  <si>
    <t>RH6585</t>
  </si>
  <si>
    <t>NISSAN Note (E11)  06- (Rear)</t>
  </si>
  <si>
    <t>KYBRH6963</t>
  </si>
  <si>
    <t>RH6963 KYB - РџСЂСѓР¶РёРЅР° РїС–РґРІС–СЃРєРё</t>
  </si>
  <si>
    <t>856.85</t>
  </si>
  <si>
    <t>RH6963</t>
  </si>
  <si>
    <t>DACIA/RENAULT Logan MCV, Van - Express  07- (Rear)</t>
  </si>
  <si>
    <t>KYBRI6515</t>
  </si>
  <si>
    <t>RI6515 KYB - РџСЂСѓР¶РёРЅР° РїС–РґРІС–СЃРєРё</t>
  </si>
  <si>
    <t>873.03</t>
  </si>
  <si>
    <t>RI6515</t>
  </si>
  <si>
    <t>NISSAN X-Trail (T30)  01-07 (Rear)</t>
  </si>
  <si>
    <t>KYBRI6517</t>
  </si>
  <si>
    <t>RI6517 KYB - РџСЂСѓР¶РёРЅР° РїС–РґРІС–СЃРєРё</t>
  </si>
  <si>
    <t>1120.84</t>
  </si>
  <si>
    <t>RI6517</t>
  </si>
  <si>
    <t>LEXUS RX300, RX330, RX350 (MCU)  03- (Rear)</t>
  </si>
  <si>
    <t>KYBRJ5049</t>
  </si>
  <si>
    <t>RJ5049 KYB - РџСЂСѓР¶РёРЅР° РїС–РґРІС–СЃРєРё</t>
  </si>
  <si>
    <t>769.57</t>
  </si>
  <si>
    <t>RJ5049</t>
  </si>
  <si>
    <t>VW Sharan (7M)  95-10 (Rear, MB-type)</t>
  </si>
  <si>
    <t>KYBRJ6206</t>
  </si>
  <si>
    <t>RJ6206 KYB - РџСЂСѓР¶РёРЅР° РїС–РґРІС–СЃРєРё</t>
  </si>
  <si>
    <t>1415.40</t>
  </si>
  <si>
    <t>RJ6206</t>
  </si>
  <si>
    <t>MB Vito (W638) Ch. 021 235-- (Rear, MB-type)</t>
  </si>
  <si>
    <t>KYBRJ6665</t>
  </si>
  <si>
    <t>RJ6665 KYB - РџСЂСѓР¶РёРЅР° РїС–РґРІС–СЃРєРё</t>
  </si>
  <si>
    <t>1821.96</t>
  </si>
  <si>
    <t>RJ6665</t>
  </si>
  <si>
    <t>MB Vito/Viano (W639)  03- (Rear, MB-type)</t>
  </si>
  <si>
    <t>KYBRX6216</t>
  </si>
  <si>
    <t>RX6216 KYB - РџСЂСѓР¶РёРЅР° РїС–РґРІС–СЃРєРё</t>
  </si>
  <si>
    <t>1049.20</t>
  </si>
  <si>
    <t>RX6216</t>
  </si>
  <si>
    <t>OPEL Vivaro  01- (Rear, E-type)</t>
  </si>
  <si>
    <t>KYBRX6239</t>
  </si>
  <si>
    <t>RX6239 KYB - РџСЂСѓР¶РёРЅР° РїС–РґРІС–СЃРєРё</t>
  </si>
  <si>
    <t>858.63</t>
  </si>
  <si>
    <t>RX6239</t>
  </si>
  <si>
    <t>RENAULT Espace IV (JK0)  02- (Rear, E-type)</t>
  </si>
  <si>
    <t>KYBSM1507</t>
  </si>
  <si>
    <t>SM1507 KYB - РћРїРѕСЂР° СЃС‚С–Р№РєРё Р°РјРѕСЂС‚РёР·Р°С‚РѕСЂР°</t>
  </si>
  <si>
    <t>338.12</t>
  </si>
  <si>
    <t>SM1507</t>
  </si>
  <si>
    <t>RENAULT Kangoo, Clio II 97-| NISSAN Kubistar 03-  (Front, L/R)</t>
  </si>
  <si>
    <t>KYBSM1702</t>
  </si>
  <si>
    <t>SM1702 KYB - РћРїРѕСЂР° СЃС‚С–Р№РєРё Р°РјРѕСЂС‚РёР·Р°С‚РѕСЂР°</t>
  </si>
  <si>
    <t>150.75</t>
  </si>
  <si>
    <t>SM1702</t>
  </si>
  <si>
    <t>#Audi, Volkswagen</t>
  </si>
  <si>
    <t>KYBSM1704</t>
  </si>
  <si>
    <t>SM1704 KYB - РћРїРѕСЂР° СЃС‚С–Р№РєРё Р°РјРѕСЂС‚РёР·Р°С‚РѕСЂР°</t>
  </si>
  <si>
    <t>SM1704</t>
  </si>
  <si>
    <t>#Volkswagen</t>
  </si>
  <si>
    <t>KYBSM1708</t>
  </si>
  <si>
    <t>SM1708 KYB - РљРѕРјРїР»РµРєС‚ РѕРїРѕСЂРё Р°РјРѕСЂС‚РёР·Р°С‚РѕСЂР°</t>
  </si>
  <si>
    <t>158.75</t>
  </si>
  <si>
    <t>SM1708</t>
  </si>
  <si>
    <t>AUDI A3, SEAT Toledo, Leon, SKODA Octavia, VW Golf IV, Bora, 96- ( Front, L/R)</t>
  </si>
  <si>
    <t>KYBSM1933</t>
  </si>
  <si>
    <t>SM1933 KYB - РћРїРѕСЂР° СЃС‚С–Р№РєРё Р°РјРѕСЂС‚РёР·Р°С‚РѕСЂР°</t>
  </si>
  <si>
    <t>594.46</t>
  </si>
  <si>
    <t>SM1933</t>
  </si>
  <si>
    <t>PEUGEOT 308 1.4/1.6/2.0D 09.07-  (Front, L/R)</t>
  </si>
  <si>
    <t>KYBSM5058</t>
  </si>
  <si>
    <t>SM5058 KYB - РћРїРѕСЂР° СЃС‚С–Р№РєРё Р°РјРѕСЂС‚РёР·Р°С‚РѕСЂР°    !!! Р—Р°РјС–РЅР° РґР»СЏ SM3400</t>
  </si>
  <si>
    <t>SM5058</t>
  </si>
  <si>
    <t>#HONDA ROVER ACCORD CIVIC BALLADE CONCERTO CRV LEGEND ODYSSEY PRELUDE SHUTTLE 200 / 400 / 600</t>
  </si>
  <si>
    <t>KYBSM5091</t>
  </si>
  <si>
    <t>SM5091 KYB - РћРїРѕСЂР° СЃС‚С–Р№РєРё Р°РјРѕСЂС‚РёР·Р°С‚РѕСЂР°</t>
  </si>
  <si>
    <t>197.32</t>
  </si>
  <si>
    <t>SM5091</t>
  </si>
  <si>
    <t>#CHRYSLER DODGE HYUNDAI MITSUBISHI SEBRING COUPE AVENGER SONATA ECLIPSE GALANT / SIGMA</t>
  </si>
  <si>
    <t>KYBSM5123</t>
  </si>
  <si>
    <t>SM5123 KYB - РћРїРѕСЂР° СЃС‚С–Р№РєРё Р°РјРѕСЂС‚РёР·Р°С‚РѕСЂР°</t>
  </si>
  <si>
    <t>75.20</t>
  </si>
  <si>
    <t>SM5123</t>
  </si>
  <si>
    <t>#NISSAN 200SX ALMERA MAXIMA PRIMERA</t>
  </si>
  <si>
    <t>KYBSM5175</t>
  </si>
  <si>
    <t>SM5175 KYB - РћРїРѕСЂР° СЃС‚С–Р№РєРё Р°РјРѕСЂС‚РёР·Р°С‚РѕСЂР°</t>
  </si>
  <si>
    <t>761.03</t>
  </si>
  <si>
    <t>SM5175</t>
  </si>
  <si>
    <t>TOYOTA Camry (V20) 96-, LEXUS RX 00-03 (Rear L/R)</t>
  </si>
  <si>
    <t>KYBSM5197</t>
  </si>
  <si>
    <t>SM5197 KYB - РћРїРѕСЂР° СЃС‚С–Р№РєРё Р°РјРѕСЂС‚РёР·Р°С‚РѕСЂР°</t>
  </si>
  <si>
    <t>SM5197</t>
  </si>
  <si>
    <t>#VW PASSAT</t>
  </si>
  <si>
    <t>KYBSM5201</t>
  </si>
  <si>
    <t>SM5201 KYB - РћРїРѕСЂР° СЃС‚С–Р№РєРё Р°РјРѕСЂС‚РёР·Р°С‚РѕСЂР°    !!! Р—Р°РјС–РЅР° РґР»СЏ SM3301</t>
  </si>
  <si>
    <t>530.64</t>
  </si>
  <si>
    <t>SM5201</t>
  </si>
  <si>
    <t>HYUNDAI Accent 00-, Getz 02-, (Front, L/R)</t>
  </si>
  <si>
    <t>KYBSM5239</t>
  </si>
  <si>
    <t>SM5239 KYB - РћРїРѕСЂР° СЃС‚С–Р№РєРё Р°РјРѕСЂС‚РёР·Р°С‚РѕСЂР°</t>
  </si>
  <si>
    <t>467.36</t>
  </si>
  <si>
    <t>SM5239</t>
  </si>
  <si>
    <t>HYUNDAI Tucson (JM)| KIA Sportage (JE) 2.0D, 2.7  04-10  (Rear, L)</t>
  </si>
  <si>
    <t>KYBSM5295</t>
  </si>
  <si>
    <t>SM5295 KYB - РћРїРѕСЂР° СЃС‚С–Р№РєРё Р°РјРѕСЂС‚РёР·Р°С‚РѕСЂР°</t>
  </si>
  <si>
    <t>620.42</t>
  </si>
  <si>
    <t>SM5295</t>
  </si>
  <si>
    <t>HYUNDAI Santa Fe, Tucson| KIA Sportage 2.0-2.7  02-  (Front, L/R)</t>
  </si>
  <si>
    <t>KYBSM5314</t>
  </si>
  <si>
    <t>SM5314 KYB - РћРїРѕСЂР° СЃС‚С–Р№РєРё Р°РјРѕСЂС‚РёР·Р°С‚РѕСЂР°</t>
  </si>
  <si>
    <t>257.23</t>
  </si>
  <si>
    <t>SM5314</t>
  </si>
  <si>
    <t>#MITSUBISHI SHOGUN / MONTERO / PAJERO</t>
  </si>
  <si>
    <t>KYBSM5409</t>
  </si>
  <si>
    <t>SM5409 KYB - РћРїРѕСЂР° СЃС‚С–Р№РєРё Р°РјРѕСЂС‚РёР·Р°С‚РѕСЂР°    !!! Р—Р°РјС–РЅР° РґР»СЏ SM2802</t>
  </si>
  <si>
    <t>598.73</t>
  </si>
  <si>
    <t>SM5409</t>
  </si>
  <si>
    <t>NISSAN Maxima QX 03.00-, Murano 05-, Primera 02-, X-Trail 01-, (Front L/R)</t>
  </si>
  <si>
    <t>KYBSM5423</t>
  </si>
  <si>
    <t>SM5423 KYB - РћРїРѕСЂР° СЃС‚С–Р№РєРё Р°РјРѕСЂС‚РёР·Р°С‚РѕСЂР°</t>
  </si>
  <si>
    <t>870.54</t>
  </si>
  <si>
    <t>SM5423</t>
  </si>
  <si>
    <t>#TOYOTA CAMRY</t>
  </si>
  <si>
    <t>KYBSM5451</t>
  </si>
  <si>
    <t>SM5451 KYB - РћРїРѕСЂР° СЃС‚С–Р№РєРё Р°РјРѕСЂС‚РёР·Р°С‚РѕСЂР°</t>
  </si>
  <si>
    <t>379.54</t>
  </si>
  <si>
    <t>SM5451</t>
  </si>
  <si>
    <t>CHEVROLET Aveo| DAEWOO Kalos 05- (Front L/R)</t>
  </si>
  <si>
    <t>KYBSM5461</t>
  </si>
  <si>
    <t>SM5461 KYB - РћРїРѕСЂР° СЃС‚С–Р№РєРё Р°РјРѕСЂС‚РёР·Р°С‚РѕСЂР°</t>
  </si>
  <si>
    <t>747.70</t>
  </si>
  <si>
    <t>SM5461</t>
  </si>
  <si>
    <t>MITSUBISHI Lancer 03-, Outlander 03-, (Front L/R)</t>
  </si>
  <si>
    <t>KYBSM5472</t>
  </si>
  <si>
    <t>SM5472 KYB - РћРїРѕСЂР° СЃС‚С–Р№РєРё Р°РјРѕСЂС‚РёР·Р°С‚РѕСЂР°</t>
  </si>
  <si>
    <t>606.91</t>
  </si>
  <si>
    <t>SM5472</t>
  </si>
  <si>
    <t>#TOYOTA Yaris</t>
  </si>
  <si>
    <t>KYBSM5589</t>
  </si>
  <si>
    <t>SM5589 KYB - РћРїРѕСЂР° СЃС‚С–Р№РєРё Р°РјРѕСЂС‚РёР·Р°С‚РѕСЂР°</t>
  </si>
  <si>
    <t>506.29</t>
  </si>
  <si>
    <t>SM5589</t>
  </si>
  <si>
    <t>#Focus II / Focus II Tournier / C-Max / Kuga / Mazda 3 / Mazda 5 /S40 / V50 / C30 / C70</t>
  </si>
  <si>
    <t>KYBSM5637</t>
  </si>
  <si>
    <t>SM5637 KYB - РћРїРѕСЂР° СЃС‚С–Р№РєРё Р°РјРѕСЂС‚РёР·Р°С‚РѕСЂР°</t>
  </si>
  <si>
    <t>1131.51</t>
  </si>
  <si>
    <t>SM5637</t>
  </si>
  <si>
    <t>KYBSM5655</t>
  </si>
  <si>
    <t>SM5655 KYB - РћРїРѕСЂР° СЃС‚С–Р№РєРё Р°РјРѕСЂС‚РёР·Р°С‚РѕСЂР°</t>
  </si>
  <si>
    <t>820.23</t>
  </si>
  <si>
    <t>SM5655</t>
  </si>
  <si>
    <t># HONDA CR-V III (RE)  07-13  FRONT</t>
  </si>
  <si>
    <t>KYBSM9203</t>
  </si>
  <si>
    <t>SM9203 KYB - РћРїРѕСЂР° СЃС‚С–Р№РєРё Р°РјРѕСЂС‚РёР·Р°С‚РѕСЂР°</t>
  </si>
  <si>
    <t>425.23</t>
  </si>
  <si>
    <t>SM9203</t>
  </si>
  <si>
    <t>#FORD FOCUS II CMAX</t>
  </si>
  <si>
    <t>LMI</t>
  </si>
  <si>
    <t>LMI10126</t>
  </si>
  <si>
    <t>10126 03  LMI  -  РЎР°Р№Р»РµРЅС‚Р±Р»РѕРє</t>
  </si>
  <si>
    <t>76.21</t>
  </si>
  <si>
    <t>LEMFГ–RDER</t>
  </si>
  <si>
    <t>10126 03</t>
  </si>
  <si>
    <t>AUDI 80  78-95, VW Passat  80-88, front L/R</t>
  </si>
  <si>
    <t>LMI10155</t>
  </si>
  <si>
    <t>10155 03  LMI  -  РљСѓР»СЊРѕРІР° РѕРїРѕСЂР°</t>
  </si>
  <si>
    <t>459.82</t>
  </si>
  <si>
    <t>10155 03</t>
  </si>
  <si>
    <t>VW T4 Ch.&gt;&gt;70-T-199999, L/R, РІРµСЂС…</t>
  </si>
  <si>
    <t>LMI10161</t>
  </si>
  <si>
    <t>10161 07  LMI  -  РљСѓР»СЊРѕРІР° РѕРїРѕСЂР°</t>
  </si>
  <si>
    <t>252.65</t>
  </si>
  <si>
    <t>10161 07</t>
  </si>
  <si>
    <t>VW Golf, Jetta 87-, Vento 92-, Passat 88-, L/R</t>
  </si>
  <si>
    <t>LMI10162</t>
  </si>
  <si>
    <t>10162 02  LMI  -  РљСѓР»СЊРѕРІР° РѕРїРѕСЂР°</t>
  </si>
  <si>
    <t>266.21</t>
  </si>
  <si>
    <t>10162 02</t>
  </si>
  <si>
    <t>VW T3  79-92, L/R РІРµСЂС…</t>
  </si>
  <si>
    <t>LMI10164</t>
  </si>
  <si>
    <t>10164 03  LMI  -  РљСѓР»СЊРѕРІР° РѕРїРѕСЂР°</t>
  </si>
  <si>
    <t>582.55</t>
  </si>
  <si>
    <t>10164 03</t>
  </si>
  <si>
    <t>VW T4 Ch.&gt;&gt;70-T-199999, L/R, РЅРёР· (Р· РІРёСЃС‚СѓРїРѕРј)</t>
  </si>
  <si>
    <t>LMI10197</t>
  </si>
  <si>
    <t>10197 01  LMI  -  РЎР°Р№Р»РµРЅС‚Р±Р»РѕРє Р±Р°Р»РєРё</t>
  </si>
  <si>
    <t>253.86</t>
  </si>
  <si>
    <t>10197 01</t>
  </si>
  <si>
    <t>VW T3  79-92, rear L/R</t>
  </si>
  <si>
    <t>LMI10203</t>
  </si>
  <si>
    <t>10203 02  LMI  -  РЎР°Р№Р»РµРЅС‚Р±Р»РѕРє</t>
  </si>
  <si>
    <t>59.90</t>
  </si>
  <si>
    <t>10203 02</t>
  </si>
  <si>
    <t>VAG  88-</t>
  </si>
  <si>
    <t>LMI10517</t>
  </si>
  <si>
    <t>10517 02  LMI  -  РЎР°Р№Р»РµРЅС‚Р±Р»РѕРє</t>
  </si>
  <si>
    <t>200.13</t>
  </si>
  <si>
    <t>10517 02</t>
  </si>
  <si>
    <t>BMW 5 (E28, E34, E60), 7 (E32)</t>
  </si>
  <si>
    <t>LMI10518</t>
  </si>
  <si>
    <t>10518 02  LMI  -  РљСѓР»СЊРѕРІР° РѕРїРѕСЂР°</t>
  </si>
  <si>
    <t>330.41</t>
  </si>
  <si>
    <t>10518 02</t>
  </si>
  <si>
    <t>BMW 3 (E30)  82-94, L/R, long</t>
  </si>
  <si>
    <t>LMI10519</t>
  </si>
  <si>
    <t>10519 03  LMI  -  РљСѓР»СЊРѕРІР° РѕРїРѕСЂР°</t>
  </si>
  <si>
    <t>10519 03</t>
  </si>
  <si>
    <t>BMW 3 (E30)  82-94, L/R, short</t>
  </si>
  <si>
    <t>LMI10531</t>
  </si>
  <si>
    <t>10531 01  LMI  -  РЎР°Р№Р»РµРЅС‚Р±Р»РѕРє</t>
  </si>
  <si>
    <t>280.80</t>
  </si>
  <si>
    <t>10531 01</t>
  </si>
  <si>
    <t>BMW 5 (E34), 7 (E32)  88-99</t>
  </si>
  <si>
    <t>LMI10536</t>
  </si>
  <si>
    <t>10536 01  LMI  -  РљСѓР»СЊРѕРІР° РѕРїРѕСЂР°</t>
  </si>
  <si>
    <t>442.66</t>
  </si>
  <si>
    <t>10536 01</t>
  </si>
  <si>
    <t>BMW E36, L/R short</t>
  </si>
  <si>
    <t>LMI10575</t>
  </si>
  <si>
    <t>10575 02  LMI  -  РўСЏРіР° СЃС‚Р°Р±С–Р»С–Р·Р°С‚РѕСЂР°</t>
  </si>
  <si>
    <t>366.62</t>
  </si>
  <si>
    <t>10575 02</t>
  </si>
  <si>
    <t>BMW 3 (E30, E36)  82-00, front L/R</t>
  </si>
  <si>
    <t>LMI10576</t>
  </si>
  <si>
    <t>10576 02  LMI  -  РўСЏРіР° СЃС‚Р°Р±С–Р»С–Р·Р°С‚РѕСЂР°</t>
  </si>
  <si>
    <t>438.71</t>
  </si>
  <si>
    <t>10576 02</t>
  </si>
  <si>
    <t>BMW 3 (E36), 5 (E28, E34), 7 (E32)  80-97, front L/R</t>
  </si>
  <si>
    <t>LMI10726</t>
  </si>
  <si>
    <t>10726 02  LMI  -  РљСѓР»СЊРѕРІР° РѕРїРѕСЂР°</t>
  </si>
  <si>
    <t>352.38</t>
  </si>
  <si>
    <t>10726 02</t>
  </si>
  <si>
    <t>MB W201, W124  82-98, L/R</t>
  </si>
  <si>
    <t>LMI10764</t>
  </si>
  <si>
    <t>10764 03  LMI  -  РўСЏРіР° СЃС‚Р°Р±С–Р»С–Р·Р°С‚РѕСЂР°</t>
  </si>
  <si>
    <t>147.78</t>
  </si>
  <si>
    <t>10764 03</t>
  </si>
  <si>
    <t>LMI10959</t>
  </si>
  <si>
    <t>10959 01  LMI  -  РЎР°Р№Р»РµРЅС‚Р±Р»РѕРє</t>
  </si>
  <si>
    <t>39.99</t>
  </si>
  <si>
    <t>10959 01</t>
  </si>
  <si>
    <t>LMI10969</t>
  </si>
  <si>
    <t>10969 03  LMI  -  РћРїРѕСЂР° СЃС‚С–Р№РєРё Р°РјРѕСЂС‚РёР·Р°С‚РѕСЂР°</t>
  </si>
  <si>
    <t>473.90</t>
  </si>
  <si>
    <t>10969 03</t>
  </si>
  <si>
    <t>MB W124 all, front</t>
  </si>
  <si>
    <t>LMI10985</t>
  </si>
  <si>
    <t>10985 01  LMI  -  РћРїРѕСЂР° РљРџРџ</t>
  </si>
  <si>
    <t>157.91</t>
  </si>
  <si>
    <t>10985 01</t>
  </si>
  <si>
    <t>MB W124, W201</t>
  </si>
  <si>
    <t>LMI11214</t>
  </si>
  <si>
    <t>11214 02  LMI  -  Р’С‚СѓР»РєР° СЃС‚Р°Р±С–Р»С–Р·Р°С‚РѕСЂР°</t>
  </si>
  <si>
    <t>35.70</t>
  </si>
  <si>
    <t>11214 02</t>
  </si>
  <si>
    <t>MB 190 (W201),Classe E (W124) (d=18.5mm)</t>
  </si>
  <si>
    <t>LMI11215</t>
  </si>
  <si>
    <t>11215 02  LMI  -  Р’С‚СѓР»РєР° СЃС‚Р°Р±С–Р»С–Р·Р°С‚РѕСЂР°</t>
  </si>
  <si>
    <t>11215 02</t>
  </si>
  <si>
    <t>MB 190 (W201),Classe E (W124) (d=27.5mm)</t>
  </si>
  <si>
    <t>LMI11219</t>
  </si>
  <si>
    <t>11219 02  LMI  -  Р’С‚СѓР»РєР° СЃС‚Р°Р±С–Р»С–Р·Р°С‚РѕСЂР°</t>
  </si>
  <si>
    <t>32.95</t>
  </si>
  <si>
    <t>11219 02</t>
  </si>
  <si>
    <t>MB 190 (W201),Classe E (W124) (d=23mm)</t>
  </si>
  <si>
    <t>LMI11233</t>
  </si>
  <si>
    <t>11233 01  LMI  -  РЎР°Р№Р»РµРЅС‚Р±Р»РѕРє</t>
  </si>
  <si>
    <t>78.78</t>
  </si>
  <si>
    <t>11233 01</t>
  </si>
  <si>
    <t>LMI11323</t>
  </si>
  <si>
    <t>11323 01  LMI  -  РЎР°Р№Р»РµРЅС‚Р±Р»РѕРє</t>
  </si>
  <si>
    <t>156.71</t>
  </si>
  <si>
    <t>11323 01</t>
  </si>
  <si>
    <t>MB W202  93-01</t>
  </si>
  <si>
    <t>LMI11814</t>
  </si>
  <si>
    <t>11814 02  LMI  -  РљСѓР»СЊРѕРІР° РѕРїРѕСЂР°</t>
  </si>
  <si>
    <t>245.62</t>
  </si>
  <si>
    <t>11814 02</t>
  </si>
  <si>
    <t>MAZDA 626 (GC, GD, GE, GF)  82-02, L/R</t>
  </si>
  <si>
    <t>LMI11851</t>
  </si>
  <si>
    <t>11851 01  LMI  -  РљСѓР»СЊРѕРІР° РѕРїРѕСЂР°</t>
  </si>
  <si>
    <t>241.50</t>
  </si>
  <si>
    <t>11851 01</t>
  </si>
  <si>
    <t>HYUNDAI Accent (LC), Getz  00-, L/R</t>
  </si>
  <si>
    <t>LMI12073</t>
  </si>
  <si>
    <t>12073 03  LMI  -  РќР°РєС–РЅРµС‡РЅРёРє РєРµСЂРјРѕРІРѕС— С‚СЏРіРё</t>
  </si>
  <si>
    <t>179.54</t>
  </si>
  <si>
    <t>12073 03</t>
  </si>
  <si>
    <t>PEUGEOT 305, 405  85-95, left</t>
  </si>
  <si>
    <t>LMI12074</t>
  </si>
  <si>
    <t>12074 03  LMI  -  РќР°РєС–РЅРµС‡РЅРёРє РєРµСЂРјРѕРІРѕС— С‚СЏРіРё</t>
  </si>
  <si>
    <t>12074 03</t>
  </si>
  <si>
    <t>PEUGEOT 305, 405  85-95, right</t>
  </si>
  <si>
    <t>LMI12152</t>
  </si>
  <si>
    <t>12152 03  LMI  -  РљСѓР»СЊРѕРІР° РѕРїРѕСЂР°</t>
  </si>
  <si>
    <t>195.33</t>
  </si>
  <si>
    <t>12152 03</t>
  </si>
  <si>
    <t>DAEWOO Lanos, Espero, Nexia  94-, L/R</t>
  </si>
  <si>
    <t>LMI12173</t>
  </si>
  <si>
    <t>12173 02  LMI  -  РќР°РєС–РЅРµС‡РЅРёРє РєРµСЂРјРѕРІРѕС— С‚СЏРіРё</t>
  </si>
  <si>
    <t>163.74</t>
  </si>
  <si>
    <t>12173 02</t>
  </si>
  <si>
    <t>DAEWOO Lanos, Espero, Nexia  94-, left</t>
  </si>
  <si>
    <t>LMI12179</t>
  </si>
  <si>
    <t>12179 02  LMI  -  РќР°РєС–РЅРµС‡РЅРёРє РєРµСЂРјРѕРІРѕС— С‚СЏРіРё</t>
  </si>
  <si>
    <t>230.17</t>
  </si>
  <si>
    <t>12179 02</t>
  </si>
  <si>
    <t>OPEL Vectra A, Astra F, Astra F Classic  88-, left</t>
  </si>
  <si>
    <t>LMI12180</t>
  </si>
  <si>
    <t>12180 02  LMI  -  РќР°РєС–РЅРµС‡РЅРёРє РєРµСЂРјРѕРІРѕС— С‚СЏРіРё</t>
  </si>
  <si>
    <t>12180 02</t>
  </si>
  <si>
    <t>OPEL Vectra A, Astra F, Astra F Classic  88-, right</t>
  </si>
  <si>
    <t>LMI12191</t>
  </si>
  <si>
    <t>12191 01  LMI  -  РЎР°Р№Р»РµРЅС‚Р±Р»РѕРє</t>
  </si>
  <si>
    <t>12191 01</t>
  </si>
  <si>
    <t>OPEL Omega A  86-94</t>
  </si>
  <si>
    <t>LMI12192</t>
  </si>
  <si>
    <t>12192 01  LMI  -  РЎР°Р№Р»РµРЅС‚Р±Р»РѕРє</t>
  </si>
  <si>
    <t>12192 01</t>
  </si>
  <si>
    <t>LMI12202</t>
  </si>
  <si>
    <t>12202 02  LMI  -  РўСЏРіР° СЃС‚Р°Р±С–Р»С–Р·Р°С‚РѕСЂР°</t>
  </si>
  <si>
    <t>12202 02</t>
  </si>
  <si>
    <t>OPEL Astra F, Astra F Classic, Vectra A  88-, front L/R (СЃС‚Р°Р±. 22mm)</t>
  </si>
  <si>
    <t>LMI12254</t>
  </si>
  <si>
    <t>12254 03  LMI  -  РћРїРѕСЂР° РґРІРёРіСѓРЅР°</t>
  </si>
  <si>
    <t>347.23</t>
  </si>
  <si>
    <t>12254 03</t>
  </si>
  <si>
    <t>LMI12263</t>
  </si>
  <si>
    <t>12263 02  LMI  -  РћРїРѕСЂР° РґРІРёРіСѓРЅР°</t>
  </si>
  <si>
    <t>250.42</t>
  </si>
  <si>
    <t>12263 02</t>
  </si>
  <si>
    <t>LMI12400</t>
  </si>
  <si>
    <t>12400 01  LMI  -  РЎР°Р№Р»РµРЅС‚Р±Р»РѕРє</t>
  </si>
  <si>
    <t>445.75</t>
  </si>
  <si>
    <t>12400 01</t>
  </si>
  <si>
    <t>MB W210  95-02</t>
  </si>
  <si>
    <t>LMI12582</t>
  </si>
  <si>
    <t>12582 02  LMI  -  РўСЏРіР° СЃС‚Р°Р±С–Р»С–Р·Р°С‚РѕСЂР°</t>
  </si>
  <si>
    <t>12582 02</t>
  </si>
  <si>
    <t>MB W140  91-98, rear L/R (metal)</t>
  </si>
  <si>
    <t>LMI12661</t>
  </si>
  <si>
    <t>12661 02  LMI  -  РўСЏРіР° РєРµСЂРјРѕРІР°</t>
  </si>
  <si>
    <t>573.28</t>
  </si>
  <si>
    <t>12661 02</t>
  </si>
  <si>
    <t>MB W210/S210  96-03, L/R</t>
  </si>
  <si>
    <t>LMI12871</t>
  </si>
  <si>
    <t>12871 01  LMI  -  Р’С‚СѓР»РєР° СЃС‚Р°Р±С–Р»С–Р·Р°С‚РѕСЂР°</t>
  </si>
  <si>
    <t>12871 01</t>
  </si>
  <si>
    <t xml:space="preserve">MB 601 77-96, 611 82-95, 602 77-96, Sprinter 95-|  VW LT 28, 35 97-  (Rear, L/R) </t>
  </si>
  <si>
    <t>LMI13283</t>
  </si>
  <si>
    <t>13283 02  LMI  -  РўСЏРіР° СЃС‚Р°Р±С–Р»С–Р·Р°С‚РѕСЂР°</t>
  </si>
  <si>
    <t>13283 02</t>
  </si>
  <si>
    <t>BMW 5 (E39, -) 535i, 540i, M5  95-04, front left</t>
  </si>
  <si>
    <t>LMI13287</t>
  </si>
  <si>
    <t>13287 01  LMI  -  РўСЏРіР° РєРµСЂРјРѕРІР°</t>
  </si>
  <si>
    <t>507.71</t>
  </si>
  <si>
    <t>13287 01</t>
  </si>
  <si>
    <t>BMW 5 (E39)  95-03, L/R</t>
  </si>
  <si>
    <t>LMI13307</t>
  </si>
  <si>
    <t>13307 01  LMI  -  РЎР°Р№Р»РµРЅС‚Р±Р»РѕРє</t>
  </si>
  <si>
    <t>632.32</t>
  </si>
  <si>
    <t>13307 01</t>
  </si>
  <si>
    <t>BMW 5 (E39, E60), 7 (E38, E65), X5 (E53)  rear L/R (С€Р°СЂРЅС–СЂ)</t>
  </si>
  <si>
    <t>LMI13311</t>
  </si>
  <si>
    <t>13311 03  LMI  -  РўСЏРіР° СЃС‚Р°Р±С–Р»С–Р·Р°С‚РѕСЂР°</t>
  </si>
  <si>
    <t>427.73</t>
  </si>
  <si>
    <t>13311 03</t>
  </si>
  <si>
    <t>BMW 5 (E39)  95-04, rear L/R</t>
  </si>
  <si>
    <t>LMI13719</t>
  </si>
  <si>
    <t>13719 02  LMI  -  Р’Р°Р¶С–Р»СЊ РїС–РґРІС–СЃРєРё</t>
  </si>
  <si>
    <t>959.64</t>
  </si>
  <si>
    <t>13719 02</t>
  </si>
  <si>
    <t>AUDI A4, A6, A8, VW Passat  96-, front left front РІРµСЂС…</t>
  </si>
  <si>
    <t>LMI13720</t>
  </si>
  <si>
    <t>13720 02  LMI  -  Р’Р°Р¶С–Р»СЊ РїС–РґРІС–СЃРєРё</t>
  </si>
  <si>
    <t>13720 02</t>
  </si>
  <si>
    <t>AUDI A4, A6, A8, VW Passat  96-, front right front РІРµСЂС…</t>
  </si>
  <si>
    <t>LMI14540</t>
  </si>
  <si>
    <t>14540 01  LMI  -  РЎР°Р№Р»РµРЅС‚Р±Р»РѕРє</t>
  </si>
  <si>
    <t>192.24</t>
  </si>
  <si>
    <t>14540 01</t>
  </si>
  <si>
    <t>AUDI A4 95- L/R</t>
  </si>
  <si>
    <t>LMI14554</t>
  </si>
  <si>
    <t>14554 01  LMI  -  РЎР°Р№Р»РµРЅС‚Р±Р»РѕРє</t>
  </si>
  <si>
    <t>14554 01</t>
  </si>
  <si>
    <t>LMI14555</t>
  </si>
  <si>
    <t>14555 03  LMI  -  РЎР°Р№Р»РµРЅС‚Р±Р»РѕРє</t>
  </si>
  <si>
    <t>14555 03</t>
  </si>
  <si>
    <t>VW T4  91-03, front L/R rear РЅРёР·</t>
  </si>
  <si>
    <t>LMI14556</t>
  </si>
  <si>
    <t>14556 01  LMI  -  РЎР°Р№Р»РµРЅС‚Р±Р»РѕРє</t>
  </si>
  <si>
    <t>131.65</t>
  </si>
  <si>
    <t>14556 01</t>
  </si>
  <si>
    <t>VW T4  91-03, front L/R front РЅРёР·</t>
  </si>
  <si>
    <t>LMI14571</t>
  </si>
  <si>
    <t>14571 02  LMI  -  РљСѓР»СЊРѕРІР° РѕРїРѕСЂР°</t>
  </si>
  <si>
    <t>597.48</t>
  </si>
  <si>
    <t>14571 02</t>
  </si>
  <si>
    <t>VW T4 Ch.70-T-200000&gt;&gt;, L/R, РЅРёР· (Р±РµР· РІРёСЃС‚СѓРїСѓ)</t>
  </si>
  <si>
    <t>LMI14711</t>
  </si>
  <si>
    <t>14711 01  LMI  -  РЎР°Р№Р»РµРЅС‚Р±Р»РѕРє</t>
  </si>
  <si>
    <t>348.94</t>
  </si>
  <si>
    <t>14711 01</t>
  </si>
  <si>
    <t>OPEL Vectra B  95-03, rear L/R outer</t>
  </si>
  <si>
    <t>LMI14723</t>
  </si>
  <si>
    <t>14723 01  LMI  -  РўСЏРіР° СЃС‚Р°Р±С–Р»С–Р·Р°С‚РѕСЂР°</t>
  </si>
  <si>
    <t>317.71</t>
  </si>
  <si>
    <t>14723 01</t>
  </si>
  <si>
    <t>OPEL Omega A/B  86-03, front L/R</t>
  </si>
  <si>
    <t>LMI14786</t>
  </si>
  <si>
    <t>14786 01  LMI  -  РћРїРѕСЂР° СЃС‚С–Р№РєРё Р°РјРѕСЂС‚РёР·Р°С‚РѕСЂР°</t>
  </si>
  <si>
    <t>331.27</t>
  </si>
  <si>
    <t>14786 01</t>
  </si>
  <si>
    <t>CITROEN Berlingo| PEUGEOT Partner 2.0HDi 99-</t>
  </si>
  <si>
    <t>LMI14892</t>
  </si>
  <si>
    <t>14892 01  LMI  -  РћРїРѕСЂР° СЃС‚С–Р№РєРё Р°РјРѕСЂС‚РёР·Р°С‚РѕСЂР°</t>
  </si>
  <si>
    <t>403.53</t>
  </si>
  <si>
    <t>14892 01</t>
  </si>
  <si>
    <t>BMW 7 (E38)  96-  (Front, L/R)</t>
  </si>
  <si>
    <t>LMI15280</t>
  </si>
  <si>
    <t>15280 01  LMI  -  РљСѓР»СЊРѕРІР° РѕРїРѕСЂР°</t>
  </si>
  <si>
    <t>15280 01</t>
  </si>
  <si>
    <t>MITSUBISHI Pajero II  90-00, left РЅРёР·</t>
  </si>
  <si>
    <t>LMI15281</t>
  </si>
  <si>
    <t>15281 02  LMI  -  РљСѓР»СЊРѕРІР° РѕРїРѕСЂР°</t>
  </si>
  <si>
    <t>15281 02</t>
  </si>
  <si>
    <t>MITSUBISHI Pajero II  90-00, right РЅРёР·</t>
  </si>
  <si>
    <t>LMI15560</t>
  </si>
  <si>
    <t>15560 01  LMI  -  РќР°РєС–РЅРµС‡РЅРёРє РєРµСЂРјРѕРІРѕС— С‚СЏРіРё</t>
  </si>
  <si>
    <t>236.69</t>
  </si>
  <si>
    <t>15560 01</t>
  </si>
  <si>
    <t>MITSUBISHI Lancer (CS, CX)  03-, L/R</t>
  </si>
  <si>
    <t>LMI15672</t>
  </si>
  <si>
    <t>15672 02  LMI  -  РљСѓР»СЊРѕРІР° РѕРїРѕСЂР°</t>
  </si>
  <si>
    <t>273.77</t>
  </si>
  <si>
    <t>15672 02</t>
  </si>
  <si>
    <t>SUBARU Forester, Legacy, Outback  97-, L/R</t>
  </si>
  <si>
    <t>LMI16053</t>
  </si>
  <si>
    <t>16053 02  LMI  -  РћРїРѕСЂР° СЃС‚С–Р№РєРё Р°РјРѕСЂС‚РёР·Р°С‚РѕСЂР°</t>
  </si>
  <si>
    <t>250.77</t>
  </si>
  <si>
    <t>16053 02</t>
  </si>
  <si>
    <t>LMI17619</t>
  </si>
  <si>
    <t>17619 02  LMI  -  РљСѓР»СЊРѕРІР° РѕРїРѕСЂР°</t>
  </si>
  <si>
    <t>354.61</t>
  </si>
  <si>
    <t>17619 02</t>
  </si>
  <si>
    <t>AUDI A3, VW Golf IV, SKODA Octavia  96-04, left</t>
  </si>
  <si>
    <t>LMI17620</t>
  </si>
  <si>
    <t>17620 02  LMI  -  РљСѓР»СЊРѕРІР° РѕРїРѕСЂР°</t>
  </si>
  <si>
    <t>17620 02</t>
  </si>
  <si>
    <t>AUDI A3, VW Golf IV, SKODA Octavia  96-04, right</t>
  </si>
  <si>
    <t>LMI17628</t>
  </si>
  <si>
    <t>17628 02  LMI  -  РћРїРѕСЂР° СЃС‚С–Р№РєРё Р°РјРѕСЂС‚РёР·Р°С‚РѕСЂР°</t>
  </si>
  <si>
    <t>17628 02</t>
  </si>
  <si>
    <t>MB Sprinter 95-06, VW LT 05.96- (Front, L/R) (РІРµСЂС…РЅСЏ)</t>
  </si>
  <si>
    <t>LMI17672</t>
  </si>
  <si>
    <t>17672 01  LMI  -  РЎР°Р№Р»РµРЅС‚Р±Р»РѕРє</t>
  </si>
  <si>
    <t>49.26</t>
  </si>
  <si>
    <t>17672 01</t>
  </si>
  <si>
    <t>VW T4 1.9 D,1.9 TD,2.0,2.4 D,2.5  Syncro,2.5 TDI</t>
  </si>
  <si>
    <t>LMI17681</t>
  </si>
  <si>
    <t>17681 01  LMI  -  РЎР°Р№Р»РµРЅС‚Р±Р»РѕРє</t>
  </si>
  <si>
    <t>222.62</t>
  </si>
  <si>
    <t>17681 01</t>
  </si>
  <si>
    <t>VW T4 96-</t>
  </si>
  <si>
    <t>LMI17682</t>
  </si>
  <si>
    <t>17682 02  LMI  -  Р’С‚СѓР»РєР° СЃС‚Р°Р±С–Р»С–Р·Р°С‚РѕСЂР°</t>
  </si>
  <si>
    <t>50.12</t>
  </si>
  <si>
    <t>17682 02</t>
  </si>
  <si>
    <t>VW T4 1.8-2.8,  90-03 (Front, L/R, outside)</t>
  </si>
  <si>
    <t>LMI17705</t>
  </si>
  <si>
    <t>17705 01  LMI  -  РЎР°Р№Р»РµРЅС‚Р±Р»РѕРє Р±Р°Р»РєРё</t>
  </si>
  <si>
    <t>374.52</t>
  </si>
  <si>
    <t>17705 01</t>
  </si>
  <si>
    <t>LMI18869</t>
  </si>
  <si>
    <t>18869 01  LMI  -  РћРїРѕСЂР° РґРІРёРіСѓРЅР°</t>
  </si>
  <si>
    <t>458.97</t>
  </si>
  <si>
    <t>18869 01</t>
  </si>
  <si>
    <t xml:space="preserve">MB Sprinter, Vario 95- | VW LT 28-46 II 96- </t>
  </si>
  <si>
    <t>LMI18870</t>
  </si>
  <si>
    <t>18870 02  LMI  -  РЎР°Р№Р»РµРЅС‚Р±Р»РѕРє СЂРµСЃРѕСЂРё</t>
  </si>
  <si>
    <t>98.18</t>
  </si>
  <si>
    <t>18870 02</t>
  </si>
  <si>
    <t xml:space="preserve">MB Sprinter 96-| VW LT 96- </t>
  </si>
  <si>
    <t>LMI18875</t>
  </si>
  <si>
    <t>18875 03  LMI  -  РљСѓР»СЊРѕРІР° РѕРїРѕСЂР°</t>
  </si>
  <si>
    <t>406.96</t>
  </si>
  <si>
    <t>18875 03</t>
  </si>
  <si>
    <t>MB Sprinter  95-06, L/R</t>
  </si>
  <si>
    <t>LMI18876</t>
  </si>
  <si>
    <t>18876 02  LMI  -  РўСЏРіР° РєРµСЂРјРѕРІР°</t>
  </si>
  <si>
    <t>18876 02</t>
  </si>
  <si>
    <t>LMI19719</t>
  </si>
  <si>
    <t>19719 02  LMI  -  РќР°РєС–РЅРµС‡РЅРёРє РєРµСЂРјРѕРІРѕС— С‚СЏРіРё</t>
  </si>
  <si>
    <t>361.30</t>
  </si>
  <si>
    <t>19719 02</t>
  </si>
  <si>
    <t>LMI19722</t>
  </si>
  <si>
    <t>19722 01  LMI  -  РўСЏРіР° РєРµСЂРјРѕРІР°</t>
  </si>
  <si>
    <t>19722 01</t>
  </si>
  <si>
    <t>MB Vito (W638)  96-03, L/R</t>
  </si>
  <si>
    <t>LMI19945</t>
  </si>
  <si>
    <t>19945 01  LMI  -  РЎР°Р№Р»РµРЅС‚Р±Р»РѕРє Р±Р°Р»РєРё</t>
  </si>
  <si>
    <t>479.56</t>
  </si>
  <si>
    <t>19945 01</t>
  </si>
  <si>
    <t>MB (W210/S210) 1995-1999</t>
  </si>
  <si>
    <t>LMI19956</t>
  </si>
  <si>
    <t>19956 01  LMI  -  РўСЏРіР° РєРµСЂРјРѕРІР°</t>
  </si>
  <si>
    <t>352.03</t>
  </si>
  <si>
    <t>19956 01</t>
  </si>
  <si>
    <t>MB A-Class (W168)  97-04, L/R</t>
  </si>
  <si>
    <t>LMI20152</t>
  </si>
  <si>
    <t>20152 01  LMI  -  РћРїРѕСЂР° СЃС‚С–Р№РєРё Р°РјРѕСЂС‚РёР·Р°С‚РѕСЂР°</t>
  </si>
  <si>
    <t>275.48</t>
  </si>
  <si>
    <t>20152 01</t>
  </si>
  <si>
    <t>LMI20375</t>
  </si>
  <si>
    <t>20375 01  LMI  -  РЎР°Р№Р»РµРЅС‚Р±Р»РѕРє</t>
  </si>
  <si>
    <t>117.06</t>
  </si>
  <si>
    <t>20375 01</t>
  </si>
  <si>
    <t>RENAULT 19, Megane  89-02</t>
  </si>
  <si>
    <t>LMI20965</t>
  </si>
  <si>
    <t>20965 01  LMI  -  Р’С‚СѓР»РєР° СЃС‚Р°Р±С–Р»С–Р·Р°С‚РѕСЂР°</t>
  </si>
  <si>
    <t>73.98</t>
  </si>
  <si>
    <t>20965 01</t>
  </si>
  <si>
    <t>MB Sprinter| VW LT 97-,  (Rear, L/R)</t>
  </si>
  <si>
    <t>LMI21085</t>
  </si>
  <si>
    <t>21085 01  LMI  -  РЎР°Р№Р»РµРЅС‚Р±Р»РѕРє</t>
  </si>
  <si>
    <t>21085 01</t>
  </si>
  <si>
    <t>LMI21153</t>
  </si>
  <si>
    <t>21153 02  LMI  -  РўСЏРіР° РєРµСЂРјРѕРІР°</t>
  </si>
  <si>
    <t>394.26</t>
  </si>
  <si>
    <t>21153 02</t>
  </si>
  <si>
    <t>MB W220, W203, W211  98-, L/R</t>
  </si>
  <si>
    <t>LMI21236</t>
  </si>
  <si>
    <t>21236 01  LMI  -  РЎР°Р№Р»РµРЅС‚Р±Р»РѕРє Р±Р°Р»РєРё</t>
  </si>
  <si>
    <t>260.03</t>
  </si>
  <si>
    <t>21236 01</t>
  </si>
  <si>
    <t>VW GOLF 98-</t>
  </si>
  <si>
    <t>LMI21549</t>
  </si>
  <si>
    <t>21549 02  LMI  -  РЎР°Р№Р»РµРЅС‚Р±Р»РѕРє Р±Р°Р»РєРё</t>
  </si>
  <si>
    <t>21549 02</t>
  </si>
  <si>
    <t>VW Lupo, Polo|  SEAT Arosa, Cordoba, Ibiza  97-05</t>
  </si>
  <si>
    <t>LMI21937</t>
  </si>
  <si>
    <t>21937 01  LMI  -  РћРїРѕСЂР° РґРІРёРіСѓРЅР°</t>
  </si>
  <si>
    <t>249.56</t>
  </si>
  <si>
    <t>21937 01</t>
  </si>
  <si>
    <t>LMI22003</t>
  </si>
  <si>
    <t>22003 03  LMI  -  РўСЏРіР° СЃС‚Р°Р±С–Р»С–Р·Р°С‚РѕСЂР°</t>
  </si>
  <si>
    <t>379.32</t>
  </si>
  <si>
    <t>22003 03</t>
  </si>
  <si>
    <t>FORD Focus  98-04, front L/R</t>
  </si>
  <si>
    <t>LMI22089</t>
  </si>
  <si>
    <t>22089 02  LMI  -  РўСЏРіР° СЃС‚Р°Р±С–Р»С–Р·Р°С‚РѕСЂР°</t>
  </si>
  <si>
    <t>22089 02</t>
  </si>
  <si>
    <t>MB Vito (W638) Ch.&gt;&gt;267540, Exc.CDI  96-99, front right</t>
  </si>
  <si>
    <t>LMI22214</t>
  </si>
  <si>
    <t>22214 01  LMI  -  Р’С‚СѓР»РєР° СЃС‚Р°Р±С–Р»С–Р·Р°С‚РѕСЂР°</t>
  </si>
  <si>
    <t>22214 01</t>
  </si>
  <si>
    <t>MB (V-Klass), Vito 96-03, (Front, L/R)</t>
  </si>
  <si>
    <t>LMI22250</t>
  </si>
  <si>
    <t>22250 02  LMI  -  РўСЏРіР° РєРµСЂРјРѕРІР°</t>
  </si>
  <si>
    <t>341.05</t>
  </si>
  <si>
    <t>22250 02</t>
  </si>
  <si>
    <t>AUDI A3, SKODA Octavia, VW GOLF  97-, L/R</t>
  </si>
  <si>
    <t>LMI22252</t>
  </si>
  <si>
    <t>22252 03  LMI  -  РќР°РєС–РЅРµС‡РЅРёРє РєРµСЂРјРѕРІРѕС— С‚СЏРіРё</t>
  </si>
  <si>
    <t>308.44</t>
  </si>
  <si>
    <t>22252 03</t>
  </si>
  <si>
    <t>SKODA Octavia (1U2) Ch.1U-W-061001&gt;&gt;  96-, left</t>
  </si>
  <si>
    <t>LMI22307</t>
  </si>
  <si>
    <t>22307 01  LMI  -  РўСЏРіР° РєРµСЂРјРѕРІР°</t>
  </si>
  <si>
    <t>637.13</t>
  </si>
  <si>
    <t>22307 01</t>
  </si>
  <si>
    <t>VW T4  70-T-20000000&gt;&gt; (+PS), L/R</t>
  </si>
  <si>
    <t>LMI22756</t>
  </si>
  <si>
    <t>22756 01  LMI  -  РћРїРѕСЂР° РљРџРџ</t>
  </si>
  <si>
    <t>420.69</t>
  </si>
  <si>
    <t>22756 01</t>
  </si>
  <si>
    <t>MB Sprinter 2t-4t 1995-2006| VW LT 28- 46 1995-</t>
  </si>
  <si>
    <t>LMI24725</t>
  </si>
  <si>
    <t>24725 01  LMI  -  Р’С‚СѓР»РєР° СЃС‚Р°Р±С–Р»С–Р·Р°С‚РѕСЂР°</t>
  </si>
  <si>
    <t>51.49</t>
  </si>
  <si>
    <t>24725 01</t>
  </si>
  <si>
    <t>MB Vito (W638) 97-03, (Rear, L/R)</t>
  </si>
  <si>
    <t>LMI24914</t>
  </si>
  <si>
    <t>24914 01  LMI  -  РЎР°Р№Р»РµРЅС‚Р±Р»РѕРє</t>
  </si>
  <si>
    <t>150.53</t>
  </si>
  <si>
    <t>24914 01</t>
  </si>
  <si>
    <t>MB W140, W220  91-05</t>
  </si>
  <si>
    <t>LMI24915</t>
  </si>
  <si>
    <t>24915 01  LMI  -  РЎР°Р№Р»РµРЅС‚Р±Р»РѕРє</t>
  </si>
  <si>
    <t>24915 01</t>
  </si>
  <si>
    <t>LMI25260</t>
  </si>
  <si>
    <t>25260 01  LMI  -  РќР°РєС–РЅРµС‡РЅРёРє РєРµСЂРјРѕРІРѕС— С‚СЏРіРё</t>
  </si>
  <si>
    <t>224.85</t>
  </si>
  <si>
    <t>25260 01</t>
  </si>
  <si>
    <t>LADA 2110-2112  95-, left</t>
  </si>
  <si>
    <t>LMI25261</t>
  </si>
  <si>
    <t>25261 01  LMI  -  РќР°РєС–РЅРµС‡РЅРёРє РєРµСЂРјРѕРІРѕС— С‚СЏРіРё</t>
  </si>
  <si>
    <t>25261 01</t>
  </si>
  <si>
    <t>LADA 2110-2112  95-, right</t>
  </si>
  <si>
    <t>LMI25291</t>
  </si>
  <si>
    <t>25291 01  LMI  -  РЎР°Р№Р»РµРЅС‚Р±Р»РѕРє</t>
  </si>
  <si>
    <t>25291 01</t>
  </si>
  <si>
    <t>VW Sharan  95-</t>
  </si>
  <si>
    <t>LMI25329</t>
  </si>
  <si>
    <t>25329 02  LMI  -  РўСЏРіР° РєРµСЂРјРѕРІР°</t>
  </si>
  <si>
    <t>468.58</t>
  </si>
  <si>
    <t>25329 02</t>
  </si>
  <si>
    <t>SKODA Octavia (1Z3), VW Caddy III, Golf V  04-, L/R</t>
  </si>
  <si>
    <t>LMI25344</t>
  </si>
  <si>
    <t>25344 02  LMI  -  РўСЏРіР° СЃС‚Р°Р±С–Р»С–Р·Р°С‚РѕСЂР°</t>
  </si>
  <si>
    <t>282.86</t>
  </si>
  <si>
    <t>25344 02</t>
  </si>
  <si>
    <t>MB Vito (W638) CDI  99-03, front left</t>
  </si>
  <si>
    <t>LMI25352</t>
  </si>
  <si>
    <t>25352 01  LMI  -  РЎР°Р№Р»РµРЅС‚Р±Р»РѕРє</t>
  </si>
  <si>
    <t>102.13</t>
  </si>
  <si>
    <t>25352 01</t>
  </si>
  <si>
    <t>VAG  88-98</t>
  </si>
  <si>
    <t>LMI25463</t>
  </si>
  <si>
    <t>25463 02  LMI  -  РўСЏРіР° СЃС‚Р°Р±С–Р»С–Р·Р°С‚РѕСЂР°</t>
  </si>
  <si>
    <t>368.34</t>
  </si>
  <si>
    <t>25463 02</t>
  </si>
  <si>
    <t>AUDI A2, SKODA Fabia, VW Polo  00-, front L/R</t>
  </si>
  <si>
    <t>LMI25464</t>
  </si>
  <si>
    <t>25464 01  LMI  -  РЎР°Р№Р»РµРЅС‚Р±Р»РѕРє Р±Р°Р»РєРё</t>
  </si>
  <si>
    <t>133.36</t>
  </si>
  <si>
    <t>25464 01</t>
  </si>
  <si>
    <t xml:space="preserve">OPEL Vectra B 1.6-2.6 1995-2003 </t>
  </si>
  <si>
    <t>LMI25491</t>
  </si>
  <si>
    <t>25491 01  LMI  -  РўСЏРіР° РєРµСЂРјРѕРІР°</t>
  </si>
  <si>
    <t>492.78</t>
  </si>
  <si>
    <t>25491 01</t>
  </si>
  <si>
    <t>FORD Focus  98-04, L/R</t>
  </si>
  <si>
    <t>LMI25510</t>
  </si>
  <si>
    <t>25510 01  LMI  -  РќР°РєС–РЅРµС‡РЅРёРє РєРµСЂРјРѕРІРѕС— С‚СЏРіРё</t>
  </si>
  <si>
    <t>460.34</t>
  </si>
  <si>
    <t>25510 01</t>
  </si>
  <si>
    <t>OPEL Vivaro, RENAULT Trafic  01-, left</t>
  </si>
  <si>
    <t>LMI25511</t>
  </si>
  <si>
    <t>25511 01  LMI  -  РќР°РєС–РЅРµС‡РЅРёРє РєРµСЂРјРѕРІРѕС— С‚СЏРіРё</t>
  </si>
  <si>
    <t>25511 01</t>
  </si>
  <si>
    <t>OPEL Vivaro, RENAULT Trafic  01-, right</t>
  </si>
  <si>
    <t>LMI25534</t>
  </si>
  <si>
    <t>25534 02  LMI  -  РљСѓР»СЊРѕРІР° РѕРїРѕСЂР°</t>
  </si>
  <si>
    <t>375.72</t>
  </si>
  <si>
    <t>25534 02</t>
  </si>
  <si>
    <t>CITROEN Berlingo, PEUGEOT Partner  99- (+PS, 18mm), L/R</t>
  </si>
  <si>
    <t>LMI25800</t>
  </si>
  <si>
    <t>25800 01  LMI  -  РўСЏРіР° СЃС‚Р°Р±С–Р»С–Р·Р°С‚РѕСЂР°</t>
  </si>
  <si>
    <t>115.69</t>
  </si>
  <si>
    <t>25800 01</t>
  </si>
  <si>
    <t>MB Sprinter I  95-06, front left</t>
  </si>
  <si>
    <t>LMI25801</t>
  </si>
  <si>
    <t>25801 01  LMI  -  РўСЏРіР° СЃС‚Р°Р±С–Р»С–Р·Р°С‚РѕСЂР°</t>
  </si>
  <si>
    <t>25801 01</t>
  </si>
  <si>
    <t>MB Sprinter I  95-06, front right</t>
  </si>
  <si>
    <t>LMI25863</t>
  </si>
  <si>
    <t>25863 01  LMI  -  РќР°РєС–РЅРµС‡РЅРёРє РєРµСЂРјРѕРІРѕС— С‚СЏРіРё</t>
  </si>
  <si>
    <t>646.40</t>
  </si>
  <si>
    <t>25863 01</t>
  </si>
  <si>
    <t>AUDI A4, A6, A8, VW Passat  96-, L/R</t>
  </si>
  <si>
    <t>LMI25864</t>
  </si>
  <si>
    <t>25864 01  LMI  -  РћРїРѕСЂР° РґРІРёРіСѓРЅР°</t>
  </si>
  <si>
    <t>25864 01</t>
  </si>
  <si>
    <t>LMI25870</t>
  </si>
  <si>
    <t>25870 02  LMI  -  РўСЏРіР° СЃС‚Р°Р±С–Р»С–Р·Р°С‚РѕСЂР°</t>
  </si>
  <si>
    <t>446.61</t>
  </si>
  <si>
    <t>25870 02</t>
  </si>
  <si>
    <t>BMW X5 (E53)  00-, front left</t>
  </si>
  <si>
    <t>LMI25871</t>
  </si>
  <si>
    <t>25871 02  LMI  -  РўСЏРіР° СЃС‚Р°Р±С–Р»С–Р·Р°С‚РѕСЂР°</t>
  </si>
  <si>
    <t>25871 02</t>
  </si>
  <si>
    <t>BMW X5 (E53)  00-, front right</t>
  </si>
  <si>
    <t>LMI25896</t>
  </si>
  <si>
    <t>25896 02  LMI  -  РќР°РєС–РЅРµС‡РЅРёРє РєРµСЂРјРѕРІРѕС— С‚СЏРіРё</t>
  </si>
  <si>
    <t>1093.86</t>
  </si>
  <si>
    <t>25896 02</t>
  </si>
  <si>
    <t>BMW 5 (E60, E61), 7 (E65, E66)  03-, L/R</t>
  </si>
  <si>
    <t>LMI25909</t>
  </si>
  <si>
    <t>25909 01  LMI  -  РЎР°Р№Р»РµРЅС‚Р±Р»РѕРє</t>
  </si>
  <si>
    <t>161.51</t>
  </si>
  <si>
    <t>25909 01</t>
  </si>
  <si>
    <t>LMI25931</t>
  </si>
  <si>
    <t>25931 01  LMI  -  РЎР°Р№Р»РµРЅС‚Р±Р»РѕРє</t>
  </si>
  <si>
    <t>125.47</t>
  </si>
  <si>
    <t>25931 01</t>
  </si>
  <si>
    <t>VW T4 90-96</t>
  </si>
  <si>
    <t>LMI26059</t>
  </si>
  <si>
    <t>26059 01  LMI  -  РўСЏРіР° РєРµСЂРјРѕРІР°</t>
  </si>
  <si>
    <t>327.32</t>
  </si>
  <si>
    <t>26059 01</t>
  </si>
  <si>
    <t>CITROEN C4, PEUGEOT 307  00-, L/R</t>
  </si>
  <si>
    <t>LMI26084</t>
  </si>
  <si>
    <t>26084 01  LMI  -  РћРїРѕСЂР° РґРІРёРіСѓРЅР°</t>
  </si>
  <si>
    <t>1232.03</t>
  </si>
  <si>
    <t>26084 01</t>
  </si>
  <si>
    <t>LMI26102</t>
  </si>
  <si>
    <t>26102 01  LMI  -  РЎР°Р№Р»РµРЅС‚Р±Р»РѕРє</t>
  </si>
  <si>
    <t>111.39</t>
  </si>
  <si>
    <t>26102 01</t>
  </si>
  <si>
    <t>FORD Mondeo  93-00, rear</t>
  </si>
  <si>
    <t>LMI26501</t>
  </si>
  <si>
    <t>26501 02  LMI  -  РљСѓР»СЊРѕРІР° РѕРїРѕСЂР°</t>
  </si>
  <si>
    <t>26501 02</t>
  </si>
  <si>
    <t>OPEL Corsa C, Combo  01-, L/R</t>
  </si>
  <si>
    <t>LMI26577</t>
  </si>
  <si>
    <t>26577 01  LMI  -  Р’С‚СѓР»РєР° СЃС‚Р°Р±С–Р»С–Р·Р°С‚РѕСЂР°</t>
  </si>
  <si>
    <t>121.01</t>
  </si>
  <si>
    <t>26577 01</t>
  </si>
  <si>
    <t>LMI26578</t>
  </si>
  <si>
    <t>26578 01  LMI  -  РЎР°Р№Р»РµРЅС‚Р±Р»РѕРє Р±Р°Р»РєРё</t>
  </si>
  <si>
    <t>169.41</t>
  </si>
  <si>
    <t>26578 01</t>
  </si>
  <si>
    <t>LMI26580</t>
  </si>
  <si>
    <t>26580 01  LMI  -  РЎР°Р№Р»РµРЅС‚Р±Р»РѕРє</t>
  </si>
  <si>
    <t>246.48</t>
  </si>
  <si>
    <t>26580 01</t>
  </si>
  <si>
    <t>OPEL Combo  94-01</t>
  </si>
  <si>
    <t>LMI26600</t>
  </si>
  <si>
    <t>26600 01  LMI  -  РЎР°Р№Р»РµРЅС‚Р±Р»РѕРє</t>
  </si>
  <si>
    <t>512.69</t>
  </si>
  <si>
    <t>26600 01</t>
  </si>
  <si>
    <t>LMI26653</t>
  </si>
  <si>
    <t>26653 02  LMI  -  РўСЏРіР° СЃС‚Р°Р±С–Р»С–Р·Р°С‚РѕСЂР°</t>
  </si>
  <si>
    <t>407.47</t>
  </si>
  <si>
    <t>26653 02</t>
  </si>
  <si>
    <t>CITROEN Berlingo, PEUGEOT Partner  08-, front L/R</t>
  </si>
  <si>
    <t>LMI26671</t>
  </si>
  <si>
    <t>26671 01  LMI  -  РўСЏРіР° РєРµСЂРјРѕРІР°</t>
  </si>
  <si>
    <t>312.04</t>
  </si>
  <si>
    <t>26671 01</t>
  </si>
  <si>
    <t>SKODA Fabia, VW Polo (+PS, SMI/KOYO)  99-08, L/R</t>
  </si>
  <si>
    <t>LMI26705</t>
  </si>
  <si>
    <t>26705 02  LMI  -  РљСѓР»СЊРѕРІР° РѕРїРѕСЂР°</t>
  </si>
  <si>
    <t>353.41</t>
  </si>
  <si>
    <t>26705 02</t>
  </si>
  <si>
    <t>FIAT Doblo  02-</t>
  </si>
  <si>
    <t>LMI26706</t>
  </si>
  <si>
    <t>26706 01  LMI  -  РўСЏРіР° РєРµСЂРјРѕРІР°</t>
  </si>
  <si>
    <t>26706 01</t>
  </si>
  <si>
    <t>OPEL Movano, RENAULT Master  98-, L/R</t>
  </si>
  <si>
    <t>LMI26711</t>
  </si>
  <si>
    <t>26711 01  LMI  -  РўСЏРіР° РєРµСЂРјРѕРІР°</t>
  </si>
  <si>
    <t>433.91</t>
  </si>
  <si>
    <t>26711 01</t>
  </si>
  <si>
    <t>RENAULT Kangoo  99- (+PS), L/R</t>
  </si>
  <si>
    <t>LMI26772</t>
  </si>
  <si>
    <t>26772 02  LMI  -  РљСѓР»СЊРѕРІР° РѕРїРѕСЂР°</t>
  </si>
  <si>
    <t>472.52</t>
  </si>
  <si>
    <t>26772 02</t>
  </si>
  <si>
    <t>AUDI A3, VW Caddy III, Golf V, Jetta III/IV 03-, left</t>
  </si>
  <si>
    <t>LMI26773</t>
  </si>
  <si>
    <t>26773 02  LMI  -  РљСѓР»СЊРѕРІР° РѕРїРѕСЂР°</t>
  </si>
  <si>
    <t>26773 02</t>
  </si>
  <si>
    <t>AUDI A3, VW Caddy III, Golf V, Jetta III/IV 03-, right</t>
  </si>
  <si>
    <t>LMI26774</t>
  </si>
  <si>
    <t>26774 01  LMI  -  РўСЏРіР° СЃС‚Р°Р±С–Р»С–Р·Р°С‚РѕСЂР°</t>
  </si>
  <si>
    <t>395.97</t>
  </si>
  <si>
    <t>26774 01</t>
  </si>
  <si>
    <t>SKODA Octavia (1Z3), VW Caddy III, Golf V, Passat  04-, front L/R</t>
  </si>
  <si>
    <t>LMI26775</t>
  </si>
  <si>
    <t>26775 02  LMI  -  РўСЏРіР° СЃС‚Р°Р±С–Р»С–Р·Р°С‚РѕСЂР°</t>
  </si>
  <si>
    <t>410.91</t>
  </si>
  <si>
    <t>26775 02</t>
  </si>
  <si>
    <t>SKODA Octavia (1Z3), VW Caddy III, Golf V, Passat  04-, rear L/R</t>
  </si>
  <si>
    <t>LMI26818</t>
  </si>
  <si>
    <t>26818 01  LMI  -  РўСЏРіР° РєРµСЂРјРѕРІР°</t>
  </si>
  <si>
    <t>470.47</t>
  </si>
  <si>
    <t>26818 01</t>
  </si>
  <si>
    <t>VOLVO S60, S80, V70 II, XC70, XC90  98-, L/R</t>
  </si>
  <si>
    <t>LMI26936</t>
  </si>
  <si>
    <t>26936 01  LMI  -  РЎР°Р№Р»РµРЅС‚Р±Р»РѕРє</t>
  </si>
  <si>
    <t>168.55</t>
  </si>
  <si>
    <t>26936 01</t>
  </si>
  <si>
    <t>VW T5 1.9 TDI,2.0,2.5 TDI,3.2 V6  03-  (&lt;3000 kg) rear L/R</t>
  </si>
  <si>
    <t>LMI27075</t>
  </si>
  <si>
    <t>27075 02  LMI  -  РќР°РєС–РЅРµС‡РЅРёРє РєРµСЂРјРѕРІРѕС— С‚СЏРіРё</t>
  </si>
  <si>
    <t>231.89</t>
  </si>
  <si>
    <t>27075 02</t>
  </si>
  <si>
    <t>FIAT Doblo Ch. 5120134--  01- (+P/S), right</t>
  </si>
  <si>
    <t>LMI27076</t>
  </si>
  <si>
    <t>27076 02  LMI  -  РќР°РєС–РЅРµС‡РЅРёРє РєРµСЂРјРѕРІРѕС— С‚СЏРіРё</t>
  </si>
  <si>
    <t>27076 02</t>
  </si>
  <si>
    <t>FIAT Doblo Ch. 5120134--  01- (+P/S), left</t>
  </si>
  <si>
    <t>LMI27089</t>
  </si>
  <si>
    <t>27089 01  LMI  -  РўСЏРіР° РєРµСЂРјРѕРІР°</t>
  </si>
  <si>
    <t>27089 01</t>
  </si>
  <si>
    <t>BMW 5 (E60) 520i,525i,530d,530i,545i</t>
  </si>
  <si>
    <t>LMI27132</t>
  </si>
  <si>
    <t>27132 01  LMI  -  РЎР°Р№Р»РµРЅС‚Р±Р»РѕРє</t>
  </si>
  <si>
    <t>27132 01</t>
  </si>
  <si>
    <t>AUDI S3  99-, front L/R</t>
  </si>
  <si>
    <t>LMI27219</t>
  </si>
  <si>
    <t>27219 02  LMI  -  РљСѓР»СЊРѕРІР° РѕРїРѕСЂР°</t>
  </si>
  <si>
    <t>554.05</t>
  </si>
  <si>
    <t>27219 02</t>
  </si>
  <si>
    <t>OPEL Vivaro 01-06| NISSAN Primastar 01-06| RENAULT Trafic II 01-06, (РґС–Р°РјРµС‚СЂ РѕС‚РІРѕСЂС–РІ 10mm) (L/R)</t>
  </si>
  <si>
    <t>LMI27439</t>
  </si>
  <si>
    <t>27439 01  LMI  -  Р’С‚СѓР»РєР° СЃС‚Р°Р±С–Р»С–Р·Р°С‚РѕСЂР°</t>
  </si>
  <si>
    <t>60.25</t>
  </si>
  <si>
    <t>27439 01</t>
  </si>
  <si>
    <t>MB Sprinter 2-t, 3-t 95-06  (d=23mm) (Rear, L/R)</t>
  </si>
  <si>
    <t>LMI27440</t>
  </si>
  <si>
    <t>27440 01  LMI  -  Р’С‚СѓР»РєР° СЃС‚Р°Р±С–Р»С–Р·Р°С‚РѕСЂР°</t>
  </si>
  <si>
    <t>53.21</t>
  </si>
  <si>
    <t>27440 01</t>
  </si>
  <si>
    <t>MB Sprinter 2-t, 3-t 95-06  (d=26mm) (Rear, L/R)</t>
  </si>
  <si>
    <t>LMI27593</t>
  </si>
  <si>
    <t>27593 03  LMI  -  РќР°РєС–РЅРµС‡РЅРёРє РєРµСЂРјРѕРІРѕС— С‚СЏРіРё</t>
  </si>
  <si>
    <t>382.76</t>
  </si>
  <si>
    <t>27593 03</t>
  </si>
  <si>
    <t>FORD Transit  00-, L/R</t>
  </si>
  <si>
    <t>LMI27594</t>
  </si>
  <si>
    <t>27594 02  LMI  -  РќР°РєС–РЅРµС‡РЅРёРє РєРµСЂРјРѕРІРѕС— С‚СЏРіРё</t>
  </si>
  <si>
    <t>750.75</t>
  </si>
  <si>
    <t>27594 02</t>
  </si>
  <si>
    <t>VW T5  05-, left</t>
  </si>
  <si>
    <t>LMI27596</t>
  </si>
  <si>
    <t>27596 01  LMI  -  РўСЏРіР° РєРµСЂРјРѕРІР°</t>
  </si>
  <si>
    <t>328.69</t>
  </si>
  <si>
    <t>27596 01</t>
  </si>
  <si>
    <t>VW T5  03-, L/R</t>
  </si>
  <si>
    <t>LMI27627</t>
  </si>
  <si>
    <t>27627 01  LMI  -  РЎР°Р№Р»РµРЅС‚Р±Р»РѕРє</t>
  </si>
  <si>
    <t>296.94</t>
  </si>
  <si>
    <t>27627 01</t>
  </si>
  <si>
    <t>LMI27663</t>
  </si>
  <si>
    <t>27663 01  LMI  -  РўСЏРіР° РєРµСЂРјРѕРІР°</t>
  </si>
  <si>
    <t>613.44</t>
  </si>
  <si>
    <t>27663 01</t>
  </si>
  <si>
    <t>MB Vito (W639)  03-, L/R</t>
  </si>
  <si>
    <t>LMI27666</t>
  </si>
  <si>
    <t>27666 02  LMI  -  РљСѓР»СЊРѕРІР° РѕРїРѕСЂР°</t>
  </si>
  <si>
    <t>678.49</t>
  </si>
  <si>
    <t>27666 02</t>
  </si>
  <si>
    <t>MB W639 (Vito, Viano)  03-, L/R</t>
  </si>
  <si>
    <t>LMI27722</t>
  </si>
  <si>
    <t>27722 01  LMI  -  РЎР°Р№Р»РµРЅС‚Р±Р»РѕРє</t>
  </si>
  <si>
    <t>176.96</t>
  </si>
  <si>
    <t>27722 01</t>
  </si>
  <si>
    <t>RENAULT Espace IV, Laguna II  01-, front L/R front</t>
  </si>
  <si>
    <t>LMI27726</t>
  </si>
  <si>
    <t>27726 01  LMI  -  РўСЏРіР° РєРµСЂРјРѕРІР°</t>
  </si>
  <si>
    <t>580.83</t>
  </si>
  <si>
    <t>27726 01</t>
  </si>
  <si>
    <t>OPEL Vectra C (-) Sports Susp, (-) Caravan  02-, L/R</t>
  </si>
  <si>
    <t>LMI28334</t>
  </si>
  <si>
    <t>28334 02  LMI  -  РўСЏРіР° СЃС‚Р°Р±С–Р»С–Р·Р°С‚РѕСЂР°</t>
  </si>
  <si>
    <t>381.90</t>
  </si>
  <si>
    <t>28334 02</t>
  </si>
  <si>
    <t>RENAULT Megane II, Scinic II, Kangoo  02-, front L/R</t>
  </si>
  <si>
    <t>LMI28744</t>
  </si>
  <si>
    <t>28744 01  LMI  -  РЎР°Р№Р»РµРЅС‚Р±Р»РѕРє Р±Р°Р»РєРё</t>
  </si>
  <si>
    <t>267.59</t>
  </si>
  <si>
    <t>28744 01</t>
  </si>
  <si>
    <t>MB S-class (W220) 10.98-03.06</t>
  </si>
  <si>
    <t>LMI28898</t>
  </si>
  <si>
    <t>28898 01  LMI  -  РЎР°Р№Р»РµРЅС‚Р±Р»РѕРє</t>
  </si>
  <si>
    <t>155.33</t>
  </si>
  <si>
    <t>28898 01</t>
  </si>
  <si>
    <t>CITROEN Berlingo, C4, PEUGEOT 308, Partner  08-</t>
  </si>
  <si>
    <t>LMI28899</t>
  </si>
  <si>
    <t>28899 01  LMI  -  РЎР°Р№Р»РµРЅС‚Р±Р»РѕРє</t>
  </si>
  <si>
    <t>124.61</t>
  </si>
  <si>
    <t>28899 01</t>
  </si>
  <si>
    <t>PEUGEOT 206, 307, 308, Partner  98-</t>
  </si>
  <si>
    <t>LMI29310</t>
  </si>
  <si>
    <t>29310 01  LMI  -  РўСЏРіР° СЃС‚Р°Р±С–Р»С–Р·Р°С‚РѕСЂР°</t>
  </si>
  <si>
    <t>458.11</t>
  </si>
  <si>
    <t>29310 01</t>
  </si>
  <si>
    <t>MB W220 Exc. 4Matic, ABC(-)  98-05, front right</t>
  </si>
  <si>
    <t>LMI29318</t>
  </si>
  <si>
    <t>29318 01  LMI  -  РЎР°Р№Р»РµРЅС‚Р±Р»РѕРє</t>
  </si>
  <si>
    <t>182.11</t>
  </si>
  <si>
    <t>29318 01</t>
  </si>
  <si>
    <t>LMI29329</t>
  </si>
  <si>
    <t>29329 01  LMI  -  РћРїРѕСЂР° СЃС‚С–Р№РєРё Р°РјРѕСЂС‚РёР·Р°С‚РѕСЂР°</t>
  </si>
  <si>
    <t>29329 01</t>
  </si>
  <si>
    <t>MB Vito, Viano 03-, Front L/R</t>
  </si>
  <si>
    <t>LMI29410</t>
  </si>
  <si>
    <t>29410 01  LMI  -  РЎР°Р№Р»РµРЅС‚Р±Р»РѕРє</t>
  </si>
  <si>
    <t>29410 01</t>
  </si>
  <si>
    <t>NISSAN Micra (K12), Note (E11)  03-, front L/R</t>
  </si>
  <si>
    <t>LMI29411</t>
  </si>
  <si>
    <t>29411 01  LMI  -  РЎР°Р№Р»РµРЅС‚Р±Р»РѕРє</t>
  </si>
  <si>
    <t>29411 01</t>
  </si>
  <si>
    <t>LMI29499</t>
  </si>
  <si>
    <t>29499 01  LMI  -  РўСЏРіР° СЃС‚Р°Р±С–Р»С–Р·Р°С‚РѕСЂР°</t>
  </si>
  <si>
    <t>332.64</t>
  </si>
  <si>
    <t>29499 01</t>
  </si>
  <si>
    <t>FORD Focus II, C-Max, Kuga  04-, front L/R</t>
  </si>
  <si>
    <t>LMI29514</t>
  </si>
  <si>
    <t>29514 01  LMI  -  РўСЏРіР° СЃС‚Р°Р±С–Р»С–Р·Р°С‚РѕСЂР°</t>
  </si>
  <si>
    <t>29514 01</t>
  </si>
  <si>
    <t>LMI29531</t>
  </si>
  <si>
    <t>29531 02  LMI  -  РўСЏРіР° СЃС‚Р°Р±С–Р»С–Р·Р°С‚РѕСЂР°</t>
  </si>
  <si>
    <t>424.12</t>
  </si>
  <si>
    <t>29531 02</t>
  </si>
  <si>
    <t>FORD Connect  02-, front L/R</t>
  </si>
  <si>
    <t>LMI29626</t>
  </si>
  <si>
    <t>29626 01  LMI  -  РљСѓР»СЊРѕРІР° РѕРїРѕСЂР°</t>
  </si>
  <si>
    <t>29626 01</t>
  </si>
  <si>
    <t>LMI29656</t>
  </si>
  <si>
    <t>29656 01  LMI  -  РќР°РєС–РЅРµС‡РЅРёРє РєРµСЂРјРѕРІРѕС— С‚СЏРіРё</t>
  </si>
  <si>
    <t>393.74</t>
  </si>
  <si>
    <t>29656 01</t>
  </si>
  <si>
    <t>LMI29657</t>
  </si>
  <si>
    <t>29657 01  LMI  -  РќР°РєС–РЅРµС‡РЅРёРє РєРµСЂРјРѕРІРѕС— С‚СЏРіРё</t>
  </si>
  <si>
    <t>29657 01</t>
  </si>
  <si>
    <t>LMI29709</t>
  </si>
  <si>
    <t>29709 01  LMI  -  РЎР°Р№Р»РµРЅС‚Р±Р»РѕРє</t>
  </si>
  <si>
    <t>119.63</t>
  </si>
  <si>
    <t>29709 01</t>
  </si>
  <si>
    <t>SKODA Fabia  99-</t>
  </si>
  <si>
    <t>LMI29740</t>
  </si>
  <si>
    <t>29740 02  LMI  -  Р’Р°Р¶С–Р»СЊ РїС–РґРІС–СЃРєРё</t>
  </si>
  <si>
    <t>1914.13</t>
  </si>
  <si>
    <t>29740 02</t>
  </si>
  <si>
    <t>VW TOUAREG (7LA)  02-, front L/R РІРµСЂС…</t>
  </si>
  <si>
    <t>LMI29797</t>
  </si>
  <si>
    <t>29797 01  LMI  -  РўСЏРіР° СЃС‚Р°Р±С–Р»С–Р·Р°С‚РѕСЂР°</t>
  </si>
  <si>
    <t>311.01</t>
  </si>
  <si>
    <t>29797 01</t>
  </si>
  <si>
    <t>LMI29916</t>
  </si>
  <si>
    <t>29916 01  LMI  -  РЎР°Р№Р»РµРЅС‚Р±Р»РѕРє</t>
  </si>
  <si>
    <t>138.69</t>
  </si>
  <si>
    <t>29916 01</t>
  </si>
  <si>
    <t>SKODA Octavia (1Z3, 1Z5), VW Golf V, Caddy III  04-, front L/R</t>
  </si>
  <si>
    <t>LMI29917</t>
  </si>
  <si>
    <t>29917 01  LMI  -  РЎР°Р№Р»РµРЅС‚Р±Р»РѕРє</t>
  </si>
  <si>
    <t>29917 01</t>
  </si>
  <si>
    <t>AUDI A3 03-, SEAT Toledo 05-, SKODA Octavia 04-, VW Golf 04-</t>
  </si>
  <si>
    <t>LMI29925</t>
  </si>
  <si>
    <t>29925 02  LMI  -  РўСЏРіР° СЃС‚Р°Р±С–Р»С–Р·Р°С‚РѕСЂР°</t>
  </si>
  <si>
    <t>351.52</t>
  </si>
  <si>
    <t>29925 02</t>
  </si>
  <si>
    <t>LMI29943</t>
  </si>
  <si>
    <t>29943 01  LMI  -  РЎР°Р№Р»РµРЅС‚Р±Р»РѕРє</t>
  </si>
  <si>
    <t>206.83</t>
  </si>
  <si>
    <t>29943 01</t>
  </si>
  <si>
    <t>FORD Tourneo, Transit Connect 1.8 TDCi, 1.8 16V  02-</t>
  </si>
  <si>
    <t>LMI29945</t>
  </si>
  <si>
    <t>29945 01  LMI  -  Р’С‚СѓР»РєР° СЃС‚Р°Р±С–Р»С–Р·Р°С‚РѕСЂР°</t>
  </si>
  <si>
    <t>130.27</t>
  </si>
  <si>
    <t>29945 01</t>
  </si>
  <si>
    <t>LMI29947</t>
  </si>
  <si>
    <t>29947 01  LMI  -  Р’С‚СѓР»РєР° СЃС‚Р°Р±С–Р»С–Р·Р°С‚РѕСЂР°</t>
  </si>
  <si>
    <t>29947 01</t>
  </si>
  <si>
    <t>LMI29967</t>
  </si>
  <si>
    <t>29967 01  LMI  -  Р’С‚СѓР»РєР° СЃС‚Р°Р±С–Р»С–Р·Р°С‚РѕСЂР°</t>
  </si>
  <si>
    <t>63.85</t>
  </si>
  <si>
    <t>29967 01</t>
  </si>
  <si>
    <t>LMI30111</t>
  </si>
  <si>
    <t>30111 01  LMI  -  РџРёР»СЊРѕРІРёРє РєРµСЂРјРѕРІРѕС— С‚СЏРіРё</t>
  </si>
  <si>
    <t>30111 01</t>
  </si>
  <si>
    <t>LMI30178</t>
  </si>
  <si>
    <t>30178 01  LMI  -  РџРёР»СЊРѕРІРёРє РєРµСЂРјРѕРІРѕС— С‚СЏРіРё</t>
  </si>
  <si>
    <t>30178 01</t>
  </si>
  <si>
    <t>LMI30183</t>
  </si>
  <si>
    <t>30183 01  LMI  -  РџРёР»СЊРѕРІРёРє РєРµСЂРјРѕРІРѕС— С‚СЏРіРё</t>
  </si>
  <si>
    <t>136.45</t>
  </si>
  <si>
    <t>30183 01</t>
  </si>
  <si>
    <t>LMI30209</t>
  </si>
  <si>
    <t>30209 01  LMI  -  РџРёР»СЊРѕРІРёРє РєРµСЂРјРѕРІРѕС— С‚СЏРіРё</t>
  </si>
  <si>
    <t>164.95</t>
  </si>
  <si>
    <t>30209 01</t>
  </si>
  <si>
    <t>LMI30237</t>
  </si>
  <si>
    <t>30237 01  LMI  -  РџРёР»СЊРѕРІРёРє РєРµСЂРјРѕРІРѕС— С‚СЏРіРё</t>
  </si>
  <si>
    <t>138.17</t>
  </si>
  <si>
    <t>30237 01</t>
  </si>
  <si>
    <t>LMI30247</t>
  </si>
  <si>
    <t>30247 01  LMI  -  РџРёР»СЊРѕРІРёРє РєРµСЂРјРѕРІРѕС— С‚СЏРіРё</t>
  </si>
  <si>
    <t>274.97</t>
  </si>
  <si>
    <t>30247 01</t>
  </si>
  <si>
    <t>LMI30357</t>
  </si>
  <si>
    <t>30357 01  LMI  -  РќР°РєС–РЅРµС‡РЅРёРє РєРµСЂРјРѕРІРѕС— С‚СЏРіРё</t>
  </si>
  <si>
    <t>175.07</t>
  </si>
  <si>
    <t>30357 01</t>
  </si>
  <si>
    <t>HYUNDAI Accent (LC), Elantra (XD), KIA Cerato (LD)  00-, L/R</t>
  </si>
  <si>
    <t>LMI30359</t>
  </si>
  <si>
    <t>30359 01  LMI  -  РљСѓР»СЊРѕРІР° РѕРїРѕСЂР°</t>
  </si>
  <si>
    <t>246.82</t>
  </si>
  <si>
    <t>30359 01</t>
  </si>
  <si>
    <t>HYUNDAI Santa Fe I (SM), II (CM)  01-, L/R</t>
  </si>
  <si>
    <t>LMI30372</t>
  </si>
  <si>
    <t>30372 01  LMI  -  РўСЏРіР° СЃС‚Р°Р±С–Р»С–Р·Р°С‚РѕСЂР°</t>
  </si>
  <si>
    <t>434.76</t>
  </si>
  <si>
    <t>30372 01</t>
  </si>
  <si>
    <t>MB Vito (W639)  03-, front left</t>
  </si>
  <si>
    <t>LMI30373</t>
  </si>
  <si>
    <t>30373 01  LMI  -  РўСЏРіР° СЃС‚Р°Р±С–Р»С–Р·Р°С‚РѕСЂР°</t>
  </si>
  <si>
    <t>30373 01</t>
  </si>
  <si>
    <t>MB Vito (W639)  03-, front right</t>
  </si>
  <si>
    <t>LMI30482</t>
  </si>
  <si>
    <t>30482 01  LMI  -  РќР°РєС–РЅРµС‡РЅРёРє РєРµСЂРјРѕРІРѕС— С‚СЏРіРё</t>
  </si>
  <si>
    <t>508.74</t>
  </si>
  <si>
    <t>30482 01</t>
  </si>
  <si>
    <t>MB M - class (W163)  98-05, left</t>
  </si>
  <si>
    <t>LMI30483</t>
  </si>
  <si>
    <t>30483 01  LMI  -  РќР°РєС–РЅРµС‡РЅРёРє РєРµСЂРјРѕРІРѕС— С‚СЏРіРё</t>
  </si>
  <si>
    <t>30483 01</t>
  </si>
  <si>
    <t>MB M - class (W163)  98-05, right</t>
  </si>
  <si>
    <t>LMI30536</t>
  </si>
  <si>
    <t>30536 01  LMI  -  РўСЏРіР° СЃС‚Р°Р±С–Р»С–Р·Р°С‚РѕСЂР°</t>
  </si>
  <si>
    <t>30536 01</t>
  </si>
  <si>
    <t>AUDI A6  04-, front L/R</t>
  </si>
  <si>
    <t>LMI30583</t>
  </si>
  <si>
    <t>30583 01  LMI  -  РўСЏРіР° СЃС‚Р°Р±С–Р»С–Р·Р°С‚РѕСЂР°</t>
  </si>
  <si>
    <t>533.29</t>
  </si>
  <si>
    <t>30583 01</t>
  </si>
  <si>
    <t>AUDI Q7, VW TOUAREG  02-, front L/R</t>
  </si>
  <si>
    <t>LMI30665</t>
  </si>
  <si>
    <t>30665 01  LMI  -  РўСЏРіР° СЃС‚Р°Р±С–Р»С–Р·Р°С‚РѕСЂР°</t>
  </si>
  <si>
    <t>399.92</t>
  </si>
  <si>
    <t>30665 01</t>
  </si>
  <si>
    <t>MB Sprinter (BM906), VW Crafter  06-, front left</t>
  </si>
  <si>
    <t>LMI30682</t>
  </si>
  <si>
    <t>30682 01  LMI  -  РўСЏРіР° РєРµСЂРјРѕРІР°</t>
  </si>
  <si>
    <t>449.70</t>
  </si>
  <si>
    <t>30682 01</t>
  </si>
  <si>
    <t>OPEL Vivaro, RENAULT Trafic  01-, L/R</t>
  </si>
  <si>
    <t>LMI30701</t>
  </si>
  <si>
    <t>30701 01  LMI  -  РўСЏРіР° СЃС‚Р°Р±С–Р»С–Р·Р°С‚РѕСЂР°</t>
  </si>
  <si>
    <t>196.70</t>
  </si>
  <si>
    <t>30701 01</t>
  </si>
  <si>
    <t>CHEVROLET Aveo (T200, T250)  05-, front L/R</t>
  </si>
  <si>
    <t>LMI30738</t>
  </si>
  <si>
    <t>30738 01  LMI  -  РўСЏРіР° СЃС‚Р°Р±С–Р»С–Р·Р°С‚РѕСЂР°</t>
  </si>
  <si>
    <t>294.36</t>
  </si>
  <si>
    <t>30738 01</t>
  </si>
  <si>
    <t>LMI30757</t>
  </si>
  <si>
    <t>30757 01  LMI  -  РЎР°Р№Р»РµРЅС‚Р±Р»РѕРє</t>
  </si>
  <si>
    <t>268.79</t>
  </si>
  <si>
    <t>30757 01</t>
  </si>
  <si>
    <t>LMI30758</t>
  </si>
  <si>
    <t>30758 01  LMI  -  РЎР°Р№Р»РµРЅС‚Р±Р»РѕРє</t>
  </si>
  <si>
    <t>30758 01</t>
  </si>
  <si>
    <t>LMI30775</t>
  </si>
  <si>
    <t>30775 01  LMI  -  РўСЏРіР° РєРµСЂРјРѕРІР°</t>
  </si>
  <si>
    <t>242.01</t>
  </si>
  <si>
    <t>30775 01</t>
  </si>
  <si>
    <t>LMI30833</t>
  </si>
  <si>
    <t>30833 01  LMI  -  РўСЏРіР° РєРµСЂРјРѕРІР°</t>
  </si>
  <si>
    <t>404.38</t>
  </si>
  <si>
    <t>30833 01</t>
  </si>
  <si>
    <t>SKODA Fabia, Roomster, VW Polo  99-, L/R</t>
  </si>
  <si>
    <t>LMI30887</t>
  </si>
  <si>
    <t>30887 01  LMI  -  РЎР°Р№Р»РµРЅС‚Р±Р»РѕРє</t>
  </si>
  <si>
    <t>30887 01</t>
  </si>
  <si>
    <t>MB Sprinter, VW Crafter 04.06-</t>
  </si>
  <si>
    <t>LMI30933</t>
  </si>
  <si>
    <t>30933 01  LMI  -  РљСѓР»СЊРѕРІР° РѕРїРѕСЂР°</t>
  </si>
  <si>
    <t>560.23</t>
  </si>
  <si>
    <t>30933 01</t>
  </si>
  <si>
    <t>MB W211  02-, (upper, L/R)</t>
  </si>
  <si>
    <t>LMI30967</t>
  </si>
  <si>
    <t>30967 01  LMI  -  РўСЏРіР° СЃС‚Р°Р±С–Р»С–Р·Р°С‚РѕСЂР°</t>
  </si>
  <si>
    <t>30967 01</t>
  </si>
  <si>
    <t>VW T5  03-, front L/R</t>
  </si>
  <si>
    <t>LMI31007</t>
  </si>
  <si>
    <t>31007 01  LMI  -  РљСѓР»СЊРѕРІР° РѕРїРѕСЂР°</t>
  </si>
  <si>
    <t>601.43</t>
  </si>
  <si>
    <t>31007 01</t>
  </si>
  <si>
    <t>FORD Galaxy, Mondeo, S - Max  06-, L/R</t>
  </si>
  <si>
    <t>LMI31088</t>
  </si>
  <si>
    <t>31088 01  LMI  -  РќР°РєС–РЅРµС‡РЅРёРє РєРµСЂРјРѕРІРѕС— С‚СЏРіРё</t>
  </si>
  <si>
    <t>31088 01</t>
  </si>
  <si>
    <t>CHEVROLET Aveo (+PS)  05-, left</t>
  </si>
  <si>
    <t>LMI31090</t>
  </si>
  <si>
    <t>31090 01  LMI  -  РљСѓР»СЊРѕРІР° РѕРїРѕСЂР°</t>
  </si>
  <si>
    <t>225.36</t>
  </si>
  <si>
    <t>31090 01</t>
  </si>
  <si>
    <t>CHEVROLET Aveo (T200, T250)  05-, L/R</t>
  </si>
  <si>
    <t>LMI31097</t>
  </si>
  <si>
    <t>31097 01  LMI  -  РўСЏРіР° РєРµСЂРјРѕРІР°</t>
  </si>
  <si>
    <t>31097 01</t>
  </si>
  <si>
    <t>CHEVROLET Aveo, Kalos 1.2-1.4 16V 03.05- (Left)</t>
  </si>
  <si>
    <t>LMI31098</t>
  </si>
  <si>
    <t>31098 01  LMI  -  РўСЏРіР° РєРµСЂРјРѕРІР°</t>
  </si>
  <si>
    <t>31098 01</t>
  </si>
  <si>
    <t>CHEVROLET Aveo, Kalos 1.2-1.4 16V 03.05- (Right)</t>
  </si>
  <si>
    <t>LMI31147</t>
  </si>
  <si>
    <t>31147 01  LMI  -  РўСЏРіР° РєРµСЂРјРѕРІР°</t>
  </si>
  <si>
    <t>624.43</t>
  </si>
  <si>
    <t>31147 01</t>
  </si>
  <si>
    <t>MB Sprinter (906), VW Crafter  06-, L/R</t>
  </si>
  <si>
    <t>LMI31148</t>
  </si>
  <si>
    <t>31148 01  LMI  -  РќР°РєС–РЅРµС‡РЅРёРє РєРµСЂРјРѕРІРѕС— С‚СЏРіРё</t>
  </si>
  <si>
    <t>643.82</t>
  </si>
  <si>
    <t>31148 01</t>
  </si>
  <si>
    <t>MB Sprinter II  06-, L/R</t>
  </si>
  <si>
    <t>LMI31254</t>
  </si>
  <si>
    <t>31254 01  LMI  -  РћРїРѕСЂР° СЃС‚С–Р№РєРё Р°РјРѕСЂС‚РёР·Р°С‚РѕСЂР° Р· РїС–РґС€РёРїРЅРёРєРѕРј</t>
  </si>
  <si>
    <t>223.13</t>
  </si>
  <si>
    <t>31254 01</t>
  </si>
  <si>
    <t>LMI31257</t>
  </si>
  <si>
    <t>31257 01  LMI  -  РћРїРѕСЂР° СЃС‚С–Р№РєРё Р°РјРѕСЂС‚РёР·Р°С‚РѕСЂР° Р· РїС–РґС€РёРїРЅРёРєРѕРј</t>
  </si>
  <si>
    <t>875.71</t>
  </si>
  <si>
    <t>31257 01</t>
  </si>
  <si>
    <t>LMI31343</t>
  </si>
  <si>
    <t>31343 01  LMI  -  РћРїРѕСЂР° СЃС‚С–Р№РєРё Р°РјРѕСЂС‚РёР·Р°С‚РѕСЂР°</t>
  </si>
  <si>
    <t>305.35</t>
  </si>
  <si>
    <t>31343 01</t>
  </si>
  <si>
    <t>LMI31344</t>
  </si>
  <si>
    <t>31344 01  LMI  -  РћРїРѕСЂР° РљРџРџ</t>
  </si>
  <si>
    <t>501.70</t>
  </si>
  <si>
    <t>31344 01</t>
  </si>
  <si>
    <t>LMI31892</t>
  </si>
  <si>
    <t>31892 01  LMI  -  РљСѓР»СЊРѕРІР° РѕРїРѕСЂР°</t>
  </si>
  <si>
    <t>31892 01</t>
  </si>
  <si>
    <t>LMI31938</t>
  </si>
  <si>
    <t>31938 01  LMI  -  РЎР°Р№Р»РµРЅС‚Р±Р»РѕРє</t>
  </si>
  <si>
    <t>31938 01</t>
  </si>
  <si>
    <t>FORD Focus I/II  98-, rear</t>
  </si>
  <si>
    <t>LMI31940</t>
  </si>
  <si>
    <t>31940 01  LMI  -  РЎР°Р№Р»РµРЅС‚Р±Р»РѕРє</t>
  </si>
  <si>
    <t>114.83</t>
  </si>
  <si>
    <t>31940 01</t>
  </si>
  <si>
    <t>LMI31989</t>
  </si>
  <si>
    <t>31989 01  LMI  -  РЎР°Р№Р»РµРЅС‚Р±Р»РѕРє</t>
  </si>
  <si>
    <t>168.04</t>
  </si>
  <si>
    <t>31989 01</t>
  </si>
  <si>
    <t>RENAULT Kangoo II  08-, front L/R rear</t>
  </si>
  <si>
    <t>LMI31990</t>
  </si>
  <si>
    <t>31990 01  LMI  -  РЎР°Р№Р»РµРЅС‚Р±Р»РѕРє</t>
  </si>
  <si>
    <t>116.20</t>
  </si>
  <si>
    <t>31990 01</t>
  </si>
  <si>
    <t>RENAULT Kangoo II  08-, front L/R front</t>
  </si>
  <si>
    <t>LMI31991</t>
  </si>
  <si>
    <t>31991 01  LMI  -  РЎР°Р№Р»РµРЅС‚Р±Р»РѕРє Р±Р°Р»РєРё</t>
  </si>
  <si>
    <t>220.39</t>
  </si>
  <si>
    <t>31991 01</t>
  </si>
  <si>
    <t>RENAULT Kangoo II| 1.5dCi/1.6| 01.08-</t>
  </si>
  <si>
    <t>LMI31994</t>
  </si>
  <si>
    <t>31994 01  LMI  -  РўСЏРіР° СЃС‚Р°Р±С–Р»С–Р·Р°С‚РѕСЂР°</t>
  </si>
  <si>
    <t>31994 01</t>
  </si>
  <si>
    <t>LMI31998</t>
  </si>
  <si>
    <t>31998 01  LMI  -  РўСЏРіР° СЃС‚Р°Р±С–Р»С–Р·Р°С‚РѕСЂР°</t>
  </si>
  <si>
    <t>31998 01</t>
  </si>
  <si>
    <t>LMI31999</t>
  </si>
  <si>
    <t>31999 01  LMI  -  РЎР°Р№Р»РµРЅС‚Р±Р»РѕРє</t>
  </si>
  <si>
    <t>182.97</t>
  </si>
  <si>
    <t>31999 01</t>
  </si>
  <si>
    <t>VW Transporter 1.9, 2.5 TDI 03- (Р·РѕРІРЅС€.)</t>
  </si>
  <si>
    <t>LMI32008</t>
  </si>
  <si>
    <t>32008 01  LMI  -  Р’Р°Р¶С–Р»СЊ РїС–РґРІС–СЃРєРё</t>
  </si>
  <si>
    <t>572.93</t>
  </si>
  <si>
    <t>32008 01</t>
  </si>
  <si>
    <t>Ford C-Max Focus II 2004 -, Mazda 3, 5, 2004 -</t>
  </si>
  <si>
    <t>LMI32009</t>
  </si>
  <si>
    <t>32009 01  LMI  -  РўСЏРіР° СЃС‚Р°Р±С–Р»С–Р·Р°С‚РѕСЂР°</t>
  </si>
  <si>
    <t>217.81</t>
  </si>
  <si>
    <t>32009 01</t>
  </si>
  <si>
    <t>MAZDA 6 1.8-2.3 06.02-08.07  (Rear, L/R)</t>
  </si>
  <si>
    <t>LMI33140</t>
  </si>
  <si>
    <t>33140 01  LMI  -  РћРїРѕСЂР° РґРІРёРіСѓРЅР°</t>
  </si>
  <si>
    <t>744.06</t>
  </si>
  <si>
    <t>33140 01</t>
  </si>
  <si>
    <t xml:space="preserve">AUDI A3| SEAT Leon, Toledo II| SKODA Octavia| VW Bora, Golf IV 1.9TDI, 98- </t>
  </si>
  <si>
    <t>LMI33142</t>
  </si>
  <si>
    <t>33142 01  LMI  -  РћРїРѕСЂР° РґРІРёРіСѓРЅР°</t>
  </si>
  <si>
    <t>892.36</t>
  </si>
  <si>
    <t>33142 01</t>
  </si>
  <si>
    <t>AUDI A3| SKODA Octavia| SEAT Toledo| VW Golf V 1.6-2.0 04-  (Left)</t>
  </si>
  <si>
    <t>LMI33144</t>
  </si>
  <si>
    <t>33144 01  LMI  -  РћРїРѕСЂР° РґРІРёРіСѓРЅР°</t>
  </si>
  <si>
    <t>904.71</t>
  </si>
  <si>
    <t>33144 01</t>
  </si>
  <si>
    <t>AUDI A3, A4| SEAT Altea, Toledo| SKODA Octavia| VW Golf V, Passat, New Bettle, Touran 1.6-2.0  01-  (Left)</t>
  </si>
  <si>
    <t>LMI33251</t>
  </si>
  <si>
    <t>33251 01  LMI  -  РЎР°Р№Р»РµРЅС‚Р±Р»РѕРє</t>
  </si>
  <si>
    <t>325.60</t>
  </si>
  <si>
    <t>33251 01</t>
  </si>
  <si>
    <t>LMI33261</t>
  </si>
  <si>
    <t>33261 01  LMI  -  РћРїРѕСЂР° РґРІРёРіСѓРЅР°</t>
  </si>
  <si>
    <t>1076.35</t>
  </si>
  <si>
    <t>33261 01</t>
  </si>
  <si>
    <t>MB Sprinter, VITO 03-, REAR\n</t>
  </si>
  <si>
    <t>LMI33263</t>
  </si>
  <si>
    <t>33263 01  LMI  -  РЎР°Р№Р»РµРЅС‚Р±Р»РѕРє</t>
  </si>
  <si>
    <t>683.30</t>
  </si>
  <si>
    <t>33263 01</t>
  </si>
  <si>
    <t>LMI33273</t>
  </si>
  <si>
    <t>33273 01  LMI  -  РўСЏРіР° СЃС‚Р°Р±С–Р»С–Р·Р°С‚РѕСЂР°</t>
  </si>
  <si>
    <t>316.85</t>
  </si>
  <si>
    <t>33273 01</t>
  </si>
  <si>
    <t>MAZDA 6 02- (Front, L)</t>
  </si>
  <si>
    <t>LMI33274</t>
  </si>
  <si>
    <t>33274 01  LMI  -  РўСЏРіР° СЃС‚Р°Р±С–Р»С–Р·Р°С‚РѕСЂР°</t>
  </si>
  <si>
    <t>33274 01</t>
  </si>
  <si>
    <t>MAZDA 6 02- (Front, R)</t>
  </si>
  <si>
    <t>LMI33288</t>
  </si>
  <si>
    <t>33288 01  LMI  -  РЎР°Р№Р»РµРЅС‚Р±Р»РѕРє</t>
  </si>
  <si>
    <t>33288 01</t>
  </si>
  <si>
    <t>LMI33405</t>
  </si>
  <si>
    <t>33405 01  LMI  -  РљСѓР»СЊРѕРІР° РѕРїРѕСЂР°</t>
  </si>
  <si>
    <t>1108.79</t>
  </si>
  <si>
    <t>33405 01</t>
  </si>
  <si>
    <t>MB W164, X164, W251  06-, rear L/R</t>
  </si>
  <si>
    <t>LMI33406</t>
  </si>
  <si>
    <t>33406 01  LMI  -  РљСѓР»СЊРѕРІР° РѕРїРѕСЂР°</t>
  </si>
  <si>
    <t>1034.47</t>
  </si>
  <si>
    <t>33406 01</t>
  </si>
  <si>
    <t>MB W164, X164, W251  06-, front L/R</t>
  </si>
  <si>
    <t>LMI33412</t>
  </si>
  <si>
    <t>33412 01  LMI  -  РЎР°Р№Р»РµРЅС‚Р±Р»РѕРє</t>
  </si>
  <si>
    <t>135.60</t>
  </si>
  <si>
    <t>33412 01</t>
  </si>
  <si>
    <t>FORD Focus II, C-Max  04-, front L/R front</t>
  </si>
  <si>
    <t>LMI33413</t>
  </si>
  <si>
    <t>33413 01  LMI  -  РЎР°Р№Р»РµРЅС‚Р±Р»РѕРє</t>
  </si>
  <si>
    <t>33413 01</t>
  </si>
  <si>
    <t>FORD Focus II, C-Max  04-, front L/R rear</t>
  </si>
  <si>
    <t>LMI33454</t>
  </si>
  <si>
    <t>33454 01  LMI  -  РўСЏРіР° СЃС‚Р°Р±С–Р»С–Р·Р°С‚РѕСЂР°</t>
  </si>
  <si>
    <t>148.30</t>
  </si>
  <si>
    <t>33454 01</t>
  </si>
  <si>
    <t>CHEVROLET Lacetti  05-, front right</t>
  </si>
  <si>
    <t>LMI33455</t>
  </si>
  <si>
    <t>33455 02  LMI  -  РўСЏРіР° СЃС‚Р°Р±С–Р»С–Р·Р°С‚РѕСЂР°</t>
  </si>
  <si>
    <t>152.76</t>
  </si>
  <si>
    <t>33455 02</t>
  </si>
  <si>
    <t>CHEVROLET Lacetti  05-, front left</t>
  </si>
  <si>
    <t>LMI33456</t>
  </si>
  <si>
    <t>33456 01  LMI  -  РўСЏРіР° СЃС‚Р°Р±С–Р»С–Р·Р°С‚РѕСЂР°</t>
  </si>
  <si>
    <t>204.25</t>
  </si>
  <si>
    <t>33456 01</t>
  </si>
  <si>
    <t>CHEVROLET Lacetti  05-, rear L/R</t>
  </si>
  <si>
    <t>LMI33483</t>
  </si>
  <si>
    <t>33483 01  LMI  -  РўСЏРіР° РєРµСЂРјРѕРІР°</t>
  </si>
  <si>
    <t>239.44</t>
  </si>
  <si>
    <t>33483 01</t>
  </si>
  <si>
    <t>MAZDA 3, 5, 1.4-2.3, 10.03-</t>
  </si>
  <si>
    <t>LMI33537</t>
  </si>
  <si>
    <t>33537 01  LMI  -  РўСЏРіР° РєРµСЂРјРѕРІР°</t>
  </si>
  <si>
    <t>485.74</t>
  </si>
  <si>
    <t>33537 01</t>
  </si>
  <si>
    <t>OPEL Combo 1,4 16V 2005- 1,7 CDTi 16V 2004-</t>
  </si>
  <si>
    <t>LMI33615</t>
  </si>
  <si>
    <t>33615 01  LMI  -  РџРёР»СЊРѕРІРёРє РєРµСЂРјРѕРІРѕС— С‚СЏРіРё</t>
  </si>
  <si>
    <t>150.01</t>
  </si>
  <si>
    <t>33615 01</t>
  </si>
  <si>
    <t>AUDI Q7| BMW 5 (E60, E61, F07, F10, F11, F18), 6 (E63, E64), 7 (F01, F02, F03, F04), X3 (E83) 2.0D-6.0i  03-  (L/R)</t>
  </si>
  <si>
    <t>LMI33616</t>
  </si>
  <si>
    <t>33616 01  LMI  -  РџРёР»СЊРѕРІРёРє РєРµСЂРјРѕРІРѕС— С‚СЏРіРё</t>
  </si>
  <si>
    <t>33616 01</t>
  </si>
  <si>
    <t>LMI33620</t>
  </si>
  <si>
    <t>33620 01  LMI  -  РџРёР»СЊРѕРІРёРє РєРµСЂРјРѕРІРѕС— С‚СЏРіРё</t>
  </si>
  <si>
    <t>117.92</t>
  </si>
  <si>
    <t>33620 01</t>
  </si>
  <si>
    <t>LMI33626</t>
  </si>
  <si>
    <t>33626 01  LMI  -  РџРёР»СЊРѕРІРёРє РєРµСЂРјРѕРІРѕС— С‚СЏРіРё</t>
  </si>
  <si>
    <t>33626 01</t>
  </si>
  <si>
    <t>LMI33628</t>
  </si>
  <si>
    <t>33628 01  LMI  -  РџРёР»СЊРѕРІРёРє РєРµСЂРјРѕРІРѕС— С‚СЏРіРё</t>
  </si>
  <si>
    <t>33628 01</t>
  </si>
  <si>
    <t>LMI33629</t>
  </si>
  <si>
    <t>33629 01  LMI  -  РџРёР»СЊРѕРІРёРє РєРµСЂРјРѕРІРѕС— С‚СЏРіРё</t>
  </si>
  <si>
    <t>150.87</t>
  </si>
  <si>
    <t>33629 01</t>
  </si>
  <si>
    <t>OPEL Vivaro| RENAULT Trafic II 01-  (L/R)</t>
  </si>
  <si>
    <t>LMI33697</t>
  </si>
  <si>
    <t>33697 01  LMI  -  РљСѓР»СЊРѕРІР° РѕРїРѕСЂР°</t>
  </si>
  <si>
    <t>507.37</t>
  </si>
  <si>
    <t>33697 01</t>
  </si>
  <si>
    <t>MB Sprinter (BM906)  06-, L/R</t>
  </si>
  <si>
    <t>LMI33730</t>
  </si>
  <si>
    <t>33730 01  LMI  -  РЎР°Р№Р»РµРЅС‚Р±Р»РѕРє</t>
  </si>
  <si>
    <t>366.97</t>
  </si>
  <si>
    <t>33730 01</t>
  </si>
  <si>
    <t>RANGE ROVER III  02-</t>
  </si>
  <si>
    <t>LMI33731</t>
  </si>
  <si>
    <t>33731 01  LMI  -  РЎР°Р№Р»РµРЅС‚Р±Р»РѕРє</t>
  </si>
  <si>
    <t>424.64</t>
  </si>
  <si>
    <t>33731 01</t>
  </si>
  <si>
    <t>LMI33752</t>
  </si>
  <si>
    <t>33752 01  LMI  -  РћРїРѕСЂР° РљРџРџ</t>
  </si>
  <si>
    <t>929.26</t>
  </si>
  <si>
    <t>33752 01</t>
  </si>
  <si>
    <t>LMI33758</t>
  </si>
  <si>
    <t>33758 01  LMI  -  Р’С‚СѓР»РєР° СЃС‚Р°Р±С–Р»С–Р·Р°С‚РѕСЂР°</t>
  </si>
  <si>
    <t>199.27</t>
  </si>
  <si>
    <t>33758 01</t>
  </si>
  <si>
    <t>FORD C-Max, Focus II, Kuga 1.4-2.5  03-  (Front, L/R)</t>
  </si>
  <si>
    <t>LMI33773</t>
  </si>
  <si>
    <t>33773 01  LMI  -  РљСѓР»СЊРѕРІР° РѕРїРѕСЂР°</t>
  </si>
  <si>
    <t>555.26</t>
  </si>
  <si>
    <t>33773 01</t>
  </si>
  <si>
    <t>MB W220, W211/S211  98-, L/R</t>
  </si>
  <si>
    <t>LMI33815</t>
  </si>
  <si>
    <t>33815 01  LMI  -  Р’С‚СѓР»РєР° СЃС‚Р°Р±С–Р»С–Р·Р°С‚РѕСЂР°</t>
  </si>
  <si>
    <t>147.44</t>
  </si>
  <si>
    <t>33815 01</t>
  </si>
  <si>
    <t>LMI33834</t>
  </si>
  <si>
    <t>33834 01  LMI  -  Р’Р°Р¶С–Р»СЊ РїС–РґРІС–СЃРєРё</t>
  </si>
  <si>
    <t>1364.02</t>
  </si>
  <si>
    <t>33834 01</t>
  </si>
  <si>
    <t>AUDI A3 (8P1), SKODA Octavia (1Z3), VW Golf V  03-, left, Cast iron</t>
  </si>
  <si>
    <t>LMI33835</t>
  </si>
  <si>
    <t>33835 01  LMI  -  Р’Р°Р¶С–Р»СЊ РїС–РґРІС–СЃРєРё</t>
  </si>
  <si>
    <t>33835 01</t>
  </si>
  <si>
    <t>AUDI A3 (8P1), SKODA Octavia (1Z3), VW Golf V  03-, right, Cast iron</t>
  </si>
  <si>
    <t>LMI33837</t>
  </si>
  <si>
    <t>33837 01  LMI  -  РўСЏРіР° РєРµСЂРјРѕРІР°</t>
  </si>
  <si>
    <t>677.63</t>
  </si>
  <si>
    <t>33837 01</t>
  </si>
  <si>
    <t>MB W164, X164 4Matic  05-, L/R</t>
  </si>
  <si>
    <t>LMI33890</t>
  </si>
  <si>
    <t>33890 01  LMI  -  РљСѓР»СЊРѕРІР° РѕРїРѕСЂР°</t>
  </si>
  <si>
    <t>371.77</t>
  </si>
  <si>
    <t>33890 01</t>
  </si>
  <si>
    <t>PEUGEOT 308  07-, L/R</t>
  </si>
  <si>
    <t>LMI33907</t>
  </si>
  <si>
    <t>33907 01  LMI  -  РЎР°Р№Р»РµРЅС‚Р±Р»РѕРє</t>
  </si>
  <si>
    <t>462.40</t>
  </si>
  <si>
    <t>33907 01</t>
  </si>
  <si>
    <t>OPEl Signum, Vectra C, FIAT Croma  03-, rear L/R (С€Р°СЂРЅС–СЂ)</t>
  </si>
  <si>
    <t>LMI33972</t>
  </si>
  <si>
    <t>33972 01  LMI  -  РўСЏРіР° СЃС‚Р°Р±С–Р»С–Р·Р°С‚РѕСЂР°</t>
  </si>
  <si>
    <t>33972 01</t>
  </si>
  <si>
    <t>HYUNDAI Santa Fe (CM)  06-, front left</t>
  </si>
  <si>
    <t>LMI33973</t>
  </si>
  <si>
    <t>33973 01  LMI  -  РўСЏРіР° СЃС‚Р°Р±С–Р»С–Р·Р°С‚РѕСЂР°</t>
  </si>
  <si>
    <t>33973 01</t>
  </si>
  <si>
    <t>HYUNDAI Santa Fe (CM)  06-, front right</t>
  </si>
  <si>
    <t>LMI33974</t>
  </si>
  <si>
    <t>33974 01  LMI  -  РўСЏРіР° СЃС‚Р°Р±С–Р»С–Р·Р°С‚РѕСЂР°</t>
  </si>
  <si>
    <t>33974 01</t>
  </si>
  <si>
    <t>HYUNDAI Santa Fe (CM)  06-, rear L/R</t>
  </si>
  <si>
    <t>LMI33976</t>
  </si>
  <si>
    <t>33976 01  LMI  -  РўСЏРіР° СЃС‚Р°Р±С–Р»С–Р·Р°С‚РѕСЂР°</t>
  </si>
  <si>
    <t>621.34</t>
  </si>
  <si>
    <t>33976 01</t>
  </si>
  <si>
    <t>LMI34017</t>
  </si>
  <si>
    <t>34017 01  LMI  -  РЎР°Р№Р»РµРЅС‚Р±Р»РѕРє</t>
  </si>
  <si>
    <t>622.20</t>
  </si>
  <si>
    <t>34017 01</t>
  </si>
  <si>
    <t>LANDROVER Range Rover Sport  05-, front L/R</t>
  </si>
  <si>
    <t>LMI34020</t>
  </si>
  <si>
    <t>34020 01  LMI  -  РЎР°Р№Р»РµРЅС‚Р±Р»РѕРє</t>
  </si>
  <si>
    <t>171.64</t>
  </si>
  <si>
    <t>34020 01</t>
  </si>
  <si>
    <t>LMI34052</t>
  </si>
  <si>
    <t>34052 01  LMI  -  Р’С‚СѓР»РєР° СЃС‚Р°Р±С–Р»С–Р·Р°С‚РѕСЂР°</t>
  </si>
  <si>
    <t>45.31</t>
  </si>
  <si>
    <t>34052 01</t>
  </si>
  <si>
    <t>AUDI A3 00-| SKODA Octavia 97-| VW Bora, Golf IV (d=23mm)</t>
  </si>
  <si>
    <t>LMI34053</t>
  </si>
  <si>
    <t>34053 01  LMI  -  Р’С‚СѓР»РєР° СЃС‚Р°Р±С–Р»С–Р·Р°С‚РѕСЂР°</t>
  </si>
  <si>
    <t>88.39</t>
  </si>
  <si>
    <t>34053 01</t>
  </si>
  <si>
    <t>AUDI A3 00-| SKODA Octavia 97-| VW Bora, Golf IV (d=21mm)</t>
  </si>
  <si>
    <t>LMI34054</t>
  </si>
  <si>
    <t>34054 01  LMI  -  Р’С‚СѓР»РєР° СЃС‚Р°Р±С–Р»С–Р·Р°С‚РѕСЂР°</t>
  </si>
  <si>
    <t>68.66</t>
  </si>
  <si>
    <t>34054 01</t>
  </si>
  <si>
    <t>FORD Focus 1998-2004 (Rear) (d=18mm)\n</t>
  </si>
  <si>
    <t>LMI34058</t>
  </si>
  <si>
    <t>34058 01  LMI  -  Р’С‚СѓР»РєР° СЃС‚Р°Р±С–Р»С–Р·Р°С‚РѕСЂР°</t>
  </si>
  <si>
    <t>52.01</t>
  </si>
  <si>
    <t>34058 01</t>
  </si>
  <si>
    <t>LMI34060</t>
  </si>
  <si>
    <t>34060 01  LMI  -  Р’С‚СѓР»РєР° СЃС‚Р°Р±С–Р»С–Р·Р°С‚РѕСЂР°</t>
  </si>
  <si>
    <t>34060 01</t>
  </si>
  <si>
    <t>LMI34062</t>
  </si>
  <si>
    <t>34062 01  LMI  -  Р’С‚СѓР»РєР° СЃС‚Р°Р±С–Р»С–Р·Р°С‚РѕСЂР°</t>
  </si>
  <si>
    <t>34062 01</t>
  </si>
  <si>
    <t>LMI34066</t>
  </si>
  <si>
    <t>34066 01  LMI  -  Р’С‚СѓР»РєР° СЃС‚Р°Р±С–Р»С–Р·Р°С‚РѕСЂР°</t>
  </si>
  <si>
    <t>67.28</t>
  </si>
  <si>
    <t>34066 01</t>
  </si>
  <si>
    <t>LMI34067</t>
  </si>
  <si>
    <t>34067 01  LMI  -  Р’С‚СѓР»РєР° СЃС‚Р°Р±С–Р»С–Р·Р°С‚РѕСЂР°</t>
  </si>
  <si>
    <t>62.99</t>
  </si>
  <si>
    <t>34067 01</t>
  </si>
  <si>
    <t>LMI34069</t>
  </si>
  <si>
    <t>34069 01  LMI  -  Р’С‚СѓР»РєР° СЃС‚Р°Р±С–Р»С–Р·Р°С‚РѕСЂР°</t>
  </si>
  <si>
    <t>34069 01</t>
  </si>
  <si>
    <t>LMI34071</t>
  </si>
  <si>
    <t>34071 01  LMI  -  Р’С‚СѓР»РєР° СЃС‚Р°Р±С–Р»С–Р·Р°С‚РѕСЂР°</t>
  </si>
  <si>
    <t>123.24</t>
  </si>
  <si>
    <t>34071 01</t>
  </si>
  <si>
    <t>NISSAN Micra, Murano 2003- (Front) (d=26mm)</t>
  </si>
  <si>
    <t>LMI34072</t>
  </si>
  <si>
    <t>34072 01  LMI  -  Р’С‚СѓР»РєР° СЃС‚Р°Р±С–Р»С–Р·Р°С‚РѕСЂР°</t>
  </si>
  <si>
    <t>47.03</t>
  </si>
  <si>
    <t>34072 01</t>
  </si>
  <si>
    <t>NISSAN Micra 1.0-1.5 2003-2005, Murano 3.5 4x4 2005-2007 (Rear) (d=19mm)</t>
  </si>
  <si>
    <t>LMI34078</t>
  </si>
  <si>
    <t>34078 01  LMI  -  РћРїРѕСЂР° СЃС‚С–Р№РєРё Р°РјРѕСЂС‚РёР·Р°С‚РѕСЂР° Р· РїС–РґС€РёРїРЅРёРєРѕРј</t>
  </si>
  <si>
    <t>392.88</t>
  </si>
  <si>
    <t>34078 01</t>
  </si>
  <si>
    <t>LMI34083</t>
  </si>
  <si>
    <t>34083 01  LMI  -  РќР°РєС–РЅРµС‡РЅРёРє РєРµСЂРјРѕРІРѕС— С‚СЏРіРё</t>
  </si>
  <si>
    <t>731.70</t>
  </si>
  <si>
    <t>34083 01</t>
  </si>
  <si>
    <t>MB W164, X164 4Matic  05-, left</t>
  </si>
  <si>
    <t>LMI34094</t>
  </si>
  <si>
    <t>34094 01  LMI  -  РЎР°Р№Р»РµРЅС‚Р±Р»РѕРє</t>
  </si>
  <si>
    <t>103.33</t>
  </si>
  <si>
    <t>34094 01</t>
  </si>
  <si>
    <t>OPEL Vectra B (РІРЅСѓС‚СЂ.)</t>
  </si>
  <si>
    <t>LMI34325</t>
  </si>
  <si>
    <t>34325 01  LMI  -  РќР°РєС–РЅРµС‡РЅРёРє РєРµСЂРјРѕРІРѕС— С‚СЏРіРё</t>
  </si>
  <si>
    <t>296.59</t>
  </si>
  <si>
    <t>34325 01</t>
  </si>
  <si>
    <t>LMI34326</t>
  </si>
  <si>
    <t>34326 01  LMI  -  РќР°РєС–РЅРµС‡РЅРёРє РєРµСЂРјРѕРІРѕС— С‚СЏРіРё</t>
  </si>
  <si>
    <t>34326 01</t>
  </si>
  <si>
    <t>LMI34329</t>
  </si>
  <si>
    <t>34329 01  LMI  -  РќР°РєС–РЅРµС‡РЅРёРє РєРµСЂРјРѕРІРѕС— С‚СЏРіРё</t>
  </si>
  <si>
    <t>317.19</t>
  </si>
  <si>
    <t>34329 01</t>
  </si>
  <si>
    <t>MAZDA 6 1.8-2.5 02-, (Right)</t>
  </si>
  <si>
    <t>LMI34330</t>
  </si>
  <si>
    <t>34330 01  LMI  -  РќР°РєС–РЅРµС‡РЅРёРє РєРµСЂРјРѕРІРѕС— С‚СЏРіРё</t>
  </si>
  <si>
    <t>34330 01</t>
  </si>
  <si>
    <t>MAZDA 6 1.8-2.5 02-, (Left)</t>
  </si>
  <si>
    <t>LMI34343</t>
  </si>
  <si>
    <t>34343 01  LMI  -  РћРїРѕСЂР° СЃС‚С–Р№РєРё Р°РјРѕСЂС‚РёР·Р°С‚РѕСЂР°</t>
  </si>
  <si>
    <t>450.21</t>
  </si>
  <si>
    <t>34343 01</t>
  </si>
  <si>
    <t>BMW  5 (E60) 03- rear L/R</t>
  </si>
  <si>
    <t>LMI34344</t>
  </si>
  <si>
    <t>34344 01  LMI  -  РЎР°Р№Р»РµРЅС‚Р±Р»РѕРє</t>
  </si>
  <si>
    <t>34344 01</t>
  </si>
  <si>
    <t xml:space="preserve">CITROEN Nemo, FIAT Qubo, Grande Punto, PEUGEOT Bipper| 1.4D/1.6| 10.05- </t>
  </si>
  <si>
    <t>LMI34479</t>
  </si>
  <si>
    <t>34479 01  LMI  -  РўСЏРіР° СЃС‚Р°Р±С–Р»С–Р·Р°С‚РѕСЂР°</t>
  </si>
  <si>
    <t>217.30</t>
  </si>
  <si>
    <t>34479 01</t>
  </si>
  <si>
    <t>KIA Cerato 1.5D-2.0 04-, (Front, L)</t>
  </si>
  <si>
    <t>LMI34480</t>
  </si>
  <si>
    <t>34480 01  LMI  -  РўСЏРіР° СЃС‚Р°Р±С–Р»С–Р·Р°С‚РѕСЂР°</t>
  </si>
  <si>
    <t>34480 01</t>
  </si>
  <si>
    <t>KIA Cerato 1.5D-2.0 04-, (Front, R)</t>
  </si>
  <si>
    <t>LMI34481</t>
  </si>
  <si>
    <t>34481 01  LMI  -  РўСЏРіР° СЃС‚Р°Р±С–Р»С–Р·Р°С‚РѕСЂР°</t>
  </si>
  <si>
    <t>34481 01</t>
  </si>
  <si>
    <t>LMI34482</t>
  </si>
  <si>
    <t>34482 01  LMI  -  РўСЏРіР° СЃС‚Р°Р±С–Р»С–Р·Р°С‚РѕСЂР°</t>
  </si>
  <si>
    <t>34482 01</t>
  </si>
  <si>
    <t>LMI34497</t>
  </si>
  <si>
    <t>34497 01  LMI  -  РўСЏРіР° СЃС‚Р°Р±С–Р»С–Р·Р°С‚РѕСЂР°</t>
  </si>
  <si>
    <t>286.47</t>
  </si>
  <si>
    <t>34497 01</t>
  </si>
  <si>
    <t>LMI34504</t>
  </si>
  <si>
    <t>34504 01  LMI  -  Р’С‚СѓР»РєР° СЃС‚Р°Р±С–Р»С–Р·Р°С‚РѕСЂР°</t>
  </si>
  <si>
    <t>55.44</t>
  </si>
  <si>
    <t>34504 01</t>
  </si>
  <si>
    <t>MB W210, W140 (26mm)</t>
  </si>
  <si>
    <t>LMI34506</t>
  </si>
  <si>
    <t>34506 01  LMI  -  РљСѓР»СЊРѕРІР° РѕРїРѕСЂР°</t>
  </si>
  <si>
    <t>34506 01</t>
  </si>
  <si>
    <t>LMI34509</t>
  </si>
  <si>
    <t>34509 01  LMI  -  РљСѓР»СЊРѕРІР° РѕРїРѕСЂР°</t>
  </si>
  <si>
    <t>396.83</t>
  </si>
  <si>
    <t>34509 01</t>
  </si>
  <si>
    <t>LMI34510</t>
  </si>
  <si>
    <t>34510 02  LMI  -  РљСѓР»СЊРѕРІР° РѕРїРѕСЂР°</t>
  </si>
  <si>
    <t>34510 02</t>
  </si>
  <si>
    <t>LMI34524</t>
  </si>
  <si>
    <t>34524 01  LMI  -  РўСЏРіР° РєРµСЂРјРѕРІР°</t>
  </si>
  <si>
    <t>34524 01</t>
  </si>
  <si>
    <t>HYUNDAI Santa Fe| 2.2 CRDI/2.7| 03.06- (L/R)\n</t>
  </si>
  <si>
    <t>LMI34535</t>
  </si>
  <si>
    <t>34535 01  LMI  -  РќР°РєС–РЅРµС‡РЅРёРє РєРµСЂРјРѕРІРѕС— С‚СЏРіРё</t>
  </si>
  <si>
    <t>370.91</t>
  </si>
  <si>
    <t>34535 01</t>
  </si>
  <si>
    <t>HYUNDAI SANTA FE 2.2/2.7/3.3 03.06-  (Left)\n</t>
  </si>
  <si>
    <t>LMI34571</t>
  </si>
  <si>
    <t>34571 01  LMI  -  Р’С‚СѓР»РєР° СЃС‚Р°Р±С–Р»С–Р·Р°С‚РѕСЂР°</t>
  </si>
  <si>
    <t>34571 01</t>
  </si>
  <si>
    <t>LMI34695</t>
  </si>
  <si>
    <t>34695 01  LMI  -  Р’С‚СѓР»РєР° СЃС‚Р°Р±С–Р»С–Р·Р°С‚РѕСЂР°</t>
  </si>
  <si>
    <t>105.22</t>
  </si>
  <si>
    <t>34695 01</t>
  </si>
  <si>
    <t>MB E210 220CDI 98.06-02.03, W210 E200 99.05-</t>
  </si>
  <si>
    <t>LMI34706</t>
  </si>
  <si>
    <t>34706 01  LMI  -  РљСѓР»СЊРѕРІР° РѕРїРѕСЂР°</t>
  </si>
  <si>
    <t>430.82</t>
  </si>
  <si>
    <t>34706 01</t>
  </si>
  <si>
    <t>LEXUS RX| TOYOTA CAMRY 2.4/3.0/3.3 11.01-12.08  (Front, L)</t>
  </si>
  <si>
    <t>LMI34707</t>
  </si>
  <si>
    <t>34707 01  LMI  -  РљСѓР»СЊРѕРІР° РѕРїРѕСЂР°</t>
  </si>
  <si>
    <t>34707 01</t>
  </si>
  <si>
    <t>LEXUS RX| TOYOTA CAMRY 2.4/3.0/3.3 11.01-12.08  (Front, R)</t>
  </si>
  <si>
    <t>LMI34711</t>
  </si>
  <si>
    <t>34711 01  LMI  -  РЎР°Р№Р»РµРЅС‚Р±Р»РѕРє</t>
  </si>
  <si>
    <t>426.01</t>
  </si>
  <si>
    <t>34711 01</t>
  </si>
  <si>
    <t>VW Passat  05-, front L/R rear</t>
  </si>
  <si>
    <t>LMI34735</t>
  </si>
  <si>
    <t>34735 01  LMI  -  РЎР°Р№Р»РµРЅС‚Р±Р»РѕРє</t>
  </si>
  <si>
    <t>478.70</t>
  </si>
  <si>
    <t>34735 01</t>
  </si>
  <si>
    <t>BMW X5 (E70), X6 (E71), all, 02.07-</t>
  </si>
  <si>
    <t>LMI34762</t>
  </si>
  <si>
    <t>34762 01  LMI  -  РЎР°Р№Р»РµРЅС‚Р±Р»РѕРє</t>
  </si>
  <si>
    <t>413.14</t>
  </si>
  <si>
    <t>34762 01</t>
  </si>
  <si>
    <t xml:space="preserve">SKODA Octavia (1Z3, 1Z5), VW Golf V, Caddy III  04-, front left </t>
  </si>
  <si>
    <t>LMI34913</t>
  </si>
  <si>
    <t>34913 01  LMI  -  РўСЏРіР° РєРµСЂРјРѕРІР°</t>
  </si>
  <si>
    <t>553.02</t>
  </si>
  <si>
    <t>34913 01</t>
  </si>
  <si>
    <t>CITROEN Jumper, FIAT Ducato, PEUGEOT Boxer  06-, L/R</t>
  </si>
  <si>
    <t>LMI34970</t>
  </si>
  <si>
    <t>34970 01  LMI  -  РЎР°Р№Р»РµРЅС‚Р±Р»РѕРє</t>
  </si>
  <si>
    <t>203.22</t>
  </si>
  <si>
    <t>34970 01</t>
  </si>
  <si>
    <t>LMI34988</t>
  </si>
  <si>
    <t>34988 01  LMI  -  РћРїРѕСЂР° СЃС‚С–Р№РєРё Р°РјРѕСЂС‚РёР·Р°С‚РѕСЂР° Р· РїС–РґС€РёРїРЅРёРєРѕРј</t>
  </si>
  <si>
    <t>805.16</t>
  </si>
  <si>
    <t>34988 01</t>
  </si>
  <si>
    <t>LMI34989</t>
  </si>
  <si>
    <t>34989 01  LMI  -  РћРїРѕСЂР° СЃС‚С–Р№РєРё Р°РјРѕСЂС‚РёР·Р°С‚РѕСЂР° Р· РїС–РґС€РёРїРЅРёРєРѕРј</t>
  </si>
  <si>
    <t>34989 01</t>
  </si>
  <si>
    <t>LMI34999</t>
  </si>
  <si>
    <t>34999 01  LMI  -  РљСѓР»СЊРѕРІР° РѕРїРѕСЂР°</t>
  </si>
  <si>
    <t>34999 01</t>
  </si>
  <si>
    <t>HYUNDAI i30, CW| KIA CEED, KIA PRO CEED 1.4-2.0CRDi 10.10-06.12</t>
  </si>
  <si>
    <t>LMI35001</t>
  </si>
  <si>
    <t>35001 01  LMI  -  РўСЏРіР° СЃС‚Р°Р±С–Р»С–Р·Р°С‚РѕСЂР°</t>
  </si>
  <si>
    <t>35001 01</t>
  </si>
  <si>
    <t>HYUNDAI Elantra, i30| KIA Ceed 06- (Front, L/R)\n</t>
  </si>
  <si>
    <t>LMI35003</t>
  </si>
  <si>
    <t>35003 01  LMI  -  РўСЏРіР° СЃС‚Р°Р±С–Р»С–Р·Р°С‚РѕСЂР°</t>
  </si>
  <si>
    <t>35003 01</t>
  </si>
  <si>
    <t>LMI35019</t>
  </si>
  <si>
    <t>35019 01  LMI  -  РћРїРѕСЂР° СЃС‚С–Р№РєРё Р°РјРѕСЂС‚РёР·Р°С‚РѕСЂР°</t>
  </si>
  <si>
    <t>532.43</t>
  </si>
  <si>
    <t>35019 01</t>
  </si>
  <si>
    <t>LMI35020</t>
  </si>
  <si>
    <t>35020 01  LMI  -  РћРїРѕСЂР° СЃС‚С–Р№РєРё Р°РјРѕСЂС‚РёР·Р°С‚РѕСЂР°</t>
  </si>
  <si>
    <t>35020 01</t>
  </si>
  <si>
    <t>LMI35033</t>
  </si>
  <si>
    <t>35033 01  LMI  -  РЎР°Р№Р»РµРЅС‚Р±Р»РѕРє</t>
  </si>
  <si>
    <t>35033 01</t>
  </si>
  <si>
    <t xml:space="preserve">AUDI Q7| PORSCHE Cayenne| VW Touareg (7L ) 02-  front axle upper (L/R) </t>
  </si>
  <si>
    <t>LMI35275</t>
  </si>
  <si>
    <t>35275 01  LMI  -  РўСЏРіР° СЃС‚Р°Р±С–Р»С–Р·Р°С‚РѕСЂР°</t>
  </si>
  <si>
    <t>35275 01</t>
  </si>
  <si>
    <t>FORD Transit  00-, front L/R</t>
  </si>
  <si>
    <t>LMI35293</t>
  </si>
  <si>
    <t>35293 01  LMI  -  РљСѓР»СЊРѕРІР° РѕРїРѕСЂР°</t>
  </si>
  <si>
    <t>35293 01</t>
  </si>
  <si>
    <t xml:space="preserve"> NISSAN Micra III, C+C, Note 1.0-1.6 03-,  (L/R)</t>
  </si>
  <si>
    <t>LMI35316</t>
  </si>
  <si>
    <t>35316 01  LMI  -  РЎР°Р№Р»РµРЅС‚Р±Р»РѕРє Р±Р°Р»РєРё</t>
  </si>
  <si>
    <t>35316 01</t>
  </si>
  <si>
    <t>AUDI A6, Allroad 04-  (Front axle, rear)</t>
  </si>
  <si>
    <t>LMI35325</t>
  </si>
  <si>
    <t>35325 01  LMI  -  РЎР°Р№Р»РµРЅС‚Р±Р»РѕРє</t>
  </si>
  <si>
    <t>35325 01</t>
  </si>
  <si>
    <t>CITROEN Berlingo, PEUGEOT Partner  96-02</t>
  </si>
  <si>
    <t>LMI35330</t>
  </si>
  <si>
    <t>35330 01  LMI  -  РЎР°Р№Р»РµРЅС‚Р±Р»РѕРє</t>
  </si>
  <si>
    <t>457.59</t>
  </si>
  <si>
    <t>35330 01</t>
  </si>
  <si>
    <t>LMI35367</t>
  </si>
  <si>
    <t>35367 01  LMI  -  РўСЏРіР° СЃС‚Р°Р±С–Р»С–Р·Р°С‚РѕСЂР°</t>
  </si>
  <si>
    <t>357.35</t>
  </si>
  <si>
    <t>35367 01</t>
  </si>
  <si>
    <t>LMI35377</t>
  </si>
  <si>
    <t>35377 01  LMI  -  РЎР°Р№Р»РµРЅС‚Р±Р»РѕРє</t>
  </si>
  <si>
    <t>35377 01</t>
  </si>
  <si>
    <t>OPEL Corsa D  06-, front L/R rear</t>
  </si>
  <si>
    <t>LMI35539</t>
  </si>
  <si>
    <t>35539 01  LMI  -  РЎР°Р№Р»РµРЅС‚Р±Р»РѕРє</t>
  </si>
  <si>
    <t>35539 01</t>
  </si>
  <si>
    <t>LMI35540</t>
  </si>
  <si>
    <t>35540 01  LMI  -  РЎР°Р№Р»РµРЅС‚Р±Р»РѕРє</t>
  </si>
  <si>
    <t>35540 01</t>
  </si>
  <si>
    <t>LMI35541</t>
  </si>
  <si>
    <t>35541 01  LMI  -  РЎР°Р№Р»РµРЅС‚Р±Р»РѕРє</t>
  </si>
  <si>
    <t>35541 01</t>
  </si>
  <si>
    <t>LMI35549</t>
  </si>
  <si>
    <t>35549 01  LMI  -  РЎР°Р№Р»РµРЅС‚Р±Р»РѕРє</t>
  </si>
  <si>
    <t>209.40</t>
  </si>
  <si>
    <t>35549 01</t>
  </si>
  <si>
    <t>LMI35550</t>
  </si>
  <si>
    <t>35550 01  LMI  -  РЎР°Р№Р»РµРЅС‚Р±Р»РѕРє</t>
  </si>
  <si>
    <t>35550 01</t>
  </si>
  <si>
    <t>LMI35551</t>
  </si>
  <si>
    <t>35551 01  LMI  -  РЎР°Р№Р»РµРЅС‚Р±Р»РѕРє</t>
  </si>
  <si>
    <t>220.90</t>
  </si>
  <si>
    <t>35551 01</t>
  </si>
  <si>
    <t>LMI35564</t>
  </si>
  <si>
    <t>35564 01  LMI  -  РќР°РєС–РЅРµС‡РЅРёРє РєРµСЂРјРѕРІРѕС— С‚СЏРіРё</t>
  </si>
  <si>
    <t>35564 01</t>
  </si>
  <si>
    <t>LMI35565</t>
  </si>
  <si>
    <t>35565 01  LMI  -  РќР°РєС–РЅРµС‡РЅРёРє РєРµСЂРјРѕРІРѕС— С‚СЏРіРё</t>
  </si>
  <si>
    <t>35565 01</t>
  </si>
  <si>
    <t>LMI35712</t>
  </si>
  <si>
    <t>35712 01  LMI  -  РЎР°Р№Р»РµРЅС‚Р±Р»РѕРє</t>
  </si>
  <si>
    <t>35712 01</t>
  </si>
  <si>
    <t>LMI35783</t>
  </si>
  <si>
    <t>35783 01  LMI  -  РЎР°Р№Р»РµРЅС‚Р±Р»РѕРє</t>
  </si>
  <si>
    <t>336.59</t>
  </si>
  <si>
    <t>35783 01</t>
  </si>
  <si>
    <t>LMI35784</t>
  </si>
  <si>
    <t>35784 01  LMI  -  РЎР°Р№Р»РµРЅС‚Р±Р»РѕРє</t>
  </si>
  <si>
    <t>291.79</t>
  </si>
  <si>
    <t>35784 01</t>
  </si>
  <si>
    <t>LMI35887</t>
  </si>
  <si>
    <t>35887 01  LMI  -  Р’С‚СѓР»РєР° СЃС‚Р°Р±С–Р»С–Р·Р°С‚РѕСЂР°</t>
  </si>
  <si>
    <t>35887 01</t>
  </si>
  <si>
    <t>SKODA Fabia, VW Polo| 1.2-1.9TDI| 12.02- (d=17mm) FRONT</t>
  </si>
  <si>
    <t>LMI35934</t>
  </si>
  <si>
    <t>35934 01  LMI  -  Р’С‚СѓР»РєР° СЃС‚Р°Р±С–Р»С–Р·Р°С‚РѕСЂР°</t>
  </si>
  <si>
    <t>35934 01</t>
  </si>
  <si>
    <t>LMI35935</t>
  </si>
  <si>
    <t>35935 01  LMI  -  РЎР°Р№Р»РµРЅС‚Р±Р»РѕРє</t>
  </si>
  <si>
    <t>141.26</t>
  </si>
  <si>
    <t>35935 01</t>
  </si>
  <si>
    <t>LMI35952</t>
  </si>
  <si>
    <t>35952 01  LMI  -  РЎР°Р№Р»РµРЅС‚Р±Р»РѕРє</t>
  </si>
  <si>
    <t>35952 01</t>
  </si>
  <si>
    <t>FORD Mondeo IV  07-  (front L/R front)</t>
  </si>
  <si>
    <t>LMI35953</t>
  </si>
  <si>
    <t>35953 01  LMI  -  РЎР°Р№Р»РµРЅС‚Р±Р»РѕРє</t>
  </si>
  <si>
    <t>688.28</t>
  </si>
  <si>
    <t>35953 01</t>
  </si>
  <si>
    <t>FORD Mondeo IV  07-  (front left rear)</t>
  </si>
  <si>
    <t>LMI35954</t>
  </si>
  <si>
    <t>35954 01  LMI  -  РЎР°Р№Р»РµРЅС‚Р±Р»РѕРє</t>
  </si>
  <si>
    <t>35954 01</t>
  </si>
  <si>
    <t>FORD Mondeo IV  07-  (front right rear)</t>
  </si>
  <si>
    <t>LMI36000</t>
  </si>
  <si>
    <t>36000 01  LMI  -  РЎР°Р№Р»РµРЅС‚Р±Р»РѕРє</t>
  </si>
  <si>
    <t>769.12</t>
  </si>
  <si>
    <t>36000 01</t>
  </si>
  <si>
    <t>LMI36179</t>
  </si>
  <si>
    <t>36179 01  LMI  -  Р’С‚СѓР»РєР° СЃС‚Р°Р±С–Р»С–Р·Р°С‚РѕСЂР°</t>
  </si>
  <si>
    <t>36179 01</t>
  </si>
  <si>
    <t>LMI36300</t>
  </si>
  <si>
    <t>36300 01  LMI  -  РЎР°Р№Р»РµРЅС‚Р±Р»РѕРє</t>
  </si>
  <si>
    <t>335.21</t>
  </si>
  <si>
    <t>36300 01</t>
  </si>
  <si>
    <t>MB Vito, Viano 97-</t>
  </si>
  <si>
    <t>LMI36316</t>
  </si>
  <si>
    <t>36316 01  LMI  -  РЎР°Р№Р»РµРЅС‚Р±Р»РѕРє СЂРµСЃРѕСЂРё</t>
  </si>
  <si>
    <t>97.66</t>
  </si>
  <si>
    <t>36316 01</t>
  </si>
  <si>
    <t>FIAT Doblo, Ducato 06-</t>
  </si>
  <si>
    <t>LMI36525</t>
  </si>
  <si>
    <t>36525 01  LMI  -  РЎР°Р№Р»РµРЅС‚Р±Р»РѕРє</t>
  </si>
  <si>
    <t>146.07</t>
  </si>
  <si>
    <t>36525 01</t>
  </si>
  <si>
    <t>RENAULT Trafic II| OPEL Vivaro 1.9-2.5 01-  (Left) С‚СЏРіР° РџР°РЅР°СЂР°</t>
  </si>
  <si>
    <t>LMI36526</t>
  </si>
  <si>
    <t>36526 01  LMI  -  РЎР°Р№Р»РµРЅС‚Р±Р»РѕРє</t>
  </si>
  <si>
    <t>191.04</t>
  </si>
  <si>
    <t>36526 01</t>
  </si>
  <si>
    <t>RENAULT Trafic II| OPEL Vivaro 1.9-2.5 01-  (Right) С‚СЏРіР° РџР°РЅР°СЂР°</t>
  </si>
  <si>
    <t>LMI36741</t>
  </si>
  <si>
    <t>36741 01  LMI  -  РўСЏРіР° РєРµСЂРјРѕРІР°</t>
  </si>
  <si>
    <t>462.91</t>
  </si>
  <si>
    <t>36741 01</t>
  </si>
  <si>
    <t>CITROEN C-Crosser| MITSUBISHI Outlander| PEUGEOT 4007 06-,  (L/R)</t>
  </si>
  <si>
    <t>LMI36902</t>
  </si>
  <si>
    <t>36902 01  LMI  -  Р’Р°Р¶С–Р»СЊ РїС–РґРІС–СЃРєРё</t>
  </si>
  <si>
    <t>345.00</t>
  </si>
  <si>
    <t>36902 01</t>
  </si>
  <si>
    <t>BMW 5 E39 96-, 5 E60/E61 03-, 6 E63/E64 04-, 7 E38 94-, 7 E65/E66 01-, X5 00-</t>
  </si>
  <si>
    <t>LMI37047</t>
  </si>
  <si>
    <t>37047 01  LMI  -  РћРїРѕСЂР° СЃС‚С–Р№РєРё Р°РјРѕСЂС‚РёР·Р°С‚РѕСЂР° Р· РїС–РґС€РёРїРЅРёРєРѕРј</t>
  </si>
  <si>
    <t>215.58</t>
  </si>
  <si>
    <t>37047 01</t>
  </si>
  <si>
    <t>LMI37067</t>
  </si>
  <si>
    <t>37067 01  LMI  -  Р’С‚СѓР»РєР° СЃС‚Р°Р±С–Р»С–Р·Р°С‚РѕСЂР°</t>
  </si>
  <si>
    <t>37067 01</t>
  </si>
  <si>
    <t>#VOLKSWAGEN CADDY III Kasten (2KA, 2KH, 2CA, 2CH) --- CADDY III Box (2KA, 2KH, 2CA, 2CH), Rear Axle</t>
  </si>
  <si>
    <t>LMI37099</t>
  </si>
  <si>
    <t>37099 01  LMI  -  РЎР°Р№Р»РµРЅС‚Р±Р»РѕРє</t>
  </si>
  <si>
    <t>275.83</t>
  </si>
  <si>
    <t>37099 01</t>
  </si>
  <si>
    <t>LMI37153</t>
  </si>
  <si>
    <t>37153 01  LMI  -  РЎР°Р№Р»РµРЅС‚Р±Р»РѕРє</t>
  </si>
  <si>
    <t>47.54</t>
  </si>
  <si>
    <t>37153 01</t>
  </si>
  <si>
    <t>LMI37276</t>
  </si>
  <si>
    <t>37276 01  LMI  -  РЎР°Р№Р»РµРЅС‚Р±Р»РѕРє</t>
  </si>
  <si>
    <t>152.24</t>
  </si>
  <si>
    <t>37276 01</t>
  </si>
  <si>
    <t>#OPEL AGILA (B) (H08), Front Axle</t>
  </si>
  <si>
    <t>LMI37450</t>
  </si>
  <si>
    <t>37450 01  LMI  -  РЎР°Р№Р»РµРЅС‚Р±Р»РѕРє</t>
  </si>
  <si>
    <t>135.08</t>
  </si>
  <si>
    <t>37450 01</t>
  </si>
  <si>
    <t>LMI37651</t>
  </si>
  <si>
    <t>37651 01  LMI  -  РЎР°Р№Р»РµРЅС‚Р±Р»РѕРє</t>
  </si>
  <si>
    <t>37651 01</t>
  </si>
  <si>
    <t>LMI38031</t>
  </si>
  <si>
    <t>38031 01  LMI  -  РўСЏРіР° РєРµСЂРјРѕРІР°</t>
  </si>
  <si>
    <t>38031 01</t>
  </si>
  <si>
    <t>LMI38181</t>
  </si>
  <si>
    <t>38181 01  LMI  -  РўСЏРіР° СЃС‚Р°Р±С–Р»С–Р·Р°С‚РѕСЂР°</t>
  </si>
  <si>
    <t>183.48</t>
  </si>
  <si>
    <t>38181 01</t>
  </si>
  <si>
    <t>LMI38187</t>
  </si>
  <si>
    <t>38187 01  LMI  -  РўСЏРіР° СЃС‚Р°Р±С–Р»С–Р·Р°С‚РѕСЂР°</t>
  </si>
  <si>
    <t>38187 01</t>
  </si>
  <si>
    <t>OPEL Vivaro, RENAULT Laguna, Trafic, Espace  01-, front L/R</t>
  </si>
  <si>
    <t>LMI38188</t>
  </si>
  <si>
    <t>38188 01  LMI  -  РўСЏРіР° СЃС‚Р°Р±С–Р»С–Р·Р°С‚РѕСЂР°</t>
  </si>
  <si>
    <t>396.49</t>
  </si>
  <si>
    <t>38188 01</t>
  </si>
  <si>
    <t>LMI38190</t>
  </si>
  <si>
    <t>38190 01  LMI  -  РўСЏРіР° СЃС‚Р°Р±С–Р»С–Р·Р°С‚РѕСЂР°</t>
  </si>
  <si>
    <t>38190 01</t>
  </si>
  <si>
    <t>LMI38276</t>
  </si>
  <si>
    <t>38276 01  LMI  -  РљСѓР»СЊРѕРІР° РѕРїРѕСЂР°</t>
  </si>
  <si>
    <t>364.74</t>
  </si>
  <si>
    <t>38276 01</t>
  </si>
  <si>
    <t>LMI38620</t>
  </si>
  <si>
    <t>38620 01  LMI  -  РЎР°Р№Р»РµРЅС‚Р±Р»РѕРє</t>
  </si>
  <si>
    <t>117.40</t>
  </si>
  <si>
    <t>38620 01</t>
  </si>
  <si>
    <t>LMI39080</t>
  </si>
  <si>
    <t>39080 01  LMI  -  РћРїРѕСЂР° СЃС‚С–Р№РєРё Р°РјРѕСЂС‚РёР·Р°С‚РѕСЂР°</t>
  </si>
  <si>
    <t>422.06</t>
  </si>
  <si>
    <t>39080 01</t>
  </si>
  <si>
    <t>LPR</t>
  </si>
  <si>
    <t>LPR00010</t>
  </si>
  <si>
    <t>244.06</t>
  </si>
  <si>
    <t>BMW E30,    160X25</t>
  </si>
  <si>
    <t>LPR00140</t>
  </si>
  <si>
    <t xml:space="preserve"> Audi80, VW Golf II, Passat   180X31</t>
  </si>
  <si>
    <t>LPR00600</t>
  </si>
  <si>
    <t>228.16</t>
  </si>
  <si>
    <t xml:space="preserve">VOLVO 340/360 83-91      203,2X38 </t>
  </si>
  <si>
    <t>LPR00890</t>
  </si>
  <si>
    <t>Fiat Uno/Regata      185X31</t>
  </si>
  <si>
    <t>LPR00930</t>
  </si>
  <si>
    <t>518.18</t>
  </si>
  <si>
    <t>FIAT Ducato -94 except Maxi   254X57</t>
  </si>
  <si>
    <t>LPR01001</t>
  </si>
  <si>
    <t>552.24</t>
  </si>
  <si>
    <t>CHEVROLET AVEO (T250, T255) 1.4/1.5/1.6   2005-</t>
  </si>
  <si>
    <t>LPR01003</t>
  </si>
  <si>
    <t>CITROEN Jumper, FIAT Ducato, PEUGEOT Boxer| 2.2HDI/3.0HDI| 04-06</t>
  </si>
  <si>
    <t>LPR01056</t>
  </si>
  <si>
    <t>461.05</t>
  </si>
  <si>
    <t>MB Sprinter/VW Crafter| 1.8-3.5| 06-</t>
  </si>
  <si>
    <t>LPR01063</t>
  </si>
  <si>
    <t>432.22</t>
  </si>
  <si>
    <t>CARENS III 2.0 CVVT 06-    HB</t>
  </si>
  <si>
    <t>LPR01101</t>
  </si>
  <si>
    <t>701.09</t>
  </si>
  <si>
    <t>FIAT DOBLO 1.3 D Multijet, 1.6 D Multijet, 10-</t>
  </si>
  <si>
    <t>LPR01390</t>
  </si>
  <si>
    <t>221.00</t>
  </si>
  <si>
    <t xml:space="preserve">ESCORT/ORION 85-90      180X32 </t>
  </si>
  <si>
    <t>LPR02570</t>
  </si>
  <si>
    <t>234.66</t>
  </si>
  <si>
    <t>Opel OMEGA A/B/VECTRA  160X25</t>
  </si>
  <si>
    <t>LPR02850</t>
  </si>
  <si>
    <t>313.07</t>
  </si>
  <si>
    <t xml:space="preserve">CITROГ‹N C15, PEUGEOT 305 II, 25        228,6X42 </t>
  </si>
  <si>
    <t>LPR03330</t>
  </si>
  <si>
    <t>348.19</t>
  </si>
  <si>
    <t xml:space="preserve">PEUGEOT 305/405   228,6X42 </t>
  </si>
  <si>
    <t>LPR03970</t>
  </si>
  <si>
    <t xml:space="preserve">VW T4  -92       252X56  </t>
  </si>
  <si>
    <t>LPR04100</t>
  </si>
  <si>
    <t>297.35</t>
  </si>
  <si>
    <t>Audi 80, 100   200X40</t>
  </si>
  <si>
    <t>LPR04280</t>
  </si>
  <si>
    <t>244.41</t>
  </si>
  <si>
    <t xml:space="preserve">VOLVO 240/740/940   160X25  </t>
  </si>
  <si>
    <t>LPR04330</t>
  </si>
  <si>
    <t>776.21</t>
  </si>
  <si>
    <t xml:space="preserve">Iveco Daily -90 35.8/35.9/35.10, TD, -90   254X89 </t>
  </si>
  <si>
    <t>LPR04480</t>
  </si>
  <si>
    <t>RENAULT 19        180X42</t>
  </si>
  <si>
    <t>LPR04530</t>
  </si>
  <si>
    <t>246.86</t>
  </si>
  <si>
    <t>TOYOTA Carina  83-97, Corolla  95-02   200X37</t>
  </si>
  <si>
    <t>LPR04600</t>
  </si>
  <si>
    <t>225.72</t>
  </si>
  <si>
    <t>FORD ESCORT -90   180X32</t>
  </si>
  <si>
    <t>LPR04640</t>
  </si>
  <si>
    <t>285.23</t>
  </si>
  <si>
    <t xml:space="preserve">OPEL KADET  200X46 </t>
  </si>
  <si>
    <t>LPR04650</t>
  </si>
  <si>
    <t>412.48</t>
  </si>
  <si>
    <t>KADETT E   230X51</t>
  </si>
  <si>
    <t>LPR04660</t>
  </si>
  <si>
    <t>KADETT E   200X29</t>
  </si>
  <si>
    <t>LPR04730</t>
  </si>
  <si>
    <t>MB W124/201/202   164X20</t>
  </si>
  <si>
    <t>LPR04830</t>
  </si>
  <si>
    <t>VAZ 2108-09, 110-112 (200X41)</t>
  </si>
  <si>
    <t>LPR04860</t>
  </si>
  <si>
    <t>387.67</t>
  </si>
  <si>
    <t>FIAT Fiorino/Tempra/Tipo,  ALFA ROMEO 145/146,     228,6X42</t>
  </si>
  <si>
    <t>LPR04980</t>
  </si>
  <si>
    <t>310.80</t>
  </si>
  <si>
    <t>PEUGEOT 405   228,6X42</t>
  </si>
  <si>
    <t>LPR04990</t>
  </si>
  <si>
    <t>301.19</t>
  </si>
  <si>
    <t>RENAULT \t19 II  \t92-95   rear \tBendix \t203,2X39 without ABS</t>
  </si>
  <si>
    <t>LPR05040</t>
  </si>
  <si>
    <t>FIAT Punto/Tipo/Tempra   180X32</t>
  </si>
  <si>
    <t>LPR05070</t>
  </si>
  <si>
    <t>358.84</t>
  </si>
  <si>
    <t>Ford TRANSIT -91  228,6X45</t>
  </si>
  <si>
    <t>LPR05095</t>
  </si>
  <si>
    <t>701.62</t>
  </si>
  <si>
    <t>OPEL Movano, RENAULT Trafic I/Master  98-  255X46</t>
  </si>
  <si>
    <t>LPR05690</t>
  </si>
  <si>
    <t>349.58</t>
  </si>
  <si>
    <t>HONDA CRV  220X36</t>
  </si>
  <si>
    <t>LPR05730</t>
  </si>
  <si>
    <t>345.39</t>
  </si>
  <si>
    <t xml:space="preserve">VW / AUDI / SEAT / SKODA  FELICIA   88-      200X40 </t>
  </si>
  <si>
    <t>LPR05780</t>
  </si>
  <si>
    <t xml:space="preserve">SKODA Felicia Favorit  200X32  </t>
  </si>
  <si>
    <t>LPR05P007</t>
  </si>
  <si>
    <t>Fiat Uno/Panda -95   2 pads without WI + 2 pads with WI (108,8x47,4 th=18)  WVA: 20950</t>
  </si>
  <si>
    <t>LPR05P011</t>
  </si>
  <si>
    <t>355.35</t>
  </si>
  <si>
    <t>FIAT Ducato 10, 14  90-94   2 pads without WI + 2 pads with WI 195mm (144,9x71,6 th=19,5)  WVA: 21205</t>
  </si>
  <si>
    <t>LPR05P024</t>
  </si>
  <si>
    <t>162.30</t>
  </si>
  <si>
    <t>Opel -79 Ford -74| VW -74        61,7x56,5 th=15  WVA: 20034</t>
  </si>
  <si>
    <t>LPR05P037</t>
  </si>
  <si>
    <t>Mazda 626 -97    104x42,2 th=13  WVA: 21558</t>
  </si>
  <si>
    <t>LPR05P043</t>
  </si>
  <si>
    <t>256.99</t>
  </si>
  <si>
    <t>Mitsubishi Galant -97  /Sebring/Eclipse 95-    2  pads without WI + 2 pads with WI (107,8x41 th=15,5)  WVA: 21706 21707 21708</t>
  </si>
  <si>
    <t>LPR05P1002</t>
  </si>
  <si>
    <t>297.70</t>
  </si>
  <si>
    <t>Toyota Corolla 02- (Made in GB)    2 pads without WI + 2 pads with WI (132x57,4 th=18)  WVA: 23766 23767 23818 23819</t>
  </si>
  <si>
    <t>LPR05P1004</t>
  </si>
  <si>
    <t>331.25</t>
  </si>
  <si>
    <t>Opel Corsa C 00-     2 pads without WI + 2 pads with WI (131,8x51,4-55,6 th=17)  WVA: 23225 23226\n</t>
  </si>
  <si>
    <t>LPR05P1006</t>
  </si>
  <si>
    <t>422.61</t>
  </si>
  <si>
    <t>Chrysler CaraVan/Voyager             2 pads without WI + 2 pads with WI (172,5x65,7 th=18)  WVA: 23640\n</t>
  </si>
  <si>
    <t>LPR05P101</t>
  </si>
  <si>
    <t>260.31</t>
  </si>
  <si>
    <t>Fiat Tipo/Tempra/Bravo/Punto AR 145/146/155/Spider -98 87,2x44,5 th=14,4  WVA: 21103\n</t>
  </si>
  <si>
    <t>LPR05P102</t>
  </si>
  <si>
    <t>Fiat Tempra/Tipo/Uno ,  3 pads without WI + 1 pad with WI 255mm (89,9x63 th=16,8)  WVA: 21100\n</t>
  </si>
  <si>
    <t>LPR05P1029</t>
  </si>
  <si>
    <t>327.22</t>
  </si>
  <si>
    <t>Mitsubishi Pajero II/III         2 pads without WI + 2 pads with WI (78,8x58,9 th=15)  WVA: 23593</t>
  </si>
  <si>
    <t>LPR05P1037</t>
  </si>
  <si>
    <t>331.42</t>
  </si>
  <si>
    <t>Honda Accord 98-03       2 pads without WI + 2 pads with WI (87x53 th=14)  WVA: 23527</t>
  </si>
  <si>
    <t>LPR05P1050</t>
  </si>
  <si>
    <t>Toyota LandCruiser 96-       4 pads with WI (119x78 th=17,7)  WVA: 23524</t>
  </si>
  <si>
    <t>LPR05P1059</t>
  </si>
  <si>
    <t>440.43</t>
  </si>
  <si>
    <t>Ford Transit 98-00 (14")      2 pads without WI + 2 pads with WI (138,8x64 th=18)  WVA: 21470</t>
  </si>
  <si>
    <t>LPR05P1062</t>
  </si>
  <si>
    <t>326.52</t>
  </si>
  <si>
    <t>Toyota Corolla 02-, Yaris 99-   2 pads without WI + 2 pads with WI (116,5x51,5 th=16,5)  WVA: 23510\n</t>
  </si>
  <si>
    <t>LPR05P1068</t>
  </si>
  <si>
    <t>264.15</t>
  </si>
  <si>
    <t>Toyota Corolla 02-  (Made in GB)       2 pads without WI + 2 pads with WI (95,7x38 th=15,5)  WVA: 23816</t>
  </si>
  <si>
    <t>LPR05P1071</t>
  </si>
  <si>
    <t>527.43</t>
  </si>
  <si>
    <t>HONDA Accord VII, Civic VII, VIII, FR-V, Odyssey 1,3-3,0   01-   front  2 pads without WI + 2 pads with WI (148,8x59,4 th=17)  WVA: 23729</t>
  </si>
  <si>
    <t>LPR05P1080</t>
  </si>
  <si>
    <t>248.48</t>
  </si>
  <si>
    <t>Chevrolet Aveo (133,2x49 th=17,8  WVA: 23974)\n</t>
  </si>
  <si>
    <t>LPR05P1106</t>
  </si>
  <si>
    <t>373.52</t>
  </si>
  <si>
    <t>Citroen Xsara/Peugeot 306/Kangoo    3 pads without WI + 1 pad with WI (130,8x47,4 th=18)  WVA: 21978 21980 21981</t>
  </si>
  <si>
    <t>LPR05P1113</t>
  </si>
  <si>
    <t>237.77</t>
  </si>
  <si>
    <t>Toyota Avensis 03-      2 pads without WI + 2 pads with WI (102x46 th=16,3)  WVA: 23620</t>
  </si>
  <si>
    <t>LPR05P1114</t>
  </si>
  <si>
    <t>371.60</t>
  </si>
  <si>
    <t>Toyota Avensis (T25_) 03-08| Corolla Verso 04-09         2 pads without WI + 2 pads with WI (150x63 th=16,8)  WVA: 23768</t>
  </si>
  <si>
    <t>LPR05P1115</t>
  </si>
  <si>
    <t>302.59</t>
  </si>
  <si>
    <t>Toyota Camry 02-05       93x38 th=16  WVA: 23702</t>
  </si>
  <si>
    <t>LPR05P1119</t>
  </si>
  <si>
    <t>472.85</t>
  </si>
  <si>
    <t>Audi A4/A6/VW Golf IV/Passat B5             2 pads without WI + 2 pads with WI 205mm (156,3x74,2 th=19,3)  WVA: 23007</t>
  </si>
  <si>
    <t>LPR05P1124</t>
  </si>
  <si>
    <t>398.01</t>
  </si>
  <si>
    <t>MB E Class (W 211)  136,7x66,6 th=20  WVA: 23743</t>
  </si>
  <si>
    <t>LPR05P1134</t>
  </si>
  <si>
    <t>MB Vito 96-/G klasse 96-      2 pads without WI + 2 pads with WI 110mm (64x57 th=17)  WVA: 21904</t>
  </si>
  <si>
    <t>LPR05P1189</t>
  </si>
  <si>
    <t>Ford Focus II, 1,4-2,0CDTI  04-08 |  Volvo S40 II  2,0  06-    rear       123x51,9 th=15,8  WVA:</t>
  </si>
  <si>
    <t>LPR05P1190</t>
  </si>
  <si>
    <t>478.42</t>
  </si>
  <si>
    <t>Ford Focus 05-   156,3-155,1x67-62,4 th=17,5  WVA: 23723 23724</t>
  </si>
  <si>
    <t>LPR05P1191</t>
  </si>
  <si>
    <t>FIAT Panda II 1.1 03-  ,  114,9x55,4 th=17  WVA: 21436</t>
  </si>
  <si>
    <t>LPR05P1192</t>
  </si>
  <si>
    <t>309.40</t>
  </si>
  <si>
    <t xml:space="preserve">FIAT Doblo 1.9 JTD 2003-,  Idea 1.9 JTD 04-, LANCIA Musa 1.9 MJ  04-\n136,8x57,4 th=18,4  WVA: 23708 </t>
  </si>
  <si>
    <t>LPR05P1193</t>
  </si>
  <si>
    <t>528.66</t>
  </si>
  <si>
    <t>BMW E60/E65    155,1x68,5 th=20,3  WVA: 23312 23347</t>
  </si>
  <si>
    <t>LPR05P1195</t>
  </si>
  <si>
    <t>345.92</t>
  </si>
  <si>
    <t>Peugeot 407    86,2x57 th=17,8  WVA: 24135</t>
  </si>
  <si>
    <t>LPR05P1197</t>
  </si>
  <si>
    <t>460.04</t>
  </si>
  <si>
    <t>Opel Astra H, Combo, Meriva, Zafira  04-           2 pads without WI + 2 pads with WI (156,3-155,1x76-69,7 th=19,6)  WVA: 23832</t>
  </si>
  <si>
    <t>LPR05P1199</t>
  </si>
  <si>
    <t>271.41</t>
  </si>
  <si>
    <t>Chevrolet Lacetti           104,3x38,8 th=14,5  WVA: 24071</t>
  </si>
  <si>
    <t>LPR05P1202</t>
  </si>
  <si>
    <t>822.69</t>
  </si>
  <si>
    <t xml:space="preserve">PEUGEOT 407  07-        2 pads with WI 365mm + 2 pads with WI 325mm (162,4x79 th=18,5)  WVA: 24133 24174  </t>
  </si>
  <si>
    <t>LPR05P1205</t>
  </si>
  <si>
    <t>588.83</t>
  </si>
  <si>
    <t>VW Transporter T5 16 03-      3 pads without WI + 1 pads with WI (156-155x74,8-73,3 th=18)  WVA: 23746 23747 23749</t>
  </si>
  <si>
    <t>LPR05P1206</t>
  </si>
  <si>
    <t>VW Transporter T5     rear  3 pads without WI + 1 pads with WI (116x58,5 th=17)  WVA: 23326 23882</t>
  </si>
  <si>
    <t>LPR05P1207</t>
  </si>
  <si>
    <t>381.91</t>
  </si>
  <si>
    <t>Kia Sorento 02-     2 pads without WI + 2 pads with WI (154,8x60 th=17)  WVA: 24092 24178 24179</t>
  </si>
  <si>
    <t>LPR05P1208</t>
  </si>
  <si>
    <t>396.23</t>
  </si>
  <si>
    <t xml:space="preserve">Lacetti 1.4, 1.6, 1.8, 2.0 D 02/04-, Nubira 1.6, 1.8, 2.0 D 03-          2 pads without WI + 2 pads with WI (143x51,5 th=17,3) </t>
  </si>
  <si>
    <t>LPR05P1210</t>
  </si>
  <si>
    <t>386.62</t>
  </si>
  <si>
    <t>SsangYoung Kyron 05-, Rexton 02-    2 pads without WI + 2 pads with WI (98,5x43 th=16)  WVA: 23545 24051 24052</t>
  </si>
  <si>
    <t>LPR05P1211</t>
  </si>
  <si>
    <t>395.36</t>
  </si>
  <si>
    <t>Honda Accord 03-   2 pads without WI + 2 pads with WI (155,2x64,5-68,2 th=16,8)  WVA: 23719</t>
  </si>
  <si>
    <t>LPR05P1219</t>
  </si>
  <si>
    <t>299.05</t>
  </si>
  <si>
    <t>AUDI Q3| SEAT ALHAMBRA| VW SHARAN, TIGUAN 1.4TSI-2.0TDI 2007-  rear     105,3x55,5 th=16,9  WVA: 23914</t>
  </si>
  <si>
    <t>LPR05P1221</t>
  </si>
  <si>
    <t xml:space="preserve">MITSUBISHI Colt VI 06/04-, SMART Forfour 1.1, 1.3, 1.5, 1.5CDI 03/04-               2 pads without WI + 2 pads with WI (130x72,8 th=17,2)  WVA: 21796 </t>
  </si>
  <si>
    <t>LPR05P1222</t>
  </si>
  <si>
    <t>Hyundai Accent/Getz 1,1-1,6   00-   front      2 pads without WI + 2 pads with WI (127,5x49,1 th=15,6)  WVA: 21012 21773 21774</t>
  </si>
  <si>
    <t>LPR05P1225</t>
  </si>
  <si>
    <t>421.21</t>
  </si>
  <si>
    <t>Fiat Doblo/Grande Punto 05-       3 pads without WI  + 1 pad with WI 215 mm (123x53,7 th=17)  WVA: 23705 23706</t>
  </si>
  <si>
    <t>LPR05P1227</t>
  </si>
  <si>
    <t>300.14</t>
  </si>
  <si>
    <t>Opel Astra G 98-04/Zafira       2 pads without WI + 2 pads with WI (104,7x42,7 th=16,9)  WVA: 23258 23259 23262 23263</t>
  </si>
  <si>
    <t>LPR05P1228</t>
  </si>
  <si>
    <t>528.99</t>
  </si>
  <si>
    <t>MB Vito 03-,  2 pads without WI + 2 pads with WI (165x62 th=20,5)  WVA: 24007\n</t>
  </si>
  <si>
    <t>LPR05P1229</t>
  </si>
  <si>
    <t>364.96</t>
  </si>
  <si>
    <t>Suzuki SWIFT III 05-   3 pads without WI + 1 pad with WI (116,4x52,5 th=17,3)  WVA: 23973 24403</t>
  </si>
  <si>
    <t>LPR05P1230</t>
  </si>
  <si>
    <t>619.85</t>
  </si>
  <si>
    <t>Audi A6 01-      2 pads without WI + 2 pads with WI (155,1-156,3x72,8 th=19,3)  WVA: 23762 23763</t>
  </si>
  <si>
    <t>LPR05P1231</t>
  </si>
  <si>
    <t>391.09</t>
  </si>
  <si>
    <t>BMW E38/E46/X5    123x59,4 th=17,2  WVA: 21487</t>
  </si>
  <si>
    <t>LPR05P1232</t>
  </si>
  <si>
    <t>448.58</t>
  </si>
  <si>
    <t>MB S211/W211    140-141x59,5 th=15,8  WVA: 23334</t>
  </si>
  <si>
    <t>LPR05P1239</t>
  </si>
  <si>
    <t>498.14</t>
  </si>
  <si>
    <t>Audi A4/A6 04-   2 pads without WI  + 2 pads with WI 240 mm (155-156x72,8 th=20,2)  WVA: 23762 23763 23801 23950</t>
  </si>
  <si>
    <t>LPR05P1245</t>
  </si>
  <si>
    <t>444.10</t>
  </si>
  <si>
    <t xml:space="preserve">FIAT Sedici 1.6 16V, 1.9D 06/06-, SUZUKI SX4 06-           3 pads without WI  + 1 pad with WI (131,5x56,8 th=16)  WVA: 24391 </t>
  </si>
  <si>
    <t>LPR05P1246</t>
  </si>
  <si>
    <t>345.07</t>
  </si>
  <si>
    <t>MB Vito 03-   rear             2 pads without WI + 2 pads with WI (101,7x50,2 th=18,3)  WVA: 24008</t>
  </si>
  <si>
    <t>LPR05P1247</t>
  </si>
  <si>
    <t>481.49</t>
  </si>
  <si>
    <t>Fiat Doblo, Panda|  Opel Corsa D| Adam 1,0-1,9D  2001-     3 pads without WI  + 1 pad with WI (122,8x53,3 th=18)  WVA: 23982 24288</t>
  </si>
  <si>
    <t>LPR05P1248</t>
  </si>
  <si>
    <t>511.01</t>
  </si>
  <si>
    <t>Peugeot 207/Citroen C4   155,1-156,3x66-71,3 th=19,1  WVA: 23589 24153</t>
  </si>
  <si>
    <t>LPR05P1251</t>
  </si>
  <si>
    <t>BMW (E46) / BMW X3       156,4-155,1x63,6 th=20  WVA: 21676 23183 23474</t>
  </si>
  <si>
    <t>LPR05P1255</t>
  </si>
  <si>
    <t>560.98</t>
  </si>
  <si>
    <t>Ford S-Max/Mondeo IV/Freelander        155,2-156,4x66,7-72 th=19-20  WVA: 24123 24124</t>
  </si>
  <si>
    <t>LPR05P1257</t>
  </si>
  <si>
    <t>689.98</t>
  </si>
  <si>
    <t>Touareg/Cayenne/Q7        190x106,4 th=16,6  WVA: 23693</t>
  </si>
  <si>
    <t>LPR05P1259</t>
  </si>
  <si>
    <t>677.68</t>
  </si>
  <si>
    <t>Ford Transit 06-           2 pads without WI + 2 pads with WI (164,8x65,5 th=18,8)  WVA: 24485</t>
  </si>
  <si>
    <t>LPR05P126</t>
  </si>
  <si>
    <t>189.73</t>
  </si>
  <si>
    <t>Ford Capri/Granada    78,2x66 th=15,1  WVA: 20491</t>
  </si>
  <si>
    <t>LPR05P1260</t>
  </si>
  <si>
    <t>642.27</t>
  </si>
  <si>
    <t>Ford Transit RWD 06-          2 pads without WI + 2 pads with WI (164,8x66,8 th=18,8)  WVA: 24484</t>
  </si>
  <si>
    <t>LPR05P1261</t>
  </si>
  <si>
    <t>565.52</t>
  </si>
  <si>
    <t>Ford Transit 06-              2 pads without WI + 2 pads with WI (122,9x53,7 th=17)  WVA: 24486</t>
  </si>
  <si>
    <t>LPR05P1263</t>
  </si>
  <si>
    <t>504.37</t>
  </si>
  <si>
    <t>FIAT 500/Fiorino/Panda/Qubo  1.3D  1,2,/1,4  2007-        front</t>
  </si>
  <si>
    <t>LPR05P1268</t>
  </si>
  <si>
    <t>412.13</t>
  </si>
  <si>
    <t xml:space="preserve">FIAT Bravo 2007-   front          2 pads without WI + 2 pads with WI (136,8x57,4 th=18,4)  WVA: 23708 </t>
  </si>
  <si>
    <t>LPR05P1270</t>
  </si>
  <si>
    <t>634.00</t>
  </si>
  <si>
    <t>VW Golf V 03-/Passat 05-        3 pads without WI + 1 pad with WI 175mm (155,1-156,3x72,9 th=20,3)  WVA: 23801 23912 23913</t>
  </si>
  <si>
    <t>LPR05P1272</t>
  </si>
  <si>
    <t>479.74</t>
  </si>
  <si>
    <t>FORD FOCUS, GALAXY, KUGA, MONDEO| LAND ROVER FREELANDER| VOLVO V70, XC70 1.6-4.4V8 2005-  rear         95,1x43,2 th=15,8  WVA: 24537</t>
  </si>
  <si>
    <t>LPR05P1273</t>
  </si>
  <si>
    <t>Honda Civic 06-        2 pads without WI + 2 pads with WI (95,7x46,5 th=15,5)  WVA: 24086</t>
  </si>
  <si>
    <t>LPR05P1274</t>
  </si>
  <si>
    <t>489.87</t>
  </si>
  <si>
    <t>MB class-C (W204) C 180 Kompressor (204.046),C 200 CDI (204.007),C 200 Kompressor (204.041),C 220 CDI  2007-  rear          122,5x54,3-52,2 th=17,9  WVA: 24253 24254</t>
  </si>
  <si>
    <t>LPR05P1275</t>
  </si>
  <si>
    <t>533.71</t>
  </si>
  <si>
    <t>MB Vito (W639, Brembo), Sprinter/VW Crafter 06-        163,3x67,1 th=20,9  WVA: 29192</t>
  </si>
  <si>
    <t>LPR05P1278</t>
  </si>
  <si>
    <t>Citroen C4, I| Peugeot 207/307  1,4-2,0HDi   00-   rear    94,8x46,8 th=17,6  WVA: 24150   \n</t>
  </si>
  <si>
    <t>LPR05P1279</t>
  </si>
  <si>
    <t>544.56</t>
  </si>
  <si>
    <t>Renault Megane II 05-    155,1-156,3x68,9-66,8 th=18,3  WVA: 23215 24535</t>
  </si>
  <si>
    <t>LPR05P1281</t>
  </si>
  <si>
    <t>Toyota Camry/Rav4 III 06-    96,8x49,3 th=15,4  WVA: 24338</t>
  </si>
  <si>
    <t>LPR05P1282</t>
  </si>
  <si>
    <t>Toyota Auris/Rav-4 III     146,6x57 th=17,5  WVA: 24337</t>
  </si>
  <si>
    <t>LPR05P1283</t>
  </si>
  <si>
    <t>568.14</t>
  </si>
  <si>
    <t xml:space="preserve">TOYOTA Yaris (10/05-) 1.0 VVTI, 1.3 VVTI, 1.4 D-4D (made in France)   06-        2 pads without WI + 2 pads with WI (151,3-150,1x58,2-61 th=17,8)  WVA: 24022, </t>
  </si>
  <si>
    <t>LPR05P1284</t>
  </si>
  <si>
    <t>657.94</t>
  </si>
  <si>
    <t>VW T5 1.9 TDI, 2.0, 2.5 TDI, 3.2 V6   03-      3 pads without WI +1 pad with WI 310mm (141,3-140,7x50,9-53,9 th=19,1)  WVA: 24367 24368</t>
  </si>
  <si>
    <t>LPR05P1287</t>
  </si>
  <si>
    <t>850.29</t>
  </si>
  <si>
    <t>Jumper/Boxer/Ducato 06-     3 pads without WI + 1 pad with WI 155mm (169,2x61,5 th=19,1)  WVA: 24468 24469</t>
  </si>
  <si>
    <t>LPR05P1288</t>
  </si>
  <si>
    <t>1001.23</t>
  </si>
  <si>
    <t>Citroen  Jumper/Boxer/Ducato 06-      3 pads without WI + 1 pad with WI 155mm (169,2x69,1 th=19,1)  WVA: 24466 24467</t>
  </si>
  <si>
    <t>LPR05P1289</t>
  </si>
  <si>
    <t>662.83</t>
  </si>
  <si>
    <t xml:space="preserve">CITROГ‹N Jumper (06-) 2.2 HDI, 3.0 HDI  06-, FIAT Ducato 06-, PEUGEOT Boxer (06-) 2.2 HDI, 3.0 HDI  rear         136,8x48,9 th=19,1  WVA: 24465, </t>
  </si>
  <si>
    <t>LPR05P129</t>
  </si>
  <si>
    <t>219.08</t>
  </si>
  <si>
    <t xml:space="preserve">Peugeot 104, 304, 305, Renault  R18, R17, R5       109x49 th=15  WVA: 20347 20348, </t>
  </si>
  <si>
    <t>LPR05P1292</t>
  </si>
  <si>
    <t>465.41</t>
  </si>
  <si>
    <t>Ford Mondeo 93-00   115,8x53,6 th=15  WVA: 23410</t>
  </si>
  <si>
    <t>LPR05P1293</t>
  </si>
  <si>
    <t>563.04</t>
  </si>
  <si>
    <t>MB Sprinter/VW Crafter 06-            2 pads without WI + 2 pads with WI  (136,8x63 th=20,2)  WVA: 29190</t>
  </si>
  <si>
    <t>LPR05P1297</t>
  </si>
  <si>
    <t>612.34</t>
  </si>
  <si>
    <t xml:space="preserve">IVECO Daily II, IVECO Daily III      163,1x66,7 th=20,8  WVA: 29229, </t>
  </si>
  <si>
    <t>LPR05P1303</t>
  </si>
  <si>
    <t>VW T4      94,9x51 th=16,8  WVA: 23224</t>
  </si>
  <si>
    <t>LPR05P1304</t>
  </si>
  <si>
    <t>448.29</t>
  </si>
  <si>
    <t>MB Sprinter 04-06      2 pads without WI + 2 pads with WI 210MM (156,5x64,8 th=20,5)  WVA: 23990 23991</t>
  </si>
  <si>
    <t>LPR05P1314</t>
  </si>
  <si>
    <t>Nissan Qashqai/X-Trail 07-   142,00x59,00 th=17  WVA: 24632</t>
  </si>
  <si>
    <t>LPR05P1318</t>
  </si>
  <si>
    <t>Suzuki Grand Vitara 05-   2 pads without WI + 2 pads with WI  (137,9x54,7 th=17)  WVA: 21907 21908 21909 24346</t>
  </si>
  <si>
    <t>LPR05P1319</t>
  </si>
  <si>
    <t>423.29</t>
  </si>
  <si>
    <t>Mitsubishi L200 06-  Pajero Sport (KH_)  09-     2 pads without WI + 2 pads with WI  (155,40x51 th=16)  WVA: 24529 24530</t>
  </si>
  <si>
    <t>LPR05P1320</t>
  </si>
  <si>
    <t>401.47</t>
  </si>
  <si>
    <t>Chevrolet Epica 06-      2 pads without WI + 2 pads with WI  (121,00x38,8 th=14,7)  WVA: 23994</t>
  </si>
  <si>
    <t>LPR05P1321</t>
  </si>
  <si>
    <t>587.88</t>
  </si>
  <si>
    <t>Chevrolet Epica 06-   144,00x56 th=16  WVA: 24062 24063 24064</t>
  </si>
  <si>
    <t>LPR05P1323</t>
  </si>
  <si>
    <t>523.59</t>
  </si>
  <si>
    <t xml:space="preserve">CHEVROLET Captiva 2.0 D, 2.4, 3.2 06-, OPEL Antara 2.0 CDTI, 2.4, 3.2 V6 06-   110,4x46 th=15  WVA: 24498 24499 24500, </t>
  </si>
  <si>
    <t>LPR05P1326</t>
  </si>
  <si>
    <t>383.30</t>
  </si>
  <si>
    <t>Ford Mondeo III   101x50,6 th=17,5  WVA: 24260</t>
  </si>
  <si>
    <t>LPR05P1333</t>
  </si>
  <si>
    <t>338.05</t>
  </si>
  <si>
    <t>Toyota Yaris (SCP9, NSP9, KSP9, NCP9, ZSP9) (+ESP| -ABS ) made in Japan   front   06-       122,7x49,5 th=17,2  WVA: 24347</t>
  </si>
  <si>
    <t>LPR05P1342</t>
  </si>
  <si>
    <t>513.98</t>
  </si>
  <si>
    <t>Nissan Murano/Infinity FX35/45    3 pads without WI + 1 pads with WI  (135,5x66 th=15,5)  WVA: 24056 24057</t>
  </si>
  <si>
    <t>LPR05P1344</t>
  </si>
  <si>
    <t xml:space="preserve">HYUNDAI Accent 1.4 GL, 1.5 CRDI GLS, 1.6 GLS11/05- , KIA Cee'd 1.4, 1.6, 1.6 CRDI, 2.0 12/06-, KIA Rio II\t      2 pads without WI + 2 pads with WI  (92,9x41 th=15,5)  WVA: 24320 24321 24322, </t>
  </si>
  <si>
    <t>LPR05P1347</t>
  </si>
  <si>
    <t>Lancer IX/Outlander/Galant       2 pads without WI + 2 pads with WI  (145x55 th=16,5)  WVA: 23584</t>
  </si>
  <si>
    <t>LPR05P1348</t>
  </si>
  <si>
    <t>656.94</t>
  </si>
  <si>
    <t xml:space="preserve">CITROГ‹N Jumpy (07-), FIAT Scudo (07-), PEUGEOT Expert (07-)       3 pads without WI + 1 pads with WI 203mm (162x67,3 th=17,3)  WVA: 24595 24596 24608, </t>
  </si>
  <si>
    <t>LPR05P1351</t>
  </si>
  <si>
    <t>558.99</t>
  </si>
  <si>
    <t xml:space="preserve">CITROГ‹N \tBerlingo 08-, CITROГ‹N\tC4, PEUGEOT Partner 08-      155,1x57,8-64,7 th=18,8-18,3 WVA: 24538, 24539, </t>
  </si>
  <si>
    <t>LPR05P1361</t>
  </si>
  <si>
    <t>Toyota Camry 01-  131,5x58,7 th=17  WVA: 23928</t>
  </si>
  <si>
    <t>LPR05P1362</t>
  </si>
  <si>
    <t>569.19</t>
  </si>
  <si>
    <t>Audi Q7| Porsche Cayenne| VW Touareg 3,0TDI-6,0 09.02-    rear     112x73 th=16,2  WVA: 23694</t>
  </si>
  <si>
    <t>LPR05P1363</t>
  </si>
  <si>
    <t>Subaru Forester/Outback 02-/Impreza 00-    2 pads without WI + 2 pads with WI  (137x56,8 th=17,2)  WVA: 23865</t>
  </si>
  <si>
    <t>LPR05P1364</t>
  </si>
  <si>
    <t>456.33</t>
  </si>
  <si>
    <t>Honda  Accord 03-/CR-V -06   2 pads without WI + 2 pads with WI  (142x56,5 th=17,4)  WVA: 23868 23869 23870</t>
  </si>
  <si>
    <t>LPR05P1369</t>
  </si>
  <si>
    <t>365.81</t>
  </si>
  <si>
    <t>Hyundai Tucson/Sonata/Sportage   2 pads without WI + 2 pads with WI  (131x60 th=17)  WVA: 23891</t>
  </si>
  <si>
    <t>LPR05P1373</t>
  </si>
  <si>
    <t>326.70</t>
  </si>
  <si>
    <t>Mitsubishi Lancer 03-/Outlander      2 pads without WI + 2 pads with WI  (85,4-105,9x35,5-40 th=15,5)  WVA: 24014 24015</t>
  </si>
  <si>
    <t>LPR05P1375</t>
  </si>
  <si>
    <t>333.86</t>
  </si>
  <si>
    <t>KIACarens 1.6, 1.8, 2.0 CRDi  02-, KIACee'd 1.4, 1.6 CRDI, 2,0  06- , HYUNDAI i30 1.4, 1.6, 1.6 CRDi, 2.0, 2.0 CRDi  07-   2 pads without WI + 2 pads with WI  (130,1x58 th=16,5)  WVA: 23966,</t>
  </si>
  <si>
    <t>LPR05P1376</t>
  </si>
  <si>
    <t>654.44</t>
  </si>
  <si>
    <t>VW Touareg  04- (Brembo)   2 pads without WI + 2 pads with WI 420mm (131,7x77,2 th=16,7)  WVA: 24098</t>
  </si>
  <si>
    <t>LPR05P1379</t>
  </si>
  <si>
    <t xml:space="preserve">TOYOTA Land Cruiser (J12) 3,0 D-4D, 4,0  03-     2 pads without WI + 2 pads with WI  (134,5x77,1 th=17)  WVA: 24024, </t>
  </si>
  <si>
    <t>LPR05P1382</t>
  </si>
  <si>
    <t>354.18</t>
  </si>
  <si>
    <t>HYUNDAI Santa Fe 2.2 CRDI/4X4/GLS/GLS 4X4 \t06-  2 pads without WI + 2 pads with WI  (156,7x61 th=17,2)  WVA: 24351 24568 24569</t>
  </si>
  <si>
    <t>LPR05P1390</t>
  </si>
  <si>
    <t>523.94</t>
  </si>
  <si>
    <t xml:space="preserve">VW Passat 05-, Tiguan 07-    105,5x56,3 th=17,2  WVA: 24483, </t>
  </si>
  <si>
    <t>LPR05P140</t>
  </si>
  <si>
    <t>285.99</t>
  </si>
  <si>
    <t>Ford Transit -91, LDV CONVOY Box 2.5 D 96-     104,8x74,7 th=18  WVA: 20359</t>
  </si>
  <si>
    <t>LPR05P1400</t>
  </si>
  <si>
    <t>440.96</t>
  </si>
  <si>
    <t>CHRYSLER \t300  04-   4 pads with WI  (101,3x57,4 th=18)  WVA: 24163</t>
  </si>
  <si>
    <t>LPR05P1401</t>
  </si>
  <si>
    <t>627.19</t>
  </si>
  <si>
    <t>Chrysler 300C 05-13 (HD. disk 345mm) | Dodge Caliber SRT4 08-09 | Dodge Challenger 09-13          4 pads with WI  (183,5x55 th=17,8)  WVA: 24164 24163</t>
  </si>
  <si>
    <t>LPR05P1405</t>
  </si>
  <si>
    <t>Jeep Grand Cherokee WH/WK 3,7/4,7/5,7 05- | Comander 06-   rear        2 pads without WI + 2 pads with WI  (142,6x49,5 th=18)  WVA: 24111 24258 24259</t>
  </si>
  <si>
    <t>LPR05P1406</t>
  </si>
  <si>
    <t>NISSAN Qashqai 2.0/2,0dCi  4x4 2007- | Murano/Navara/FX35 3.5 4x4 08- front   4 pads with WI  (157x58,4 th=17)  WVA: 23698 23699</t>
  </si>
  <si>
    <t>LPR05P1407</t>
  </si>
  <si>
    <t>LEXUS GS300 3.0i 05-   2 pads without WI + 2 pads with WI  (88,1x58,2 th=15,5)  WVA: 24323 24324 24325</t>
  </si>
  <si>
    <t>LPR05P1409</t>
  </si>
  <si>
    <t>480.26</t>
  </si>
  <si>
    <t>OPEL INSIGNIA| Saab 9-5   1,4-2,8  2008-   front      WVA: 24415 24416 24417  (2 pads without WI + 2 pads with WI  131,4x59,7 th=19,1)</t>
  </si>
  <si>
    <t>LPR05P1411</t>
  </si>
  <si>
    <t>307.31</t>
  </si>
  <si>
    <t>HYUNDAI I10| KIA PICANTO 1,0-1,2   04-   rear</t>
  </si>
  <si>
    <t>LPR05P1413</t>
  </si>
  <si>
    <t>636.80</t>
  </si>
  <si>
    <t>MAZDA 6 1,8-2,5   07-   front     2 pads without WI + 2 pads with WI  (136,7x48,8 th=18,4)  WVA: 24582 24629 24630</t>
  </si>
  <si>
    <t>LPR05P1415</t>
  </si>
  <si>
    <t>415.97</t>
  </si>
  <si>
    <t>KIA Carens III 06- (581011DE00)    2 pads without WI + 2 pads with WI  (137,8x60,8 th=16,5)  WVA: 24501 24502 24503</t>
  </si>
  <si>
    <t>LPR05P1416</t>
  </si>
  <si>
    <t>345.74</t>
  </si>
  <si>
    <t>KIA Carens III 06- (583021DE00)        2 pads without WI + 2 pads with WI  (100,7x43,9 th=15,5)  WVA: 24491 24492 24493</t>
  </si>
  <si>
    <t>LPR05P1417</t>
  </si>
  <si>
    <t xml:space="preserve">HYUNDAI Santa Fe 06-      2 pads without WI + 2 pads with WI  (118,6x47,2 th=15,6)  WVA: 24488 24489 24490, </t>
  </si>
  <si>
    <t>LPR05P143</t>
  </si>
  <si>
    <t>218.56</t>
  </si>
  <si>
    <t>Ford Transit 86-91   88,5x70,9 th=15  WVA: 20364 20365</t>
  </si>
  <si>
    <t>LPR05P1430</t>
  </si>
  <si>
    <t>600.29</t>
  </si>
  <si>
    <t>JEEP COMPASS  2.0 CRD 4x4  2006- \tFront</t>
  </si>
  <si>
    <t>LPR05P1436</t>
  </si>
  <si>
    <t>LEXUS RX 3,0/3,3/3,5   03-08   rear         2 pads without WI + 2 pads with WI  (101,8x43,8 th=15,5)  WVA: 23967</t>
  </si>
  <si>
    <t>LPR05P1450</t>
  </si>
  <si>
    <t>710.35</t>
  </si>
  <si>
    <t xml:space="preserve">KIA Carnival 2.7 V6, 2.9 CRDI 06-       2 pads without WI + 2 pads with WI  (110,3x47,8 th=15,5)  WVA: </t>
  </si>
  <si>
    <t>LPR05P1451</t>
  </si>
  <si>
    <t>783.90</t>
  </si>
  <si>
    <t>HYUNDA H1 01-, KIA Carnival 2.7 V6, 2.9 CRDI 06-       2 pads without WI + 2 pads with WI  (164,5x63,4 th=17,6)  WVA: 24597 24598 24609</t>
  </si>
  <si>
    <t>LPR05P1455</t>
  </si>
  <si>
    <t>427.50</t>
  </si>
  <si>
    <t>Honda CR-V 07-   2 pads without WI + 2 pads with WI  (108,8x42,1 th=16,5)  WVA: 24635 24636 24637</t>
  </si>
  <si>
    <t>LPR05P1456</t>
  </si>
  <si>
    <t>Honda CR-V 07-   2 pads without WI + 2 pads with WI  (151x60,3-56,9 th=19)  WVA: 24638 24639 24640</t>
  </si>
  <si>
    <t>LPR05P1465</t>
  </si>
  <si>
    <t>515.17</t>
  </si>
  <si>
    <t>Renault Kangoo 08-      131,1x62,2 th=18,5  WVA: 24693</t>
  </si>
  <si>
    <t>LPR05P1469</t>
  </si>
  <si>
    <t>496.69</t>
  </si>
  <si>
    <t xml:space="preserve">MB Sprinter 2-t, 3-t   00-06|   4-t  96-06         156,5X64,8=20,5 WVA:\t23990, 23991 </t>
  </si>
  <si>
    <t>LPR05P1471</t>
  </si>
  <si>
    <t>Peugeot 308 07-    151,2x61,6 th=18  WVA: 24660\n</t>
  </si>
  <si>
    <t>LPR05P1472</t>
  </si>
  <si>
    <t>578.27</t>
  </si>
  <si>
    <t>BMW X5 (E70) 07- , X6 (E71) 08-   122x57,9-59,2 th=17  WVA: 23447 23732</t>
  </si>
  <si>
    <t>LPR05P1474</t>
  </si>
  <si>
    <t>467.86</t>
  </si>
  <si>
    <t xml:space="preserve">FORD Galaxy (06-), FORD Mondeo IV 07-, S-Max 05/06-, VOLVO S80 (06-), V70, XC70           106,2x48,6 th=16,8  WVA: 24496, </t>
  </si>
  <si>
    <t>LPR05P1475</t>
  </si>
  <si>
    <t>Citroen C4 Picasso 1,6-2,0i/2,0 HDI   06-  rear</t>
  </si>
  <si>
    <t>LPR05P1480</t>
  </si>
  <si>
    <t>682.05</t>
  </si>
  <si>
    <t>CITROEN C4 Grand Picasso 2.0i 16V, 2.0 Hdi 06-</t>
  </si>
  <si>
    <t>LPR05P1482</t>
  </si>
  <si>
    <t>AUDI Q7 3.0TDI,3.6FSI 4. TDI 06-</t>
  </si>
  <si>
    <t>LPR05P1484</t>
  </si>
  <si>
    <t>Renault Fluence, Megane  III, CC, Scenic III, Grand Scenic III, Grand Tour III  1,2-2,0DCI  08-   rear</t>
  </si>
  <si>
    <t>LPR05P1487</t>
  </si>
  <si>
    <t>404.75</t>
  </si>
  <si>
    <t>RENAULT Kangoo 1.5 dCi 08- rear</t>
  </si>
  <si>
    <t>LPR05P1493</t>
  </si>
  <si>
    <t xml:space="preserve">RENAULT Grand Scenic/Megane 1,4 16V,1,6 16V, 2,0 16V 2009- </t>
  </si>
  <si>
    <t>LPR05P1494</t>
  </si>
  <si>
    <t>607.62</t>
  </si>
  <si>
    <t>Fiat DOBLO 1.4/1.3D/1.6D/2.0D Multijet 2010-</t>
  </si>
  <si>
    <t>LPR05P1496</t>
  </si>
  <si>
    <t>816.40</t>
  </si>
  <si>
    <t>BMW X5 (E70) 3.0D 07-  front</t>
  </si>
  <si>
    <t>LPR05P1497</t>
  </si>
  <si>
    <t>585.96</t>
  </si>
  <si>
    <t>Nissan Tiida 07-, front (Sumitomo)</t>
  </si>
  <si>
    <t>LPR05P1500</t>
  </si>
  <si>
    <t xml:space="preserve">CITROEN BERLINGO B9 1.6 i 16V (08-) </t>
  </si>
  <si>
    <t>LPR05P1507</t>
  </si>
  <si>
    <t>667.55</t>
  </si>
  <si>
    <t>Galaxy 2.0/2.2 2008-  / S-Max 2.0-2.5  2007-| Volvo S80 II 2.5/ST, 4.4V8 2006-  front</t>
  </si>
  <si>
    <t>LPR05P1509</t>
  </si>
  <si>
    <t>648.33</t>
  </si>
  <si>
    <t>BMW 3 (E90) 320d,320i,323i,328i    07-   front</t>
  </si>
  <si>
    <t>LPR05P1512</t>
  </si>
  <si>
    <t>BMW 3 E90/91 05-  2.0i-3.0i  /  5 E60/61  03- 2.0i/2.5i/2.5d   front</t>
  </si>
  <si>
    <t>LPR05P1517</t>
  </si>
  <si>
    <t>854.83</t>
  </si>
  <si>
    <t>MB Sprinter, 208-416 D/CDI, 95-06, front</t>
  </si>
  <si>
    <t>LPR05P1536</t>
  </si>
  <si>
    <t>VW Transporter T5 (16")  03-</t>
  </si>
  <si>
    <t>LPR05P1558</t>
  </si>
  <si>
    <t>411.26</t>
  </si>
  <si>
    <t>KIA SOUL 2008-  / SSANGYONG KORANDO 2.0  2010-   rear</t>
  </si>
  <si>
    <t>LPR05P1569</t>
  </si>
  <si>
    <t>HONDA ACCORD VIII 2,0/2,2CRDi/2,4  08-   rear</t>
  </si>
  <si>
    <t>LPR05P1572</t>
  </si>
  <si>
    <t>465.94</t>
  </si>
  <si>
    <t>MAZDA CX-7, CX-9 2,2CD/2,3/3,7  07-11   rear</t>
  </si>
  <si>
    <t>LPR05P1575</t>
  </si>
  <si>
    <t>OPEL ASTRA J 2009- / CHEVROLET CRUZE 2009-</t>
  </si>
  <si>
    <t>LPR05P1578</t>
  </si>
  <si>
    <t>453.13</t>
  </si>
  <si>
    <t>RENAULT MASTER / OPEL MOVANO 2010- rear</t>
  </si>
  <si>
    <t>LPR05P1579</t>
  </si>
  <si>
    <t>RENAULT MASTER / OPEL MOVANO 2010- front</t>
  </si>
  <si>
    <t>LPR05P1581</t>
  </si>
  <si>
    <t>OPEL ASTRA J / CHEVROLET CRUZE  2009-  AVEO (15") 2011-</t>
  </si>
  <si>
    <t>LPR05P1593</t>
  </si>
  <si>
    <t>TOYOTA CAMRY 06-, LEXUS ES350 06-</t>
  </si>
  <si>
    <t>LPR05P1599</t>
  </si>
  <si>
    <t>HYUNDAI  SONATA IV 2001 - 2004, SONATA V 2005-  |  GRANDEUR 2005-</t>
  </si>
  <si>
    <t>LPR05P1607</t>
  </si>
  <si>
    <t>HONDA ACCORD IX,   2008 -</t>
  </si>
  <si>
    <t>LPR05P1608</t>
  </si>
  <si>
    <t>450.77</t>
  </si>
  <si>
    <t>AudiI A3 / Seat Leon / Skoda Octavia, Superb, Yeti / VW Caddy III, Golf VI, Touran   1,2-3,6  2003-    rear</t>
  </si>
  <si>
    <t>LPR05P1618</t>
  </si>
  <si>
    <t>417.89</t>
  </si>
  <si>
    <t>BMW 5 (F10), 5 Touring (F11), X3 (F25), Z4 (E89) 2009 - rear</t>
  </si>
  <si>
    <t>LPR05P1625</t>
  </si>
  <si>
    <t>338.93</t>
  </si>
  <si>
    <t>HYUNDAI SANTA FE II 2010- rear /13.0460-5633.2/</t>
  </si>
  <si>
    <t>LPR05P1633</t>
  </si>
  <si>
    <t>HYUNDAI i10  1.2 08-  front</t>
  </si>
  <si>
    <t>LPR05P1702</t>
  </si>
  <si>
    <t>RENAULT  CLIO IV / Dacia Logan 1.2(16V)/1,5dCi  2012-  Front  (ATE)   [GDB2016]</t>
  </si>
  <si>
    <t>LPR05P1736</t>
  </si>
  <si>
    <t>HYUNDAI SONATA 2.0CRDI 2009-  front /GDB3540/</t>
  </si>
  <si>
    <t>LPR05P1744</t>
  </si>
  <si>
    <t>453.88</t>
  </si>
  <si>
    <t>Hyundai Accent 1.4/1.6| Kia Rio III 1.1-1.4  2010-</t>
  </si>
  <si>
    <t>LPR05P1770</t>
  </si>
  <si>
    <t>379.46</t>
  </si>
  <si>
    <t>CITROEN C-ELYSEE 1.2VTi | Peugeot 308 II  2012-  front</t>
  </si>
  <si>
    <t>LPR05P1788</t>
  </si>
  <si>
    <t>374.57</t>
  </si>
  <si>
    <t>NISSAN  NOTE 06- /RENAULT  CLIO III  (+ESP)  2005-  rear  /MEGANE  2003-  rear</t>
  </si>
  <si>
    <t>LPR05P179</t>
  </si>
  <si>
    <t>196.89</t>
  </si>
  <si>
    <t>VAZ Lada Niva  (РќРёРІР°)  front   (125,9x45 th=16  WVA: 20660)</t>
  </si>
  <si>
    <t>LPR05P1795</t>
  </si>
  <si>
    <t>SKODA  FABIA  1.2 12V    11-  front   (GDB2027)</t>
  </si>
  <si>
    <t>LPR05P181</t>
  </si>
  <si>
    <t>172.96</t>
  </si>
  <si>
    <t>MB W124/201/202 1,8-3,0D  84-00   rear    61,7x54,4 th=15,5  WVA: 20687</t>
  </si>
  <si>
    <t>LPR05P187</t>
  </si>
  <si>
    <t>Audi 80 -86/Coupe -89   front   104,3x66,5 th=15  WVA: 20574</t>
  </si>
  <si>
    <t>LPR05P190</t>
  </si>
  <si>
    <t>151.89</t>
  </si>
  <si>
    <t>Opel Vectra A/Nexia   1.0-2.4   -95    front  100x59 th=15,5  WVA: 20939</t>
  </si>
  <si>
    <t>LPR05P201</t>
  </si>
  <si>
    <t>249.83</t>
  </si>
  <si>
    <t>CITROEN BX 82-93   4 pads with WI 240mm (105x54,7 th=18)  WVA: 20634 20635 20636</t>
  </si>
  <si>
    <t>LPR05P206</t>
  </si>
  <si>
    <t>Opel Omega B 94-03   61,5x61 th=17,5  WVA: 21050</t>
  </si>
  <si>
    <t>LPR05P211</t>
  </si>
  <si>
    <t>252.10</t>
  </si>
  <si>
    <t>MB W123/126   89,6x74 th=17,5  WVA: 20341</t>
  </si>
  <si>
    <t>LPR05P216</t>
  </si>
  <si>
    <t>289.78</t>
  </si>
  <si>
    <t>Audi A4 96-01        119,3x69,6 th=19,4  WVA: 20669</t>
  </si>
  <si>
    <t>LPR05P220</t>
  </si>
  <si>
    <t>Renault R19/ClioII/MeganeI    2 pads without WI + 2 pads with WI (99,9x63,5 th=18)  WVA: 20935 20937 20938</t>
  </si>
  <si>
    <t>LPR05P223</t>
  </si>
  <si>
    <t>196.37</t>
  </si>
  <si>
    <t>VW Golf II/Polo   137,8x51,2 th=17  WVA: 20889</t>
  </si>
  <si>
    <t>LPR05P224</t>
  </si>
  <si>
    <t>184.42</t>
  </si>
  <si>
    <t>VW Golf II -92/Polo -94      137,8x51,2-49 th=15,3  WVA: 20887</t>
  </si>
  <si>
    <t>LPR05P225</t>
  </si>
  <si>
    <t>VW Golf I-III/Passat B3     137,8x51,20-49 th=19,7  WVA: 20887</t>
  </si>
  <si>
    <t>LPR05P233</t>
  </si>
  <si>
    <t>245.46</t>
  </si>
  <si>
    <t>Ford Escort/Sierra  151,4x46,3 th=17,6  WVA: 20753</t>
  </si>
  <si>
    <t>LPR05P234</t>
  </si>
  <si>
    <t>232.88</t>
  </si>
  <si>
    <t>VW Caddy 96- (no ABS)   115x60,3 th=18,2  WVA: 20861</t>
  </si>
  <si>
    <t>LPR05P261</t>
  </si>
  <si>
    <t>443.75</t>
  </si>
  <si>
    <t>DAF 400 ,Ford Transit 86--91  ,L.D.V          126,7x71 th=18  WVA: 20904</t>
  </si>
  <si>
    <t>LPR05P268</t>
  </si>
  <si>
    <t>Toyota Corolla -97/Starlet -96/Paseo        4 pads with WI (119,7x47,5 th=15)  WVA: 20870</t>
  </si>
  <si>
    <t>LPR05P271</t>
  </si>
  <si>
    <t>Renault Espace -97/R19    2 pads without WI + 2 pads with WI 205mm (105x54,3 th=18)  WVA: 21061</t>
  </si>
  <si>
    <t>LPR05P280</t>
  </si>
  <si>
    <t>253.03</t>
  </si>
  <si>
    <t>MB W201/124   109,8x59,5 th=19,2  WVA: 20941</t>
  </si>
  <si>
    <t>LPR05P288</t>
  </si>
  <si>
    <t>165.54</t>
  </si>
  <si>
    <t>VAZ 2108-09, (104,3x62 th=17,5  WVA: 21170)</t>
  </si>
  <si>
    <t>LPR05P293</t>
  </si>
  <si>
    <t>Peugeot 405 -95    2 pads without WI + 2 pads with WI 190mm (95x49 th=18,6)  WVA: 21208 21209</t>
  </si>
  <si>
    <t>LPR05P294</t>
  </si>
  <si>
    <t>VW Golf III/IV/Passat B3/B4/ Skoda Octavia    87x52,9 th=15  WVA: 20961</t>
  </si>
  <si>
    <t>LPR05P295</t>
  </si>
  <si>
    <t>FORD Fiesta /Courier (89-95)     141,4x44,6 th=17,2  WVA: 21202 21203</t>
  </si>
  <si>
    <t>LPR05P296</t>
  </si>
  <si>
    <t>BMW E34/E32         156,4x63,5 th=20  WVA: 20968</t>
  </si>
  <si>
    <t>LPR05P297</t>
  </si>
  <si>
    <t>BMW E36 M3/E34  123,1x44,9 th=17  WVA: 20995 20996</t>
  </si>
  <si>
    <t>LPR05P299</t>
  </si>
  <si>
    <t>Audi 80 1.8/2.0, Coupe 2.2L -89| VW Passat  1,8/2,0   -89        119,3x69,6 th=16  WVA: 20669</t>
  </si>
  <si>
    <t>LPR05P304</t>
  </si>
  <si>
    <t>239.21</t>
  </si>
  <si>
    <t>Daewoo Lanos/Nexia (16V)/Astra F/Vectra     156,4x52,8 th=17,3  WVA: 21190</t>
  </si>
  <si>
    <t>LPR05P333</t>
  </si>
  <si>
    <t>Opel Vectra A/Astra F     61,7x57,5 th=15,5  WVA: 21140</t>
  </si>
  <si>
    <t>LPR05P334</t>
  </si>
  <si>
    <t>Opel VectraB/Omega       61,5x61 th=15,5  WVA: 21050</t>
  </si>
  <si>
    <t>LPR05P346</t>
  </si>
  <si>
    <t>CITROEN\tJumpy 96-, FIAT Scudo 01/96-, PEUGEOT Expert 096-        2 pads without WI + 2 pads with WI (139,9x68,8 th=18,5)  WVA: 23042</t>
  </si>
  <si>
    <t>LPR05P347</t>
  </si>
  <si>
    <t>307.83</t>
  </si>
  <si>
    <t>Volvo 440/460/480 -96   110x67,5 th=17,2  WVA: 21217</t>
  </si>
  <si>
    <t>LPR05P348</t>
  </si>
  <si>
    <t>Nissan Primera 90-98/Sonata -01   2 pads without WI + 2 pads with WI (137x54,2 th=17)  WVA: 21725 21726 21727</t>
  </si>
  <si>
    <t>LPR05P349</t>
  </si>
  <si>
    <t>Renault Logan/MeganeClio l/II     2 pads without WI + 2 pads with WI 215mm (99,9x64,8 th=18)  WVA: 21463</t>
  </si>
  <si>
    <t>LPR05P354</t>
  </si>
  <si>
    <t>Nissan Primera -96   127,8x50,3 th=16  WVA: 21280</t>
  </si>
  <si>
    <t>LPR05P355</t>
  </si>
  <si>
    <t>Nissan Almera N16/Primera P10/11    129,2x57 th=17,5  WVA: 21546</t>
  </si>
  <si>
    <t>LPR05P362</t>
  </si>
  <si>
    <t>Volvo 240/260/740/760/780/S70/V70      61,7x56,5 th=14,5  WVA: 20755</t>
  </si>
  <si>
    <t>LPR05P364</t>
  </si>
  <si>
    <t>230.61</t>
  </si>
  <si>
    <t>Hyundai Accent I, II, Getz, Lantra I, | Honda Accord II|  Subaru Justy I 1,1-1,8  83-05         127,5x49 th=14,8  WVA: 21012</t>
  </si>
  <si>
    <t>LPR05P366</t>
  </si>
  <si>
    <t>193.19</t>
  </si>
  <si>
    <t>KIA Rio 00-02/Mazda 323 -94/Demio 00-|    2 pads without WI + 2 pads with WI (91,6x64 th=15)  WVA: 21654</t>
  </si>
  <si>
    <t>LPR05P368</t>
  </si>
  <si>
    <t>Mazda 626 -87     130x61 th=15  WVA: 21041 21666</t>
  </si>
  <si>
    <t>LPR05P382</t>
  </si>
  <si>
    <t>Volvo 940/960 -96/S90/V90 97-98     128,9x64,8 th=18  WVA: 20164</t>
  </si>
  <si>
    <t>LPR05P383</t>
  </si>
  <si>
    <t>268.87</t>
  </si>
  <si>
    <t>Ford Escort 90-96      131x57,5 th=18,6  WVA: 21171</t>
  </si>
  <si>
    <t>LPR05P387</t>
  </si>
  <si>
    <t>Nissan Primera P11/Almera N16    82,2x57 th=15,6  WVA: 21545</t>
  </si>
  <si>
    <t>LPR05P406</t>
  </si>
  <si>
    <t>MB W202/210   front   156,4-155,1x69,5 th=20  WVA: 21670</t>
  </si>
  <si>
    <t>LPR05P409</t>
  </si>
  <si>
    <t>386.37</t>
  </si>
  <si>
    <t>MB W202/210    150,1-151,3x66,2-60 th=19,5  WVA: 21664</t>
  </si>
  <si>
    <t>LPR05P422</t>
  </si>
  <si>
    <t>332.29</t>
  </si>
  <si>
    <t>CITROEN ZX   91-00  front       4 pads with WI 315mm (99,9x63,5 th=18)  WVA: 21460</t>
  </si>
  <si>
    <t>LPR05P423</t>
  </si>
  <si>
    <t>MB W124/201/210    99,8x73,5 th=17,5  WVA: 21153</t>
  </si>
  <si>
    <t>LPR05P425</t>
  </si>
  <si>
    <t>435.54</t>
  </si>
  <si>
    <t>IVECO Daily 90-96 35.8, 35.8T, 35.9, 35.9T, 35.10, 35.10 TD, 40 F8/9 90-96          2 pads without WI + 2 pads with WI 155mm (109,5x73 th=18,2)  WVA: 29041</t>
  </si>
  <si>
    <t>LPR05P426</t>
  </si>
  <si>
    <t>319.36</t>
  </si>
  <si>
    <t>KIA Sportage 95-99   2 pads without WI + 2 pads with WI (165-172,5x49,1-65,8 th=17)  WVA: 21892</t>
  </si>
  <si>
    <t>LPR05P428</t>
  </si>
  <si>
    <t>MB W124/201/202/210   61,7x58,5 th=15,2  WVA: 21197</t>
  </si>
  <si>
    <t>LPR05P436</t>
  </si>
  <si>
    <t>372.30</t>
  </si>
  <si>
    <t>Volvo 850/S80/S70/V70   156,4x58,5 th=19,3  WVA: 21273</t>
  </si>
  <si>
    <t>LPR05P437</t>
  </si>
  <si>
    <t>VW Transporter T4 90-96 15"    91,6x80 th=17,7  WVA: 20652</t>
  </si>
  <si>
    <t>LPR05P439</t>
  </si>
  <si>
    <t>314.64</t>
  </si>
  <si>
    <t>VW T4 90-96 (14")       130x54,5 th=19  WVA: 20124</t>
  </si>
  <si>
    <t>LPR05P440</t>
  </si>
  <si>
    <t>231.79</t>
  </si>
  <si>
    <t>Audi 80/100/A4/A6/A8       87x66,8 th=16,5  WVA: 21144</t>
  </si>
  <si>
    <t>LPR05P445</t>
  </si>
  <si>
    <t>411.60</t>
  </si>
  <si>
    <t>Renault Megane I/Scenic/Laguna I    2 pads without WI + 2 pads with WI 280mm (130x55,6 th=18)  WVA: 20916 21388</t>
  </si>
  <si>
    <t>LPR05P449</t>
  </si>
  <si>
    <t>Opel Omega A/B/Senator    129,7x63,8 th=19  WVA: 21368</t>
  </si>
  <si>
    <t>LPR05P453</t>
  </si>
  <si>
    <t>Audi 100/A4/A6       2 pads without WI + 2 pads with WI 200mm (156,4x74,2 th=20,3)  WVA: 20676</t>
  </si>
  <si>
    <t>LPR05P462</t>
  </si>
  <si>
    <t>Fiat Punto 93-  | Seicento 98-    3 pads without WI + 1 pad with WI 475mm (114,9x55,4 th=17)  WVA: 21436\n</t>
  </si>
  <si>
    <t>LPR05P463</t>
  </si>
  <si>
    <t>338.58</t>
  </si>
  <si>
    <t>BMW E36/Saab 9-5   123,1x44,9 th=17  WVA: 20180 21607</t>
  </si>
  <si>
    <t>LPR05P470</t>
  </si>
  <si>
    <t>408.29</t>
  </si>
  <si>
    <t>Nissan Terrano II/Serena     145x55,6 th=15,5  WVA: 21481</t>
  </si>
  <si>
    <t>LPR05P471</t>
  </si>
  <si>
    <t>Ford /Mondeo/ Scorpio  156,4-155,2x58,5 th=18  WVA: 21394</t>
  </si>
  <si>
    <t>LPR05P472</t>
  </si>
  <si>
    <t>415.45</t>
  </si>
  <si>
    <t>Honda Accord 90-98/CR-V -02/Civic 97-    2 pads without WI + 2 pads with WI (148,7x57,7 th=18)  WVA: 21651 21652 21653</t>
  </si>
  <si>
    <t>LPR05P478</t>
  </si>
  <si>
    <t>Peugeot 605 -99    2 pads with WI 335mm + 2 pads with WI 120mm (130,9x73 th=17)  WVA: 21507 21508 21509</t>
  </si>
  <si>
    <t>LPR05P481</t>
  </si>
  <si>
    <t>305.80</t>
  </si>
  <si>
    <t>Ford Transit 91-00 (14")     138,8x64 th=18,7  WVA: 21470</t>
  </si>
  <si>
    <t>LPR05P482</t>
  </si>
  <si>
    <t>Ford Transit 91-00 (15")     138,8x71,75 th=18,8  WVA: 21469</t>
  </si>
  <si>
    <t>LPR05P493</t>
  </si>
  <si>
    <t>453.01</t>
  </si>
  <si>
    <t>CitroenJumper/Peugeot Boxer/Fiat Ducato 94-02   2 pads without WI + 2 pads with WI 200mm (144,9x60,9 th=19,5)  WVA: 21797 21798</t>
  </si>
  <si>
    <t>LPR05P494</t>
  </si>
  <si>
    <t>470.66</t>
  </si>
  <si>
    <t>CitroenJumper/Peugeot Boxer/Fiat Ducato 94-02    2 pads without WI + 2 pads with WI 200mm (159,9x64,1 th=19,5)  WVA: 21629 21630 21799 21800</t>
  </si>
  <si>
    <t>LPR05P498</t>
  </si>
  <si>
    <t>449.17</t>
  </si>
  <si>
    <t>Citroen Jumpy/Peugeot Expert     2 pads with WI 190 mm  + 2 pads with WI 240mm (129,9x58,9 th=19)  WVA: 21801 21802</t>
  </si>
  <si>
    <t>LPR05P508</t>
  </si>
  <si>
    <t>172.45</t>
  </si>
  <si>
    <t>Honda Accord 90-98/Civic 01-05    2 pads without WI + 2 pads with WI (88,8x47,5 th=14,6)  WVA: 21719 21720 21721</t>
  </si>
  <si>
    <t>LPR05P512</t>
  </si>
  <si>
    <t>Mazda 626 GE/GF 92-97    100x43,6 th=14  WVA: 21766</t>
  </si>
  <si>
    <t>LPR05P518</t>
  </si>
  <si>
    <t>Mitsubishi Pajero II/III    2 pads without WI + 2 pads with WI (108x43,5 th=14)  WVA: 21842</t>
  </si>
  <si>
    <t>LPR05P524</t>
  </si>
  <si>
    <t>Isuzu Trooper/Opel Frontera A/B   2 pads without WI + 2 pads with WI (109,6x42,5 th=15,8)  WVA: 21875 21876 21877</t>
  </si>
  <si>
    <t>LPR05P544</t>
  </si>
  <si>
    <t>308.88</t>
  </si>
  <si>
    <t>Isuzu Trooper -91   front   2 pads without WI + 2 pads with WI (127x50,8 th=15,5)  WVA: 21543 21544</t>
  </si>
  <si>
    <t>LPR05P558</t>
  </si>
  <si>
    <t>Honda Civic 91-00/Logo 99-/Jazz 02-    2 pads without WI + 2 pads with WI (131,5x54,5 th=15)  WVA: 21697</t>
  </si>
  <si>
    <t>LPR05P559</t>
  </si>
  <si>
    <t>308.16</t>
  </si>
  <si>
    <t>Mazda 626 GE/GF 92-97  4 pads with WI (131,7x51,5 th=14,5-16,5)  WVA: 21754</t>
  </si>
  <si>
    <t>LPR05P561</t>
  </si>
  <si>
    <t>Toyota Camry/Corolla/CarinaE/Rav4      2 pads without WI + 2 pads with WI (133,2x53 th=17,5)  WVA: 21601 21602 21603</t>
  </si>
  <si>
    <t>LPR05P569</t>
  </si>
  <si>
    <t>367.16</t>
  </si>
  <si>
    <t>Mitsubishi Pajero III 00-     2 pads without WI + 2 pads with WI (139x58,5 th=16)  WVA: 23488</t>
  </si>
  <si>
    <t>LPR05P573</t>
  </si>
  <si>
    <t>Toyota Avensis 01-03/Carina E    2 pads without WI + 2 pads with WI (141x56,5 th=15,5)  WVA: 21961</t>
  </si>
  <si>
    <t>LPR05P577</t>
  </si>
  <si>
    <t>399.03</t>
  </si>
  <si>
    <t>Toyota Hi-Ace 95-  front      145,4x56,9 th=16,3  WVA: 21468</t>
  </si>
  <si>
    <t>LPR05P578</t>
  </si>
  <si>
    <t>Mitsubishi Pajero/Galant 99-    2 pads without WI + 2 pads with WI (149,9x59 th=15,7)  WVA: 21363</t>
  </si>
  <si>
    <t>LPR05P599</t>
  </si>
  <si>
    <t>207.01</t>
  </si>
  <si>
    <t>Daewoo Lanos/Nexia/Opel Astra     2 pads with tube for WI (141,4-140,2x48,3-58,1 th=16,5)  WVA: 20547</t>
  </si>
  <si>
    <t>LPR05P600</t>
  </si>
  <si>
    <t>Audi 80/A4/VW Golf III/IV/Passat   119,3x69,6 th=19,4  WVA: 20168</t>
  </si>
  <si>
    <t>LPR05P602</t>
  </si>
  <si>
    <t>Nissan Almera N15/N16/Primera-02/Maxima   2 pads without WI + 2 pads with WI (105,2x47 th=16,3)  WVA: 21713 21714 21715</t>
  </si>
  <si>
    <t>LPR05P605</t>
  </si>
  <si>
    <t>363.45</t>
  </si>
  <si>
    <t>VW Transporter T4 96- (15")   129,7x65,25 th=19  WVA: 21479</t>
  </si>
  <si>
    <t>LPR05P608</t>
  </si>
  <si>
    <t>342.88</t>
  </si>
  <si>
    <t>MB Sprinter/VW Transporter -06   front     156,5x64,8 th=20,5  WVA: 21576</t>
  </si>
  <si>
    <t>LPR05P610</t>
  </si>
  <si>
    <t>335.80</t>
  </si>
  <si>
    <t xml:space="preserve">MB Sprinter/VW LT 35 -06    rear     156,4x54,8 th=18,5  WVA: 21592 </t>
  </si>
  <si>
    <t>LPR05P613</t>
  </si>
  <si>
    <t>VW Passat -97/Golf III    119,3x69,6 th=16  WVA: 20168</t>
  </si>
  <si>
    <t>LPR05P615</t>
  </si>
  <si>
    <t>Mitsubishi Carisma/SpaceStar/Colt VI | Volvo S40   2 pads without WI + 2 pads with WI (130x72,8 th=14,8)  WVA: 21920</t>
  </si>
  <si>
    <t>LPR05P616</t>
  </si>
  <si>
    <t>285.12</t>
  </si>
  <si>
    <t>VW Transporter T4 90-98   95x57,3 th=17  WVA: 21882</t>
  </si>
  <si>
    <t>LPR05P620</t>
  </si>
  <si>
    <t>Peugeot 306/406/Citroen Xsara   4 pads with WI (130x56,6 th=19)  WVA: 21637 21672 21674</t>
  </si>
  <si>
    <t>LPR05P621</t>
  </si>
  <si>
    <t>Mitsubishi Carisma 00-/Space Star/S40/Colt   2 pads without WI + 2 pads with WI (87x47 th=15)  WVA: 21861</t>
  </si>
  <si>
    <t>LPR05P623</t>
  </si>
  <si>
    <t>261.71</t>
  </si>
  <si>
    <t>Peugeot 406   2 pads without WI + 2 pads with WI (63,8x57,4 th=17)  WVA: 21904</t>
  </si>
  <si>
    <t>LPR05P625</t>
  </si>
  <si>
    <t>309.75</t>
  </si>
  <si>
    <t>Ford Fiesta 95-00/Mazda 121    141,40-140,20x44,60 th=17,2  WVA: 21202</t>
  </si>
  <si>
    <t>LPR05P629</t>
  </si>
  <si>
    <t>372.55</t>
  </si>
  <si>
    <t>CHRYSLER  Caravan/Voyager -01     163-164,7x53,8-51,8 th=17  WVA: 23043 23044\n</t>
  </si>
  <si>
    <t>LPR05P631</t>
  </si>
  <si>
    <t>VW T4 2.4D/2.5i      91,6-91,7x80-81,5 th=17,7  WVA: 21634 21635</t>
  </si>
  <si>
    <t>LPR05P633</t>
  </si>
  <si>
    <t>MB Sprinter/VW LT 95-    front 164,7x73 th=20  WVA: 29076</t>
  </si>
  <si>
    <t>LPR05P634</t>
  </si>
  <si>
    <t>Audi A4/A6/Citroen C3/C4/VW Golf   rear    87x52,9 th=17  WVA: 20960 20961</t>
  </si>
  <si>
    <t>LPR05P635</t>
  </si>
  <si>
    <t>386.10</t>
  </si>
  <si>
    <t>OPEL Vectra B/Saab 900/9-5 (16")    155-156,3x74,2 th=19,5  WVA: 21829 23115</t>
  </si>
  <si>
    <t>LPR05P638</t>
  </si>
  <si>
    <t>246.12</t>
  </si>
  <si>
    <t>Skoda Fabia 99-/VW Polo 95-00     141,8x50,6 th=17,3  WVA: 21866</t>
  </si>
  <si>
    <t>LPR05P639</t>
  </si>
  <si>
    <t>434.67</t>
  </si>
  <si>
    <t>Passat -96/Golf IV/Octavia   156,4x74,2 th=19,5  WVA: 20676 21911</t>
  </si>
  <si>
    <t>LPR05P649</t>
  </si>
  <si>
    <t>458.69</t>
  </si>
  <si>
    <t>BMW E39/E46   154,4-155,1x63,5-64,1 th=20  WVA: 21676 21677 21990\n</t>
  </si>
  <si>
    <t>LPR05P650</t>
  </si>
  <si>
    <t>BMW E39    123,1x44,9 th=17  WVA: 21691</t>
  </si>
  <si>
    <t>LPR05P651</t>
  </si>
  <si>
    <t>Skoda Favorit/Felicia/VW Caddy 83-02  front   114,8x61 th=17,5  WVA: 21662</t>
  </si>
  <si>
    <t>LPR05P659</t>
  </si>
  <si>
    <t>Audi 50 80 (-86) ,VW Derby Golf I   61,7x56,5 th=15,3  WVA: 20228</t>
  </si>
  <si>
    <t>LPR05P661</t>
  </si>
  <si>
    <t>275.96</t>
  </si>
  <si>
    <t>Citroen Xsara -00/Peugeot 306 -01         130,8x48 th=18  WVA: 21980</t>
  </si>
  <si>
    <t>LPR05P662</t>
  </si>
  <si>
    <t>321.98</t>
  </si>
  <si>
    <t>Renault Kangoo 97-07      130,8x48 th=18  WVA: 21978 21979 21980 21981</t>
  </si>
  <si>
    <t>LPR05P663</t>
  </si>
  <si>
    <t>Opel Movano/Renault Master 98-   139x66,5 th=18  WVA: 23302</t>
  </si>
  <si>
    <t>LPR05P667</t>
  </si>
  <si>
    <t>VW Golf III 95-98 (ABS)    141,8x50,6-51,2 th=15,3  WVA: 21866</t>
  </si>
  <si>
    <t>LPR05P668</t>
  </si>
  <si>
    <t>389.07</t>
  </si>
  <si>
    <t>VW Golf/Polo/Skoda Р±РµР· РґР°С‚С‡РёРєРѕРІ    146x54,7 th=19,7  WVA: 23130</t>
  </si>
  <si>
    <t>LPR05P669</t>
  </si>
  <si>
    <t>Audi A4/A6/Passat B5/Sharan         156,4x74,2 th=19,5  WVA: 21624</t>
  </si>
  <si>
    <t>LPR05P671</t>
  </si>
  <si>
    <t>MB A Class 98-    117x57,1 th=17  WVA: 23070</t>
  </si>
  <si>
    <t>LPR05P677</t>
  </si>
  <si>
    <t>Ford Scorpio/Sierra/Granada         90x54 th=13,5  WVA: 20981</t>
  </si>
  <si>
    <t>LPR05P682</t>
  </si>
  <si>
    <t>Daewoo Lanos 14"  (2 pads without WI + 2 pads with WI (143x52 th=17)  WVA: 23234 23235 23236)</t>
  </si>
  <si>
    <t>LPR05P683</t>
  </si>
  <si>
    <t>Berlingo/Xsara/206/306     4 pads with WI (130x56 th=18)  WVA: 23124</t>
  </si>
  <si>
    <t>LPR05P684</t>
  </si>
  <si>
    <t>Iveco Daily I/II         164,8x66,5 th=20,3  WVA: 29121</t>
  </si>
  <si>
    <t>LPR05P686</t>
  </si>
  <si>
    <t>Mitsubishi L200 L400 Space Gear   2 pads without WI + 2 pads with WI (137,6x54,8 th=16,2)  WVA: 23290</t>
  </si>
  <si>
    <t>LPR05P690</t>
  </si>
  <si>
    <t>393.29</t>
  </si>
  <si>
    <t>Opel Astra G/H/Zafira (ABS)   2 pads without WI + 2 pads with WI (155-156x71-77 th=19,2)  WVA: 23057</t>
  </si>
  <si>
    <t>LPR05P692</t>
  </si>
  <si>
    <t>VW Golf IV/Skoda Octavia/Fabia          3 pads without WI + 1 pad with WI 145 mm (146x54,7 th=19,7)  WVA: 23131</t>
  </si>
  <si>
    <t>LPR05P693</t>
  </si>
  <si>
    <t>Daewoo Lanos 13", Matiz  (127x48,1 th=16  WVA: 23241)\n</t>
  </si>
  <si>
    <t>LPR05P696</t>
  </si>
  <si>
    <t>Ford Focus I   178x60,6-58,2 th=19  WVA: 23154</t>
  </si>
  <si>
    <t>LPR05P698</t>
  </si>
  <si>
    <t>Opel Astra G (Р±РµР· ABS)    2 pads without WI + 2 pads with WI (177,7-160,2x61,8-63 th=16,80-18,30)  WVA: 23063</t>
  </si>
  <si>
    <t>LPR05P699</t>
  </si>
  <si>
    <t>315.52</t>
  </si>
  <si>
    <t>Opel Astra G/Zafira   2 pads without WI + 2 pads with WI (104,9x42,8 th=15,7)  WVA: 21992 23052</t>
  </si>
  <si>
    <t>LPR05P704</t>
  </si>
  <si>
    <t>Volvo S60/S80/V70/XC70 00-   155-156,7x73-69 th=18,6  WVA: 23072 23073 23074</t>
  </si>
  <si>
    <t>LPR05P706</t>
  </si>
  <si>
    <t>Nissan Almera N16/Primera P10/11        124x57,3 th=17,2  WVA: 23093</t>
  </si>
  <si>
    <t>LPR05P708</t>
  </si>
  <si>
    <t>Peugeot 206    130,8x47 th=18  WVA: 23205</t>
  </si>
  <si>
    <t>LPR05P710</t>
  </si>
  <si>
    <t>376.49</t>
  </si>
  <si>
    <t>Chevrolet Lanos 1.6 16V 97-   front   143x51 th=17,6  WVA: 23234 23235 23236</t>
  </si>
  <si>
    <t>LPR05P711</t>
  </si>
  <si>
    <t>266.85</t>
  </si>
  <si>
    <t>Mitsubishi Carisma/Volvo S40 98-    2 pads without WI + 2 pads with WI (129,9x76,8 th=17)  WVA: 21983</t>
  </si>
  <si>
    <t>LPR05P713</t>
  </si>
  <si>
    <t>Subaru Forester/Outback/Impreza        2 pads without WI + 2 pads with WI (138x60 th=17)  WVA: 23558</t>
  </si>
  <si>
    <t>LPR05P714</t>
  </si>
  <si>
    <t>Ford Mondeo 93-00     115,9x53,4 th=14,7  WVA: 21586</t>
  </si>
  <si>
    <t>LPR05P715</t>
  </si>
  <si>
    <t>Ford Mondeo -97/Escort/Scorpio|        156,4x59,9 th=19  WVA: 21358</t>
  </si>
  <si>
    <t>LPR05P718</t>
  </si>
  <si>
    <t>317.93</t>
  </si>
  <si>
    <t>VW Golf III/Polo 00-02    118,9x69,5 th=16  WVA: 21945</t>
  </si>
  <si>
    <t>LPR05P719</t>
  </si>
  <si>
    <t>Audi A4/VW Passat 96-    118,9x69,5 th=19,6  WVA: 21945</t>
  </si>
  <si>
    <t>LPR05P730</t>
  </si>
  <si>
    <t>VW Golf IV, VI|  Bora, Jetta IV/Skoda Fabia/Octavia| Seat Cordoba, Ibiza IV, V   1,0-2,8  97-   front       146x54,7 th=19,5  WVA: 21974</t>
  </si>
  <si>
    <t>LPR05P731</t>
  </si>
  <si>
    <t xml:space="preserve">RENAULT R20 01/80-01/84, \tTrafic I  81-84    2 pads without WI + 2 pads with WI (108,8x58 th=18,5)  WVA: 20570, </t>
  </si>
  <si>
    <t>LPR05P749</t>
  </si>
  <si>
    <t>312.88</t>
  </si>
  <si>
    <t>Toyota LandCruiser 96-       116x44 th=15  WVA: 21947</t>
  </si>
  <si>
    <t>LPR05P756</t>
  </si>
  <si>
    <t>350.63</t>
  </si>
  <si>
    <t>Fiat Doblo    151,4-150,2x52,5 th=17,8  WVA: 20907 20908 23842</t>
  </si>
  <si>
    <t>LPR05P761</t>
  </si>
  <si>
    <t>252.45</t>
  </si>
  <si>
    <t>SMART Car 0.6i Turbo  98-        2 pads without WI + 2 pads with WI (90x70 th=15)  WVA: 21998</t>
  </si>
  <si>
    <t>LPR05P763</t>
  </si>
  <si>
    <t>Fiat Stilo 01-    Peugeot Bipper 1.4 08-|  Citroen Nemo  1.4 08-\n3 pads without WI + 1 pad with WI 215mm (122,8x53,3 th=17,1)  WVA: 23705\n</t>
  </si>
  <si>
    <t>LPR05P764</t>
  </si>
  <si>
    <t>287.59</t>
  </si>
  <si>
    <t>Fiat Doblo      2 pads without WI + 2 pads with WI (136,8x57,4 th=18,4)  WVA: 23708</t>
  </si>
  <si>
    <t>LPR05P767</t>
  </si>
  <si>
    <t>277.47</t>
  </si>
  <si>
    <t>MB C Class W203 00-   131x69,8 th=19,5  WVA: 23144</t>
  </si>
  <si>
    <t>LPR05P769</t>
  </si>
  <si>
    <t>BMW E38 94-01/Nissan Skyline    120x73,7 th=18  WVA: 21471</t>
  </si>
  <si>
    <t>LPR05P771</t>
  </si>
  <si>
    <t>BMW E39/X5     156,5x73,2 th=19,3  WVA: 21486</t>
  </si>
  <si>
    <t>LPR05P773</t>
  </si>
  <si>
    <t>798.23</t>
  </si>
  <si>
    <t xml:space="preserve">FIAT Ducato 94-02  front       3 pads without WI + 1 pad with WI (145x59 th=18,7)  WVA: 23602, </t>
  </si>
  <si>
    <t>LPR05P775</t>
  </si>
  <si>
    <t>485.16</t>
  </si>
  <si>
    <t>Ford Transit RWD 00-     2 pads without WI + 2 pads with WI (168,2x65,1 th=18,4)  WVA: 23577</t>
  </si>
  <si>
    <t>LPR05P780</t>
  </si>
  <si>
    <t>Fiat Stilo 01-     95x42,8 th=16,3  WVA: 23714\n</t>
  </si>
  <si>
    <t>LPR05P785</t>
  </si>
  <si>
    <t>416.85</t>
  </si>
  <si>
    <t>Fiat Palio/Punto II     151,3x52,5 th=17,8  WVA: 20907 20908 23552</t>
  </si>
  <si>
    <t>LPR05P787</t>
  </si>
  <si>
    <t>374.91</t>
  </si>
  <si>
    <t>VW T4 2.5/2.8L     3 pads without WI + 1 pad with WI (156,4x68,7 th=19,81)  WVA: 21885</t>
  </si>
  <si>
    <t>LPR05P789</t>
  </si>
  <si>
    <t>319.88</t>
  </si>
  <si>
    <t>Citroen Berlingo/Xsara/Picasso      137x51 th=18,8  WVA: 23599</t>
  </si>
  <si>
    <t>LPR05P790</t>
  </si>
  <si>
    <t>552.08</t>
  </si>
  <si>
    <t>Audi A4/A6/VW Passat B5     2 pads without WI + 2 pads with WI (156,4x74 th=20,4)  WVA: 21938 23018</t>
  </si>
  <si>
    <t>LPR05P798</t>
  </si>
  <si>
    <t>336.13</t>
  </si>
  <si>
    <t>Suzuki Grand Vitara 98-05|       2 pads without WI + 2 pads with WI (110,2x55 th=14,5)  WVA: 23314</t>
  </si>
  <si>
    <t>LPR05P800</t>
  </si>
  <si>
    <t>Citroen C5   73x70,5 th=15,2  WVA: 23305</t>
  </si>
  <si>
    <t>LPR05P802</t>
  </si>
  <si>
    <t>284.22</t>
  </si>
  <si>
    <t>Peugeot 206/207/307    137x51 th=18,8  WVA: 23599</t>
  </si>
  <si>
    <t>LPR05P806</t>
  </si>
  <si>
    <t>Citroen C2/C3   129x56,2 th=19  WVA: 23409</t>
  </si>
  <si>
    <t>LPR05P807</t>
  </si>
  <si>
    <t>Peugeot 307/Citroen C3/C4/Berlingo     136,8x57,3 th=18  WVA: 23600</t>
  </si>
  <si>
    <t>LPR05P811</t>
  </si>
  <si>
    <t>Opel Astra G/H/Meriva/Zafira     2 pads without WI + 2 pads with WI (95,5x42,76 th=15,2)  WVA: 23417</t>
  </si>
  <si>
    <t>LPR05P812</t>
  </si>
  <si>
    <t>Opel AstraG 2.0Turbo/AstraH 1.8 GTC  98-   front    2 pads without WI + 2 pads with WI (155,1-156,3x74 th=19,5)  WVA: 23115</t>
  </si>
  <si>
    <t>LPR05P814</t>
  </si>
  <si>
    <t>Opel Vectra C 01-    155-156,3x69,8 th=20  WVA: 23402 23403 23738 23739</t>
  </si>
  <si>
    <t>LPR05P815</t>
  </si>
  <si>
    <t>319.79</t>
  </si>
  <si>
    <t>Opel Vectra C/Nissan Primera P12    123x51,9 th=16,5  WVA: 23482</t>
  </si>
  <si>
    <t>LPR05P816</t>
  </si>
  <si>
    <t>Renault Megane I/Scenic    129x55 th=18  WVA: 23172</t>
  </si>
  <si>
    <t>LPR05P817</t>
  </si>
  <si>
    <t>Skoda Fabia 1,2-2,0   99-14/  Seat  Ibiza,Cordoba 1.4 16v/1.9TDi 02-            131,4x62,6 th=18,8  WVA: 23581</t>
  </si>
  <si>
    <t>LPR05P830</t>
  </si>
  <si>
    <t>Iveco Daily 99-   110x65 th=20  WVA: 29123</t>
  </si>
  <si>
    <t>LPR05P831</t>
  </si>
  <si>
    <t>FIAT Scudo  02-   2 pads without WI + 2 pads with WI (147x59,6 th=19)  WVA: 20261</t>
  </si>
  <si>
    <t>LPR05P835</t>
  </si>
  <si>
    <t>Toyota LandCruiser 96-    123,1x45,1 th=17,5  WVA: 23539</t>
  </si>
  <si>
    <t>LPR05P836</t>
  </si>
  <si>
    <t>279.00</t>
  </si>
  <si>
    <t>Toyota Corolla 02-04/Yaris 99-       2 pads without WI + 2 pads with WI (78,5x51,9-55,4 th=14)  WVA: 23521</t>
  </si>
  <si>
    <t>LPR05P838</t>
  </si>
  <si>
    <t>276.21</t>
  </si>
  <si>
    <t>Subaru Forester/Outback/Impreza 97-14  rear      2 pads without WI + 2 pads with WI (108,4x41,6 th=14,5)  WVA: 23572</t>
  </si>
  <si>
    <t>LPR05P848</t>
  </si>
  <si>
    <t>Hyundai Getz (ABS)/Tucson/Sonata     2 pads without WI + 2 pads with WI (98,8x41 th=15,6)  WVA: 23543 23544 23545</t>
  </si>
  <si>
    <t>LPR05P849</t>
  </si>
  <si>
    <t>412.17</t>
  </si>
  <si>
    <t>MB CL Class (C215) 02-   117,8x71,6 th=17,8  WVA: 23271</t>
  </si>
  <si>
    <t>LPR05P857</t>
  </si>
  <si>
    <t>Nissan X-Trail 01-        2 pads without WI + 2 pads with WI (105,5x38,2 th=14)  WVA: 23814 23871 23872 24088</t>
  </si>
  <si>
    <t>LPR05P858</t>
  </si>
  <si>
    <t>505.25</t>
  </si>
  <si>
    <t>Hyundai Santa Fe 02-06   2 pads without WI + 2 pads with WI (148,9x58 th=16,5)  WVA: 23569</t>
  </si>
  <si>
    <t>LPR05P863</t>
  </si>
  <si>
    <t>656.02</t>
  </si>
  <si>
    <t>PEUGEOT 607 3.0i V6 24V 2000-  front   4 pads with WI (131,8x77,2 th=16)  WVA: 23575</t>
  </si>
  <si>
    <t>LPR05P864</t>
  </si>
  <si>
    <t>Renault Laguna ll/Espace IV 01-    156,3-155,1x68,3-70,8 th=18,3  WVA: 23245 23247</t>
  </si>
  <si>
    <t>LPR05P865</t>
  </si>
  <si>
    <t>359.19</t>
  </si>
  <si>
    <t>Ford Mondeo 00-    front   (Р±РµР· РґР°С‚С‡РёРєС–РІ)    148,8x60,3 th=18,4  WVA: 23279</t>
  </si>
  <si>
    <t>LPR05P866</t>
  </si>
  <si>
    <t>VW Golf V/PassatB6/Skoda Octavia    3 pads without WI + 1 pad with WI (156,4-155,2x71,5-66,2 th=20)  WVA: 23587 23588 23589</t>
  </si>
  <si>
    <t>LPR05P867</t>
  </si>
  <si>
    <t>Dacia Dokker, Duster, Lodgy, Logan, MCV| Renault Kangoo, Clio I/II/, Logan, Megane, Modus |  Nissan  Micra/Note   0,9-1,6i| 1,5dCi, electr.    2003-   front  116,4x52,5 th=17,3  WVA: 23973</t>
  </si>
  <si>
    <t>LPR05P868</t>
  </si>
  <si>
    <t>Peugeot 307   87x52,9 th=17  WVA: 20961</t>
  </si>
  <si>
    <t>LPR05P869</t>
  </si>
  <si>
    <t>362.94</t>
  </si>
  <si>
    <t>Opel Vivaro/Renault Traffic 01-    front    145,1x63,4 th=18  WVA: 23099</t>
  </si>
  <si>
    <t>LPR05P878</t>
  </si>
  <si>
    <t>Mazda 6 02-    2 pads without WI + 2 pads with WI (132x59,5 th=18,5)  WVA: 24046 24047 24048</t>
  </si>
  <si>
    <t>LPR05P881</t>
  </si>
  <si>
    <t>705.11</t>
  </si>
  <si>
    <t>BMW E38/MB W202/210/220  194,5x73,5 th=20  WVA: 21484\n</t>
  </si>
  <si>
    <t>LPR05P883</t>
  </si>
  <si>
    <t>Renault Laguna l 99-00    126x63 th=15  WVA: 21965</t>
  </si>
  <si>
    <t>LPR05P884</t>
  </si>
  <si>
    <t>Opel Movano/Renault Master 98-     138,8x80 th=17,8  WVA: 23613</t>
  </si>
  <si>
    <t>LPR05P885</t>
  </si>
  <si>
    <t>310.52</t>
  </si>
  <si>
    <t>Citroen Jumper/Ducato/Boxer 94-06         110x50 th=20  WVA: 23921</t>
  </si>
  <si>
    <t>LPR05P900</t>
  </si>
  <si>
    <t>369.85</t>
  </si>
  <si>
    <t>MB CL/SL 99-    69x72 th=16  WVA: 23078</t>
  </si>
  <si>
    <t>LPR05P903</t>
  </si>
  <si>
    <t>Peugeot 206/306/Citroen Xsara     131x47,5 th=18  WVA: 23597</t>
  </si>
  <si>
    <t>LPR05P905</t>
  </si>
  <si>
    <t>MB S Class W220 98-02     69x72 th=16  WVA: 23078</t>
  </si>
  <si>
    <t>LPR05P906</t>
  </si>
  <si>
    <t>434.75</t>
  </si>
  <si>
    <t>Ford Transit Connect 02-         156x63 th=17,5  WVA: 23440</t>
  </si>
  <si>
    <t>LPR05P910</t>
  </si>
  <si>
    <t>Renault Megane 02-   122,8x54,3 th=18  WVA: 23934</t>
  </si>
  <si>
    <t>LPR05P911</t>
  </si>
  <si>
    <t>Renault Megane II/Scenic/Kangoo   136,8x59,5 th=18  WVA: 23930</t>
  </si>
  <si>
    <t>LPR05P913</t>
  </si>
  <si>
    <t>FORD Fiesta IV, V, Fusion, KA, Puma, Mazda 2  1,2-1,8   95-    front    156x63 th=17,5  WVA: 23440</t>
  </si>
  <si>
    <t>LPR05P940</t>
  </si>
  <si>
    <t>Nissan Primera P12/Almera Tino 1,6-2,2D 00- (front)    131,6x58,6 th=17,2  WVA: 23094 23095</t>
  </si>
  <si>
    <t>LPR05P946</t>
  </si>
  <si>
    <t>VW T4/Opel Vivaro/Renault Traffic II   rear   95x57,5 th=17  WVA: 21748 23224 23980</t>
  </si>
  <si>
    <t>LPR05P948</t>
  </si>
  <si>
    <t>MB Vito 98-     105x53 th=17  WVA: 23020</t>
  </si>
  <si>
    <t>LPR05P949</t>
  </si>
  <si>
    <t>Ford Fusion/Fiesta 00- (ABS)   151,3-150,3x58,2-61 th=18,8  WVA: 23202 23203</t>
  </si>
  <si>
    <t>LPR05P950</t>
  </si>
  <si>
    <t>498.08</t>
  </si>
  <si>
    <t>Peugeot 306/Berlingo/Xsara    130x56 th=17,5  WVA: 23346</t>
  </si>
  <si>
    <t>LPR05P954</t>
  </si>
  <si>
    <t>347.26</t>
  </si>
  <si>
    <t>Mitsubishi Pajero 00-   111,5-91x45 th=15,5  WVA: 23582 23583</t>
  </si>
  <si>
    <t>LPR05P956</t>
  </si>
  <si>
    <t>VW LT/MB Sprinter 95-             126x63 th=17,8  WVA: 23021</t>
  </si>
  <si>
    <t>LPR05P957</t>
  </si>
  <si>
    <t>280.17</t>
  </si>
  <si>
    <t>MB W203/210     63,8x78 th=15,5  WVA: 21898 21899</t>
  </si>
  <si>
    <t>LPR05P966</t>
  </si>
  <si>
    <t>Citroen Jumper/Fiat Ducato/Peugeot Boxer 02-     3 pads without WI + 1 pad with WI (141x66 th=19)  WVA: 23917</t>
  </si>
  <si>
    <t>LPR05P967</t>
  </si>
  <si>
    <t>Citroen Jumper/Fiat Ducato/Peugeot Boxer 02-      3 pads without WI + 1 pad with WI (165x70 th=19)  WVA: 23919</t>
  </si>
  <si>
    <t>LPR05P969</t>
  </si>
  <si>
    <t>Audi A3/VW Golf IV/Skoda Octavia     3 pads without WI + 1 pad with WI (156x74,2 th=19,3)  WVA: 23392</t>
  </si>
  <si>
    <t>LPR05P971</t>
  </si>
  <si>
    <t>VW T4/Sharan/Ford Galaxy       2 pads without WI + 2 pads with WI (161,4x74,4 th=20)  WVA: 23269</t>
  </si>
  <si>
    <t>LPR05P974</t>
  </si>
  <si>
    <t>VW T4/Ford Galaxy (16")    3 pads without WI + 1 pad with WI (94,8x51 th=16,5)  WVA: 23224 23446</t>
  </si>
  <si>
    <t>LPR05P975</t>
  </si>
  <si>
    <t>576.35</t>
  </si>
  <si>
    <t>VW T4 98-03 2.5TDi/2.8VR6         2 pads without WI + 2 pads with WI 210mm (156,4x78,7 th=19)  WVA: 23034</t>
  </si>
  <si>
    <t>LPR05P976</t>
  </si>
  <si>
    <t>584.56</t>
  </si>
  <si>
    <t>Renault Trafic 1989-2001  2 pads without WI + 2 pads with WI, with bolts (166,6x62 th=17)  WVA: 29985</t>
  </si>
  <si>
    <t>LPR05P977</t>
  </si>
  <si>
    <t>VW T4     3 pads without WI + 1 pads with WI (130x65,3 th=18,3)  WVA: 21479 23445</t>
  </si>
  <si>
    <t>LPR05P980</t>
  </si>
  <si>
    <t>VW Golf IV/Skoda Fabia/Ford Gala    3 pads without WI + 1 pad with WI 205mm (86,5x53 th=17)  WVA: 23516</t>
  </si>
  <si>
    <t>LPR05P981</t>
  </si>
  <si>
    <t>537.57</t>
  </si>
  <si>
    <t>Audi A4 S4/A6 S6/A8    3 pads without WI + 1 pad with WI (76,2x85,6 th=18,5)  WVA: 21454</t>
  </si>
  <si>
    <t>LPR05P982</t>
  </si>
  <si>
    <t>Ford Galaxy/VW Sharan 00-      2 pads without WI + 2 pads with WI (156,4x78,9 th=18,5)  WVA: 23034</t>
  </si>
  <si>
    <t>LPR05P984</t>
  </si>
  <si>
    <t>487.95</t>
  </si>
  <si>
    <t>VW T4   3 pads without WI + 1 pads with WI (91,6x80 th=18)  WVA: 23176</t>
  </si>
  <si>
    <t>LPR05P986</t>
  </si>
  <si>
    <t>MB W124   2 pads without WI + 2 pads with WI 185mm (109,9x60 th=19,4)  WVA: 20941</t>
  </si>
  <si>
    <t>LPR05P987</t>
  </si>
  <si>
    <t>317.96</t>
  </si>
  <si>
    <t>Mondeo -00/ Scorpio 91-95/ Granada      2 pads without WI + 2 pads with WI 220mm (89,9x53,5 th=13,5)  WVA: 20981</t>
  </si>
  <si>
    <t>LPR05P988</t>
  </si>
  <si>
    <t>VAZ 2108-09, 110-112, Р· РґР°С‚С‡РёРєР°РјРё (104,4x62 th=17,3  WVA: 23671)</t>
  </si>
  <si>
    <t>LPR05P994</t>
  </si>
  <si>
    <t>Ford Transit 00-      2 pads without WI + 2 pads with WI (168x64 th=17)  WVA: 23434</t>
  </si>
  <si>
    <t>LPR05P997</t>
  </si>
  <si>
    <t>Toyota RAV 4 00-    2 pads without WI + 2 pads with WI (78,5x54 th=14)  WVA: 23656 23657 23658</t>
  </si>
  <si>
    <t>LPR06040</t>
  </si>
  <si>
    <t>463.49</t>
  </si>
  <si>
    <t>HONDA Civic V 01/95-11/99, Concerto 1.4, 1.5, 1.6 (HW Series) 01/89-01/95, ROVER \t200 10/89- \t, 400   91-96   203X37</t>
  </si>
  <si>
    <t>LPR06230</t>
  </si>
  <si>
    <t>Forester 02-05/Impreza/Legacy   228X35</t>
  </si>
  <si>
    <t>LPR06340</t>
  </si>
  <si>
    <t>Opel FronteraA 92-98  254X50</t>
  </si>
  <si>
    <t>LPR06400</t>
  </si>
  <si>
    <t>349.24</t>
  </si>
  <si>
    <t xml:space="preserve">PEUGEOT 605 90-99, JAGUAR 90-   185X20 </t>
  </si>
  <si>
    <t>LPR06430</t>
  </si>
  <si>
    <t>258.39</t>
  </si>
  <si>
    <t>Suzuki Swift/Baleno/Liana      200X30</t>
  </si>
  <si>
    <t>LPR06680</t>
  </si>
  <si>
    <t>357.80</t>
  </si>
  <si>
    <t>Toyota Camry 89-01    228,6X40</t>
  </si>
  <si>
    <t>LPR06720</t>
  </si>
  <si>
    <t>Toyota Corolla 87-92    200X37</t>
  </si>
  <si>
    <t>LPR06760</t>
  </si>
  <si>
    <t>Ford Transit 91-95 14"    254X52</t>
  </si>
  <si>
    <t>LPR06770</t>
  </si>
  <si>
    <t>437.99</t>
  </si>
  <si>
    <t xml:space="preserve">FORD Escort 90-98     228,6X44 </t>
  </si>
  <si>
    <t>LPR06790</t>
  </si>
  <si>
    <t>Opel AstraF/Vectra A   200X29</t>
  </si>
  <si>
    <t>LPR06800</t>
  </si>
  <si>
    <t>227.58</t>
  </si>
  <si>
    <t>Daewoo Lanos/Nexia/Lacetti, Opel VectraA/Astra (200X46)\n</t>
  </si>
  <si>
    <t>LPR06830</t>
  </si>
  <si>
    <t>Audi 80 -91    200X40</t>
  </si>
  <si>
    <t>LPR06850</t>
  </si>
  <si>
    <t>342.71</t>
  </si>
  <si>
    <t>Audi 80 -95/VW Passat -97/Golf   230X40</t>
  </si>
  <si>
    <t>LPR06860</t>
  </si>
  <si>
    <t>406.71</t>
  </si>
  <si>
    <t>BMW E36 91-00   228,6X42</t>
  </si>
  <si>
    <t>LPR06870</t>
  </si>
  <si>
    <t>221.35</t>
  </si>
  <si>
    <t>MB W124/210/140/220/203    164X25</t>
  </si>
  <si>
    <t>LPR06910</t>
  </si>
  <si>
    <t>621.95</t>
  </si>
  <si>
    <t>VW Transporter T4 90-96    270X55</t>
  </si>
  <si>
    <t>LPR07050</t>
  </si>
  <si>
    <t>340.50</t>
  </si>
  <si>
    <t>BMW E30 -91 (Р±РµР· ABS)   228,6X42</t>
  </si>
  <si>
    <t>LPR07110</t>
  </si>
  <si>
    <t>603.08</t>
  </si>
  <si>
    <t>Citroen Jumper/Peugeot Boxer/Fiat Ducato 1-1.4t 94-02  254X57</t>
  </si>
  <si>
    <t>LPR07130</t>
  </si>
  <si>
    <t>361.09</t>
  </si>
  <si>
    <t>Renault Logan/Peugeot 206/306   203X38</t>
  </si>
  <si>
    <t>LPR07135</t>
  </si>
  <si>
    <t>Renault Laguna l/Megane I/Scenic   228,6X42</t>
  </si>
  <si>
    <t>LPR07150</t>
  </si>
  <si>
    <t>413.51</t>
  </si>
  <si>
    <t>Citroen  Dispatch/Jumpy|  Peugeot  Expert/Evasion   255X60</t>
  </si>
  <si>
    <t>LPR07165</t>
  </si>
  <si>
    <t>419.58</t>
  </si>
  <si>
    <t>Peugeot 405 -96  | Partner  2008-        228X40</t>
  </si>
  <si>
    <t>LPR07170</t>
  </si>
  <si>
    <t>Renault Megane I -02   203X38</t>
  </si>
  <si>
    <t>LPR07180</t>
  </si>
  <si>
    <t>450.56</t>
  </si>
  <si>
    <t>Peugeot 406   228X40</t>
  </si>
  <si>
    <t>LPR07200</t>
  </si>
  <si>
    <t>417.73</t>
  </si>
  <si>
    <t>Opel Astra G/Vectra B    230X42</t>
  </si>
  <si>
    <t>LPR07300</t>
  </si>
  <si>
    <t>Skoda Octavia/VW Caddy 96-   230X32</t>
  </si>
  <si>
    <t>LPR07310</t>
  </si>
  <si>
    <t xml:space="preserve">FIAT Palio 99- \t  185X30 </t>
  </si>
  <si>
    <t>LPR07320</t>
  </si>
  <si>
    <t>MB Vito/Viano 98-  180X20</t>
  </si>
  <si>
    <t>LPR07330</t>
  </si>
  <si>
    <t>398.85</t>
  </si>
  <si>
    <t>Renault Kangoo 98-/03-     203X38</t>
  </si>
  <si>
    <t>LPR07340</t>
  </si>
  <si>
    <t>Renault Kangoo 98-/02-  | Nissan Primera -02        228X42</t>
  </si>
  <si>
    <t>LPR07380</t>
  </si>
  <si>
    <t>Ford Focus I/II   203,2X39</t>
  </si>
  <si>
    <t>LPR07390</t>
  </si>
  <si>
    <t>Ford Mondeo 93-00   228,6X45</t>
  </si>
  <si>
    <t>LPR07410</t>
  </si>
  <si>
    <t>518.70</t>
  </si>
  <si>
    <t>Ford Transit 95-00 14"        254X50</t>
  </si>
  <si>
    <t>LPR07420</t>
  </si>
  <si>
    <t>447.23</t>
  </si>
  <si>
    <t xml:space="preserve">PSA Berlingo 97-/Partner   228X40 </t>
  </si>
  <si>
    <t>LPR07430</t>
  </si>
  <si>
    <t>304.51</t>
  </si>
  <si>
    <t>Peugeot 206   180X32</t>
  </si>
  <si>
    <t>LPR07470</t>
  </si>
  <si>
    <t>475.02</t>
  </si>
  <si>
    <t>Suzuki Grand Vitara 98-     220X42</t>
  </si>
  <si>
    <t>LPR07490</t>
  </si>
  <si>
    <t>Dacia LOGAN 04-   180X42</t>
  </si>
  <si>
    <t>LPR07730</t>
  </si>
  <si>
    <t>370.37</t>
  </si>
  <si>
    <t xml:space="preserve">RENAULT Espace III 01/97-01/02 \t 228X40 </t>
  </si>
  <si>
    <t>LPR07750</t>
  </si>
  <si>
    <t>Smart 0.6/0.8| 1998-    203X32</t>
  </si>
  <si>
    <t>LPR07790</t>
  </si>
  <si>
    <t>Ford TRANSIT 00-   280X64</t>
  </si>
  <si>
    <t>LPR07960</t>
  </si>
  <si>
    <t>397.28</t>
  </si>
  <si>
    <t>MB SPRINTER 95-   160X40</t>
  </si>
  <si>
    <t>LPR08170</t>
  </si>
  <si>
    <t xml:space="preserve">FORD Fiesta MkV (00-) All models 03/02-, Fusion ALL MODELS 10/02-      203X36 </t>
  </si>
  <si>
    <t>LPR08180</t>
  </si>
  <si>
    <t>592.25</t>
  </si>
  <si>
    <t xml:space="preserve">NISSAN Micra 01/03-, Note 03/06-, RENAULT Clio III 06/05-, Modus 12/04- \t 203X38 </t>
  </si>
  <si>
    <t>LPR08200</t>
  </si>
  <si>
    <t>Ford FIESTA 01-   203X38</t>
  </si>
  <si>
    <t>LPR08210</t>
  </si>
  <si>
    <t>650.78</t>
  </si>
  <si>
    <t>Opel Astra G, H  98-    230X42</t>
  </si>
  <si>
    <t>LPR08240</t>
  </si>
  <si>
    <t>601.86</t>
  </si>
  <si>
    <t>HYUNDAI  H200 2.4MPV 97-04 rear  /GALLOPER 98-       270X53</t>
  </si>
  <si>
    <t>LPR08440</t>
  </si>
  <si>
    <t>716.12</t>
  </si>
  <si>
    <t xml:space="preserve">OPEL Movano 98-00, RENAULT Master II  98-00   280X65 </t>
  </si>
  <si>
    <t>LPR08540</t>
  </si>
  <si>
    <t xml:space="preserve">CITROEN Jumper 02/94-, FIAT Ducato 04/02-, PEUGEOT Boxer 09/00-    254X57 </t>
  </si>
  <si>
    <t>LPR08550</t>
  </si>
  <si>
    <t>547.36</t>
  </si>
  <si>
    <t>FORD Tourneo ,Transit Connect    02-        228,6X58</t>
  </si>
  <si>
    <t>LPR08580</t>
  </si>
  <si>
    <t>412.67</t>
  </si>
  <si>
    <t>Ford TRANSIT 00-   254X52</t>
  </si>
  <si>
    <t>LPR08630</t>
  </si>
  <si>
    <t>392.56</t>
  </si>
  <si>
    <t>Dacia LOGAN 04-       203,2X39</t>
  </si>
  <si>
    <t>LPR08640</t>
  </si>
  <si>
    <t>Fiat Scudo, Peugeot Expert  96-02        256X60</t>
  </si>
  <si>
    <t>LPR08870</t>
  </si>
  <si>
    <t>566.22</t>
  </si>
  <si>
    <t>Nissan ALMERA N16  00-      203X37 /4189.00/</t>
  </si>
  <si>
    <t>LPR09020</t>
  </si>
  <si>
    <t>403.39</t>
  </si>
  <si>
    <t>MB  W211/C219 02-  hands brakes       180X25</t>
  </si>
  <si>
    <t>LPR09290</t>
  </si>
  <si>
    <t>530.05</t>
  </si>
  <si>
    <t>CITROEN NEMO 1.4, 1.4 HDI 02/08-   228X40</t>
  </si>
  <si>
    <t>LPR09440</t>
  </si>
  <si>
    <t>HYUNDAI ACCENT III| KIA RIO II 1.4-1.6 03.05-   hand brake  168X32</t>
  </si>
  <si>
    <t>LPR09470</t>
  </si>
  <si>
    <t>907.77</t>
  </si>
  <si>
    <t>MITSUBISHI L200 2,4-3,5  05-           300X51</t>
  </si>
  <si>
    <t>LPR09720</t>
  </si>
  <si>
    <t>MB Vito, 03-</t>
  </si>
  <si>
    <t>LPR09780</t>
  </si>
  <si>
    <t>CHEVROLET Lacetti  03-  (HB)</t>
  </si>
  <si>
    <t>LPR09890</t>
  </si>
  <si>
    <t>610.24</t>
  </si>
  <si>
    <t>DACIA LOGAN MCV / PICK UP / SANDERO / DUSTER 2007-</t>
  </si>
  <si>
    <t>LPR1041</t>
  </si>
  <si>
    <t>1041  LPR - Р“Р°Р»СЊРјС–РІРЅРёР№ С†РёР»С–РЅРґСЂ РіРѕР»РѕРІРЅРёР№</t>
  </si>
  <si>
    <t>1416.86</t>
  </si>
  <si>
    <t>MB SPRINTER/  VW LT 96-</t>
  </si>
  <si>
    <t>LPR1229</t>
  </si>
  <si>
    <t>1229  LPR - Р“Р°Р»СЊРјС–РІРЅРёР№ С†РёР»С–РЅРґСЂ РіРѕР»РѕРІРЅРёР№</t>
  </si>
  <si>
    <t>529.71</t>
  </si>
  <si>
    <t>CITROГ‹N AX  86-98, PEUGEOT 106, 205, 305, 309, 83-98, RENAULT 5, 9, 11, 19, 21, Clio I, 84-98 \t</t>
  </si>
  <si>
    <t>LPR1329</t>
  </si>
  <si>
    <t>1329  LPR - Р“Р°Р»СЊРјС–РІРЅРёР№ С†РёР»С–РЅРґСЂ РіРѕР»РѕРІРЅРёР№</t>
  </si>
  <si>
    <t>1228.00</t>
  </si>
  <si>
    <t>AUDI A4 (8E2, B6)/A4 Avant (8E5, B6) 1.8 T 2000-| A6 97-| Passat 96-</t>
  </si>
  <si>
    <t>LPR1545</t>
  </si>
  <si>
    <t>1545  LPR - Р“Р°Р»СЊРјС–РІРЅРёР№ С†РёР»С–РЅРґСЂ РіРѕР»РѕРІРЅРёР№</t>
  </si>
  <si>
    <t>730.09</t>
  </si>
  <si>
    <t>Ford Transit (1991-) Transit 100</t>
  </si>
  <si>
    <t>LPR1566</t>
  </si>
  <si>
    <t>1566  LPR - Р“Р°Р»СЊРјС–РІРЅРёР№ С†РёР»С–РЅРґСЂ РіРѕР»РѕРІРЅРёР№</t>
  </si>
  <si>
    <t>2160.23</t>
  </si>
  <si>
    <t>VW T5  1.9 TDI, 2.0, 2.5TDI, 3.2 V6 03-,   AUDI A3 2.0 TDI 2003- |   PORSCHE  CAYENNE  LHD  2003-2010 \t</t>
  </si>
  <si>
    <t>LPR1586</t>
  </si>
  <si>
    <t>1586  LPR - Р“Р°Р»СЊРјС–РІРЅРёР№ С†РёР»С–РЅРґСЂ РіРѕР»РѕРІРЅРёР№</t>
  </si>
  <si>
    <t>1248.79</t>
  </si>
  <si>
    <t>MB VITO Bus (638)   96-03</t>
  </si>
  <si>
    <t>LPR1803</t>
  </si>
  <si>
    <t>1803  LPR - Р“Р°Р»СЊРјС–РІРЅРёР№ С†РёР»С–РЅРґСЂ РіРѕР»РѕРІРЅРёР№</t>
  </si>
  <si>
    <t>VW Golf/Jetta   I/II -92|   Renault Rapid -98, Espace -90| Seat Toledo -99</t>
  </si>
  <si>
    <t>LPR1832</t>
  </si>
  <si>
    <t>1832  LPR - Р“Р°Р»СЊРјС–РІРЅРёР№ С†РёР»С–РЅРґСЂ РіРѕР»РѕРІРЅРёР№</t>
  </si>
  <si>
    <t>Opel  Vectra A  1,4-1,8/1,7D 88-   Kadett E, Calibra</t>
  </si>
  <si>
    <t>LPR1862</t>
  </si>
  <si>
    <t>1862  LPR - Р“Р°Р»СЊРјС–РІРЅРёР№ С†РёР»С–РЅРґСЂ РіРѕР»РѕРІРЅРёР№</t>
  </si>
  <si>
    <t>759.27</t>
  </si>
  <si>
    <t>Audi 100/80 -91</t>
  </si>
  <si>
    <t>LPR1890</t>
  </si>
  <si>
    <t>1890  LPR - Р“Р°Р»СЊРјС–РІРЅРёР№ С†РёР»С–РЅРґСЂ РіРѕР»РѕРІРЅРёР№</t>
  </si>
  <si>
    <t>817.44</t>
  </si>
  <si>
    <t>CITROГ‹N JUMPY 95-06, FIAT Scudo 96-06, PEUGEOT 605, 806, EXPERT 90-06 \t</t>
  </si>
  <si>
    <t>LPR1894</t>
  </si>
  <si>
    <t>1894  LPR - Р“Р°Р»СЊРјС–РІРЅРёР№ С†РёР»С–РЅРґСЂ РіРѕР»РѕРІРЅРёР№</t>
  </si>
  <si>
    <t>1093.13</t>
  </si>
  <si>
    <t>Ford Escort (1995-)</t>
  </si>
  <si>
    <t>LPR1952</t>
  </si>
  <si>
    <t>1952  LPR - Р“Р°Р»СЊРјС–РІРЅРёР№ С†РёР»С–РЅРґСЂ РіРѕР»РѕРІРЅРёР№</t>
  </si>
  <si>
    <t>888.55</t>
  </si>
  <si>
    <t>MB Sprinter VW Transporter (Type</t>
  </si>
  <si>
    <t>LPR1954</t>
  </si>
  <si>
    <t>1954  LPR - Р“Р°Р»СЊРјС–РІРЅРёР№ С†РёР»С–РЅРґСЂ РіРѕР»РѕРІРЅРёР№</t>
  </si>
  <si>
    <t>1431.71</t>
  </si>
  <si>
    <t xml:space="preserve">FORD Fiesta (1995-2002) </t>
  </si>
  <si>
    <t>LPR2152</t>
  </si>
  <si>
    <t>2152  LPR - Р¦РёР»С–РЅРґСЂ Р·С‡РµРїР»РµРЅРЅСЏ РіРѕР»РѕРІРЅРёР№</t>
  </si>
  <si>
    <t>734.65</t>
  </si>
  <si>
    <t>FIAT DOBLO All (Valeo)</t>
  </si>
  <si>
    <t>LPR2161</t>
  </si>
  <si>
    <t>2161  LPR - Р¦РёР»С–РЅРґСЂ Р·С‡РµРїР»РµРЅРЅСЏ РіРѕР»РѕРІРЅРёР№</t>
  </si>
  <si>
    <t>1234.29</t>
  </si>
  <si>
    <t>VW T4  91-03  /701721401A, 701721401B/</t>
  </si>
  <si>
    <t>LPR2162</t>
  </si>
  <si>
    <t>2162  LPR - Р¦РёР»С–РЅРґСЂ Р·С‡РµРїР»РµРЅРЅСЏ РіРѕР»РѕРІРЅРёР№</t>
  </si>
  <si>
    <t>617.23</t>
  </si>
  <si>
    <t>Opel Vectra C 02-</t>
  </si>
  <si>
    <t>LPR2184</t>
  </si>
  <si>
    <t>2184  LPR - Р¦РёР»С–РЅРґСЂ Р·С‡РµРїР»РµРЅРЅСЏ РіРѕР»РѕРІРЅРёР№</t>
  </si>
  <si>
    <t>958.08</t>
  </si>
  <si>
    <t>NISSAN INTERSTAR| OPEL MOVANO| RENAULT MASTER II 1.9dCi-3.0D   98-10</t>
  </si>
  <si>
    <t>LPR2186</t>
  </si>
  <si>
    <t>2186  LPR - Р¦РёР»С–РЅРґСЂ Р·С‡РµРїР»РµРЅРЅСЏ РіРѕР»РѕРІРЅРёР№</t>
  </si>
  <si>
    <t>847.14</t>
  </si>
  <si>
    <t>OPEL CORSA C (F08,F68) 1.0 00-  /Combo 01-</t>
  </si>
  <si>
    <t>LPR2195</t>
  </si>
  <si>
    <t>2195  LPR - Р¦РёР»С–РЅРґСЂ Р·С‡РµРїР»РµРЅРЅСЏ РіРѕР»РѕРІРЅРёР№</t>
  </si>
  <si>
    <t>DAEWOO LACETTI 1.4I, 1.6I, 1.8I  04-</t>
  </si>
  <si>
    <t>LPR2214</t>
  </si>
  <si>
    <t>2214  LPR - Р¦РёР»С–РЅРґСЂ Р·С‡РµРїР»РµРЅРЅСЏ РіРѕР»РѕРІРЅРёР№</t>
  </si>
  <si>
    <t>1066.22</t>
  </si>
  <si>
    <t xml:space="preserve">VW Corrado/Passat/Golf II 1.6/1.8 88-97 </t>
  </si>
  <si>
    <t>LPR2219</t>
  </si>
  <si>
    <t>2219  LPR - Р¦РёР»С–РЅРґСЂ Р·С‡РµРїР»РµРЅРЅСЏ РіРѕР»РѕРІРЅРёР№</t>
  </si>
  <si>
    <t>1053.82</t>
  </si>
  <si>
    <t>OPEL Vectra B 95- (15,87mm)</t>
  </si>
  <si>
    <t>LPR2700</t>
  </si>
  <si>
    <t>2700  LPR - Р¦РёР»С–РЅРґСЂ Р·С‡РµРїР»РµРЅРЅСЏ РіРѕР»РѕРІРЅРёР№</t>
  </si>
  <si>
    <t>384.18</t>
  </si>
  <si>
    <t>MB  W123/W124/  DB 406D-613D Transporter   -92</t>
  </si>
  <si>
    <t>LPR3019</t>
  </si>
  <si>
    <t>3019  LPR - Р¦РёР»С–РЅРґСЂ Р·С‡РµРїР»РµРЅРЅСЏ СЂРѕР±РѕС‡РёР№</t>
  </si>
  <si>
    <t>CHEVROLET EPICA 2.0 05-06</t>
  </si>
  <si>
    <t>LPR3020</t>
  </si>
  <si>
    <t>3020  LPR - Р¦РёР»С–РЅРґСЂ Р·С‡РµРїР»РµРЅРЅСЏ СЂРѕР±РѕС‡РёР№</t>
  </si>
  <si>
    <t>CHEVROLET EPICA 2.0 02-05</t>
  </si>
  <si>
    <t>LPR3120</t>
  </si>
  <si>
    <t>3120  LPR - Р¦РёР»С–РЅРґСЂ Р·С‡РµРїР»РµРЅРЅСЏ СЂРѕР±РѕС‡РёР№</t>
  </si>
  <si>
    <t>655.67</t>
  </si>
  <si>
    <t>AUDI A4,A6,A8,Allroad, SKOD</t>
  </si>
  <si>
    <t>LPR3222</t>
  </si>
  <si>
    <t>3222  LPR - Р¦РёР»С–РЅРґСЂ Р·С‡РµРїР»РµРЅРЅСЏ СЂРѕР±РѕС‡РёР№</t>
  </si>
  <si>
    <t>583.51</t>
  </si>
  <si>
    <t>FIAT DOBLO   1.2/1.4/1.6/1.3JTD/1.9D 01-     \nPunto II Valeo</t>
  </si>
  <si>
    <t>LPR3225</t>
  </si>
  <si>
    <t>3225  LPR - Р¦РёР»С–РЅРґСЂ Р·С‡РµРїР»РµРЅРЅСЏ СЂРѕР±РѕС‡РёР№</t>
  </si>
  <si>
    <t>675.76</t>
  </si>
  <si>
    <t xml:space="preserve">FIAT Doblo 1.4/1,6 16v 01- Punto II 1,2 99- Stilo 1,2/1,6 16v 01- </t>
  </si>
  <si>
    <t>LPR3232</t>
  </si>
  <si>
    <t>3232  LPR - Р¦РёР»С–РЅРґСЂ Р·С‡РµРїР»РµРЅРЅСЏ СЂРѕР±РѕС‡РёР№</t>
  </si>
  <si>
    <t>VW Caddy III, Golf V, Passat, Touran| Seat, Altea, Leon| Audi A3 1.4 16V-2.0FSI 03-</t>
  </si>
  <si>
    <t>LPR3240</t>
  </si>
  <si>
    <t>3240  LPR - Р¦РёР»С–РЅРґСЂ Р·С‡РµРїР»РµРЅРЅСЏ СЂРѕР±РѕС‡РёР№</t>
  </si>
  <si>
    <t>1877.90</t>
  </si>
  <si>
    <t>OPEL Astra H 1.4 04-07</t>
  </si>
  <si>
    <t>LPR3479</t>
  </si>
  <si>
    <t>3479  LPR - Р¦РёР»С–РЅРґСЂ Р·С‡РµРїР»РµРЅРЅСЏ СЂРѕР±РѕС‡РёР№</t>
  </si>
  <si>
    <t>1451.80</t>
  </si>
  <si>
    <t xml:space="preserve">FORD  MONDEO II (BAP) 1.6 i,1.6 i </t>
  </si>
  <si>
    <t>LPR3483</t>
  </si>
  <si>
    <t>3483  LPR - Р¦РёР»С–РЅРґСЂ Р·С‡РµРїР»РµРЅРЅСЏ СЂРѕР±РѕС‡РёР№</t>
  </si>
  <si>
    <t>1296.84</t>
  </si>
  <si>
    <t>VW T4 2,5TDi 98-</t>
  </si>
  <si>
    <t>LPR3485</t>
  </si>
  <si>
    <t>3485  LPR - Р¦РёР»С–РЅРґСЂ Р·С‡РµРїР»РµРЅРЅСЏ СЂРѕР±РѕС‡РёР№</t>
  </si>
  <si>
    <t>1664.24</t>
  </si>
  <si>
    <t>Ford Transit 2.0DI   02- |  2,2TDCi 06-</t>
  </si>
  <si>
    <t>LPR3492</t>
  </si>
  <si>
    <t>3492  LPR - Р¦РёР»С–РЅРґСЂ Р·С‡РµРїР»РµРЅРЅСЏ СЂРѕР±РѕС‡РёР№</t>
  </si>
  <si>
    <t>1361.65</t>
  </si>
  <si>
    <t>Ford Focus II/Mazda 3 Volvo  V50/C30  1,6/1,8D/TDCi  2004-</t>
  </si>
  <si>
    <t>LPR3600</t>
  </si>
  <si>
    <t>3600  LPR - Р¦РёР»С–РЅРґСЂ Р·С‡РµРїР»РµРЅРЅСЏ СЂРѕР±РѕС‡РёР№</t>
  </si>
  <si>
    <t>283.37</t>
  </si>
  <si>
    <t>BMW 3 Series 316 (E21,E30)</t>
  </si>
  <si>
    <t>LPR3605</t>
  </si>
  <si>
    <t>3605  LPR - Р¦РёР»С–РЅРґСЂ Р·С‡РµРїР»РµРЅРЅСЏ СЂРѕР±РѕС‡РёР№</t>
  </si>
  <si>
    <t>352.83</t>
  </si>
  <si>
    <t>BMW 3 series M3 (E36) 5 series</t>
  </si>
  <si>
    <t>LPR3622</t>
  </si>
  <si>
    <t>3622  LPR - Р¦РёР»С–РЅРґСЂ Р·С‡РµРїР»РµРЅРЅСЏ СЂРѕР±РѕС‡РёР№</t>
  </si>
  <si>
    <t>810.28</t>
  </si>
  <si>
    <t>Audi A4 A4 Quattro A6 96-  VW Passat 00-</t>
  </si>
  <si>
    <t>LPR3700</t>
  </si>
  <si>
    <t>3700  LPR - Р¦РёР»С–РЅРґСЂ Р·С‡РµРїР»РµРЅРЅСЏ СЂРѕР±РѕС‡РёР№</t>
  </si>
  <si>
    <t>303.60</t>
  </si>
  <si>
    <t>MB (BM460) (R107) (W123) (W124)</t>
  </si>
  <si>
    <t>LPR3702</t>
  </si>
  <si>
    <t>3702  LPR - Р¦РёР»С–РЅРґСЂ Р·С‡РµРїР»РµРЅРЅСЏ СЂРѕР±РѕС‡РёР№</t>
  </si>
  <si>
    <t>317.79</t>
  </si>
  <si>
    <t>MB W123/207 (СЃРёРјРµС‚СЂРёС‡РЅРµ РєСЂС–РїР»РµРЅРЅСЏ) (BM460) (R107) (W108) (W109)</t>
  </si>
  <si>
    <t>LPR4024</t>
  </si>
  <si>
    <t>4024  LPR - Р“Р°Р»СЊРјС–РІРЅРёР№ С†РёР»С–РЅРґСЂ СЂРѕР±РѕС‡РёР№</t>
  </si>
  <si>
    <t>Skoda Felicia 95-98</t>
  </si>
  <si>
    <t>LPR4027</t>
  </si>
  <si>
    <t>4027  LPR - Р“Р°Р»СЊРјС–РІРЅРёР№ С†РёР»С–РЅРґСЂ СЂРѕР±РѕС‡РёР№</t>
  </si>
  <si>
    <t>Renault Kangoo 98- (Normal suspension)</t>
  </si>
  <si>
    <t>LPR4028</t>
  </si>
  <si>
    <t>4028  LPR - Р“Р°Р»СЊРјС–РІРЅРёР№ С†РёР»С–РЅРґСЂ СЂРѕР±РѕС‡РёР№</t>
  </si>
  <si>
    <t>188.64</t>
  </si>
  <si>
    <t>Renault Kangoo 98-  (РЈСЃРёР»РµРЅРЅР°СЏ РїРѕРґРІРµСЃРєР°)</t>
  </si>
  <si>
    <t>LPR4045</t>
  </si>
  <si>
    <t>4045  LPR - Р“Р°Р»СЊРјС–РІРЅРёР№ С†РёР»С–РЅРґСЂ СЂРѕР±РѕС‡РёР№</t>
  </si>
  <si>
    <t>Renault Logan/Clio II</t>
  </si>
  <si>
    <t>LPR4055</t>
  </si>
  <si>
    <t>4055  LPR - Р“Р°Р»СЊРјС–РІРЅРёР№ С†РёР»С–РЅРґСЂ СЂРѕР±РѕС‡РёР№</t>
  </si>
  <si>
    <t>130.14</t>
  </si>
  <si>
    <t>Fiat Doblo 01-05 (Ate)</t>
  </si>
  <si>
    <t>LPR4060</t>
  </si>
  <si>
    <t>4060  LPR - Р“Р°Р»СЊРјС–РІРЅРёР№ С†РёР»С–РЅРґСЂ СЂРѕР±РѕС‡РёР№</t>
  </si>
  <si>
    <t>Daewoo Matiz</t>
  </si>
  <si>
    <t>LPR4070</t>
  </si>
  <si>
    <t>4070  LPR - Р“Р°Р»СЊРјС–РІРЅРёР№ С†РёР»С–РЅРґСЂ СЂРѕР±РѕС‡РёР№</t>
  </si>
  <si>
    <t xml:space="preserve">Hyundai Accent/Getz   02-09   left </t>
  </si>
  <si>
    <t>LPR4071</t>
  </si>
  <si>
    <t>4071  LPR - Р“Р°Р»СЊРјС–РІРЅРёР№ С†РёР»С–РЅРґСЂ СЂРѕР±РѕС‡РёР№</t>
  </si>
  <si>
    <t>Hyundai Accent/Getz   02-09   right</t>
  </si>
  <si>
    <t>LPR4084</t>
  </si>
  <si>
    <t>4084  LPR - Р“Р°Р»СЊРјС–РІРЅРёР№ С†РёР»С–РЅРґСЂ СЂРѕР±РѕС‡РёР№</t>
  </si>
  <si>
    <t>Daewoo Lanos, Nubira (d=17,50mm)\n</t>
  </si>
  <si>
    <t>LPR4085</t>
  </si>
  <si>
    <t>4085  LPR - Р“Р°Р»СЊРјС–РІРЅРёР№ С†РёР»С–РЅРґСЂ СЂРѕР±РѕС‡РёР№</t>
  </si>
  <si>
    <t>213.31</t>
  </si>
  <si>
    <t>Peugeot Boxer  94-01 (APL, 27.00)</t>
  </si>
  <si>
    <t>LPR4154</t>
  </si>
  <si>
    <t>4154  LPR - Р“Р°Р»СЊРјС–РІРЅРёР№ С†РёР»С–РЅРґСЂ СЂРѕР±РѕС‡РёР№</t>
  </si>
  <si>
    <t>Mitsubishi   Spacewagon/SpaceRunner 91-98  /  COLT III  (C5_A) 88-92</t>
  </si>
  <si>
    <t>LPR4169</t>
  </si>
  <si>
    <t>4169  LPR - Р“Р°Р»СЊРјС–РІРЅРёР№ С†РёР»С–РЅРґСЂ СЂРѕР±РѕС‡РёР№</t>
  </si>
  <si>
    <t>Mazda 323 -03/626 -97</t>
  </si>
  <si>
    <t>LPR4171</t>
  </si>
  <si>
    <t>4171  LPR - Р“Р°Р»СЊРјС–РІРЅРёР№ С†РёР»С–РЅРґСЂ СЂРѕР±РѕС‡РёР№</t>
  </si>
  <si>
    <t>136.79</t>
  </si>
  <si>
    <t>Daewoo Lanos (d=17,46mm)\n</t>
  </si>
  <si>
    <t>LPR4244</t>
  </si>
  <si>
    <t>4244  LPR - Р“Р°Р»СЊРјС–РІРЅРёР№ С†РёР»С–РЅРґСЂ СЂРѕР±РѕС‡РёР№</t>
  </si>
  <si>
    <t>153.74</t>
  </si>
  <si>
    <t>VW LT</t>
  </si>
  <si>
    <t>LPR4245</t>
  </si>
  <si>
    <t>4245  LPR - Р“Р°Р»СЊРјС–РІРЅРёР№ С†РёР»С–РЅРґСЂ СЂРѕР±РѕС‡РёР№</t>
  </si>
  <si>
    <t>92.04</t>
  </si>
  <si>
    <t>Daewoo LANOS 97-|   Opel Nexia/AstraF/Kadett E  (d=17,46mm)</t>
  </si>
  <si>
    <t>LPR4248</t>
  </si>
  <si>
    <t>4248  LPR - Р“Р°Р»СЊРјС–РІРЅРёР№ С†РёР»С–РЅРґСЂ СЂРѕР±РѕС‡РёР№</t>
  </si>
  <si>
    <t>78.05</t>
  </si>
  <si>
    <t>Daewoo Lanos/Nexia, Opel AstraF/G, VectraA/B (d=19.05mm)</t>
  </si>
  <si>
    <t>LPR4253</t>
  </si>
  <si>
    <t>4253  LPR - Р“Р°Р»СЊРјС–РІРЅРёР№ С†РёР»С–РЅРґСЂ СЂРѕР±РѕС‡РёР№</t>
  </si>
  <si>
    <t>110.41</t>
  </si>
  <si>
    <t>Opel Combo Kadett E Record E Vau</t>
  </si>
  <si>
    <t>LPR4257</t>
  </si>
  <si>
    <t>4257  LPR - Р“Р°Р»СЊРјС–РІРЅРёР№ С†РёР»С–РЅРґСЂ СЂРѕР±РѕС‡РёР№</t>
  </si>
  <si>
    <t>Ford Escort (1990-1995) Orion (1</t>
  </si>
  <si>
    <t>LPR4258</t>
  </si>
  <si>
    <t>4258  LPR - Р“Р°Р»СЊРјС–РІРЅРёР№ С†РёР»С–РЅРґСЂ СЂРѕР±РѕС‡РёР№</t>
  </si>
  <si>
    <t>128.23</t>
  </si>
  <si>
    <t>Ford Escort (1990-1995) Focus Or</t>
  </si>
  <si>
    <t>LPR4259</t>
  </si>
  <si>
    <t>4259  LPR - Р“Р°Р»СЊРјС–РІРЅРёР№ С†РёР»С–РЅРґСЂ СЂРѕР±РѕС‡РёР№</t>
  </si>
  <si>
    <t>Ford Escort/Focus I</t>
  </si>
  <si>
    <t>LPR4269</t>
  </si>
  <si>
    <t>4269  LPR - Р“Р°Р»СЊРјС–РІРЅРёР№ С†РёР»С–РЅРґСЂ СЂРѕР±РѕС‡РёР№</t>
  </si>
  <si>
    <t>127.71</t>
  </si>
  <si>
    <t>BMW 3 series 316 (E30) 3 series</t>
  </si>
  <si>
    <t>LPR4290</t>
  </si>
  <si>
    <t>4290  LPR - Р“Р°Р»СЊРјС–РІРЅРёР№ С†РёР»С–РЅРґСЂ СЂРѕР±РѕС‡РёР№</t>
  </si>
  <si>
    <t>Audi 80 (1986-1991) 80 (1991-199</t>
  </si>
  <si>
    <t>LPR4292</t>
  </si>
  <si>
    <t>4292  LPR - Р“Р°Р»СЊРјС–РІРЅРёР№ С†РёР»С–РЅРґСЂ СЂРѕР±РѕС‡РёР№</t>
  </si>
  <si>
    <t>Ford Transit -91</t>
  </si>
  <si>
    <t>LPR4299</t>
  </si>
  <si>
    <t>4299  LPR - Р“Р°Р»СЊРјС–РІРЅРёР№ С†РёР»С–РЅРґСЂ СЂРѕР±РѕС‡РёР№</t>
  </si>
  <si>
    <t>140.76</t>
  </si>
  <si>
    <t>Audi 80/100/Passat/Octavia</t>
  </si>
  <si>
    <t>LPR4300</t>
  </si>
  <si>
    <t>4300  LPR - Р“Р°Р»СЊРјС–РІРЅРёР№ С†РёР»С–РЅРґСЂ СЂРѕР±РѕС‡РёР№</t>
  </si>
  <si>
    <t>124.91</t>
  </si>
  <si>
    <t>Skoda Favorit</t>
  </si>
  <si>
    <t>LPR4342</t>
  </si>
  <si>
    <t>4342  LPR - Р“Р°Р»СЊРјС–РІРЅРёР№ С†РёР»С–РЅРґСЂ СЂРѕР±РѕС‡РёР№</t>
  </si>
  <si>
    <t>Toyota Corolla/Carina/Starlet</t>
  </si>
  <si>
    <t>LPR4343</t>
  </si>
  <si>
    <t>4343  LPR - Р“Р°Р»СЊРјС–РІРЅРёР№ С†РёР»С–РЅРґСЂ СЂРѕР±РѕС‡РёР№</t>
  </si>
  <si>
    <t>163.70</t>
  </si>
  <si>
    <t>LPR4372</t>
  </si>
  <si>
    <t>4372  LPR - Р“Р°Р»СЊРјС–РІРЅРёР№ С†РёР»С–РЅРґСЂ СЂРѕР±РѕС‡РёР№</t>
  </si>
  <si>
    <t>Audi 50 80 (1986-1991) 80 (1991-</t>
  </si>
  <si>
    <t>LPR4374</t>
  </si>
  <si>
    <t>4374  LPR - Р“Р°Р»СЊРјС–РІРЅРёР№ С†РёР»С–РЅРґСЂ СЂРѕР±РѕС‡РёР№</t>
  </si>
  <si>
    <t>Audi 80 -96/100/Octavia/Passat</t>
  </si>
  <si>
    <t>LPR4392</t>
  </si>
  <si>
    <t>4392  LPR - Р“Р°Р»СЊРјС–РІРЅРёР№ С†РёР»С–РЅРґСЂ СЂРѕР±РѕС‡РёР№</t>
  </si>
  <si>
    <t>Nissan Primera 90-96</t>
  </si>
  <si>
    <t>LPR4444</t>
  </si>
  <si>
    <t>4444  LPR - Р“Р°Р»СЊРјС–РІРЅРёР№ С†РёР»С–РЅРґСЂ СЂРѕР±РѕС‡РёР№</t>
  </si>
  <si>
    <t>Iveco Daily, LDV Limited CONVOY 97-09   rear</t>
  </si>
  <si>
    <t>LPR4445</t>
  </si>
  <si>
    <t>4445  LPR - Р“Р°Р»СЊРјС–РІРЅРёР№ С†РёР»С–РЅРґСЂ СЂРѕР±РѕС‡РёР№</t>
  </si>
  <si>
    <t>FORD TRANSIT 120| IVECO DAILY|  LDV 400 | CONVOY  65-</t>
  </si>
  <si>
    <t>LPR4453</t>
  </si>
  <si>
    <t>4453  LPR - Р“Р°Р»СЊРјС–РІРЅРёР№ С†РёР»С–РЅРґСЂ СЂРѕР±РѕС‡РёР№</t>
  </si>
  <si>
    <t>74.95</t>
  </si>
  <si>
    <t xml:space="preserve">SEAT IBIZA| MALAGA -1/93 </t>
  </si>
  <si>
    <t>LPR4461</t>
  </si>
  <si>
    <t>4461  LPR - Р“Р°Р»СЊРјС–РІРЅРёР№ С†РёР»С–РЅРґСЂ СЂРѕР±РѕС‡РёР№</t>
  </si>
  <si>
    <t>VAZ 2101-07  (d=20.64)</t>
  </si>
  <si>
    <t>LPR4462</t>
  </si>
  <si>
    <t>4462  LPR - Р“Р°Р»СЊРјС–РІРЅРёР№ С†РёР»С–РЅРґСЂ СЂРѕР±РѕС‡РёР№</t>
  </si>
  <si>
    <t>121.59</t>
  </si>
  <si>
    <t>Fiat Ducato 1.0t, 1.4t  -94  (Lucas, 25.40)</t>
  </si>
  <si>
    <t>LPR4468</t>
  </si>
  <si>
    <t>4468  LPR - Р“Р°Р»СЊРјС–РІРЅРёР№ С†РёР»С–РЅРґСЂ СЂРѕР±РѕС‡РёР№</t>
  </si>
  <si>
    <t>93.12</t>
  </si>
  <si>
    <t>Fiat Tempra 1.4-1.6  90-91 (d=19.05)\n</t>
  </si>
  <si>
    <t>LPR4469</t>
  </si>
  <si>
    <t>4469  LPR - Р“Р°Р»СЊРјС–РІРЅРёР№ С†РёР»С–РЅРґСЂ СЂРѕР±РѕС‡РёР№</t>
  </si>
  <si>
    <t>Fiat Ducato 1.8t  -94  (Lucas, 26.99)</t>
  </si>
  <si>
    <t>LPR4470</t>
  </si>
  <si>
    <t>4470  LPR - Р“Р°Р»СЊРјС–РІРЅРёР№ С†РёР»С–РЅРґСЂ СЂРѕР±РѕС‡РёР№</t>
  </si>
  <si>
    <t>259.44</t>
  </si>
  <si>
    <t>IVECO DAILY 45/49 85-96</t>
  </si>
  <si>
    <t>LPR4482</t>
  </si>
  <si>
    <t>4482  LPR - Р“Р°Р»СЊРјС–РІРЅРёР№ С†РёР»С–РЅРґСЂ СЂРѕР±РѕС‡РёР№</t>
  </si>
  <si>
    <t>177.17</t>
  </si>
  <si>
    <t>CITROГ‹N JUMPY, FIAT SCUDO 1.6i, 1.9D, 1.9TD  94-06\n</t>
  </si>
  <si>
    <t>LPR4485</t>
  </si>
  <si>
    <t>4485  LPR - Р“Р°Р»СЊРјС–РІРЅРёР№ С†РёР»С–РЅРґСЂ СЂРѕР±РѕС‡РёР№</t>
  </si>
  <si>
    <t>174.36</t>
  </si>
  <si>
    <t>Peugeot Boxer 1.0t  94- (Lucas, 25.40)</t>
  </si>
  <si>
    <t>LPR4486</t>
  </si>
  <si>
    <t>4486  LPR - Р“Р°Р»СЊРјС–РІРЅРёР№ С†РёР»С–РЅРґСЂ СЂРѕР±РѕС‡РёР№</t>
  </si>
  <si>
    <t>187.28</t>
  </si>
  <si>
    <t>Peugeot Boxer 1.4t  94- (Lucas, 26.99)\n</t>
  </si>
  <si>
    <t>LPR4487</t>
  </si>
  <si>
    <t>4487  LPR - Р“Р°Р»СЊРјС–РІРЅРёР№ С†РёР»С–РЅРґСЂ СЂРѕР±РѕС‡РёР№</t>
  </si>
  <si>
    <t>Peugeot Boxer 1.8t  94- (Lucas, 28.57)\n</t>
  </si>
  <si>
    <t>LPR4494</t>
  </si>
  <si>
    <t>4494  LPR - Р“Р°Р»СЊРјС–РІРЅРёР№ С†РёР»С–РЅРґСЂ СЂРѕР±РѕС‡РёР№</t>
  </si>
  <si>
    <t>Chevrolet Aveo (d=19.05mm)</t>
  </si>
  <si>
    <t>LPR4508</t>
  </si>
  <si>
    <t>4508  LPR - Р“Р°Р»СЊРјС–РІРЅРёР№ С†РёР»С–РЅРґСЂ СЂРѕР±РѕС‡РёР№</t>
  </si>
  <si>
    <t>140.29</t>
  </si>
  <si>
    <t>CITROEN C15 1.0/1.4i/1.8D (22,20mm)  84-00 Peugeot 305  -90</t>
  </si>
  <si>
    <t>LPR4513</t>
  </si>
  <si>
    <t>4513  LPR - Р“Р°Р»СЊРјС–РІРЅРёР№ С†РёР»С–РЅРґСЂ СЂРѕР±РѕС‡РёР№</t>
  </si>
  <si>
    <t>188.33</t>
  </si>
  <si>
    <t xml:space="preserve">RENAULT Express 89-98 BENDIX </t>
  </si>
  <si>
    <t>LPR4514</t>
  </si>
  <si>
    <t>4514  LPR - Р“Р°Р»СЊРјС–РІРЅРёР№ С†РёР»С–РЅРґСЂ СЂРѕР±РѕС‡РёР№</t>
  </si>
  <si>
    <t xml:space="preserve">Renault Rapid -98  BENDIX </t>
  </si>
  <si>
    <t>LPR4523</t>
  </si>
  <si>
    <t>4523  LPR - Р“Р°Р»СЊРјС–РІРЅРёР№ С†РёР»С–РЅРґСЂ СЂРѕР±РѕС‡РёР№</t>
  </si>
  <si>
    <t>Peugeot 309, 505, Renault 9, 11, 14 ,18 ,21 right  (Lucas, 22.22)</t>
  </si>
  <si>
    <t>LPR4524</t>
  </si>
  <si>
    <t>4524  LPR - Р“Р°Р»СЊРјС–РІРЅРёР№ С†РёР»С–РЅРґСЂ СЂРѕР±РѕС‡РёР№</t>
  </si>
  <si>
    <t>150.25</t>
  </si>
  <si>
    <t>Renault 25 BENDIX  left/rear -92</t>
  </si>
  <si>
    <t>LPR4535</t>
  </si>
  <si>
    <t>4535  LPR - Р“Р°Р»СЊРјС–РІРЅРёР№ С†РёР»С–РЅРґСЂ СЂРѕР±РѕС‡РёР№</t>
  </si>
  <si>
    <t>127.36</t>
  </si>
  <si>
    <t>Peugeot 309, Renault 11, 18 , 21 right  (Bendix, 22.22)</t>
  </si>
  <si>
    <t>LPR4537</t>
  </si>
  <si>
    <t>4537  LPR - Р“Р°Р»СЊРјС–РІРЅРёР№ С†РёР»С–РЅРґСЂ СЂРѕР±РѕС‡РёР№</t>
  </si>
  <si>
    <t>117.75</t>
  </si>
  <si>
    <t>Peugeot 309, Renault 11, 18 , 21 left  (Bendix, 22.22)\n</t>
  </si>
  <si>
    <t>LPR4541</t>
  </si>
  <si>
    <t>4541  LPR - Р“Р°Р»СЊРјС–РІРЅРёР№ С†РёР»С–РЅРґСЂ СЂРѕР±РѕС‡РёР№</t>
  </si>
  <si>
    <t>114.78</t>
  </si>
  <si>
    <t>Renault Trafic 2.1D 900/1100  94-01 (Bendix, 23.81)</t>
  </si>
  <si>
    <t>LPR4547</t>
  </si>
  <si>
    <t>4547  LPR - Р“Р°Р»СЊРјС–РІРЅРёР№ С†РёР»С–РЅРґСЂ СЂРѕР±РѕС‡РёР№</t>
  </si>
  <si>
    <t>Renault 21 Girling left</t>
  </si>
  <si>
    <t>LPR4548</t>
  </si>
  <si>
    <t>4548  LPR - Р“Р°Р»СЊРјС–РІРЅРёР№ С†РёР»С–РЅРґСЂ СЂРѕР±РѕС‡РёР№</t>
  </si>
  <si>
    <t>Renault 21 Girling right</t>
  </si>
  <si>
    <t>LPR4551</t>
  </si>
  <si>
    <t>4551  LPR - Р“Р°Р»СЊРјС–РІРЅРёР№ С†РёР»С–РЅРґСЂ СЂРѕР±РѕС‡РёР№</t>
  </si>
  <si>
    <t>VW Transporter (Type 4)</t>
  </si>
  <si>
    <t>LPR4552</t>
  </si>
  <si>
    <t>4552  LPR - Р“Р°Р»СЊРјС–РІРЅРёР№ С†РёР»С–РЅРґСЂ СЂРѕР±РѕС‡РёР№</t>
  </si>
  <si>
    <t>146.40</t>
  </si>
  <si>
    <t>Ford Mondeo</t>
  </si>
  <si>
    <t>LPR4556</t>
  </si>
  <si>
    <t>4556  LPR - Р“Р°Р»СЊРјС–РІРЅРёР№ С†РёР»С–РЅРґСЂ СЂРѕР±РѕС‡РёР№</t>
  </si>
  <si>
    <t>Astra F/G/Vectra A/B/Corsa</t>
  </si>
  <si>
    <t>LPR4583</t>
  </si>
  <si>
    <t>4583  LPR - Р“Р°Р»СЊРјС–РІРЅРёР№ С†РёР»С–РЅРґСЂ СЂРѕР±РѕС‡РёР№</t>
  </si>
  <si>
    <t>275.16</t>
  </si>
  <si>
    <t>Citroen Xsara ZX Peugeot 206 306</t>
  </si>
  <si>
    <t>LPR4592</t>
  </si>
  <si>
    <t>4592  LPR - Р“Р°Р»СЊРјС–РІРЅРёР№ С†РёР»С–РЅРґСЂ СЂРѕР±РѕС‡РёР№</t>
  </si>
  <si>
    <t>Renault R19</t>
  </si>
  <si>
    <t>LPR4593</t>
  </si>
  <si>
    <t>4593  LPR - Р“Р°Р»СЊРјС–РІРЅРёР№ С†РёР»С–РЅРґСЂ СЂРѕР±РѕС‡РёР№</t>
  </si>
  <si>
    <t>LPR4594</t>
  </si>
  <si>
    <t>4594  LPR - Р“Р°Р»СЊРјС–РІРЅРёР№ С†РёР»С–РЅРґСЂ СЂРѕР±РѕС‡РёР№</t>
  </si>
  <si>
    <t xml:space="preserve"> RENAULT MASTER I,Trafic 89-01 (Girling)   </t>
  </si>
  <si>
    <t>LPR4595</t>
  </si>
  <si>
    <t>4595  LPR - Р“Р°Р»СЊРјС–РІРЅРёР№ С†РёР»С–РЅРґСЂ СЂРѕР±РѕС‡РёР№</t>
  </si>
  <si>
    <t>170.51</t>
  </si>
  <si>
    <t>Renault Megane 96-03 rear</t>
  </si>
  <si>
    <t>LPR4635</t>
  </si>
  <si>
    <t>4635  LPR - Р“Р°Р»СЊРјС–РІРЅРёР№ С†РёР»С–РЅРґСЂ СЂРѕР±РѕС‡РёР№</t>
  </si>
  <si>
    <t>Ford Transit 100 (1991-) Transit</t>
  </si>
  <si>
    <t>LPR4637</t>
  </si>
  <si>
    <t>4637  LPR - Р“Р°Р»СЊРјС–РІРЅРёР№ С†РёР»С–РЅРґСЂ СЂРѕР±РѕС‡РёР№</t>
  </si>
  <si>
    <t>Ford Transit (1991-)</t>
  </si>
  <si>
    <t>LPR4659</t>
  </si>
  <si>
    <t>4659  LPR - Р“Р°Р»СЊРјС–РІРЅРёР№ С†РёР»С–РЅРґСЂ СЂРѕР±РѕС‡РёР№</t>
  </si>
  <si>
    <t>Peugeot 206</t>
  </si>
  <si>
    <t>LPR4674</t>
  </si>
  <si>
    <t>4674  LPR - Р“Р°Р»СЊРјС–РІРЅРёР№ С†РёР»С–РЅРґСЂ СЂРѕР±РѕС‡РёР№</t>
  </si>
  <si>
    <t>280.05</t>
  </si>
  <si>
    <t>Peugeot 207/405</t>
  </si>
  <si>
    <t>LPR4675</t>
  </si>
  <si>
    <t>4675  LPR - Р“Р°Р»СЊРјС–РІРЅРёР№ С†РёР»С–РЅРґСЂ СЂРѕР±РѕС‡РёР№</t>
  </si>
  <si>
    <t>LPR4696</t>
  </si>
  <si>
    <t>4696  LPR - Р“Р°Р»СЊРјС–РІРЅРёР№ С†РёР»С–РЅРґСЂ СЂРѕР±РѕС‡РёР№</t>
  </si>
  <si>
    <t>189.21</t>
  </si>
  <si>
    <t>Renault Logan</t>
  </si>
  <si>
    <t>LPR4738</t>
  </si>
  <si>
    <t>4738  LPR - Р“Р°Р»СЊРјС–РІРЅРёР№ С†РёР»С–РЅРґСЂ СЂРѕР±РѕС‡РёР№</t>
  </si>
  <si>
    <t>Skoda Favorit Felicia Forman</t>
  </si>
  <si>
    <t>LPR4876</t>
  </si>
  <si>
    <t>4876  LPR - Р“Р°Р»СЊРјС–РІРЅРёР№ С†РёР»С–РЅРґСЂ СЂРѕР±РѕС‡РёР№</t>
  </si>
  <si>
    <t>Citroen Berlingo Xsara Picasso P</t>
  </si>
  <si>
    <t>LPR4912</t>
  </si>
  <si>
    <t>4912  LPR - Р“Р°Р»СЊРјС–РІРЅРёР№ С†РёР»С–РЅРґСЂ СЂРѕР±РѕС‡РёР№</t>
  </si>
  <si>
    <t>Audi 80/100/Golf II/III/Pol</t>
  </si>
  <si>
    <t>LPR4913</t>
  </si>
  <si>
    <t>4913  LPR - Р“Р°Р»СЊРјС–РІРЅРёР№ С†РёР»С–РЅРґСЂ СЂРѕР±РѕС‡РёР№</t>
  </si>
  <si>
    <t>VW Golf I/II -92</t>
  </si>
  <si>
    <t>LPR4937</t>
  </si>
  <si>
    <t>4937  LPR - Р“Р°Р»СЊРјС–РІРЅРёР№ С†РёР»С–РЅРґСЂ СЂРѕР±РѕС‡РёР№</t>
  </si>
  <si>
    <t>VW Transporter (Type 2)</t>
  </si>
  <si>
    <t>LPR4959</t>
  </si>
  <si>
    <t>4959  LPR - Р“Р°Р»СЊРјС–РІРЅРёР№ С†РёР»С–РЅРґСЂ СЂРѕР±РѕС‡РёР№</t>
  </si>
  <si>
    <t>VAZ Lada 2108-2109, 110-112  (d=20.64)</t>
  </si>
  <si>
    <t>LPR4962</t>
  </si>
  <si>
    <t>4962  LPR - Р“Р°Р»СЊРјС–РІРЅРёР№ С†РёР»С–РЅРґСЂ СЂРѕР±РѕС‡РёР№</t>
  </si>
  <si>
    <t>93.64</t>
  </si>
  <si>
    <t>Opel Ascona C Corsa A Kadett D K</t>
  </si>
  <si>
    <t>LPR4976</t>
  </si>
  <si>
    <t>4976  LPR - Р“Р°Р»СЊРјС–РІРЅРёР№ С†РёР»С–РЅРґСЂ СЂРѕР±РѕС‡РёР№</t>
  </si>
  <si>
    <t>Ford  Focus 99-04,  Courier Escort -90</t>
  </si>
  <si>
    <t>LPR4977</t>
  </si>
  <si>
    <t>4977  LPR - Р“Р°Р»СЊРјС–РІРЅРёР№ С†РёР»С–РЅРґСЂ СЂРѕР±РѕС‡РёР№</t>
  </si>
  <si>
    <t>Ford SIERRA 87-93</t>
  </si>
  <si>
    <t>LPR4993</t>
  </si>
  <si>
    <t>4993  LPR - Р“Р°Р»СЊРјС–РІРЅРёР№ С†РёР»С–РЅРґСЂ СЂРѕР±РѕС‡РёР№</t>
  </si>
  <si>
    <t>122.47</t>
  </si>
  <si>
    <t>Ford Sapphire Sierra</t>
  </si>
  <si>
    <t>LPR4999</t>
  </si>
  <si>
    <t>4999  LPR - Р“Р°Р»СЊРјС–РІРЅРёР№ С†РёР»С–РЅРґСЂ СЂРѕР±РѕС‡РёР№</t>
  </si>
  <si>
    <t>100.80</t>
  </si>
  <si>
    <t>Audi 80/Golf III/Polo</t>
  </si>
  <si>
    <t>LPR5307</t>
  </si>
  <si>
    <t>5307  LPR - Р“Р°Р»СЊРјС–РІРЅРёР№ С†РёР»С–РЅРґСЂ СЂРѕР±РѕС‡РёР№</t>
  </si>
  <si>
    <t>142.61</t>
  </si>
  <si>
    <t>MB Transporter</t>
  </si>
  <si>
    <t>LPR6706</t>
  </si>
  <si>
    <t>6706  LPR - Р“Р°Р»СЊРјС–РІРЅРёР№ С†РёР»С–РЅРґСЂ РіРѕР»РѕРІРЅРёР№</t>
  </si>
  <si>
    <t>VAZ 2101-06  (d=19.05)</t>
  </si>
  <si>
    <t>LPR6757</t>
  </si>
  <si>
    <t>6757  LPR - Р“Р°Р»СЊРјС–РІРЅРёР№ С†РёР»С–РЅРґСЂ РіРѕР»РѕРІРЅРёР№</t>
  </si>
  <si>
    <t>326.17</t>
  </si>
  <si>
    <t>RITMO/REGATA</t>
  </si>
  <si>
    <t>LPR6762</t>
  </si>
  <si>
    <t>6762  LPR - Р“Р°Р»СЊРјС–РІРЅРёР№ С†РёР»С–РЅРґСЂ РіРѕР»РѕРІРЅРёР№</t>
  </si>
  <si>
    <t>AR AR6 Citroen C25 Fiat Ducato (1</t>
  </si>
  <si>
    <t>LPR6788</t>
  </si>
  <si>
    <t>6788  LPR - Р“Р°Р»СЊРјС–РІРЅРёР№ С†РёР»С–РЅРґСЂ РіРѕР»РѕРІРЅРёР№</t>
  </si>
  <si>
    <t>1164.76</t>
  </si>
  <si>
    <t>IVECO DAILY II 2.5/2.8  96-99</t>
  </si>
  <si>
    <t>LPR6T46004</t>
  </si>
  <si>
    <t>6T46004  LPR - Р“Р°Р»СЊРјС–РІРЅРёР№ С€Р»Р°РЅРі</t>
  </si>
  <si>
    <t>6T46004</t>
  </si>
  <si>
    <t>DACIA LOGAN Limousine (LS_) (04-) DACIA LOGAN MCV Kombi (KS_) (07-)/ SANDERO (08-)     RENAULT 5 1.0/ 1.4 | RAPID С„СѓСЂРіРѕРЅ, R21 NEVADA(86-95)</t>
  </si>
  <si>
    <t>LPR6T46008</t>
  </si>
  <si>
    <t>6T46008  LPR - Р“Р°Р»СЊРјС–РІРЅРёР№ С€Р»Р°РЅРі</t>
  </si>
  <si>
    <t>6T46008</t>
  </si>
  <si>
    <t xml:space="preserve">RENAULT Espace III </t>
  </si>
  <si>
    <t>LPR6T46011</t>
  </si>
  <si>
    <t>6T46011  LPR - Р“Р°Р»СЊРјС–РІРЅРёР№ С€Р»Р°РЅРі</t>
  </si>
  <si>
    <t>6T46011</t>
  </si>
  <si>
    <t xml:space="preserve">RENAULT Clio I 86-98 </t>
  </si>
  <si>
    <t>LPR6T46027</t>
  </si>
  <si>
    <t>6T46027  LPR - Р“Р°Р»СЊРјС–РІРЅРёР№ С€Р»Р°РЅРі</t>
  </si>
  <si>
    <t>6T46027</t>
  </si>
  <si>
    <t>Peugeot 605 10 / 89-&gt;06 / 94 2.0/2</t>
  </si>
  <si>
    <t>LPR6T46110</t>
  </si>
  <si>
    <t>6T46110  LPR - Р“Р°Р»СЊРјС–РІРЅРёР№ С€Р»Р°РЅРі</t>
  </si>
  <si>
    <t>6T46110</t>
  </si>
  <si>
    <t>Ford Escort Orion</t>
  </si>
  <si>
    <t>LPR6T46112</t>
  </si>
  <si>
    <t>6T46112  LPR - Р“Р°Р»СЊРјС–РІРЅРёР№ С€Р»Р°РЅРі</t>
  </si>
  <si>
    <t>6T46112</t>
  </si>
  <si>
    <t>Ford Escort 1980-&gt;1986 Escort III</t>
  </si>
  <si>
    <t>LPR6T46114</t>
  </si>
  <si>
    <t>6T46114  LPR - Р“Р°Р»СЊРјС–РІРЅРёР№ С€Р»Р°РЅРі</t>
  </si>
  <si>
    <t>104.65</t>
  </si>
  <si>
    <t>6T46114</t>
  </si>
  <si>
    <t>Ford Scorpio, Sierra 85-92 rear, 345mm</t>
  </si>
  <si>
    <t>LPR6T46115</t>
  </si>
  <si>
    <t>6T46115  LPR - Р“Р°Р»СЊРјС–РІРЅРёР№ С€Р»Р°РЅРі</t>
  </si>
  <si>
    <t>78.09</t>
  </si>
  <si>
    <t>6T46115</t>
  </si>
  <si>
    <t>Ford Sierra  01 / 87-&gt; All</t>
  </si>
  <si>
    <t>LPR6T46118</t>
  </si>
  <si>
    <t>6T46118  LPR - Р“Р°Р»СЊРјС–РІРЅРёР№ С€Р»Р°РЅРі</t>
  </si>
  <si>
    <t>6T46118</t>
  </si>
  <si>
    <t>Daewoo Espero/Lanos/Nexia Р·Р°РґРЅС–Р№ Р»С–РІ/РїСЂР°РІ</t>
  </si>
  <si>
    <t>LPR6T46121</t>
  </si>
  <si>
    <t>6T46121  LPR - Р“Р°Р»СЊРјС–РІРЅРёР№ С€Р»Р°РЅРі</t>
  </si>
  <si>
    <t>6T46121</t>
  </si>
  <si>
    <t>Audi 100 80 90 Seat Toledo VW CADDY</t>
  </si>
  <si>
    <t>LPR6T46124</t>
  </si>
  <si>
    <t>6T46124  LPR - Р“Р°Р»СЊРјС–РІРЅРёР№ С€Р»Р°РЅРі</t>
  </si>
  <si>
    <t>6T46124</t>
  </si>
  <si>
    <t>Volvo 740 760 780 850 940 960 S70 V70</t>
  </si>
  <si>
    <t>LPR6T46125</t>
  </si>
  <si>
    <t>6T46125  LPR - Р“Р°Р»СЊРјС–РІРЅРёР№ С€Р»Р°РЅРі</t>
  </si>
  <si>
    <t>88.92</t>
  </si>
  <si>
    <t>6T46125</t>
  </si>
  <si>
    <t>BMW 316, 318I, 320I, 324D Volvo 740 760</t>
  </si>
  <si>
    <t>LPR6T46130</t>
  </si>
  <si>
    <t>6T46130  LPR - Р“Р°Р»СЊРјС–РІРЅРёР№ С€Р»Р°РЅРі</t>
  </si>
  <si>
    <t>89.27</t>
  </si>
  <si>
    <t>6T46130</t>
  </si>
  <si>
    <t>Audi 100 AVant 82-91</t>
  </si>
  <si>
    <t>LPR6T46137</t>
  </si>
  <si>
    <t>6T46137  LPR - Р“Р°Р»СЊРјС–РІРЅРёР№ С€Р»Р°РЅРі</t>
  </si>
  <si>
    <t>74.42</t>
  </si>
  <si>
    <t>6T46137</t>
  </si>
  <si>
    <t>MB T124 200-300 03.86-&gt;06</t>
  </si>
  <si>
    <t>LPR6T46154</t>
  </si>
  <si>
    <t>6T46154  LPR - Р“Р°Р»СЊРјС–РІРЅРёР№ С€Р»Р°РЅРі</t>
  </si>
  <si>
    <t>6T46154</t>
  </si>
  <si>
    <t>DB W123, VOLKSWAGEN LT 28-35 12/82-09/93</t>
  </si>
  <si>
    <t>LPR6T46156</t>
  </si>
  <si>
    <t>6T46156  LPR - Р“Р°Р»СЊРјС–РІРЅРёР№ С€Р»Р°РЅРі</t>
  </si>
  <si>
    <t>6T46156</t>
  </si>
  <si>
    <t>LPR6T46160</t>
  </si>
  <si>
    <t>6T46160  LPR - Р“Р°Р»СЊРјС–РІРЅРёР№ С€Р»Р°РЅРі</t>
  </si>
  <si>
    <t>6T46160</t>
  </si>
  <si>
    <t>Audi 100</t>
  </si>
  <si>
    <t>LPR6T46161</t>
  </si>
  <si>
    <t>6T46161  LPR - Р“Р°Р»СЊРјС–РІРЅРёР№ С€Р»Р°РЅРі</t>
  </si>
  <si>
    <t>76.35</t>
  </si>
  <si>
    <t>6T46161</t>
  </si>
  <si>
    <t>Audi 100, 200 + Quattro 86-91</t>
  </si>
  <si>
    <t>LPR6T46162</t>
  </si>
  <si>
    <t>6T46162  LPR - Р“Р°Р»СЊРјС–РІРЅРёР№ С€Р»Р°РЅРі</t>
  </si>
  <si>
    <t>103.25</t>
  </si>
  <si>
    <t>6T46162</t>
  </si>
  <si>
    <t>BMW series 5 E34 All models exc</t>
  </si>
  <si>
    <t>LPR6T46181</t>
  </si>
  <si>
    <t>6T46181  LPR - Р“Р°Р»СЊРјС–РІРЅРёР№ С€Р»Р°РЅРі</t>
  </si>
  <si>
    <t>101.15</t>
  </si>
  <si>
    <t>6T46181</t>
  </si>
  <si>
    <t>Daewoo Espero/Lanos/Nexia РїРµСЂРµРґРЅС–Р№ Р»С–РІ/РїСЂР°РІ</t>
  </si>
  <si>
    <t>LPR6T46214</t>
  </si>
  <si>
    <t>6T46214  LPR - Р“Р°Р»СЊРјС–РІРЅРёР№ С€Р»Р°РЅРі</t>
  </si>
  <si>
    <t>6T46214</t>
  </si>
  <si>
    <t>Ford Scorpio, Sierra 85-92 rear, 340mm</t>
  </si>
  <si>
    <t>LPR6T46223</t>
  </si>
  <si>
    <t>6T46223  LPR - Р“Р°Р»СЊРјС–РІРЅРёР№ С€Р»Р°РЅРі</t>
  </si>
  <si>
    <t>6T46223</t>
  </si>
  <si>
    <t>Ford Escort 90-95</t>
  </si>
  <si>
    <t>LPR6T46233</t>
  </si>
  <si>
    <t>6T46233  LPR - Р“Р°Р»СЊРјС–РІРЅРёР№ С€Р»Р°РЅРі</t>
  </si>
  <si>
    <t>132.08</t>
  </si>
  <si>
    <t>6T46233</t>
  </si>
  <si>
    <t xml:space="preserve">FIAT Uno (146A)  86-93 </t>
  </si>
  <si>
    <t>LPR6T46268</t>
  </si>
  <si>
    <t>6T46268  LPR - Р“Р°Р»СЊРјС–РІРЅРёР№ С€Р»Р°РЅРі</t>
  </si>
  <si>
    <t>98.53</t>
  </si>
  <si>
    <t>6T46268</t>
  </si>
  <si>
    <t>VW Transporter T4</t>
  </si>
  <si>
    <t>LPR6T46269</t>
  </si>
  <si>
    <t>6T46269  LPR - Р“Р°Р»СЊРјС–РІРЅРёР№ С€Р»Р°РЅРі</t>
  </si>
  <si>
    <t>6T46269</t>
  </si>
  <si>
    <t>Audi 80 08 / 86-&gt;08 / 95 All</t>
  </si>
  <si>
    <t>LPR6T46279</t>
  </si>
  <si>
    <t>6T46279  LPR - Р“Р°Р»СЊРјС–РІРЅРёР№ С€Р»Р°РЅРі</t>
  </si>
  <si>
    <t>165.62</t>
  </si>
  <si>
    <t>6T46279</t>
  </si>
  <si>
    <t>MAZDA 323/626</t>
  </si>
  <si>
    <t>LPR6T46282</t>
  </si>
  <si>
    <t>6T46282  LPR - Р“Р°Р»СЊРјС–РІРЅРёР№ С€Р»Р°РЅРі</t>
  </si>
  <si>
    <t>6T46282</t>
  </si>
  <si>
    <t>Mazda 626 -92</t>
  </si>
  <si>
    <t>LPR6T46314</t>
  </si>
  <si>
    <t>6T46314  LPR - Р“Р°Р»СЊРјС–РІРЅРёР№ С€Р»Р°РЅРі</t>
  </si>
  <si>
    <t>64.82</t>
  </si>
  <si>
    <t>6T46314</t>
  </si>
  <si>
    <t>BMW series 3 E36 316i 100 PS</t>
  </si>
  <si>
    <t>LPR6T46315</t>
  </si>
  <si>
    <t>6T46315  LPR - Р“Р°Р»СЊРјС–РІРЅРёР№ С€Р»Р°РЅРі</t>
  </si>
  <si>
    <t>89.80</t>
  </si>
  <si>
    <t>6T46315</t>
  </si>
  <si>
    <t>BMW series 3 E36</t>
  </si>
  <si>
    <t>LPR6T46340</t>
  </si>
  <si>
    <t>6T46340  LPR - Р“Р°Р»СЊРјС–РІРЅРёР№ С€Р»Р°РЅРі</t>
  </si>
  <si>
    <t>67.26</t>
  </si>
  <si>
    <t>6T46340</t>
  </si>
  <si>
    <t>LPR6T46343</t>
  </si>
  <si>
    <t>6T46343  LPR - Р“Р°Р»СЊРјС–РІРЅРёР№ С€Р»Р°РЅРі</t>
  </si>
  <si>
    <t>6T46343</t>
  </si>
  <si>
    <t>VW Golf III 11.91-&gt; 2.0/2.</t>
  </si>
  <si>
    <t>LPR6T46536</t>
  </si>
  <si>
    <t>6T46536  LPR - Р“Р°Р»СЊРјС–РІРЅРёР№ С€Р»Р°РЅРі</t>
  </si>
  <si>
    <t>75.82</t>
  </si>
  <si>
    <t>6T46536</t>
  </si>
  <si>
    <t>Audi 80 08 / 86-&gt;08 / 91 All</t>
  </si>
  <si>
    <t>LPR6T46541</t>
  </si>
  <si>
    <t>6T46541  LPR - Р“Р°Р»СЊРјС–РІРЅРёР№ С€Р»Р°РЅРі</t>
  </si>
  <si>
    <t>6T46541</t>
  </si>
  <si>
    <t>Jumper/Boxer/Ducato -02</t>
  </si>
  <si>
    <t>LPR6T46542</t>
  </si>
  <si>
    <t>6T46542  LPR - Р“Р°Р»СЊРјС–РІРЅРёР№ С€Р»Р°РЅРі</t>
  </si>
  <si>
    <t>6T46542</t>
  </si>
  <si>
    <t>LPR6T46555</t>
  </si>
  <si>
    <t>6T46555  LPR - Р“Р°Р»СЊРјС–РІРЅРёР№ С€Р»Р°РЅРі</t>
  </si>
  <si>
    <t>6T46555</t>
  </si>
  <si>
    <t>Renault Laguna</t>
  </si>
  <si>
    <t>LPR6T46559</t>
  </si>
  <si>
    <t>6T46559  LPR - Р“Р°Р»СЊРјС–РІРЅРёР№ С€Р»Р°РЅРі</t>
  </si>
  <si>
    <t>163.35</t>
  </si>
  <si>
    <t>6T46559</t>
  </si>
  <si>
    <t>Peugeot 806/Citroen 97-02</t>
  </si>
  <si>
    <t>LPR6T46564</t>
  </si>
  <si>
    <t>6T46564  LPR - Р“Р°Р»СЊРјС–РІРЅРёР№ С€Р»Р°РЅРі</t>
  </si>
  <si>
    <t>70.06</t>
  </si>
  <si>
    <t>6T46564</t>
  </si>
  <si>
    <t>Audi 100 200 VW Golf II Volvo 340 -</t>
  </si>
  <si>
    <t>LPR6T46584</t>
  </si>
  <si>
    <t>6T46584  LPR - Р“Р°Р»СЊРјС–РІРЅРёР№ С€Р»Р°РЅРі</t>
  </si>
  <si>
    <t>6T46584</t>
  </si>
  <si>
    <t>Audi A4 Quattro 1.8 115 / 125 / 15</t>
  </si>
  <si>
    <t>LPR6T46585</t>
  </si>
  <si>
    <t>6T46585  LPR - Р“Р°Р»СЊРјС–РІРЅРёР№ С€Р»Р°РЅРі</t>
  </si>
  <si>
    <t>6T46585</t>
  </si>
  <si>
    <t>Audi A6 94-97</t>
  </si>
  <si>
    <t>LPR6T46588</t>
  </si>
  <si>
    <t>6T46588  LPR - Р“Р°Р»СЊРјС–РІРЅРёР№ С€Р»Р°РЅРі</t>
  </si>
  <si>
    <t>6T46588</t>
  </si>
  <si>
    <t>Ford Mondeo (drum) 93--&gt;</t>
  </si>
  <si>
    <t>LPR6T46609</t>
  </si>
  <si>
    <t>6T46609  LPR - Р“Р°Р»СЊРјС–РІРЅРёР№ С€Р»Р°РЅРі</t>
  </si>
  <si>
    <t>6T46609</t>
  </si>
  <si>
    <t>PEUGEOT 405 07/87-12/92, RENAULT ESPACE III 11/96-, TWINGO 03/93-</t>
  </si>
  <si>
    <t>LPR6T46616</t>
  </si>
  <si>
    <t>6T46616  LPR - Р“Р°Р»СЊРјС–РІРЅРёР№ С€Р»Р°РЅРі</t>
  </si>
  <si>
    <t>108.14</t>
  </si>
  <si>
    <t>6T46616</t>
  </si>
  <si>
    <t>Citroen Berlingo 96-,  Peugeot Partner 96-\n</t>
  </si>
  <si>
    <t>LPR6T46655</t>
  </si>
  <si>
    <t>6T46655  LPR - Р“Р°Р»СЊРјС–РІРЅРёР№ С€Р»Р°РЅРі</t>
  </si>
  <si>
    <t>6T46655</t>
  </si>
  <si>
    <t>Ford Escort 01 / 95-&gt; All models</t>
  </si>
  <si>
    <t>LPR6T46680</t>
  </si>
  <si>
    <t>6T46680  LPR - Р“Р°Р»СЊРјС–РІРЅРёР№ С€Р»Р°РЅРі</t>
  </si>
  <si>
    <t>6T46680</t>
  </si>
  <si>
    <t>HONDA CIVIC I 10/83-</t>
  </si>
  <si>
    <t>LPR6T46685</t>
  </si>
  <si>
    <t>6T46685  LPR - Р“Р°Р»СЊРјС–РІРЅРёР№ С€Р»Р°РЅРі</t>
  </si>
  <si>
    <t>6T46685</t>
  </si>
  <si>
    <t>MB C 180-200-220-240-320 CLK 200-230-3</t>
  </si>
  <si>
    <t>LPR6T46696</t>
  </si>
  <si>
    <t>6T46696  LPR - Р“Р°Р»СЊРјС–РІРЅРёР№ С€Р»Р°РЅРі</t>
  </si>
  <si>
    <t>6T46696</t>
  </si>
  <si>
    <t>Audi 80 91-92/VW Passat 96-</t>
  </si>
  <si>
    <t>LPR6T46704</t>
  </si>
  <si>
    <t>6T46704  LPR - Р“Р°Р»СЊРјС–РІРЅРёР№ С€Р»Р°РЅРі</t>
  </si>
  <si>
    <t>6T46704</t>
  </si>
  <si>
    <t>VW Transporter</t>
  </si>
  <si>
    <t>LPR6T46735</t>
  </si>
  <si>
    <t>6T46735  LPR - Р“Р°Р»СЊРјС–РІРЅРёР№ С€Р»Р°РЅРі</t>
  </si>
  <si>
    <t>70.58</t>
  </si>
  <si>
    <t>6T46735</t>
  </si>
  <si>
    <t>Audi A3 Skoda OCTAVIA VW BORA Golf IV</t>
  </si>
  <si>
    <t>LPR6T46738</t>
  </si>
  <si>
    <t>6T46738  LPR - Р“Р°Р»СЊРјС–РІРЅРёР№ С€Р»Р°РЅРі</t>
  </si>
  <si>
    <t>171.04</t>
  </si>
  <si>
    <t>6T46738</t>
  </si>
  <si>
    <t>SKODA FABIA 04/00-12/07, VOLKSWAGEN POLO 10/01-</t>
  </si>
  <si>
    <t>LPR6T46740</t>
  </si>
  <si>
    <t>6T46740  LPR - Р“Р°Р»СЊРјС–РІРЅРёР№ С€Р»Р°РЅРі</t>
  </si>
  <si>
    <t>6T46740</t>
  </si>
  <si>
    <t>CITROГ‹N C25 11/81-01/94, FIAT DUCATO 01/82-08/90, PEUGEOT J5 09/90-01/94</t>
  </si>
  <si>
    <t>LPR6T46742</t>
  </si>
  <si>
    <t>6T46742  LPR - Р“Р°Р»СЊРјС–РІРЅРёР№ С€Р»Р°РЅРі</t>
  </si>
  <si>
    <t>92.77</t>
  </si>
  <si>
    <t>6T46742</t>
  </si>
  <si>
    <t>Audi A6</t>
  </si>
  <si>
    <t>LPR6T46755</t>
  </si>
  <si>
    <t>6T46755  LPR - Р“Р°Р»СЊРјС–РІРЅРёР№ С€Р»Р°РЅРі</t>
  </si>
  <si>
    <t>6T46755</t>
  </si>
  <si>
    <t>LPR6T46767</t>
  </si>
  <si>
    <t>6T46767  LPR - Р“Р°Р»СЊРјС–РІРЅРёР№ С€Р»Р°РЅРі</t>
  </si>
  <si>
    <t>88.40</t>
  </si>
  <si>
    <t>6T46767</t>
  </si>
  <si>
    <t>PEUGEOT  206 1.4, 1.6 16V 98-            front</t>
  </si>
  <si>
    <t>LPR6T46771</t>
  </si>
  <si>
    <t>6T46771  LPR - Р“Р°Р»СЊРјС–РІРЅРёР№ С€Р»Р°РЅРі</t>
  </si>
  <si>
    <t>6T46771</t>
  </si>
  <si>
    <t>Ford Mondeo II 2.5L</t>
  </si>
  <si>
    <t>LPR6T46776</t>
  </si>
  <si>
    <t>6T46776  LPR - Р“Р°Р»СЊРјС–РІРЅРёР№ С€Р»Р°РЅРі</t>
  </si>
  <si>
    <t>90.85</t>
  </si>
  <si>
    <t>6T46776</t>
  </si>
  <si>
    <t>Renault Kangoo, Grand Modus, Kangoo, Kangoo Express, Modus   97-  rear  (193mm)</t>
  </si>
  <si>
    <t>LPR6T46780</t>
  </si>
  <si>
    <t>6T46780  LPR - Р“Р°Р»СЊРјС–РІРЅРёР№ С€Р»Р°РЅРі</t>
  </si>
  <si>
    <t>6T46780</t>
  </si>
  <si>
    <t>FORD COURIER 02/96-, FIESTA IV 08/95-01/02</t>
  </si>
  <si>
    <t>LPR6T46793</t>
  </si>
  <si>
    <t>6T46793  LPR - Р“Р°Р»СЊРјС–РІРЅРёР№ С€Р»Р°РЅРі</t>
  </si>
  <si>
    <t>6T46793</t>
  </si>
  <si>
    <t>Opel Astra G 98-05</t>
  </si>
  <si>
    <t>LPR6T46797</t>
  </si>
  <si>
    <t>6T46797  LPR - Р“Р°Р»СЊРјС–РІРЅРёР№ С€Р»Р°РЅРі</t>
  </si>
  <si>
    <t>6T46797</t>
  </si>
  <si>
    <t>Audi 80 90</t>
  </si>
  <si>
    <t>LPR6T46800</t>
  </si>
  <si>
    <t>6T46800  LPR - Р“Р°Р»СЊРјС–РІРЅРёР№ С€Р»Р°РЅРі</t>
  </si>
  <si>
    <t>99.06</t>
  </si>
  <si>
    <t>6T46800</t>
  </si>
  <si>
    <t>Audi A6 / VW Passat 95-&gt;</t>
  </si>
  <si>
    <t>LPR6T46881</t>
  </si>
  <si>
    <t>6T46881  LPR - Р“Р°Р»СЊРјС–РІРЅРёР№ С€Р»Р°РЅРі</t>
  </si>
  <si>
    <t>6T46881</t>
  </si>
  <si>
    <t>Audi A4</t>
  </si>
  <si>
    <t>LPR6T46900</t>
  </si>
  <si>
    <t>6T46900  LPR - Р“Р°Р»СЊРјС–РІРЅРёР№ С€Р»Р°РЅРі</t>
  </si>
  <si>
    <t>6T46900</t>
  </si>
  <si>
    <t>MB C180 - C200 - C220 - C280</t>
  </si>
  <si>
    <t>LPR6T46904</t>
  </si>
  <si>
    <t>6T46904  LPR - Р“Р°Р»СЊРјС–РІРЅРёР№ С€Р»Р°РЅРі</t>
  </si>
  <si>
    <t>6T46904</t>
  </si>
  <si>
    <t>MB 250 280 C180 - C200 - C220D - C250T</t>
  </si>
  <si>
    <t>LPR6T47085</t>
  </si>
  <si>
    <t>6T47085  LPR - Р“Р°Р»СЊРјС–РІРЅРёР№ С€Р»Р°РЅРі</t>
  </si>
  <si>
    <t>150.77</t>
  </si>
  <si>
    <t>6T47085</t>
  </si>
  <si>
    <t>OPEL Astra F/Vectra A front 88-</t>
  </si>
  <si>
    <t>LPR6T47162</t>
  </si>
  <si>
    <t>6T47162  LPR - Р“Р°Р»СЊРјС–РІРЅРёР№ С€Р»Р°РЅРі</t>
  </si>
  <si>
    <t>6T47162</t>
  </si>
  <si>
    <t>VW Transporter III</t>
  </si>
  <si>
    <t>LPR6T47366</t>
  </si>
  <si>
    <t>6T47366  LPR - Р“Р°Р»СЊРјС–РІРЅРёР№ С€Р»Р°РЅРі</t>
  </si>
  <si>
    <t>95.56</t>
  </si>
  <si>
    <t>6T47366</t>
  </si>
  <si>
    <t>MB Sprinter 95-</t>
  </si>
  <si>
    <t>LPR6T47371</t>
  </si>
  <si>
    <t>6T47371  LPR - Р“Р°Р»СЊРјС–РІРЅРёР№ С€Р»Р°РЅРі</t>
  </si>
  <si>
    <t>6T47371</t>
  </si>
  <si>
    <t>VW  LT 28-46 II   96-06  left/right, MB MB100 Bus (631) 90-96</t>
  </si>
  <si>
    <t>LPR6T47373</t>
  </si>
  <si>
    <t>6T47373  LPR - Р“Р°Р»СЊРјС–РІРЅРёР№ С€Р»Р°РЅРі</t>
  </si>
  <si>
    <t>148.85</t>
  </si>
  <si>
    <t>6T47373</t>
  </si>
  <si>
    <t>MB Vito 96-</t>
  </si>
  <si>
    <t>LPR6T47605</t>
  </si>
  <si>
    <t>6T47605  LPR - Р“Р°Р»СЊРјС–РІРЅРёР№ С€Р»Р°РЅРі</t>
  </si>
  <si>
    <t>6T47605</t>
  </si>
  <si>
    <t>MAZDA 323, 626, Premacy 97-03</t>
  </si>
  <si>
    <t>LPR6T47685</t>
  </si>
  <si>
    <t>6T47685  LPR - Р“Р°Р»СЊРјС–РІРЅРёР№ С€Р»Р°РЅРі</t>
  </si>
  <si>
    <t>6T47685</t>
  </si>
  <si>
    <t>FORD FIESTA 01-08  rear</t>
  </si>
  <si>
    <t>LPR6T47847</t>
  </si>
  <si>
    <t>6T47847  LPR - Р“Р°Р»СЊРјС–РІРЅРёР№ С€Р»Р°РЅРі</t>
  </si>
  <si>
    <t>6T47847</t>
  </si>
  <si>
    <t>PEUGEOT EXPERT  96-  front</t>
  </si>
  <si>
    <t>LPR6T47850</t>
  </si>
  <si>
    <t>6T47850  LPR - Р“Р°Р»СЊРјС–РІРЅРёР№ С€Р»Р°РЅРі</t>
  </si>
  <si>
    <t>6T47850</t>
  </si>
  <si>
    <t>CITROГ‹N JUMPER 03/94-04/02, FIAT DUCATO 03/94-04/02, PEUGEOT BOXER 03/94-</t>
  </si>
  <si>
    <t>LPR6T47870</t>
  </si>
  <si>
    <t>6T47870  LPR - Р“Р°Р»СЊРјС–РІРЅРёР№ С€Р»Р°РЅРі</t>
  </si>
  <si>
    <t>6T47870</t>
  </si>
  <si>
    <t>AUDI A4 10/95-11/00, A8 10/02-07/10, SKODA SUPERB 02/02-03/08, VOLKSWAGEN PASSAT 10/96-05/05</t>
  </si>
  <si>
    <t>LPR6T47889</t>
  </si>
  <si>
    <t>6T47889  LPR - Р“Р°Р»СЊРјС–РІРЅРёР№ С€Р»Р°РЅРі</t>
  </si>
  <si>
    <t>6T47889</t>
  </si>
  <si>
    <t>VW Golf V, Caddy 04-</t>
  </si>
  <si>
    <t>LPR6T47898</t>
  </si>
  <si>
    <t>6T47898  LPR - Р“Р°Р»СЊРјС–РІРЅРёР№ С€Р»Р°РЅРі</t>
  </si>
  <si>
    <t>142.56</t>
  </si>
  <si>
    <t>6T47898</t>
  </si>
  <si>
    <t>MERCEDES VIANO, VITO 2003-  (front, left/right)</t>
  </si>
  <si>
    <t>LPR6T47900</t>
  </si>
  <si>
    <t>6T47900  LPR - Р“Р°Р»СЊРјС–РІРЅРёР№ С€Р»Р°РЅРі</t>
  </si>
  <si>
    <t>119.67</t>
  </si>
  <si>
    <t>6T47900</t>
  </si>
  <si>
    <t>MB Sprinter 3-t 95-06,  4-t 96-06    rear</t>
  </si>
  <si>
    <t>LPR6T47909</t>
  </si>
  <si>
    <t>6T47909  LPR - Р“Р°Р»СЊРјС–РІРЅРёР№ С€Р»Р°РЅРі</t>
  </si>
  <si>
    <t>166.67</t>
  </si>
  <si>
    <t>6T47909</t>
  </si>
  <si>
    <t>VW T5   2003-    front,  left/right</t>
  </si>
  <si>
    <t>LPR6T47912</t>
  </si>
  <si>
    <t>6T47912  LPR - Р“Р°Р»СЊРјС–РІРЅРёР№ С€Р»Р°РЅРі</t>
  </si>
  <si>
    <t>73.55</t>
  </si>
  <si>
    <t>6T47912</t>
  </si>
  <si>
    <t>Audi A6, BMW 3/5/7</t>
  </si>
  <si>
    <t>LPR6T47914</t>
  </si>
  <si>
    <t>6T47914  LPR - Р“Р°Р»СЊРјС–РІРЅРёР№ С€Р»Р°РЅРі</t>
  </si>
  <si>
    <t>137.84</t>
  </si>
  <si>
    <t>6T47914</t>
  </si>
  <si>
    <t>TOYOTA COROLLA (97-02)</t>
  </si>
  <si>
    <t>LPR6T47915</t>
  </si>
  <si>
    <t>6T47915  LPR - Р“Р°Р»СЊРјС–РІРЅРёР№ С€Р»Р°РЅРі</t>
  </si>
  <si>
    <t>6T47915</t>
  </si>
  <si>
    <t>VW TRANSPORTER (T4) (90-03)</t>
  </si>
  <si>
    <t>LPR6T47945</t>
  </si>
  <si>
    <t>6T47945  LPR - Р“Р°Р»СЊРјС–РІРЅРёР№ С€Р»Р°РЅРі</t>
  </si>
  <si>
    <t>98.88</t>
  </si>
  <si>
    <t>6T47945</t>
  </si>
  <si>
    <t>Audi A3, VW Golf V/Plus/Jetta III, SKODA Octavia (A5)</t>
  </si>
  <si>
    <t>LPR6T47975</t>
  </si>
  <si>
    <t>6T47975  LPR - Р“Р°Р»СЊРјС–РІРЅРёР№ С€Р»Р°РЅРі</t>
  </si>
  <si>
    <t>6T47975</t>
  </si>
  <si>
    <t>Renault Trafic II 01-</t>
  </si>
  <si>
    <t>LPR6T48029</t>
  </si>
  <si>
    <t>6T48029  LPR - Р“Р°Р»СЊРјС–РІРЅРёР№ С€Р»Р°РЅРі</t>
  </si>
  <si>
    <t>191.65</t>
  </si>
  <si>
    <t>6T48029</t>
  </si>
  <si>
    <t>CHEVROLET LACETTI 2005-,DAEWOO NUBIRA 2005-</t>
  </si>
  <si>
    <t>LPR6T48044</t>
  </si>
  <si>
    <t>6T48044  LPR - Р“Р°Р»СЊРјС–РІРЅРёР№ С€Р»Р°РЅРі</t>
  </si>
  <si>
    <t>6T48044</t>
  </si>
  <si>
    <t>CHEVROLET LACETTI 2005-,DAEWOO NUBIRA 2005-  front</t>
  </si>
  <si>
    <t>LPR7104</t>
  </si>
  <si>
    <t>7104  LPR - Р¦РёР»С–РЅРґСЂ Р·С‡РµРїР»РµРЅРЅСЏ РіРѕР»РѕРІРЅРёР№</t>
  </si>
  <si>
    <t>Audi 100 &amp; AVant (1977-1983) 100</t>
  </si>
  <si>
    <t>LPR7110</t>
  </si>
  <si>
    <t>7110  LPR - Р¦РёР»С–РЅРґСЂ Р·С‡РµРїР»РµРЅРЅСЏ РіРѕР»РѕРІРЅРёР№</t>
  </si>
  <si>
    <t>BMW 5 series 518i (E34) 5 series</t>
  </si>
  <si>
    <t>LPR7D0138</t>
  </si>
  <si>
    <t>7D0138  LPR - Р“Р°Р»СЊРјС–РІРЅРёР№ Р±Р°СЂР°Р±Р°РЅ</t>
  </si>
  <si>
    <t>7D0138</t>
  </si>
  <si>
    <t>Daewoo Nexia/Opel Vectra A/Astra   200X53</t>
  </si>
  <si>
    <t>LPR7D0146</t>
  </si>
  <si>
    <t>7D0146  LPR - Р“Р°Р»СЊРјС–РІРЅРёР№ Р±Р°СЂР°Р±Р°РЅ</t>
  </si>
  <si>
    <t>531.63</t>
  </si>
  <si>
    <t>7D0146</t>
  </si>
  <si>
    <t>Citroen BERLINGO/PARTNER/306/406   228,6X50,5</t>
  </si>
  <si>
    <t>LPR7D0226</t>
  </si>
  <si>
    <t>7D0226  LPR - Р“Р°Р»СЊРјС–РІРЅРёР№ Р±Р°СЂР°Р±Р°РЅ</t>
  </si>
  <si>
    <t>7D0226</t>
  </si>
  <si>
    <t>VW Golf II -92/Polo -00    180X38,5</t>
  </si>
  <si>
    <t>LPR7D0244</t>
  </si>
  <si>
    <t>7D0244  LPR - Р“Р°Р»СЊРјС–РІРЅРёР№ Р±Р°СЂР°Р±Р°РЅ</t>
  </si>
  <si>
    <t>7D0244</t>
  </si>
  <si>
    <t>Audi 80/Golf III/Passat (B2)  (Р±РµР· РїС–РґС€РёРїРЅРёРєР°)   200X49,5</t>
  </si>
  <si>
    <t>LPR7D0500</t>
  </si>
  <si>
    <t>7D0500  LPR - Р“Р°Р»СЊРјС–РІРЅРёР№ Р±Р°СЂР°Р±Р°РЅ</t>
  </si>
  <si>
    <t>773.77</t>
  </si>
  <si>
    <t>7D0500</t>
  </si>
  <si>
    <t>Skoda Octavia   230X39</t>
  </si>
  <si>
    <t>LPR7D0594</t>
  </si>
  <si>
    <t>7D0594  LPR - Р“Р°Р»СЊРјС–РІРЅРёР№ Р±Р°СЂР°Р±Р°РЅ</t>
  </si>
  <si>
    <t>572.51</t>
  </si>
  <si>
    <t>7D0594</t>
  </si>
  <si>
    <t>AUDI A2| VW FOX, POLO Skoda Fabia  1,2-1,9SDI 99-       200X50,5\n</t>
  </si>
  <si>
    <t>LPR8103</t>
  </si>
  <si>
    <t>8103  LPR - Р¦РёР»С–РЅРґСЂ Р·С‡РµРїР»РµРЅРЅСЏ СЂРѕР±РѕС‡РёР№</t>
  </si>
  <si>
    <t>426.49</t>
  </si>
  <si>
    <t>Audi 80 86-, 100/200 88-, A</t>
  </si>
  <si>
    <t>LPR8105</t>
  </si>
  <si>
    <t>8105  LPR - Р¦РёР»С–РЅРґСЂ Р·С‡РµРїР»РµРЅРЅСЏ СЂРѕР±РѕС‡РёР№</t>
  </si>
  <si>
    <t>514.86</t>
  </si>
  <si>
    <t>Audi 100/80   -91| Passat  -88</t>
  </si>
  <si>
    <t>LPR8106</t>
  </si>
  <si>
    <t>8106  LPR - Р¦РёР»С–РЅРґСЂ Р·С‡РµРїР»РµРЅРЅСЏ СЂРѕР±РѕС‡РёР№</t>
  </si>
  <si>
    <t>641.26</t>
  </si>
  <si>
    <t>Golf II/III/Passat -97/T4</t>
  </si>
  <si>
    <t>LPRA1001V</t>
  </si>
  <si>
    <t>A1001V  LPR - Р“Р°Р»СЊРјС–РІРЅРёР№ РґРёСЃРє</t>
  </si>
  <si>
    <t>546.86</t>
  </si>
  <si>
    <t>A1001V</t>
  </si>
  <si>
    <t>VW Golf V/Caddy/Skoda Octavia 04-            280X22</t>
  </si>
  <si>
    <t>LPRA1002V</t>
  </si>
  <si>
    <t>A1002V  LPR - Р“Р°Р»СЊРјС–РІРЅРёР№ РґРёСЃРє</t>
  </si>
  <si>
    <t>A1002V</t>
  </si>
  <si>
    <t>VW GOLF V  2003- / A3 (03-) 2,0 TDI/1,6 i-16V/1,9 TDI/2,0 FSI|  SEAT ALTEA (04-) 2,0 TDI/1,6 i-16V/1,9 TDI/2,0 FSI| 'VW GOLF V  2003-     288X25</t>
  </si>
  <si>
    <t>LPRA1081P</t>
  </si>
  <si>
    <t>A1081P  LPR - Р“Р°Р»СЊРјС–РІРЅРёР№ РґРёСЃРє</t>
  </si>
  <si>
    <t>A1081P</t>
  </si>
  <si>
    <t>Audi 80 -91   256X13</t>
  </si>
  <si>
    <t>LPRA1361P</t>
  </si>
  <si>
    <t>A1361P  LPR - Р“Р°Р»СЊРјС–РІРЅРёР№ РґРёСЃРє</t>
  </si>
  <si>
    <t>A1361P</t>
  </si>
  <si>
    <t>Audi 100/A4/A6      288X15</t>
  </si>
  <si>
    <t>LPRA1401P</t>
  </si>
  <si>
    <t>A1401P  LPR - Р“Р°Р»СЊРјС–РІРЅРёР№ РґРёСЃРє</t>
  </si>
  <si>
    <t>A1401P</t>
  </si>
  <si>
    <t>Audi 100/A6/VW Passat 97-   245X10</t>
  </si>
  <si>
    <t>LPRA1441P</t>
  </si>
  <si>
    <t>A1441P  LPR - Р“Р°Р»СЊРјС–РІРЅРёР№ РґРёСЃРє</t>
  </si>
  <si>
    <t>A1441P</t>
  </si>
  <si>
    <t>VW Golf IV/Skoda Octavia/Fabia        232X9</t>
  </si>
  <si>
    <t>LPRA1451V</t>
  </si>
  <si>
    <t>A1451V  LPR - Р“Р°Р»СЊРјС–РІРЅРёР№ РґРёСЃРє</t>
  </si>
  <si>
    <t>658.99</t>
  </si>
  <si>
    <t>A1451V</t>
  </si>
  <si>
    <t>Golf IV/Fabia/Octavia/A3    288X25</t>
  </si>
  <si>
    <t>LPRA2173V</t>
  </si>
  <si>
    <t>A2173V  LPR - Р“Р°Р»СЊРјС–РІРЅРёР№ РґРёСЃРє</t>
  </si>
  <si>
    <t>669.99</t>
  </si>
  <si>
    <t>A2173V</t>
  </si>
  <si>
    <t>Alfa/Fiat/Lancia  DOBLO 01- ,Brava/Bravo/Croma 86-99, 284X22 F, V</t>
  </si>
  <si>
    <t>LPRC1141V</t>
  </si>
  <si>
    <t>C1141V  LPR - Р“Р°Р»СЊРјС–РІРЅРёР№ РґРёСЃРє</t>
  </si>
  <si>
    <t>C1141V</t>
  </si>
  <si>
    <t>Berlingo/Xantia/Xsara/206/306/405    266X20,5</t>
  </si>
  <si>
    <t>LPRF1003V</t>
  </si>
  <si>
    <t>F1003V  LPR - Р“Р°Р»СЊРјС–РІРЅРёР№ РґРёСЃРє</t>
  </si>
  <si>
    <t>F1003V</t>
  </si>
  <si>
    <t>Ford Transit  2.0, 2.0DI/TDCI  00-06    276X24,3</t>
  </si>
  <si>
    <t>LPRF1009V</t>
  </si>
  <si>
    <t>F1009V  LPR - Р“Р°Р»СЊРјС–РІРЅРёР№ РґРёСЃРє</t>
  </si>
  <si>
    <t>F1009V</t>
  </si>
  <si>
    <t>Ford Focus II/C-Max 15/16"    278X25</t>
  </si>
  <si>
    <t>LPRF1016V</t>
  </si>
  <si>
    <t>F1016V  LPR - Р“Р°Р»СЊРјС–РІРЅРёР№ РґРёСЃРє</t>
  </si>
  <si>
    <t>881.74</t>
  </si>
  <si>
    <t>F1016V</t>
  </si>
  <si>
    <t>FORD TRANSIT 2.2/2.4 TDCi 06- |  FORD TRANSIT С„СѓСЂРіРѕРЅ (2.2L| 2.3L| 2.4L| 3.2L)       300X28</t>
  </si>
  <si>
    <t>LPRF1020PA</t>
  </si>
  <si>
    <t>F1020PA  LPR - Р“Р°Р»СЊРјС–РІРЅРёР№ РґРёСЃРє</t>
  </si>
  <si>
    <t>874.05</t>
  </si>
  <si>
    <t>F1020PA</t>
  </si>
  <si>
    <t xml:space="preserve">FORD TRANSIT С„СѓСЂРіРѕРЅ (2.2L| 2.3L| 2.4L) 2007-   rear     | TOURNEO (2.2L| 2.4L) </t>
  </si>
  <si>
    <t>LPRF1031V</t>
  </si>
  <si>
    <t>F1031V  LPR - Р“Р°Р»СЊРјС–РІРЅРёР№ РґРёСЃРє</t>
  </si>
  <si>
    <t>F1031V</t>
  </si>
  <si>
    <t>Ford Mondeo III 00-          300X24</t>
  </si>
  <si>
    <t>LPRF1111V</t>
  </si>
  <si>
    <t>F1111V  LPR - Р“Р°Р»СЊРјС–РІРЅРёР№ РґРёСЃРє</t>
  </si>
  <si>
    <t>F1111V</t>
  </si>
  <si>
    <t>Ford Escort -01/Fiesta/Ka/Puma -00    240X20</t>
  </si>
  <si>
    <t>LPRF1251V</t>
  </si>
  <si>
    <t>F1251V  LPR - Р“Р°Р»СЊРјС–РІРЅРёР№ РґРёСЃРє</t>
  </si>
  <si>
    <t>F1251V</t>
  </si>
  <si>
    <t>Ford Sierra -93        239,5X24</t>
  </si>
  <si>
    <t>LPRF1621V</t>
  </si>
  <si>
    <t>F1621V  LPR - Р“Р°Р»СЊРјС–РІРЅРёР№ РґРёСЃРє</t>
  </si>
  <si>
    <t>437.46</t>
  </si>
  <si>
    <t>F1621V</t>
  </si>
  <si>
    <t>Ford Focus I/Fusion/Fiesta  03-       258X22</t>
  </si>
  <si>
    <t>LPRF2081P</t>
  </si>
  <si>
    <t>F2081P  LPR - Р“Р°Р»СЊРјС–РІРЅРёР№ РґРёСЃРє</t>
  </si>
  <si>
    <t>260.83</t>
  </si>
  <si>
    <t>F2081P</t>
  </si>
  <si>
    <t>Fiat Punto/Brava/Mareo/Tipo         240X11</t>
  </si>
  <si>
    <t>LPRF2161V</t>
  </si>
  <si>
    <t>F2161V  LPR - Р“Р°Р»СЊРјС–РІРЅРёР№ РґРёСЃРє</t>
  </si>
  <si>
    <t>677.16</t>
  </si>
  <si>
    <t>F2161V</t>
  </si>
  <si>
    <t>Citroen Dispatch, Jumpy, Evasion, FIAT Scudo, Ulysse| Peugeot 806, Expert 1,9-2,1D  94-06   front        281X26</t>
  </si>
  <si>
    <t>LPRF2171V</t>
  </si>
  <si>
    <t>F2171V  LPR - Р“Р°Р»СЊРјС–РІРЅРёР№ РґРёСЃРє</t>
  </si>
  <si>
    <t>584.21</t>
  </si>
  <si>
    <t>F2171V</t>
  </si>
  <si>
    <t>Jumper/Boxer/Ducato 94-02        280X24</t>
  </si>
  <si>
    <t>LPRF2181V</t>
  </si>
  <si>
    <t>F2181V  LPR - Р“Р°Р»СЊРјС–РІРЅРёР№ РґРёСЃРє</t>
  </si>
  <si>
    <t>749.31</t>
  </si>
  <si>
    <t>F2181V</t>
  </si>
  <si>
    <t>Ducato 1.8t 94-02          300X24</t>
  </si>
  <si>
    <t>LPRH1029V</t>
  </si>
  <si>
    <t>H1029V  LPR - Р“Р°Р»СЊРјС–РІРЅРёР№ РґРёСЃРє</t>
  </si>
  <si>
    <t>950.92</t>
  </si>
  <si>
    <t>H1029V</t>
  </si>
  <si>
    <t># HONDA CR-V III 2006 &gt;&gt;</t>
  </si>
  <si>
    <t>LPRKAD147</t>
  </si>
  <si>
    <t>KAD147  LPR - РЁР°СЂРЅС–СЂ Р РљРЁ</t>
  </si>
  <si>
    <t>KAD147</t>
  </si>
  <si>
    <t>Audi 100/A6/VW Passat  2,0-2,8  88-97  outer</t>
  </si>
  <si>
    <t>LPRKAD152</t>
  </si>
  <si>
    <t>KAD152  LPR - РЁР°СЂРЅС–СЂ Р РљРЁ</t>
  </si>
  <si>
    <t>571.46</t>
  </si>
  <si>
    <t>KAD152</t>
  </si>
  <si>
    <t>Audi 80 1,6-2,3    -96  (РґРёРІ.РєР°С‚Р°Р».)  outer</t>
  </si>
  <si>
    <t>LPRKAD161</t>
  </si>
  <si>
    <t>KAD161  LPR - РЁР°СЂРЅС–СЂ Р РљРЁ</t>
  </si>
  <si>
    <t>528.31</t>
  </si>
  <si>
    <t>KAD161</t>
  </si>
  <si>
    <t>Audi A4/VW Passat/ Skoda Superb 1,6-2,3  94-08  outer</t>
  </si>
  <si>
    <t>LPRKAD171</t>
  </si>
  <si>
    <t>KAD171  LPR - РЁР°СЂРЅС–СЂ Р РљРЁ</t>
  </si>
  <si>
    <t>KAD171</t>
  </si>
  <si>
    <t>Audi 80 1.6-1.8L/1.6-1.9D 88-94  outer</t>
  </si>
  <si>
    <t>LPRKAD531</t>
  </si>
  <si>
    <t>KAD531  LPR - РЁР°СЂРЅС–СЂ Р РљРЁ</t>
  </si>
  <si>
    <t>551.54</t>
  </si>
  <si>
    <t>KAD531</t>
  </si>
  <si>
    <t>Audi A3 03-/VW Golf V Caddy 04- Passat 05-/Skoda Octavia FR/outer</t>
  </si>
  <si>
    <t>LPRKAD532</t>
  </si>
  <si>
    <t>KAD532  LPR - РЁР°СЂРЅС–СЂ Р РљРЁ</t>
  </si>
  <si>
    <t>588.93</t>
  </si>
  <si>
    <t>KAD532</t>
  </si>
  <si>
    <t>Audi A3 03-/VW Golf V Caddy 04- Passat 05- 1,9TDI/2,0TDI,  FR/OUTer</t>
  </si>
  <si>
    <t>LPRKAD533</t>
  </si>
  <si>
    <t>KAD533  LPR - РЁР°СЂРЅС–СЂ Р РљРЁ</t>
  </si>
  <si>
    <t>KAD533</t>
  </si>
  <si>
    <t>VW Golf V, Passat 05-, Caddy 04-,  A:36/F:30/DF:22,45/O:59,5/X , FR/OUTer</t>
  </si>
  <si>
    <t>LPRKAD534</t>
  </si>
  <si>
    <t>KAD534  LPR - РЁР°СЂРЅС–СЂ Р РљРЁ</t>
  </si>
  <si>
    <t>KAD534</t>
  </si>
  <si>
    <t>Audi A3/Skoda Octavia/Golf V 1,2TFSI-2,0TDI  04-  outer</t>
  </si>
  <si>
    <t>LPRKAR045</t>
  </si>
  <si>
    <t>KAR045  LPR - РЁР°СЂРЅС–СЂ Р РљРЁ</t>
  </si>
  <si>
    <t>588.41</t>
  </si>
  <si>
    <t>KAR045</t>
  </si>
  <si>
    <t>ALFA 164 2.0 T.S. 87-/FIAT CROMA 2.0ie/2.5TD 85-, zz:25/zw:25/o1:52/o2:90  FR/OUTer</t>
  </si>
  <si>
    <t>LPRKDW509</t>
  </si>
  <si>
    <t>KDW509  LPR - РЁР°СЂРЅС–СЂ Р РљРЁ</t>
  </si>
  <si>
    <t>720.48</t>
  </si>
  <si>
    <t>KDW509</t>
  </si>
  <si>
    <t>DAEWOO ESPERO 1.8/2.0| LEGANZA 2.0 16V| LANOS 1.6 16V outer  95-</t>
  </si>
  <si>
    <t>LPRKFR111</t>
  </si>
  <si>
    <t>KFR111  LPR - РЁР°СЂРЅС–СЂ Р РљРЁ</t>
  </si>
  <si>
    <t>KFR111</t>
  </si>
  <si>
    <t>Ford Mondeo 1.8-2.0L /1.8TD  outer   93-00</t>
  </si>
  <si>
    <t>LPRKFR136</t>
  </si>
  <si>
    <t>KFR136  LPR - РЁР°СЂРЅС–СЂ Р РљРЁ</t>
  </si>
  <si>
    <t>KFR136</t>
  </si>
  <si>
    <t>Ford Escort/Orion/Fiesta  1,3-2,0  90- 00  outer</t>
  </si>
  <si>
    <t>LPRKFR629</t>
  </si>
  <si>
    <t>KFR629  LPR - РЁР°СЂРЅС–СЂ Р РљРЁ</t>
  </si>
  <si>
    <t>955.29</t>
  </si>
  <si>
    <t>KFR629</t>
  </si>
  <si>
    <t>FORD Connect  1.8 Di     02-   outer</t>
  </si>
  <si>
    <t>LPRKFR635</t>
  </si>
  <si>
    <t>KFR635  LPR - РЁР°СЂРЅС–СЂ Р РљРЁ</t>
  </si>
  <si>
    <t>1077.76</t>
  </si>
  <si>
    <t>KFR635</t>
  </si>
  <si>
    <t>FORD Commercials Transit VII  2.0 DI (55 KW) Eng. D3FA   (+ABS)  00-   outer</t>
  </si>
  <si>
    <t>LPRKFT038</t>
  </si>
  <si>
    <t>KFT038  LPR - РЁР°СЂРЅС–СЂ Р РљРЁ</t>
  </si>
  <si>
    <t>1391.87</t>
  </si>
  <si>
    <t>KFT038</t>
  </si>
  <si>
    <t>Citroen Jumpy| Fiat Scudo, Peugeot Expert 1,9TD 96-   outer</t>
  </si>
  <si>
    <t>LPRKFT200</t>
  </si>
  <si>
    <t>KFT200  LPR - РЁР°СЂРЅС–СЂ Р РљРЁ</t>
  </si>
  <si>
    <t>629.11</t>
  </si>
  <si>
    <t>KFT200</t>
  </si>
  <si>
    <t>Fiat Ducato/Citroen C25/Peugeut J5  1.8-2.5TD 81-94  outer</t>
  </si>
  <si>
    <t>LPRKFT202</t>
  </si>
  <si>
    <t>KFT202  LPR - РЁР°СЂРЅС–СЂ Р РљРЁ</t>
  </si>
  <si>
    <t>617.06</t>
  </si>
  <si>
    <t>KFT202</t>
  </si>
  <si>
    <t>Citroen Jumper 94-/Ducato 02-   1,9D-2,8HDI  outer</t>
  </si>
  <si>
    <t>LPRKFT203</t>
  </si>
  <si>
    <t>KFT203  LPR - РЁР°СЂРЅС–СЂ Р РљРЁ</t>
  </si>
  <si>
    <t>713.67</t>
  </si>
  <si>
    <t>KFT203</t>
  </si>
  <si>
    <t>Citroen Jumper/Peugeot Boxer  1,9D-2,8HDI  94-  outer</t>
  </si>
  <si>
    <t>LPRKLD230</t>
  </si>
  <si>
    <t>KLD230  LPR - РЁР°СЂРЅС–СЂ Р РљРЁ</t>
  </si>
  <si>
    <t>KLD230</t>
  </si>
  <si>
    <t>LADA (2108, 2109) SAMARA, LADA 110, 1,5, FR/OUTER   (:22|:22|Oseal:50|O:81)</t>
  </si>
  <si>
    <t>LPRKMB759</t>
  </si>
  <si>
    <t>KMB759  LPR - РЁР°СЂРЅС–СЂ Р РљРЁ</t>
  </si>
  <si>
    <t>645.01</t>
  </si>
  <si>
    <t>KMB759</t>
  </si>
  <si>
    <t>HYUNDAI Matrix,   1,6/1,8   01-10   outer</t>
  </si>
  <si>
    <t>LPRKME435</t>
  </si>
  <si>
    <t>KME435  LPR - РЁР°СЂРЅС–СЂ Р РљРЁ</t>
  </si>
  <si>
    <t>KME435</t>
  </si>
  <si>
    <t>MB Vito 99-  2,2CDI 99-03  outer</t>
  </si>
  <si>
    <t>LPRKOP100</t>
  </si>
  <si>
    <t>KOP100  LPR - РЁР°СЂРЅС–СЂ Р РљРЁ</t>
  </si>
  <si>
    <t>KOP100</t>
  </si>
  <si>
    <t>Opel Astra 91-98/KadetteD/E/Vectra 1.5TD-2.0 81-94   outer</t>
  </si>
  <si>
    <t>LPRKOP564</t>
  </si>
  <si>
    <t>KOP564  LPR - РЁР°СЂРЅС–СЂ Р РљРЁ</t>
  </si>
  <si>
    <t>KOP564</t>
  </si>
  <si>
    <t>OPEL Corsa C, Meriva 1.4 16V, 1.6, 1.3 CDTI, 1.7 DI  9.00-  FR/Outer</t>
  </si>
  <si>
    <t>LPRKPG369</t>
  </si>
  <si>
    <t>KPG369  LPR - РЁР°СЂРЅС–СЂ Р РљРЁ</t>
  </si>
  <si>
    <t>711.22</t>
  </si>
  <si>
    <t>KPG369</t>
  </si>
  <si>
    <t>CITROEN BERLINGO/PEUGEOT PARTNER1.8 97-, 1.9D 96- FR/OUTer\n[EVR76604S]</t>
  </si>
  <si>
    <t>LPRKPG569</t>
  </si>
  <si>
    <t>KPG569  LPR - РЁР°СЂРЅС–СЂ Р РљРЁ</t>
  </si>
  <si>
    <t>KPG569</t>
  </si>
  <si>
    <t>PEUGEOT 307 1,6-2,0  00-  | CITROEN C4  1,6/2,0  05- outer</t>
  </si>
  <si>
    <t>LPRKRN477</t>
  </si>
  <si>
    <t>KRN477  LPR - РЁР°СЂРЅС–СЂ Р РљРЁ</t>
  </si>
  <si>
    <t>802.07</t>
  </si>
  <si>
    <t>KRN477</t>
  </si>
  <si>
    <t>Renault Kangoo/Clio 98- 1.2-1.9D (21/30/52mm/ABS:26)  outer</t>
  </si>
  <si>
    <t>LPRKRN574</t>
  </si>
  <si>
    <t>KRN574  LPR - РЁР°СЂРЅС–СЂ Р РљРЁ</t>
  </si>
  <si>
    <t>953.54</t>
  </si>
  <si>
    <t>KRN574</t>
  </si>
  <si>
    <t>OPEL Movano 2.5D/2.8DTI  00-01, RENAULT Master II 1.9dTi/dCi/2.2dCi 00-, (ABS !!) FR/OUTer</t>
  </si>
  <si>
    <t>LPRKVW001</t>
  </si>
  <si>
    <t>KVW001  LPR - РЁР°СЂРЅС–СЂ Р РљРЁ</t>
  </si>
  <si>
    <t>KVW001</t>
  </si>
  <si>
    <t>AUDI A4/A6/A8/VW Passat 1,8T-6,0 94-08  outer</t>
  </si>
  <si>
    <t>LPRKVW123</t>
  </si>
  <si>
    <t>KVW123  LPR - РЁР°СЂРЅС–СЂ Р РљРЁ</t>
  </si>
  <si>
    <t>KVW123</t>
  </si>
  <si>
    <t>Audi A3/Skoda Octavia/VW Bora/Golf 1.4-2.9  90-  outer</t>
  </si>
  <si>
    <t>LPRKVW124</t>
  </si>
  <si>
    <t>KVW124  LPR - РЁР°СЂРЅС–СЂ Р РљРЁ</t>
  </si>
  <si>
    <t>KVW124</t>
  </si>
  <si>
    <t>VW Transporter  1.9-2.5D/TD  90-03  (-ABS)  outer</t>
  </si>
  <si>
    <t>LPRKVW125</t>
  </si>
  <si>
    <t>KVW125  LPR - РЁР°СЂРЅС–СЂ Р РљРЁ</t>
  </si>
  <si>
    <t>624.40</t>
  </si>
  <si>
    <t>KVW125</t>
  </si>
  <si>
    <t>VW Transporter T4 1.9D-2.8 94-03   (+ABS) outer</t>
  </si>
  <si>
    <t>LPRKVW808</t>
  </si>
  <si>
    <t>KVW808  LPR - РЁР°СЂРЅС–СЂ Р РљРЁ</t>
  </si>
  <si>
    <t>533.02</t>
  </si>
  <si>
    <t>KVW808</t>
  </si>
  <si>
    <t>VW Golf IV/Passat,  AUDI A3, 80, 90| SEAT CORDOBA, IBIZA I, II, TOLEDO| SKODA OCTAVIA 1,3-2,3  -07   inner</t>
  </si>
  <si>
    <t>LPRKVW819</t>
  </si>
  <si>
    <t>KVW819  LPR - РЁР°СЂРЅС–СЂ Р РљРЁ</t>
  </si>
  <si>
    <t>524.46</t>
  </si>
  <si>
    <t>KVW819</t>
  </si>
  <si>
    <t>Audi 80, A3 /VW Golf/Passat/Caddy/Tiguan/Touran , Skoda Octavia/Fabia   86-14  inner</t>
  </si>
  <si>
    <t>LPRKVW821</t>
  </si>
  <si>
    <t>KVW821  LPR - РЁР°СЂРЅС–СЂ Р РљРЁ</t>
  </si>
  <si>
    <t>KVW821</t>
  </si>
  <si>
    <t>VW Transporter T4 2,0-2,8VR6  90-03  inner</t>
  </si>
  <si>
    <t>LPRL1011P</t>
  </si>
  <si>
    <t>L1011P  LPR - Р“Р°Р»СЊРјС–РІРЅРёР№ РґРёСЃРє</t>
  </si>
  <si>
    <t>L1011P</t>
  </si>
  <si>
    <t>VAZ Niva (РќРёРІР°)   front  (272X11)</t>
  </si>
  <si>
    <t>LPRL1031P</t>
  </si>
  <si>
    <t>L1031P  LPR - Р“Р°Р»СЊРјС–РІРЅРёР№ РґРёСЃРє</t>
  </si>
  <si>
    <t>L1031P</t>
  </si>
  <si>
    <t>VAZ 2108-09, 110-112</t>
  </si>
  <si>
    <t>LPRL2055V</t>
  </si>
  <si>
    <t>L2055V  LPR - Р“Р°Р»СЊРјС–РІРЅРёР№ РґРёСЃРє</t>
  </si>
  <si>
    <t>405.32</t>
  </si>
  <si>
    <t>L2055V</t>
  </si>
  <si>
    <t>FIAT Scudo  96-02 257X20</t>
  </si>
  <si>
    <t>LPRL4001V</t>
  </si>
  <si>
    <t>L4001V  LPR - Р“Р°Р»СЊРјС–РІРЅРёР№ РґРёСЃРє</t>
  </si>
  <si>
    <t>840.51</t>
  </si>
  <si>
    <t>L4001V</t>
  </si>
  <si>
    <t>LDV CONVOY 2.5 TD 98-09  Front    275X24  (-ABS)</t>
  </si>
  <si>
    <t>LPRM1005V</t>
  </si>
  <si>
    <t>M1005V  LPR - Р“Р°Р»СЊРјС–РІРЅРёР№ РґРёСЃРє</t>
  </si>
  <si>
    <t>768.53</t>
  </si>
  <si>
    <t>M1005V</t>
  </si>
  <si>
    <t xml:space="preserve">Mitsubishi Lancer 03- (4 holes)  275,6X26 </t>
  </si>
  <si>
    <t>LPRM1012V</t>
  </si>
  <si>
    <t>M1012V  LPR - Р“Р°Р»СЊРјС–РІРЅРёР№ РґРёСЃРє</t>
  </si>
  <si>
    <t>M1012V</t>
  </si>
  <si>
    <t>MITSUBISHI Outlander  03-   front           293X24</t>
  </si>
  <si>
    <t>LPRM1013V</t>
  </si>
  <si>
    <t>M1013V  LPR - Р“Р°Р»СЊРјС–РІРЅРёР№ РґРёСЃРє</t>
  </si>
  <si>
    <t>778.14</t>
  </si>
  <si>
    <t>M1013V</t>
  </si>
  <si>
    <t>MITSUBISHI Grandis  05-  front</t>
  </si>
  <si>
    <t>LPRM1617P</t>
  </si>
  <si>
    <t>M1617P  LPR - Р“Р°Р»СЊРјС–РІРЅРёР№ РґРёСЃРє</t>
  </si>
  <si>
    <t>M1617P</t>
  </si>
  <si>
    <t>Mitsubishi Lancer 03-/Galant 93-    262X10</t>
  </si>
  <si>
    <t>LPRM2111P</t>
  </si>
  <si>
    <t>M2111P  LPR - Р“Р°Р»СЊРјС–РІРЅРёР№ РґРёСЃРє</t>
  </si>
  <si>
    <t>M2111P</t>
  </si>
  <si>
    <t>MB 190 (W201) 1.8-2.5D  82-93  front,    262X11</t>
  </si>
  <si>
    <t>LPRM2121P</t>
  </si>
  <si>
    <t>M2121P  LPR - Р“Р°Р»СЊРјС–РІРЅРёР№ РґРёСЃРє</t>
  </si>
  <si>
    <t>M2121P</t>
  </si>
  <si>
    <t>MB W124    284X12</t>
  </si>
  <si>
    <t>LPRM2561V</t>
  </si>
  <si>
    <t>M2561V  LPR - Р“Р°Р»СЊРјС–РІРЅРёР№ РґРёСЃРє</t>
  </si>
  <si>
    <t>556.63</t>
  </si>
  <si>
    <t>M2561V</t>
  </si>
  <si>
    <t>MB Sprinter/VW LT 95-     276X22</t>
  </si>
  <si>
    <t>LPRM2611V</t>
  </si>
  <si>
    <t>M2611V  LPR - Р“Р°Р»СЊРјС–РІРЅРёР№ РґРёСЃРє</t>
  </si>
  <si>
    <t>821.29</t>
  </si>
  <si>
    <t>M2611V</t>
  </si>
  <si>
    <t>MB W210    300X28</t>
  </si>
  <si>
    <t>LPRM2681P</t>
  </si>
  <si>
    <t>M2681P  LPR - Р“Р°Р»СЊРјС–РІРЅРёР№ РґРёСЃРє</t>
  </si>
  <si>
    <t>519.89</t>
  </si>
  <si>
    <t>M2681P</t>
  </si>
  <si>
    <t>MB Sprinter/VW LT 95-    272X16</t>
  </si>
  <si>
    <t>LPRN2016V</t>
  </si>
  <si>
    <t>N2016V  LPR - Р“Р°Р»СЊРјС–РІРЅРёР№ РґРёСЃРє</t>
  </si>
  <si>
    <t>710.53</t>
  </si>
  <si>
    <t>N2016V</t>
  </si>
  <si>
    <t>NISSAN JUKE, QASHQAI, X-TRAIL| RENAULT KOLEOS 1,5-2,5   07-   front|     296X26</t>
  </si>
  <si>
    <t>LPRO1007V</t>
  </si>
  <si>
    <t>O1007V  LPR - Р“Р°Р»СЊРјС–РІРЅРёР№ РґРёСЃРє</t>
  </si>
  <si>
    <t>O1007V</t>
  </si>
  <si>
    <t>Chevrolet Lacetti/Daewoo /Rezzo    256X24</t>
  </si>
  <si>
    <t>LPRO1019P</t>
  </si>
  <si>
    <t>O1019P  LPR - Р“Р°Р»СЊРјС–РІРЅРёР№ РґРёСЃРє</t>
  </si>
  <si>
    <t>696.37</t>
  </si>
  <si>
    <t>O1019P</t>
  </si>
  <si>
    <t xml:space="preserve">DAEWOO EPICA  06-  rear    </t>
  </si>
  <si>
    <t>LPRO1037P</t>
  </si>
  <si>
    <t>O1037P  LPR - Р“Р°Р»СЊРјС–РІРЅРёР№ РґРёСЃРє</t>
  </si>
  <si>
    <t>744.42</t>
  </si>
  <si>
    <t>O1037P</t>
  </si>
  <si>
    <t>OPEL MOVANO B | RENAULT MASTER III 2010- rear</t>
  </si>
  <si>
    <t>LPRO1051P</t>
  </si>
  <si>
    <t>O1051P  LPR - Р“Р°Р»СЊРјС–РІРЅРёР№ РґРёСЃРє</t>
  </si>
  <si>
    <t>O1051P</t>
  </si>
  <si>
    <t>Opel Astra F/Vectra A    236X12,5</t>
  </si>
  <si>
    <t>LPRO1061V</t>
  </si>
  <si>
    <t>O1061V  LPR - Р“Р°Р»СЊРјС–РІРЅРёР№ РґРёСЃРє</t>
  </si>
  <si>
    <t>280.51</t>
  </si>
  <si>
    <t>O1061V</t>
  </si>
  <si>
    <t>Daewoo Lanos 13", Nexia/Astra F/VectraA (236X20)\n</t>
  </si>
  <si>
    <t>LPRO1171V</t>
  </si>
  <si>
    <t>O1171V  LPR - Р“Р°Р»СЊРјС–РІРЅРёР№ РґРёСЃРє</t>
  </si>
  <si>
    <t>O1171V</t>
  </si>
  <si>
    <t>Daewoo Lanos 14", Nexia/AstraF/VectraA/VectraB (256X24)\n</t>
  </si>
  <si>
    <t>LPRO1401V</t>
  </si>
  <si>
    <t>O1401V  LPR - Р“Р°Р»СЊРјС–РІРЅРёР№ РґРёСЃРє</t>
  </si>
  <si>
    <t>409.47</t>
  </si>
  <si>
    <t>O1401V</t>
  </si>
  <si>
    <t>Opel Astra G/H    256X24</t>
  </si>
  <si>
    <t>LPRO1421P</t>
  </si>
  <si>
    <t>O1421P  LPR - Р“Р°Р»СЊРјС–РІРЅРёР№ РґРёСЃРє</t>
  </si>
  <si>
    <t>O1421P</t>
  </si>
  <si>
    <t>Opel Astra G/H  rear   (4 РѕС‚РІ.)    98-    240X10</t>
  </si>
  <si>
    <t>LPRP1003V</t>
  </si>
  <si>
    <t>P1003V  LPR - Р“Р°Р»СЊРјС–РІРЅРёР№ РґРёСЃРє</t>
  </si>
  <si>
    <t>607.80</t>
  </si>
  <si>
    <t>P1003V</t>
  </si>
  <si>
    <t>Citroen C3/C4/C5/Peugeot 206/207/307      283X26</t>
  </si>
  <si>
    <t>LPRR1005PCA</t>
  </si>
  <si>
    <t>R1005PCA  LPR - Р“Р°Р»СЊРјС–РІРЅРёР№ РґРёСЃРє</t>
  </si>
  <si>
    <t>1308.72</t>
  </si>
  <si>
    <t>R1005PCA</t>
  </si>
  <si>
    <t>RENAULT  CLIO III (BR0/1, CR0/1) (1.1-1.6L) |RENAULT MEGANE II (BM0/1,CM0/1) (1.4-2.0L)  rear (Р· РїС–РґС€РёРїРЅРёРєРѕРј)</t>
  </si>
  <si>
    <t>LPRR1015P</t>
  </si>
  <si>
    <t>R1015P  LPR - Р“Р°Р»СЊРјС–РІРЅРёР№ РґРёСЃРє</t>
  </si>
  <si>
    <t>R1015P</t>
  </si>
  <si>
    <t>RENAULT Logan (+ABS)  /259X12/</t>
  </si>
  <si>
    <t>LPRR1020PCA</t>
  </si>
  <si>
    <t>R1020PCA  LPR - Р“Р°Р»СЊРјС–РІРЅРёР№ РґРёСЃРє</t>
  </si>
  <si>
    <t>1324.83</t>
  </si>
  <si>
    <t>R1020PCA</t>
  </si>
  <si>
    <t>Nissan Primastar 01-, Opel Vivaro 01-, Renault Trafic 01- (280X12)</t>
  </si>
  <si>
    <t>LPRR1033PCA</t>
  </si>
  <si>
    <t>R1033PCA  LPR - Р“Р°Р»СЊРјС–РІРЅРёР№ РґРёСЃРє</t>
  </si>
  <si>
    <t>1439.57</t>
  </si>
  <si>
    <t>R1033PCA</t>
  </si>
  <si>
    <t>RENAULT KANGOO 05-  (Р· РїС–РґС€РёРїРЅРёРєРѕРј + ABS) rear</t>
  </si>
  <si>
    <t>LPRR1111V</t>
  </si>
  <si>
    <t>R1111V  LPR - Р“Р°Р»СЊРјС–РІРЅРёР№ РґРёСЃРє</t>
  </si>
  <si>
    <t>300.49</t>
  </si>
  <si>
    <t>R1111V</t>
  </si>
  <si>
    <t>Renault Megane I/Kangoo       238X20</t>
  </si>
  <si>
    <t>LPRR1301V</t>
  </si>
  <si>
    <t>R1301V  LPR - Р“Р°Р»СЊРјС–РІРЅРёР№ РґРёСЃРє</t>
  </si>
  <si>
    <t>R1301V</t>
  </si>
  <si>
    <t>RENAULT Logan, Sandero 1.6L 16V, Kangoo /= LPRR1511V/   259X20,6</t>
  </si>
  <si>
    <t>LPRT2023V</t>
  </si>
  <si>
    <t>T2023V  LPR - Р“Р°Р»СЊРјС–РІРЅРёР№ РґРёСЃРє</t>
  </si>
  <si>
    <t>T2023V</t>
  </si>
  <si>
    <t>Toyota Corolla 02-    255X25</t>
  </si>
  <si>
    <t>LPRV2003V</t>
  </si>
  <si>
    <t>V2003V  LPR - Р“Р°Р»СЊРјС–РІРЅРёР№ РґРёСЃРє</t>
  </si>
  <si>
    <t>743.20</t>
  </si>
  <si>
    <t>V2003V</t>
  </si>
  <si>
    <t>Audi A4/A6/VW Passat B5 00-       312X25</t>
  </si>
  <si>
    <t>LPRV2007V</t>
  </si>
  <si>
    <t>V2007V  LPR - Р“Р°Р»СЊРјС–РІРЅРёР№ РґРёСЃРє</t>
  </si>
  <si>
    <t>V2007V</t>
  </si>
  <si>
    <t>Skoda Fabia, Fabia Praktik, Roomster Praktik| VW Fox,  Polo 1,0-2,0  99-   front  (239X18)</t>
  </si>
  <si>
    <t>LPRV2051P</t>
  </si>
  <si>
    <t>V2051P  LPR - Р“Р°Р»СЊРјС–РІРЅРёР№ РґРёСЃРє</t>
  </si>
  <si>
    <t>V2051P</t>
  </si>
  <si>
    <t>VW Golf III/Polo/Caddy      239X12</t>
  </si>
  <si>
    <t>LPRV2181P</t>
  </si>
  <si>
    <t>V2181P  LPR - Р“Р°Р»СЊРјС–РІРЅРёР№ РґРёСЃРє</t>
  </si>
  <si>
    <t>V2181P</t>
  </si>
  <si>
    <t>VW Golf III/IV/Passat B3/B4/Caddy      256X13</t>
  </si>
  <si>
    <t>LPRV2371V</t>
  </si>
  <si>
    <t>V2371V  LPR - Р“Р°Р»СЊРјС–РІРЅРёР№ РґРёСЃРє</t>
  </si>
  <si>
    <t>581.59</t>
  </si>
  <si>
    <t>V2371V</t>
  </si>
  <si>
    <t>VW T4 2.5/2.4 L 96-03     280X24</t>
  </si>
  <si>
    <t>LPRV2391P</t>
  </si>
  <si>
    <t>V2391P  LPR - Р“Р°Р»СЊРјС–РІРЅРёР№ РґРёСЃРє</t>
  </si>
  <si>
    <t>V2391P</t>
  </si>
  <si>
    <t>VW T4     280X12</t>
  </si>
  <si>
    <t>LPRV2401V</t>
  </si>
  <si>
    <t>V2401V  LPR - Р“Р°Р»СЊРјС–РІРЅРёР№ РґРёСЃРє</t>
  </si>
  <si>
    <t>V2401V</t>
  </si>
  <si>
    <t>VW Passat 97-98    282X25</t>
  </si>
  <si>
    <t>LPRV2444V</t>
  </si>
  <si>
    <t>V2444V  LPR - Р“Р°Р»СЊРјС–РІРЅРёР№ РґРёСЃРє</t>
  </si>
  <si>
    <t>570.46</t>
  </si>
  <si>
    <t>V2444V</t>
  </si>
  <si>
    <t>MB SPRINTER 4-t  96-06  /285X22/</t>
  </si>
  <si>
    <t>LPRWP0043</t>
  </si>
  <si>
    <t>WP0043  LPR - РќР°СЃРѕСЃ СЃРёСЃС‚РµРјРё РѕС…РѕР»РѕРґР¶РµРЅРЅСЏ</t>
  </si>
  <si>
    <t>WP0043</t>
  </si>
  <si>
    <t>AUDI 2,6/2,8 V6 90-97 [EVR65453]</t>
  </si>
  <si>
    <t>LPRWP0079</t>
  </si>
  <si>
    <t>WP0079  LPR - РќР°СЃРѕСЃ СЃРёСЃС‚РµРјРё РѕС…РѕР»РѕРґР¶РµРЅРЅСЏ</t>
  </si>
  <si>
    <t>343.64</t>
  </si>
  <si>
    <t>WP0079</t>
  </si>
  <si>
    <t>VW/AUDI 1.3-2.0/2.0i/1.6/1.9D/TD  81-97 [EVR65430]</t>
  </si>
  <si>
    <t>LPRWP0104</t>
  </si>
  <si>
    <t>WP0104  LPR - РќР°СЃРѕСЃ СЃРёСЃС‚РµРјРё РѕС…РѕР»РѕРґР¶РµРЅРЅСЏ</t>
  </si>
  <si>
    <t>429.42</t>
  </si>
  <si>
    <t>WP0104</t>
  </si>
  <si>
    <t>VAZ 2108-99 1.1-1.5 (21Р·СѓР±) [EVR67220]</t>
  </si>
  <si>
    <t>LPRWP0118</t>
  </si>
  <si>
    <t>WP0118  LPR - РќР°СЃРѕСЃ СЃРёСЃС‚РµРјРё РѕС…РѕР»РѕРґР¶РµРЅРЅСЏ</t>
  </si>
  <si>
    <t>520.45</t>
  </si>
  <si>
    <t>WP0118</t>
  </si>
  <si>
    <t>SKODA FABIA 1.2 (01 - ) VW POLO 1.2 (01 - ) [EVR65421]</t>
  </si>
  <si>
    <t>LPRWP0124</t>
  </si>
  <si>
    <t>WP0124  LPR - РќР°СЃРѕСЃ СЃРёСЃС‚РµРјРё РѕС…РѕР»РѕРґР¶РµРЅРЅСЏ</t>
  </si>
  <si>
    <t>624.57</t>
  </si>
  <si>
    <t>WP0124</t>
  </si>
  <si>
    <t>AUDI A2 1.4 ( - 05) VW BORA/CADDY/JETTA IV 1.4, 1.6 ( - 05) GOLF IV/V 1.4 (97 - ) SEAT CORDOBA/IBIZA lll/LEON/TOLEDO 1.4 (99 - ) SKODA OCTAVIA/FABIA 1.4 (99 - ) [EVR65431]\n</t>
  </si>
  <si>
    <t>LPRWP0144</t>
  </si>
  <si>
    <t>WP0144  LPR - РќР°СЃРѕСЃ СЃРёСЃС‚РµРјРё РѕС…РѕР»РѕРґР¶РµРЅРЅСЏ</t>
  </si>
  <si>
    <t>824.61</t>
  </si>
  <si>
    <t>WP0144</t>
  </si>
  <si>
    <t>MERCEDES VITO 108/110/112 CDI (99 - 03) [EVR65109]</t>
  </si>
  <si>
    <t>LPRWP0173</t>
  </si>
  <si>
    <t>WP0173  LPR - РќР°СЃРѕСЃ СЃРёСЃС‚РµРјРё РѕС…РѕР»РѕРґР¶РµРЅРЅСЏ</t>
  </si>
  <si>
    <t>580.54</t>
  </si>
  <si>
    <t>WP0173</t>
  </si>
  <si>
    <t>VW CADDY III/GOLF V  1.9 TDI, 2.0 SDI (04 - )| AUDI A2 1.2/1.4 TDI ( - 05)/ A3 1.9 TDI (03 - ) SEAT ALHAMBRA/ALTEA/CORDOBA/IBIZA 1.4/1.9 TDI (02 - )       SKODA OCTAVIA /FABIA 1.4/1.9 TDI (00 - ) VW PASSAT/SHARAN/TOURAN/T5 1.9/2.0 TDI (02 - ) [EVR65422]</t>
  </si>
  <si>
    <t>LPRWP0175</t>
  </si>
  <si>
    <t>WP0175  LPR - РќР°СЃРѕСЃ СЃРёСЃС‚РµРјРё РѕС…РѕР»РѕРґР¶РµРЅРЅСЏ</t>
  </si>
  <si>
    <t>549.80</t>
  </si>
  <si>
    <t>WP0175</t>
  </si>
  <si>
    <t>OPEL VIVARO/MOVANO 1.9 DI, 1.9 DTI, 2.0 16V (01 - )| NISSAN PRIMASTAR 2.0 dCi (01 - ) RENAULT TRAFIC II 1.9 dCI, 2.0 (01 - ) [EVR65506]</t>
  </si>
  <si>
    <t>LPRWP0203</t>
  </si>
  <si>
    <t>WP0203  LPR - РќР°СЃРѕСЃ СЃРёСЃС‚РµРјРё РѕС…РѕР»РѕРґР¶РµРЅРЅСЏ</t>
  </si>
  <si>
    <t>541.24</t>
  </si>
  <si>
    <t>WP0203</t>
  </si>
  <si>
    <t>DACIA LOGAN 1,5 dCi (05-) NISSAN MICRA/NOTE1,5 dCi (03-) RENAULT CLIO ll/III/SYMBOL/KANGOO/MEGANE 1,2, 1,5 dCi (01-) [EVR65505]</t>
  </si>
  <si>
    <t>LPRWP0206</t>
  </si>
  <si>
    <t>WP0206  LPR - РќР°СЃРѕСЃ СЃРёСЃС‚РµРјРё РѕС…РѕР»РѕРґР¶РµРЅРЅСЏ</t>
  </si>
  <si>
    <t>543.86</t>
  </si>
  <si>
    <t>WP0206</t>
  </si>
  <si>
    <t>OPEL ASTRA G/H 1.8 (98 - ) / VECTRA B 1.8 (95 - ) OPEL VECTRA C 1.8, 1.6, ZAFIRA 1.8 (02 - ) [EVR65313]</t>
  </si>
  <si>
    <t>LPRWP0226</t>
  </si>
  <si>
    <t>WP0226  LPR - РќР°СЃРѕСЃ СЃРёСЃС‚РµРјРё РѕС…РѕР»РѕРґР¶РµРЅРЅСЏ</t>
  </si>
  <si>
    <t>WP0226</t>
  </si>
  <si>
    <t>OPEL ASTRA G 1.6/1.8 (00 - 05)/VECTRA C 1.6/1.8 (05 - )/ CORSA D, MERIVA 1.6 (07 - ) OPEL ZAFIRA 1.6, 1.8 (05 - ) [EVR65320]</t>
  </si>
  <si>
    <t>LPRWP0241</t>
  </si>
  <si>
    <t>WP0241  LPR - РќР°СЃРѕСЃ СЃРёСЃС‚РµРјРё РѕС…РѕР»РѕРґР¶РµРЅРЅСЏ</t>
  </si>
  <si>
    <t>WP0241</t>
  </si>
  <si>
    <t>OPEL MOVANO 1.9D/DTI (98 - 01) RENAULT 9/11/19/21/CLIO/TRAFIC 1.6-1.9D, 1.7-2.0I (1983 - 2011) [EVR65533]\n</t>
  </si>
  <si>
    <t>LPRWP0254</t>
  </si>
  <si>
    <t>WP0254  LPR - РќР°СЃРѕСЃ СЃРёСЃС‚РµРјРё РѕС…РѕР»РѕРґР¶РµРЅРЅСЏ</t>
  </si>
  <si>
    <t>786.70</t>
  </si>
  <si>
    <t>WP0254</t>
  </si>
  <si>
    <t>OPEL ASTRA G 1.2  (98 - ) / ASTRA H, MERIVA, 1.4 (04 - ) OPEL CORSA B/CORSA C/D 1.0, 1.2, 1.4 (03 - ) [EVR65381]</t>
  </si>
  <si>
    <t>LPRWP0256</t>
  </si>
  <si>
    <t>WP0256  LPR - РќР°СЃРѕСЃ СЃРёСЃС‚РµРјРё РѕС…РѕР»РѕРґР¶РµРЅРЅСЏ</t>
  </si>
  <si>
    <t>562.72</t>
  </si>
  <si>
    <t>WP0256</t>
  </si>
  <si>
    <t>AUDI/VW/SEAT/SKODA 1.6/1.8/2.0 FSI (95-10 ) [EVR65411]</t>
  </si>
  <si>
    <t>LPRWP0289</t>
  </si>
  <si>
    <t>WP0289  LPR - РќР°СЃРѕСЃ СЃРёСЃС‚РµРјРё РѕС…РѕР»РѕРґР¶РµРЅРЅСЏ</t>
  </si>
  <si>
    <t>580.20</t>
  </si>
  <si>
    <t>WP0289</t>
  </si>
  <si>
    <t>AUDI 100/A6 2.4D/2.5 TDI (90- 97), VW T4 2.4 D,2.5,2.5TDI (90-038) LT28-46 (99-06 ) LT 40-55 2.4 D/TD(90-96) [EVR65426,EVR65467]</t>
  </si>
  <si>
    <t>LPRWP0290</t>
  </si>
  <si>
    <t>WP0290  LPR - РќР°СЃРѕСЃ СЃРёСЃС‚РµРјРё РѕС…РѕР»РѕРґР¶РµРЅРЅСЏ</t>
  </si>
  <si>
    <t>604.65</t>
  </si>
  <si>
    <t>WP0290</t>
  </si>
  <si>
    <t>DACIA LOGAN 1.6 16V (06 - ) RENAULT CLIO I-III 1.4 -1.6 16V (98 - ) /KANGOO 1.6 16V (01 - ) RENAULT LAGUNA 1.6 16V (97-) [EVR65510]</t>
  </si>
  <si>
    <t>LPRWP0291</t>
  </si>
  <si>
    <t>WP0291  LPR - РќР°СЃРѕСЃ СЃРёСЃС‚РµРјРё РѕС…РѕР»РѕРґР¶РµРЅРЅСЏ</t>
  </si>
  <si>
    <t>497.04</t>
  </si>
  <si>
    <t>WP0291</t>
  </si>
  <si>
    <t>DAEWOO LANOS 1.6 16V (97 - )/ NEXIA 1.5 16V (95 - 97) [EVR69001]</t>
  </si>
  <si>
    <t>LPRWP0295</t>
  </si>
  <si>
    <t>WP0295  LPR - РќР°СЃРѕСЃ СЃРёСЃС‚РµРјРё РѕС…РѕР»РѕРґР¶РµРЅРЅСЏ</t>
  </si>
  <si>
    <t>WP0295</t>
  </si>
  <si>
    <t>MERCEDES  C/E180/200/220/230 (92 - 00) [EVR65188]</t>
  </si>
  <si>
    <t>LPRWP0319</t>
  </si>
  <si>
    <t>WP0319  LPR - РќР°СЃРѕСЃ СЃРёСЃС‚РµРјРё РѕС…РѕР»РѕРґР¶РµРЅРЅСЏ</t>
  </si>
  <si>
    <t>426.83</t>
  </si>
  <si>
    <t>WP0319</t>
  </si>
  <si>
    <t>CHEVROLET AVEO (KALOS) 1.4 (05 - ) DAEWOO LANOS 1.4, 1.5, 1.6 16V (97 - ) [EVR69003]</t>
  </si>
  <si>
    <t>LPRWP0350</t>
  </si>
  <si>
    <t>WP0350  LPR - РќР°СЃРѕСЃ СЃРёСЃС‚РµРјРё РѕС…РѕР»РѕРґР¶РµРЅРЅСЏ</t>
  </si>
  <si>
    <t>439.56</t>
  </si>
  <si>
    <t>WP0350</t>
  </si>
  <si>
    <t>AUDI A4 /A6 1.9TDI (95 - ) VW GOLF III, PASSAT 1.9 TDI (95 - 99) [EVR65470]</t>
  </si>
  <si>
    <t>LPRWP0356</t>
  </si>
  <si>
    <t>WP0356  LPR - РќР°СЃРѕСЃ СЃРёСЃС‚РµРјРё РѕС…РѕР»РѕРґР¶РµРЅРЅСЏ</t>
  </si>
  <si>
    <t>461.22</t>
  </si>
  <si>
    <t>WP0356</t>
  </si>
  <si>
    <t>CITROГ‹N BERLINGO/JUMPY/JUMPER/XANTIA  1.8 D, 1.9D/SD (96 - ) [EVR65980]</t>
  </si>
  <si>
    <t>LPRWP0377</t>
  </si>
  <si>
    <t>WP0377  LPR - РќР°СЃРѕСЃ СЃРёСЃС‚РµРјРё РѕС…РѕР»РѕРґР¶РµРЅРЅСЏ</t>
  </si>
  <si>
    <t>488.82</t>
  </si>
  <si>
    <t>WP0377</t>
  </si>
  <si>
    <t>DACIA LOGAN 1.4, 1.6 (04-) RENAULT CLIO II/SYMBOL 1.6 (98-05), KANGOO 1.4 (98 - )MEGANE 1.6i (96 - ) [EVR65516]</t>
  </si>
  <si>
    <t>LPRWP0411</t>
  </si>
  <si>
    <t>WP0411  LPR - РќР°СЃРѕСЃ СЃРёСЃС‚РµРјРё РѕС…РѕР»РѕРґР¶РµРЅРЅСЏ</t>
  </si>
  <si>
    <t>456.50</t>
  </si>
  <si>
    <t>WP0411</t>
  </si>
  <si>
    <t>VW GOLF II/III 1.3-1.6 (85 - 99) VW VENTO 1.4, 1.6 (91 - 98) [EVR65455]</t>
  </si>
  <si>
    <t>LPRWP0435</t>
  </si>
  <si>
    <t>WP0435  LPR - РќР°СЃРѕСЃ СЃРёСЃС‚РµРјРё РѕС…РѕР»РѕРґР¶РµРЅРЅСЏ</t>
  </si>
  <si>
    <t>444.27</t>
  </si>
  <si>
    <t>WP0435</t>
  </si>
  <si>
    <t>OPEL KADETT E /OMEGA A/B 1.8-2.0 i (86 -), ASTRA F, VECTRA A/B 1.6, 1.8, 2.0 (88-, [EVR65365]</t>
  </si>
  <si>
    <t>LPRWP0449</t>
  </si>
  <si>
    <t>WP0449  LPR - РќР°СЃРѕСЃ СЃРёСЃС‚РµРјРё РѕС…РѕР»РѕРґР¶РµРЅРЅСЏ</t>
  </si>
  <si>
    <t>596.44</t>
  </si>
  <si>
    <t>WP0449</t>
  </si>
  <si>
    <t>RENAULT KANGOO/CLIO II 1.5 dCi (01 - ) SYMBOL/MEGANE II/SCENIC II/III 1.5 dCi (02 - ) DACIA LOGAN 1.5 dCi (05 - )</t>
  </si>
  <si>
    <t>LPRWP0457</t>
  </si>
  <si>
    <t>WP0457  LPR - РќР°СЃРѕСЃ СЃРёСЃС‚РµРјРё РѕС…РѕР»РѕРґР¶РµРЅРЅСЏ</t>
  </si>
  <si>
    <t>WP0457</t>
  </si>
  <si>
    <t>Citroen Berlingo/Jumpy/Jumper (98-) 1.9D/2.0HDI, Peugeot Expert/Partner  (98-) 206/306/307/406/607/806/807 1.9D/2.0HDI Fiat Ducato 2.0JTD (01-)/Scudo (02 - ) [EVR65994]</t>
  </si>
  <si>
    <t>LPRWP0566</t>
  </si>
  <si>
    <t>WP0566  LPR - РќР°СЃРѕСЃ СЃРёСЃС‚РµРјРё РѕС…РѕР»РѕРґР¶РµРЅРЅСЏ</t>
  </si>
  <si>
    <t>WP0566</t>
  </si>
  <si>
    <t>FORD MONDEO (00 - 07)/TRANSIT 2.0DI/TDDi/TDCi, 2.2TDCi (00 - 06),  [EVR65213]\n</t>
  </si>
  <si>
    <t>LPRWP0596</t>
  </si>
  <si>
    <t>WP0596  LPR - РќР°СЃРѕСЃ СЃРёСЃС‚РµРјРё РѕС…РѕР»РѕРґР¶РµРЅРЅСЏ</t>
  </si>
  <si>
    <t>714.89</t>
  </si>
  <si>
    <t>WP0596</t>
  </si>
  <si>
    <t>NISSAN PRIMASTAR dCi 140/150/120/90 (03 - ) OPEL MOVANO/VIVARO 2.2 DTI, 2.5 (99 - ) RENAULT TRAFIC II/MASTER III 2.5 dCi (01 - ) [EVR65508]</t>
  </si>
  <si>
    <t>LPRWP0604</t>
  </si>
  <si>
    <t>WP0604  LPR - РќР°СЃРѕСЃ СЃРёСЃС‚РµРјРё РѕС…РѕР»РѕРґР¶РµРЅРЅСЏ</t>
  </si>
  <si>
    <t>WP0604</t>
  </si>
  <si>
    <t>OPEL ASTRA F/G/H, KADETT E, OMEGA B, VECTRA A/B 1.7D/1.7TD, 1.8i,2.0i.2.2i (91 - 05) [EVR65315]</t>
  </si>
  <si>
    <t>LPRWP0652</t>
  </si>
  <si>
    <t>WP0652  LPR - РќР°СЃРѕСЃ СЃРёСЃС‚РµРјРё РѕС…РѕР»РѕРґР¶РµРЅРЅСЏ</t>
  </si>
  <si>
    <t>WP0652</t>
  </si>
  <si>
    <t>MERCEDES  SPRINTER 2-t CDI /3-t CDI/4-t CDI ( - 06) [EVR65129]</t>
  </si>
  <si>
    <t>LPRWP0669</t>
  </si>
  <si>
    <t>WP0669  LPR - РќР°СЃРѕСЃ СЃРёСЃС‚РµРјРё РѕС…РѕР»РѕРґР¶РµРЅРЅСЏ</t>
  </si>
  <si>
    <t>WP0669</t>
  </si>
  <si>
    <t>OPEL 1.6, 1.8, 2.0 VECTRA A,  OMEGA A ,  ASTRA F, KADETT E, ASCONA C,  FRONTERA A (81-98) [EVR65325]</t>
  </si>
  <si>
    <t>LPRWP0681</t>
  </si>
  <si>
    <t>WP0681  LPR - РќР°СЃРѕСЃ СЃРёСЃС‚РµРјРё РѕС…РѕР»РѕРґР¶РµРЅРЅСЏ</t>
  </si>
  <si>
    <t>WP0681</t>
  </si>
  <si>
    <t>FIAT 500/DOBLO/GRANDE PUNTO 1.3 D (03 - ) OPEL AGILA/ASTRA H/CORSA C/D  MERIVA 1.3 CDTI (03 - ) [EVR65856]</t>
  </si>
  <si>
    <t>LPRWP0687</t>
  </si>
  <si>
    <t>WP0687  LPR - РќР°СЃРѕСЃ СЃРёСЃС‚РµРјРё РѕС…РѕР»РѕРґР¶РµРЅРЅСЏ</t>
  </si>
  <si>
    <t>1133.49</t>
  </si>
  <si>
    <t>WP0687</t>
  </si>
  <si>
    <t>MB  C/E/G/ML-classe 240/280/320430/500 (97-) VIANO 3,2 (03-),  VITO (03- )           [EVR65118]</t>
  </si>
  <si>
    <t>LPRWP0695</t>
  </si>
  <si>
    <t>WP0695  LPR - РќР°СЃРѕСЃ СЃРёСЃС‚РµРјРё РѕС…РѕР»РѕРґР¶РµРЅРЅСЏ</t>
  </si>
  <si>
    <t>399.38</t>
  </si>
  <si>
    <t>WP0695</t>
  </si>
  <si>
    <t>OPEL CORSA A/KADETT E/VECTRA A  1.4, 1.6 (84 - 96) [EVR65377]</t>
  </si>
  <si>
    <t>LPRWP0712</t>
  </si>
  <si>
    <t>WP0712  LPR - РќР°СЃРѕСЃ СЃРёСЃС‚РµРјРё РѕС…РѕР»РѕРґР¶РµРЅРЅСЏ</t>
  </si>
  <si>
    <t>1544.04</t>
  </si>
  <si>
    <t>WP0712</t>
  </si>
  <si>
    <t>FORD TRANSIT 2.4 TDCi/DI/TDE (00-06)   LDV Convoy 2.4 D  02-09|   (with back housing) [EVR65215]</t>
  </si>
  <si>
    <t>LPRWP0724</t>
  </si>
  <si>
    <t>WP0724  LPR - РќР°СЃРѕСЃ СЃРёСЃС‚РµРјРё РѕС…РѕР»РѕРґР¶РµРЅРЅСЏ</t>
  </si>
  <si>
    <t>427.15</t>
  </si>
  <si>
    <t>WP0724</t>
  </si>
  <si>
    <t>OPEL 1.2/1.4/1.6 ASTRA F/G (91-03) KADETT E, VECTRA A/B, CORSA A/B, DAEWOO NEXIA (95-97), LANOS 1,5 [EVR65361]</t>
  </si>
  <si>
    <t>MAHLE</t>
  </si>
  <si>
    <t>KC102     (MAHLE)  !!Р·Р°РјС–РЅР° РґР»СЏ KC66/1,KC74</t>
  </si>
  <si>
    <t>MAHLE ORIGINAL</t>
  </si>
  <si>
    <t>KC109     (MAHLE)</t>
  </si>
  <si>
    <t>KC116     (MAHLE)</t>
  </si>
  <si>
    <t>KC140     (MAHLE)</t>
  </si>
  <si>
    <t>KC161     (MAHLE)</t>
  </si>
  <si>
    <t>Renault Mascott 04-10</t>
  </si>
  <si>
    <t>KC182     (MAHLE)</t>
  </si>
  <si>
    <t>KC188     (MAHLE)</t>
  </si>
  <si>
    <t>KC191     (MAHLE)</t>
  </si>
  <si>
    <t>KC20     (MAHLE)</t>
  </si>
  <si>
    <t>KC22     (MAHLE)</t>
  </si>
  <si>
    <t>KC24     (MAHLE)</t>
  </si>
  <si>
    <t>KC46     (MAHLE)</t>
  </si>
  <si>
    <t>KC67     (MAHLE)</t>
  </si>
  <si>
    <t>KC75     (MAHLE)</t>
  </si>
  <si>
    <t>KL100/2     (MAHLE)</t>
  </si>
  <si>
    <t>KL13o.F.     (MAHLE)</t>
  </si>
  <si>
    <t>KL147D     (MAHLE)   !!Р·Р°РјС–РЅР° РґР»СЏ KL147</t>
  </si>
  <si>
    <t>KL156/3     (MAHLE)</t>
  </si>
  <si>
    <t>KL160/1     (MAHLE)   !!Р·Р°РјС–РЅР° РґР»СЏ KL160</t>
  </si>
  <si>
    <t>KL174     (MAHLE)</t>
  </si>
  <si>
    <t>KL195     (MAHLE)</t>
  </si>
  <si>
    <t>KL2     (MAHLE)</t>
  </si>
  <si>
    <t>KL228/2D     (MAHLE)</t>
  </si>
  <si>
    <t>KL229/4     (MAHLE)   !!Р·Р°РјС–РЅР° РґР»СЏ KL229/3</t>
  </si>
  <si>
    <t>KL36     (MAHLE)</t>
  </si>
  <si>
    <t>KL416/1     (MAHLE)   !!Р·Р°РјС–РЅР° РґР»СЏ KL72</t>
  </si>
  <si>
    <t>KL430</t>
  </si>
  <si>
    <t>KL430     (MAHLE)   !!Р·Р°РјС–РЅР° РґР»СЏ KL631</t>
  </si>
  <si>
    <t>491.53</t>
  </si>
  <si>
    <t>NISSAN/RENAULT 1.5DCI 02-&gt;</t>
  </si>
  <si>
    <t>KL431D</t>
  </si>
  <si>
    <t>KL431D     (MAHLE)   !!Р·Р°РјС–РЅР° РґР»СЏ KL431</t>
  </si>
  <si>
    <t>557.49</t>
  </si>
  <si>
    <t>FORD Focus II/C-Max 1.6 TDCi 10/03-&gt;, PEUGEOT 206/307/407 02/04-&gt;, CITROEN C4/C5 11/04-&gt;, MAZDA 3</t>
  </si>
  <si>
    <t>KL470</t>
  </si>
  <si>
    <t>KL470     (MAHLE)</t>
  </si>
  <si>
    <t>AVEO 1.2-1.4</t>
  </si>
  <si>
    <t>KL473     (MAHLE)</t>
  </si>
  <si>
    <t>KL490/1D</t>
  </si>
  <si>
    <t>KL490/1D     (MAHLE)</t>
  </si>
  <si>
    <t>968.44</t>
  </si>
  <si>
    <t>MB\tSPRINTER II  CDI  06-</t>
  </si>
  <si>
    <t>KL567     (MAHLE)</t>
  </si>
  <si>
    <t>KL572     (MAHLE)</t>
  </si>
  <si>
    <t>KL638     (MAHLE)</t>
  </si>
  <si>
    <t>RENAULT 1.5DCi, 2.0DCi, 3.0DCi  06-  / H431WK /</t>
  </si>
  <si>
    <t>KL63o.F.     (MAHLE)</t>
  </si>
  <si>
    <t xml:space="preserve">RENAULT 19, 21,Trafic, Master 1.4-2.0, 80-91, PEUGEOT 205, 309, 405 1.6- 2.0, 80-94  (Р°РЅР»Рі WK42/2) </t>
  </si>
  <si>
    <t>KL658     (MAHLE)</t>
  </si>
  <si>
    <t>KL75     (MAHLE)   !!Р·Р°РјС–РЅР° РґР»СЏ KL55</t>
  </si>
  <si>
    <t>KL781     (MAHLE)</t>
  </si>
  <si>
    <t>KL79     (MAHLE)</t>
  </si>
  <si>
    <t>KL96</t>
  </si>
  <si>
    <t>KL96     (MAHLE)</t>
  </si>
  <si>
    <t>1297.79</t>
  </si>
  <si>
    <t>BMW 540i, 735i, 740i 98- (M62 - eng.), 520i, 525i, 530i, (M54 - eng.) 00-</t>
  </si>
  <si>
    <t>KX178DEco     (MAHLE)</t>
  </si>
  <si>
    <t>KX181DEco     (MAHLE)</t>
  </si>
  <si>
    <t>DAF  LKW  99-\n</t>
  </si>
  <si>
    <t>KX191/1DEco     (MAHLE)</t>
  </si>
  <si>
    <t>KX204D     (MAHLE)</t>
  </si>
  <si>
    <t>KX206D     (MAHLE)   !!Р·Р°РјС–РЅР° РґР»СЏ KX83D</t>
  </si>
  <si>
    <t>KX208DEco     (MAHLE)</t>
  </si>
  <si>
    <t>Opel CDTi-eng. All  03-, CITROEN Jumper 2.2HDI, 3.0HDI  06-, CHEVROLET Captiva, Epica, Lacetti 2.0D  06-</t>
  </si>
  <si>
    <t>KX222DEco     (MAHLE)</t>
  </si>
  <si>
    <t>KX228DEco     (MAHLE)</t>
  </si>
  <si>
    <t>KX268DEco</t>
  </si>
  <si>
    <t>KX268DEco     (MAHLE)</t>
  </si>
  <si>
    <t>176.15</t>
  </si>
  <si>
    <t>TOYOTA HILUX II 2.5D  05-</t>
  </si>
  <si>
    <t>KX67/2DEco     (MAHLE)   !!Р·Р°РјС–РЅР° РґР»СЏ KX67/1DEco</t>
  </si>
  <si>
    <t>KX68DEco     (MAHLE)   !!Р·Р°РјС–РЅР° РґР»СЏ KX49D</t>
  </si>
  <si>
    <t>KX70DEco     (MAHLE)</t>
  </si>
  <si>
    <t>KX73/1DEco     (MAHLE)</t>
  </si>
  <si>
    <t>KX80DEco !!!Р—Р°РјС–РЅРµРЅРѕ РЅР° KX80/1DEco    (MAHLE)</t>
  </si>
  <si>
    <t>KX84DEco     (MAHLE)</t>
  </si>
  <si>
    <t>KX85DEco</t>
  </si>
  <si>
    <t>KX85DEco     (MAHLE)</t>
  </si>
  <si>
    <t>285.31</t>
  </si>
  <si>
    <t>CITROEN/PEUGEOT/FIAT 2.0, 2.2 diesel engines 01-</t>
  </si>
  <si>
    <t>LA120     (MAHLE)</t>
  </si>
  <si>
    <t>LA144     (MAHLE)</t>
  </si>
  <si>
    <t>LA157     (MAHLE)</t>
  </si>
  <si>
    <t>LA158</t>
  </si>
  <si>
    <t>LA158     (MAHLE)   !!Р·Р°РјС–РЅР° РґР»СЏ LA443</t>
  </si>
  <si>
    <t>MAZDA 6 02-&gt;</t>
  </si>
  <si>
    <t>LA182     (MAHLE)</t>
  </si>
  <si>
    <t>LA229     (MAHLE)</t>
  </si>
  <si>
    <t>LA287     (MAHLE)</t>
  </si>
  <si>
    <t>LA298     (MAHLE)</t>
  </si>
  <si>
    <t>LA301     (MAHLE)</t>
  </si>
  <si>
    <t>LA307     (MAHLE)</t>
  </si>
  <si>
    <t>LA343     (MAHLE)</t>
  </si>
  <si>
    <t>LA382     (MAHLE)</t>
  </si>
  <si>
    <t>LA395     (MAHLE)</t>
  </si>
  <si>
    <t>LA396     (MAHLE)</t>
  </si>
  <si>
    <t>LA65</t>
  </si>
  <si>
    <t>LA65     (MAHLE)</t>
  </si>
  <si>
    <t>VW TRANSPORTER 94-</t>
  </si>
  <si>
    <t>LA75     (MAHLE)</t>
  </si>
  <si>
    <t>LA875</t>
  </si>
  <si>
    <t>LA875     (MAHLE)</t>
  </si>
  <si>
    <t>338.77</t>
  </si>
  <si>
    <t>FORD C-MAXII  1.0-2.0, FOCUS III 11-, KUGA II 13- , VOLVO V40</t>
  </si>
  <si>
    <t>LAK131     (MAHLE)</t>
  </si>
  <si>
    <t>LAK221/S     (MAHLE)</t>
  </si>
  <si>
    <t>LAK295/S     (MAHLE)</t>
  </si>
  <si>
    <t>MERCEDES W164/W251/X164  05-   (РєРјРї 2 С€С‚)</t>
  </si>
  <si>
    <t>LAK485</t>
  </si>
  <si>
    <t>LAK485     (MAHLE)</t>
  </si>
  <si>
    <t>Mitsubishi Lancer, Outlander, Gradis 03-06</t>
  </si>
  <si>
    <t>LX1024     (MAHLE)</t>
  </si>
  <si>
    <t>MAN TGA, TGS, TGX  00-</t>
  </si>
  <si>
    <t>LX1030</t>
  </si>
  <si>
    <t>LX1030     (MAHLE)</t>
  </si>
  <si>
    <t>124.17</t>
  </si>
  <si>
    <t>HYUNDAI ELANTRA (XD) 1.6i, 2.0i, 2.0CRDI 00-, SANTA FE 2.0CRDI 01- /256 X 175 X 41/</t>
  </si>
  <si>
    <t>LX1076</t>
  </si>
  <si>
    <t>LX1076     (MAHLE)</t>
  </si>
  <si>
    <t>156.54</t>
  </si>
  <si>
    <t>MITSUBISHI COLT 1.3i 05/96-, LANCER 1.3i, 1.6i 96-</t>
  </si>
  <si>
    <t>LX1211     (MAHLE)</t>
  </si>
  <si>
    <t>LX1253</t>
  </si>
  <si>
    <t>LX1253     (MAHLE)</t>
  </si>
  <si>
    <t>280.31</t>
  </si>
  <si>
    <t>AUDI A6(C6)  2.0TDi   04-11</t>
  </si>
  <si>
    <t>LX1286     (MAHLE)</t>
  </si>
  <si>
    <t>LX1482     (MAHLE)</t>
  </si>
  <si>
    <t>LX1573     (MAHLE)</t>
  </si>
  <si>
    <t>LX1583</t>
  </si>
  <si>
    <t>LX1583     (MAHLE)</t>
  </si>
  <si>
    <t>OPEL Vivaro / RENAULT Trafic/Clio III/Modus/Twingo / NISSAN Primstar</t>
  </si>
  <si>
    <t>LX1586     (MAHLE)</t>
  </si>
  <si>
    <t>Ford Transit 2.2TDCI 06--&gt;  /AP023/4/</t>
  </si>
  <si>
    <t>LX1612</t>
  </si>
  <si>
    <t>LX1612     (MAHLE)</t>
  </si>
  <si>
    <t>222.25</t>
  </si>
  <si>
    <t>TOYOTA Camry 2,4-3,0 V6 11/01-&gt;</t>
  </si>
  <si>
    <t>LX1656     (MAHLE)</t>
  </si>
  <si>
    <t>LX1700     (MAHLE)</t>
  </si>
  <si>
    <t>LX1785     (MAHLE)</t>
  </si>
  <si>
    <t>LX1808     (MAHLE)</t>
  </si>
  <si>
    <t>LX1845     (MAHLE)</t>
  </si>
  <si>
    <t>LX1850/2     (MAHLE)   !!Р·Р°РјС–РЅР° РґР»СЏ LX1850/S</t>
  </si>
  <si>
    <t xml:space="preserve"> Mercedes C, E, M-class,  05-  (right)</t>
  </si>
  <si>
    <t>LX1883     (MAHLE)</t>
  </si>
  <si>
    <t>LX1915     (MAHLE)</t>
  </si>
  <si>
    <t>LX1945     (MAHLE)</t>
  </si>
  <si>
    <t>LX1953     (MAHLE)</t>
  </si>
  <si>
    <t>LX1983     (MAHLE)</t>
  </si>
  <si>
    <t>LX2010</t>
  </si>
  <si>
    <t>LX2010     (MAHLE)</t>
  </si>
  <si>
    <t>259.72</t>
  </si>
  <si>
    <t>VAG 1.4i, 1.6i  05-  (OE 036129620H)</t>
  </si>
  <si>
    <t>LX208     (MAHLE)</t>
  </si>
  <si>
    <t>LX2097     (MAHLE)</t>
  </si>
  <si>
    <t>BMW X5 4.8i  07-  (РїСЂР°РІС‹Р№, РґРѕРїРѕР»РЅРµРЅРёРµ Рє LX2098)\n</t>
  </si>
  <si>
    <t>LX2098     (MAHLE)</t>
  </si>
  <si>
    <t>LX2616     (MAHLE)</t>
  </si>
  <si>
    <t>LX266     (MAHLE)</t>
  </si>
  <si>
    <t>LX2672</t>
  </si>
  <si>
    <t>LX2672     (MAHLE)</t>
  </si>
  <si>
    <t>223.82</t>
  </si>
  <si>
    <t>SUBARU Forester III, IV  2.0-2.5 08-, 13 -, IMPREZA 1.5-2.5, 08 - , LEGACY V 03-</t>
  </si>
  <si>
    <t>LX2679     (MAHLE)</t>
  </si>
  <si>
    <t>Daewoo Lacetti/ Nubira 1, 4вЂ¦1, 8L 04-&gt;</t>
  </si>
  <si>
    <t>LX2752</t>
  </si>
  <si>
    <t>LX2752     (MAHLE)</t>
  </si>
  <si>
    <t>238.92</t>
  </si>
  <si>
    <t>KIA \tCEE'D All  06-</t>
  </si>
  <si>
    <t>LX2792     (MAHLE)</t>
  </si>
  <si>
    <t>LX2844     (MAHLE)   !!Р·Р°РјС–РЅР° РґР»СЏ LX994</t>
  </si>
  <si>
    <t>LX2882     (MAHLE)</t>
  </si>
  <si>
    <t>LX2890     (MAHLE)</t>
  </si>
  <si>
    <t>LX296     (MAHLE)</t>
  </si>
  <si>
    <t>LX405</t>
  </si>
  <si>
    <t>LX405     (MAHLE)</t>
  </si>
  <si>
    <t>176.94</t>
  </si>
  <si>
    <t>VW GOLF III, VENTO 91-98 /267.5 X 228 X 57.1/</t>
  </si>
  <si>
    <t>LX511/1     (MAHLE)   !!Р·Р°РјС–РЅР° РґР»СЏ LX511</t>
  </si>
  <si>
    <t>LX537     (MAHLE)</t>
  </si>
  <si>
    <t>LX54</t>
  </si>
  <si>
    <t>LX54     (MAHLE)   !!Р·Р°РјС–РЅР° РґР»СЏ LX111</t>
  </si>
  <si>
    <t>133.00</t>
  </si>
  <si>
    <t>VW/AUDI 1.6D/TD -91, AUDI 80  2.0 16V, 2.3E -96 /336.5 X 135.5 X 56.9/</t>
  </si>
  <si>
    <t>LX542     (MAHLE)</t>
  </si>
  <si>
    <t>LX622</t>
  </si>
  <si>
    <t>LX622     (MAHLE)</t>
  </si>
  <si>
    <t>157.61</t>
  </si>
  <si>
    <t>AUDI A4, VW PASSAT 1.6, 1.8, 1.8T, 2.3, 1.9TDI 96- /254 X 212,5 X 57/</t>
  </si>
  <si>
    <t>LX704/1     (MAHLE)   !!Р·Р°РјС–РЅР° РґР»СЏ LX704</t>
  </si>
  <si>
    <t>LX786     (MAHLE)</t>
  </si>
  <si>
    <t>LX792</t>
  </si>
  <si>
    <t>LX792     (MAHLE)</t>
  </si>
  <si>
    <t>VW TOUAREG 3.2i 02-, 5.0TDI (РїРѕ 2 С€С‚.) 02- /388.9 X 185.1 X 57.3/</t>
  </si>
  <si>
    <t>LX804/S</t>
  </si>
  <si>
    <t>LX804/S     (MAHLE)</t>
  </si>
  <si>
    <t>662.79</t>
  </si>
  <si>
    <t>MB W220 (S280, S320, S430, S500) 98- Р¦Р•РќРђ Р—Рђ РљРњРџ(2РЁРў) /355 X 134.5 X 50.3/</t>
  </si>
  <si>
    <t>LX818</t>
  </si>
  <si>
    <t>LX818     (MAHLE)</t>
  </si>
  <si>
    <t>534.53</t>
  </si>
  <si>
    <t>BMW E46/E39/E60/E38/E65 330d/530d/730d</t>
  </si>
  <si>
    <t>LX877</t>
  </si>
  <si>
    <t>LX877     (MAHLE)</t>
  </si>
  <si>
    <t>113.38</t>
  </si>
  <si>
    <t>OC100</t>
  </si>
  <si>
    <t>OC100     (MAHLE)</t>
  </si>
  <si>
    <t>120.03</t>
  </si>
  <si>
    <t>FIAT DUCATO 2.0 -94, PEUGEOT BOXER 1.9D 96- (W712/8) /87.5 X 75 (M20X1.5)/</t>
  </si>
  <si>
    <t>OC105     (MAHLE)</t>
  </si>
  <si>
    <t>OC1063     (MAHLE)   !!Р·Р°РјС–РЅР° РґР»СЏ OC466</t>
  </si>
  <si>
    <t>OC110o.F.     (MAHLE)</t>
  </si>
  <si>
    <t>OC115</t>
  </si>
  <si>
    <t>OC115     (MAHLE)</t>
  </si>
  <si>
    <t>112.74</t>
  </si>
  <si>
    <t>HONDA 1.5-2.0 Р±РµРЅР·РёРЅ 85-, OPEL VECTRA 1.7TD 90-95 /92 X 75 (M20X1.5)/ (W814/80)</t>
  </si>
  <si>
    <t>OC121     (MAHLE)</t>
  </si>
  <si>
    <t>OC194     (MAHLE)</t>
  </si>
  <si>
    <t>OC204     (MAHLE)</t>
  </si>
  <si>
    <t>OC214</t>
  </si>
  <si>
    <t>OC214     (MAHLE)</t>
  </si>
  <si>
    <t>323.64</t>
  </si>
  <si>
    <t>AUDI 100 2.4D -94, A6 2.5TDI -97, VW T4 1.9D/TD 90- /111 X 108 (3/4 - 16 UNF)/</t>
  </si>
  <si>
    <t>OC215     (MAHLE)   !!Р·Р°РјС–РЅР° РґР»СЏ OC182</t>
  </si>
  <si>
    <t>SUZUKI SWIFT 1.0-1.6 89-, DAEWOO MATIZ  04-  /65 X 65 (3/4 - 16 UNF)/</t>
  </si>
  <si>
    <t>OC21o.F.</t>
  </si>
  <si>
    <t>OC21o.F.     (MAHLE)</t>
  </si>
  <si>
    <t>OPEL ASCONA,CORSA,KADETT 1.2, 1.3 -85 /78.5 X 75 (3/4 - 16 UNF)/ Р±РµР· СѓРїР°РєРѕРІРєРё</t>
  </si>
  <si>
    <t>OC222     (MAHLE)</t>
  </si>
  <si>
    <t>OC230     (MAHLE)   !!Р·Р°РјС–РЅР° РґР»СЏ OC113</t>
  </si>
  <si>
    <t>OC23o.F.</t>
  </si>
  <si>
    <t>OC23o.F.     (MAHLE)</t>
  </si>
  <si>
    <t>101.90</t>
  </si>
  <si>
    <t>FORD 1.6-2.9 Р±РµРЅ. -93, LADA 2101-2107 (MANN: W916/1) /94.5 X 92 (3/4 - 16 UNF)/</t>
  </si>
  <si>
    <t>OC248</t>
  </si>
  <si>
    <t>OC248     (MAHLE)   !!Р·Р°РјС–РЅР° РґР»СЏ OC227</t>
  </si>
  <si>
    <t>296.90</t>
  </si>
  <si>
    <t>RENAULT/IVECO/FIAT DUCATO 2.5, 2.8 diesel eng. 82- /139.5 X 92 (3/4 - 16 UNF)/</t>
  </si>
  <si>
    <t>OC262</t>
  </si>
  <si>
    <t>OC262     (MAHLE)   !!Р·Р°РјС–РЅР° РґР»СЏ OC249</t>
  </si>
  <si>
    <t>VW PASSAT,T4,SHARAN,VENTO 1.9TD/TDI 96- /116 X 85 (3/4 - 16 UNF)/</t>
  </si>
  <si>
    <t>OC264     (MAHLE)   !!Р·Р°РјС–РЅР° РґР»СЏ OC154/OC240</t>
  </si>
  <si>
    <t>OC267</t>
  </si>
  <si>
    <t>OC267     (MAHLE)</t>
  </si>
  <si>
    <t>322.49</t>
  </si>
  <si>
    <t>IVECO - trucks /209.7 X 108 (M30X2)/</t>
  </si>
  <si>
    <t>OC273     (MAHLE)</t>
  </si>
  <si>
    <t>OC275     (MAHLE)</t>
  </si>
  <si>
    <t>OC383</t>
  </si>
  <si>
    <t>OC383     (MAHLE)   !!Р·Р°РјС–РЅР° РґР»СЏ OC97</t>
  </si>
  <si>
    <t>76.66</t>
  </si>
  <si>
    <t>Lada 2101-2107  (MANN  W 920/21)</t>
  </si>
  <si>
    <t>OC384     (MAHLE)   !!Р·Р°РјС–РЅР° РґР»СЏ OC4</t>
  </si>
  <si>
    <t>OC404     (MAHLE)</t>
  </si>
  <si>
    <t>OC405/3</t>
  </si>
  <si>
    <t>OC405/3     (MAHLE)</t>
  </si>
  <si>
    <t>81.80</t>
  </si>
  <si>
    <t>OPEL ASTRA G/VECTRA B,C/ZAFIRA 1,6-2,0 00-</t>
  </si>
  <si>
    <t>OC456</t>
  </si>
  <si>
    <t>OC456     (MAHLE)</t>
  </si>
  <si>
    <t>225.67</t>
  </si>
  <si>
    <t>OC458     (MAHLE)</t>
  </si>
  <si>
    <t>OC47</t>
  </si>
  <si>
    <t>OC47     (MAHLE)   !!Р·Р°РјС–РЅР° РґР»СЏ OC85</t>
  </si>
  <si>
    <t>83.56</t>
  </si>
  <si>
    <t>VW/AUDI -97 (Р°РЅР°Р»РѕРі W719/5) /118 X 75 (3/4 - 16 UNF)/</t>
  </si>
  <si>
    <t>OC47o.F.     (MAHLE)</t>
  </si>
  <si>
    <t>OC486     (MAHLE)</t>
  </si>
  <si>
    <t>OC49     (MAHLE)</t>
  </si>
  <si>
    <t>OC570     (MAHLE)   !!Р·Р°РјС–РЅР° РґР»СЏ OC616</t>
  </si>
  <si>
    <t>OC593/3</t>
  </si>
  <si>
    <t>OC593/3     (MAHLE)</t>
  </si>
  <si>
    <t xml:space="preserve">Audi A1, A3 II 1.2-1.4TSI, 10-, Seat Leon,Toledo 1.2- 1.4 TSI,  VW Golf,Jetta, Passat, Tiguan 1.2-1.4 TSI 07- </t>
  </si>
  <si>
    <t>OC593/4     (MAHLE)</t>
  </si>
  <si>
    <t>OC606</t>
  </si>
  <si>
    <t>OC606     (MAHLE)   !!Р·Р°РјС–РЅР° РґР»СЏ OC235, 266</t>
  </si>
  <si>
    <t>FORD ESCORT,FIESTA,FOCUS,MONDEO 1.4. - 2.0. Р±РµРЅР·РёРЅ 92-  /72 X 76 (3/4 - 16 UNF)/</t>
  </si>
  <si>
    <t>OC90o.F.</t>
  </si>
  <si>
    <t>OC90o.F.     (MAHLE)</t>
  </si>
  <si>
    <t>48.24</t>
  </si>
  <si>
    <t>OPEL Vectra, Astra, Omega, DAEWOO Lanos, Nubira, CHEVROLET Aveo, Lacetti</t>
  </si>
  <si>
    <t>OC978     (MAHLE)</t>
  </si>
  <si>
    <t>MB A, B160 CDI, 180CDI, CITAN 180 CDI, NISSAN Note, Qashqai 1.5DCI,  RENAULT CLIO IV, Kangoo 1.5 DCI, Megane III 1.5 DCI,  DACIA Dokker, Duster, Logan II 1.5 DCI     \n</t>
  </si>
  <si>
    <t>OC981     (MAHLE)   !!Р·Р°РјС–РЅР° РґР»СЏ OC82, OC231</t>
  </si>
  <si>
    <t>OC983     (MAHLE)   !!Р·Р°РјС–РЅР° РґР»СЏ OC66,OC296</t>
  </si>
  <si>
    <t>OC99     (MAHLE)</t>
  </si>
  <si>
    <t>OX122D     (MAHLE)</t>
  </si>
  <si>
    <t>OX123/1DEco     (MAHLE)   !!Р·Р°РјС–РЅР° РґР»СЏ OX123D</t>
  </si>
  <si>
    <t>OX125     (MAHLE)</t>
  </si>
  <si>
    <t>OX138DEco</t>
  </si>
  <si>
    <t>OX138DEco     (MAHLE)</t>
  </si>
  <si>
    <t>156.34</t>
  </si>
  <si>
    <t>AUDI 100(43/44/44Q/C3) 1.6/1.8</t>
  </si>
  <si>
    <t>OX146DEco</t>
  </si>
  <si>
    <t>OX146DEco     (MAHLE)</t>
  </si>
  <si>
    <t>211.07</t>
  </si>
  <si>
    <t>MAN trucks 96- (Р°РЅР°Р»РѕРі HU1381X)</t>
  </si>
  <si>
    <t>OX150DEco</t>
  </si>
  <si>
    <t>OX150DEco     (MAHLE)   !!Р·Р°РјС–РЅР° РґР»СЏ OX94D</t>
  </si>
  <si>
    <t>MB trucks 6t-18t (Р°РЅР°Р»РѕРі HU932/4X)</t>
  </si>
  <si>
    <t>OX152/1DEco     (MAHLE)   !!Р·Р°РјС–РЅР° РґР»СЏ OX152DEco</t>
  </si>
  <si>
    <t>OX153/7D1Eco     (MAHLE)</t>
  </si>
  <si>
    <t>OX153/7DEco     (MAHLE)   !!Р·Р°РјС–РЅР° РґР»СЏ OX153DEco</t>
  </si>
  <si>
    <t>OX153D1Eco     (MAHLE)</t>
  </si>
  <si>
    <t>OX156DEco     (MAHLE)</t>
  </si>
  <si>
    <t>OX161DEco     (MAHLE)</t>
  </si>
  <si>
    <t>OX163/4DEco     (MAHLE)   !!Р·Р°РјС–РЅР° РґР»СЏ OX163/1DEco</t>
  </si>
  <si>
    <t>OX169DEco</t>
  </si>
  <si>
    <t>OX169DEco     (MAHLE)</t>
  </si>
  <si>
    <t>206.36</t>
  </si>
  <si>
    <t>MB W220 (S400CDI), W463 (G400CDI) 00-, W163 (ML400CDI) 01-, W211 (E400CDI) 03-</t>
  </si>
  <si>
    <t>OX171/2DEco     (MAHLE)</t>
  </si>
  <si>
    <t>OX177/3DEco</t>
  </si>
  <si>
    <t>OX177/3DEco     (MAHLE)</t>
  </si>
  <si>
    <t>258.57</t>
  </si>
  <si>
    <t>BMW 330D, 530D, 730D,  X5 3.0D  03-</t>
  </si>
  <si>
    <t>OX182DEco</t>
  </si>
  <si>
    <t>OX182DEco     (MAHLE)</t>
  </si>
  <si>
    <t>OPEL OMEGA 2.5i, 2.6i, 3.0i  99-, ASTRA,VECTRA 1.8 16V 98-</t>
  </si>
  <si>
    <t>OX183/5D1Eco</t>
  </si>
  <si>
    <t>OX183/5D1Eco     (MAHLE)</t>
  </si>
  <si>
    <t>MB C-Classe C180-C250, -08, Sprinter 216, 316,  08-</t>
  </si>
  <si>
    <t>OX191DEco     (MAHLE)</t>
  </si>
  <si>
    <t>OX196/1D1Eco     (MAHLE)</t>
  </si>
  <si>
    <t>OX196/1DEco     (MAHLE)</t>
  </si>
  <si>
    <t>OX210DEco     (MAHLE)</t>
  </si>
  <si>
    <t>OX359DEco</t>
  </si>
  <si>
    <t>OX359DEco     (MAHLE)</t>
  </si>
  <si>
    <t>434.51</t>
  </si>
  <si>
    <t>DAF 95, CF75, CF85,  01-</t>
  </si>
  <si>
    <t>OX369DEco</t>
  </si>
  <si>
    <t>OX369DEco     (MAHLE)</t>
  </si>
  <si>
    <t>127.90</t>
  </si>
  <si>
    <t>Hyundai Accent (LC) 1.5CRDi 9/99-&gt;, Getz 1.5CRDi 2/02-&gt;, Matrix 5/01-&gt;</t>
  </si>
  <si>
    <t>OX371DEco     (MAHLE)</t>
  </si>
  <si>
    <t>OX377DEco     (MAHLE)</t>
  </si>
  <si>
    <t>OX380DEco     (MAHLE)</t>
  </si>
  <si>
    <t>OX384DEco     (MAHLE)</t>
  </si>
  <si>
    <t>OX388DEco     (MAHLE)</t>
  </si>
  <si>
    <t>OX416D1Eco     (MAHLE)</t>
  </si>
  <si>
    <t>OX418DEco     (MAHLE)</t>
  </si>
  <si>
    <t>OX422DEco</t>
  </si>
  <si>
    <t>OX422DEco     (MAHLE)</t>
  </si>
  <si>
    <t>VW Polo, Skoda Fabia, Roomster 1,2TDI 09-</t>
  </si>
  <si>
    <t>OX436DEco     (MAHLE)</t>
  </si>
  <si>
    <t>OX441DEco</t>
  </si>
  <si>
    <t>OX441DEco     (MAHLE)</t>
  </si>
  <si>
    <t>207.91</t>
  </si>
  <si>
    <t>NISSAN, OPEL, RENAULT 2.0DCi, 2.5DCi  05-</t>
  </si>
  <si>
    <t>OX636DEco     (MAHLE)</t>
  </si>
  <si>
    <t>OX68D     (MAHLE)</t>
  </si>
  <si>
    <t>MAHLE - РўРµСЂРјРѕСЃС‚Р°С‚Рё</t>
  </si>
  <si>
    <t>TE 2 70</t>
  </si>
  <si>
    <t>TE270  Mahle - РўРµСЂРјРѕСЃС‚Р°С‚</t>
  </si>
  <si>
    <t>434.92</t>
  </si>
  <si>
    <t>TE270</t>
  </si>
  <si>
    <t>BMW 3 (E46), 5 (E39), 7(E38, E65, E66, E67)  2,0d/2,5d/3,0d/4,0d  98-05  (1.406.70| )</t>
  </si>
  <si>
    <t>TH 13 92</t>
  </si>
  <si>
    <t>TH1392  Mahle - РўРµСЂРјРѕСЃС‚Р°С‚</t>
  </si>
  <si>
    <t>547.84</t>
  </si>
  <si>
    <t>TH1392</t>
  </si>
  <si>
    <t>MB C (W203), E (W210) 2.0/2.2/2.7CDI 00- (2.435.92.355| TH6884.92J| TH37092)</t>
  </si>
  <si>
    <t>TI 2 92</t>
  </si>
  <si>
    <t>TI292  Mahle - РўРµСЂРјРѕСЃС‚Р°С‚</t>
  </si>
  <si>
    <t>278.79</t>
  </si>
  <si>
    <t>TI292</t>
  </si>
  <si>
    <t>OPEL 1,6D/ 1,8-2,0 OHC 87-  (1.164.92.344| TH6287.92J| 4164.92D| )</t>
  </si>
  <si>
    <t>TI 22 87</t>
  </si>
  <si>
    <t>TI2287  Mahle - РўРµСЂРјРѕСЃС‚Р°С‚</t>
  </si>
  <si>
    <t>365.23</t>
  </si>
  <si>
    <t>TI2287</t>
  </si>
  <si>
    <t>MB C-class 1,8-2,3 93-01, E-class 2,3 95-97| Ssang-Yong , (eng.M111.921/942/945/961/970/974)| (2.408.87| TH6247.87J| 4276.87D| TH34187)</t>
  </si>
  <si>
    <t>TI 8 87</t>
  </si>
  <si>
    <t>TI887  Mahle - РўРµСЂРјРѕСЃС‚Р°С‚</t>
  </si>
  <si>
    <t>TI887</t>
  </si>
  <si>
    <t>AUDI A3, SEAT Leon, SKODA Octavia, VW Golf V, Passat| 2.0FSI/2.0RS|  03-  (1.330.87| TH7068.87J| TH41487G1)</t>
  </si>
  <si>
    <t>TI 9 92</t>
  </si>
  <si>
    <t>TI992  Mahle - РўРµСЂРјРѕСЃС‚Р°С‚</t>
  </si>
  <si>
    <t>406.60</t>
  </si>
  <si>
    <t>TI992</t>
  </si>
  <si>
    <t>DAEWOO Nubira 1,6 16V 97-, OPEL ASTRA F 1,8 16V 93-98 (1.407.92| TH6222.92J| 4177.92D| )</t>
  </si>
  <si>
    <t>TM 12 105</t>
  </si>
  <si>
    <t>TM12105  Mahle - РўРµСЂРјРѕСЃС‚Р°С‚</t>
  </si>
  <si>
    <t>1141.10</t>
  </si>
  <si>
    <t>TM12105</t>
  </si>
  <si>
    <t>BMW 535i/540i (E39) 96-04, 535i/740i (E38) 96-01, X5 (E53) 4,4/4,6 00-|   Range Rover III 4,4 02-12|  (2.547.01| TH6493.105J| )</t>
  </si>
  <si>
    <t>TM 13 97</t>
  </si>
  <si>
    <t>TM1397  Mahle - РўРµСЂРјРѕСЃС‚Р°С‚</t>
  </si>
  <si>
    <t>844.65</t>
  </si>
  <si>
    <t>TM1397</t>
  </si>
  <si>
    <t>BMW 3 (E46) 98-05| 5 (E39) 96-03, (E60) 03-10, 7 (E38,E65-E67), X3(E83), X5(E53), Z3(E36), Z4(E85)  2,0-3,0|  (2.561.01| TH6499.97J| 4326.97D| TH32197G1)</t>
  </si>
  <si>
    <t>TX 18 83 D</t>
  </si>
  <si>
    <t>TX1883D  Mahle - РўРµСЂРјРѕСЃС‚Р°С‚</t>
  </si>
  <si>
    <t>168.82</t>
  </si>
  <si>
    <t>TX1883D</t>
  </si>
  <si>
    <t>MERCEDES BUSSE / TRANSPORTER / LKW (2.466.83.300| )</t>
  </si>
  <si>
    <t>TX 23 83 D</t>
  </si>
  <si>
    <t>TX2383D  Mahle - РўРµСЂРјРѕСЃС‚Р°С‚</t>
  </si>
  <si>
    <t>212.04</t>
  </si>
  <si>
    <t>TX2383D</t>
  </si>
  <si>
    <t>DAF, MAN BUSSE / LKW (2.105.83.300| )</t>
  </si>
  <si>
    <t>TX 32 80 D</t>
  </si>
  <si>
    <t>TX3280D  Mahle - РўРµСЂРјРѕСЃС‚Р°С‚</t>
  </si>
  <si>
    <t>704.70</t>
  </si>
  <si>
    <t>TX3280D</t>
  </si>
  <si>
    <t>SCANIA 4, P,G,R,T-series,  1995-вЂ¦  (2.159.80| TH7117.80J| 4224.80D)</t>
  </si>
  <si>
    <t>MOBIL</t>
  </si>
  <si>
    <t>Mobil Super 1000 15W-40 1L</t>
  </si>
  <si>
    <t>109.81</t>
  </si>
  <si>
    <t>MOBIL T</t>
  </si>
  <si>
    <t>Mobil 1 5W-50 1L (T)</t>
  </si>
  <si>
    <t>244.90</t>
  </si>
  <si>
    <t>Mobil 1 5W-50 4L (T)</t>
  </si>
  <si>
    <t>925.02</t>
  </si>
  <si>
    <t>Mobil 1 0W-40 1L (T)</t>
  </si>
  <si>
    <t>262.89</t>
  </si>
  <si>
    <t>Mobil ATF 220 1L (T)</t>
  </si>
  <si>
    <t>139.59</t>
  </si>
  <si>
    <t>Mobil Super 2000 10W-40 1L (T)</t>
  </si>
  <si>
    <t>118.81</t>
  </si>
  <si>
    <t>Mobil Super 2000 10W-40 4L (T)</t>
  </si>
  <si>
    <t>420.01</t>
  </si>
  <si>
    <t>Mobil Super 3000 5W-40 1L (T)</t>
  </si>
  <si>
    <t>162.23</t>
  </si>
  <si>
    <t>Mobil Super 3000 5W-40 4L (T)</t>
  </si>
  <si>
    <t>591.40</t>
  </si>
  <si>
    <t>Mobil Super 1000 15W-40 4L</t>
  </si>
  <si>
    <t>372.24</t>
  </si>
  <si>
    <t>Mobil ATF 320 1L (T)</t>
  </si>
  <si>
    <t>163.63</t>
  </si>
  <si>
    <t>Mobil Super 3000 X1 Formula FE 5W-30 1L (T)</t>
  </si>
  <si>
    <t>Mobil Super 3000 X1 Formula FE 5W-30 4L (T)</t>
  </si>
  <si>
    <t>638.39</t>
  </si>
  <si>
    <t>Mobil ATF LT 71141 20L (T)</t>
  </si>
  <si>
    <t>3368.62</t>
  </si>
  <si>
    <t>Mobil ATF LT 71141 1L (T)</t>
  </si>
  <si>
    <t>Mobil 1 0W-40 4L (T)</t>
  </si>
  <si>
    <t>1009.70</t>
  </si>
  <si>
    <t>Mobil Delvac MX 15W-40 20L (T)</t>
  </si>
  <si>
    <t>1639.10</t>
  </si>
  <si>
    <t>Mobil Delvac MX Extra 10W-40 20L (T)</t>
  </si>
  <si>
    <t>1857.32</t>
  </si>
  <si>
    <t>Mobil LUBE GX 80W-90 1L (T)</t>
  </si>
  <si>
    <t>130.59</t>
  </si>
  <si>
    <t>Mobil 1 ESP Formula 5W-30 1L (x12) (T)</t>
  </si>
  <si>
    <t>232.65</t>
  </si>
  <si>
    <t>Mobil 1 ESP Formula 5W-30 4L (x4) (T)</t>
  </si>
  <si>
    <t>869.80</t>
  </si>
  <si>
    <t>Mobil Super 2000 X1 10W-40 1L (x12)</t>
  </si>
  <si>
    <t>114.85</t>
  </si>
  <si>
    <t>MOBIL E</t>
  </si>
  <si>
    <t>150017d</t>
  </si>
  <si>
    <t>Mobil Super 2000 X1 DIESEL 10W-40 1L (x12)</t>
  </si>
  <si>
    <t>Mobil 1 New Life 0W-40 1L (x12)</t>
  </si>
  <si>
    <t>254.13</t>
  </si>
  <si>
    <t>Mobil ATF 320 20L (T)</t>
  </si>
  <si>
    <t>2742.63</t>
  </si>
  <si>
    <t>Mobil ATF 220 20L (T)</t>
  </si>
  <si>
    <t>2252.67</t>
  </si>
  <si>
    <t>m-ultr10-1L</t>
  </si>
  <si>
    <t>MOBIL Ultra 10W-40 1L x12</t>
  </si>
  <si>
    <t>94.46</t>
  </si>
  <si>
    <t>m-ultr10-4L</t>
  </si>
  <si>
    <t>MOBIL Ultra 10W-40 4L x4</t>
  </si>
  <si>
    <t>313.77</t>
  </si>
  <si>
    <t>MOLDER</t>
  </si>
  <si>
    <t>KF 6</t>
  </si>
  <si>
    <t>KF 6 MOLDER (Р°РЅР°Р»РѕРі WF8172/KC5/WK81186)</t>
  </si>
  <si>
    <t>76.39</t>
  </si>
  <si>
    <t>BOGDAN (Isuzu eng.) EURO II/III, TOYOTA LANDCRUISER 4.0D/TD 80-89 (Р°РЅР°Р»РѕРі WF8172/KC5/WK81186)\n\n</t>
  </si>
  <si>
    <t>KF106</t>
  </si>
  <si>
    <t>KF 106 MOLDER (Р°РЅР°Р»РѕРі WF8246/KC116/WK8105)</t>
  </si>
  <si>
    <t>296.83</t>
  </si>
  <si>
    <t>FORD TRANSIT 2.0D, 2.4D 00 - (Р°РЅР°Р»РѕРі WF8246/KC116/WK8105)\n\n\n\n\n\n</t>
  </si>
  <si>
    <t>KF110/2</t>
  </si>
  <si>
    <t>KF 110/2 MOLDER (Р°РЅР°Р»РѕРі WF8239/KL100/2/WK84213)</t>
  </si>
  <si>
    <t>188.51</t>
  </si>
  <si>
    <t>MB Sprinter (901, 902, 904) 00-06, VITO 2.2CDI, VANEO 1.7CDI 02-, A-class A160CDI, A170CDI 01- (Р°РЅР°Р»РѕРі WF8239/KL100/2/WK84213)\n\n\n\n</t>
  </si>
  <si>
    <t>KF113</t>
  </si>
  <si>
    <t>KF 113 MOLDER (Р°РЅР°Р»РѕРі WF8371/KC223/WK8158)</t>
  </si>
  <si>
    <t>380.82</t>
  </si>
  <si>
    <t>TRANSIT 06-&gt; 2.4 TDCI (Р°РЅР°Р»РѕРі WF8371/KC223/WK8158)\n\n\n\n\n\n\n</t>
  </si>
  <si>
    <t>KF118/2D</t>
  </si>
  <si>
    <t>KF 118/2D MOLDER (Р°РЅР°Р»РѕРі WF8353/KL228/2D/WK84223X)</t>
  </si>
  <si>
    <t>229.18</t>
  </si>
  <si>
    <t>Mercedes (Р°РЅР°Р»РѕРі WF8353/KL228/2D/WK84223X)\n\n\n\n</t>
  </si>
  <si>
    <t>KF119/4</t>
  </si>
  <si>
    <t>KF 119/4 MOLDER (Р°РЅР°Р»РѕРі WF8358/KL229/4/WK8571)</t>
  </si>
  <si>
    <t>474.69</t>
  </si>
  <si>
    <t>T5/TOUAREG 2.5 TDI (Р°РЅР°Р»РѕРі WF8358/KL229/4/WK8571)\n\n\n\n\n</t>
  </si>
  <si>
    <t>KF12</t>
  </si>
  <si>
    <t>KF 12 MOLDER (Р°РЅР°Р»РѕРі WF8047/KC22/WK716)</t>
  </si>
  <si>
    <t>52.45</t>
  </si>
  <si>
    <t>MB W123, 207D/209D,307D/309D,407D (Р°РЅР°Р»РѕРі WF8047/KC22/WK716)\n\n</t>
  </si>
  <si>
    <t>KF138</t>
  </si>
  <si>
    <t>KF 138 MOLDER (Р°РЅР°Р»РѕРі WF8034/KL248/WK612)</t>
  </si>
  <si>
    <t>71.45</t>
  </si>
  <si>
    <t>CITROEN BERLINGO, PEUGEOT PARTNER, RENAULT MEGANE 1.4i, 1.8i 96-\n\n</t>
  </si>
  <si>
    <t>KF200</t>
  </si>
  <si>
    <t>KF 200 MOLDER (Р°РЅР°Р»РѕРі WF8040/KL2/WK830)</t>
  </si>
  <si>
    <t>114.40</t>
  </si>
  <si>
    <t>VW/AUDI 1.6 - 2.8 Р±РµРЅР·РёРЅ 91- (Р°РЅР°Р»РѕРі KL2, WK830/7) Gazel 2.3i (Р°РЅР°Р»РѕРі WF8040/KL2/WK830)\n\n\n\n\n</t>
  </si>
  <si>
    <t>KF201</t>
  </si>
  <si>
    <t>KF 201 MOLDER (Р°РЅР°Р»РѕРі 95003E/KC102/WDK725)</t>
  </si>
  <si>
    <t>131.50</t>
  </si>
  <si>
    <t>MAN trucks &amp; buses (Р°РЅР°Р»РѕРі 95003E/KC102/WDK725)\n\n\n</t>
  </si>
  <si>
    <t>KF336</t>
  </si>
  <si>
    <t>KF 336 MOLDER (Р°РЅР°Р»РѕРі WF8268/KL446/WK8293)</t>
  </si>
  <si>
    <t>205.23</t>
  </si>
  <si>
    <t>FORD FOCUS 1.8TDCI 01- (Р°РЅР°Р»РѕРі WF8268/KL446/WK8293)\n\n\n\n\n\n</t>
  </si>
  <si>
    <t>KF37D</t>
  </si>
  <si>
    <t>KF 37D MOLDER (Р°РЅР°Р»РѕРі WF8046/KL147D/WK8533X)</t>
  </si>
  <si>
    <t>217.39</t>
  </si>
  <si>
    <t>AUDI A3,A4,A6, VW 1.9TDI 00-, LT28-35 2.5SDI/TDI 96- (Р°РЅР°Р»РѕРі WF8046/KL147D/WK8533X)\n\n\n</t>
  </si>
  <si>
    <t>KF4</t>
  </si>
  <si>
    <t>KF 4 MOLDER (Р°РЅР°Р»РѕРі WF8033/KL14/WK613)</t>
  </si>
  <si>
    <t>91.59</t>
  </si>
  <si>
    <t>CITROEN/PEUGEOT 1.3-2.0, OPEL 1.2-3.0 -98, Tavria/Slavuta 1.2i, 1.3i (Р°РЅР°Р»РѕРі WF8033/KL14/WK613)\n\n\n\n\n</t>
  </si>
  <si>
    <t>KF46/1</t>
  </si>
  <si>
    <t>KF 46/1 MOLDER (Р°РЅР°Р»РѕРі WF8311/KL156/1/WK59X)</t>
  </si>
  <si>
    <t>259.58</t>
  </si>
  <si>
    <t>Audi A3 II| Seat Altea, Cordoba III, Ibiza IV, Toledo III| Skoda Fabia, Octavia II| VW Bora II, Caddy III, Golf V, Polo IV, Touran (Р°РЅР°Р»РѕРі WF8311/KL156/1/WK59X)\n\n\n</t>
  </si>
  <si>
    <t>KF46/3</t>
  </si>
  <si>
    <t>KF 46/3 MOLDER (Р°РЅР°Р»РѕРі WF8317/KL156/3/WK692)</t>
  </si>
  <si>
    <t>248.18</t>
  </si>
  <si>
    <t>VAG A3/ Fabia/ Golf V/ Jetta III/ Octavia 1, 2-3, 2L 04/ 00-&gt;В  (Р°РЅР°Р»РѕРі WF8317/KL156/3/WK692)\n\n\n</t>
  </si>
  <si>
    <t>KF465</t>
  </si>
  <si>
    <t>KF 465 MOLDER (Р°РЅР°Р»РѕРі WF8352/KL573/WK553)</t>
  </si>
  <si>
    <t>54.73</t>
  </si>
  <si>
    <t>DAEWOO Lanos, Matiz, Nubira, Lanos (T-100/T-150), Sens (With electrical connector) | Chevrolet (GM) Epica, Evanda, Lacetti, Zaz (3A3) (Р°РЅР°Р»РѕРі WF8352/KL573/WK553)\n\n\n</t>
  </si>
  <si>
    <t>KF53/1D</t>
  </si>
  <si>
    <t>KF 53/1D MOLDER (Р°РЅР°Р»РѕРі WF8048/KC63/1D/WK8173X)</t>
  </si>
  <si>
    <t>MB W201,W124,W202,W210,T1,T2,SPRINTER,VITO (Р°РЅР°Р»РѕРі WF8048/KC63/1D/WK8173X)\n\n\n</t>
  </si>
  <si>
    <t>KF6</t>
  </si>
  <si>
    <t>64.43</t>
  </si>
  <si>
    <t>BOGDAN (Isuzu eng.) EURO II/III, TOYOTA LANDCRUISER 4.0D/TD 80-89 (Р°РЅР°Р»РѕРі WF8172/KC5/WK81186)\n\n\n\n\n</t>
  </si>
  <si>
    <t>KF65</t>
  </si>
  <si>
    <t>KF 65 MOLDER (Р°РЅР°Р»РѕРі WF8045/KL75/WK8424)</t>
  </si>
  <si>
    <t>155.82</t>
  </si>
  <si>
    <t>VW/SEAT diesel engines 88- (Р°РЅР°Р»РѕРі WF8045/KL75/WK8424)\n\n\n\n\n</t>
  </si>
  <si>
    <t>KF69</t>
  </si>
  <si>
    <t>KF 69 MOLDER (Р°РЅР°Р»РѕРі WF8041/KL79/WK7301)</t>
  </si>
  <si>
    <t>106.80</t>
  </si>
  <si>
    <t>VW/AUDI 1.6 - 3.0 Р±РµРЅР·РёРЅ 97- (Р°РЅР°Р»РѕРі WK730/1) Gazel 2.3i (Р°РЅР°Р»РѕРі WF8041/KL79/WK7301)\n\n\n\n\n</t>
  </si>
  <si>
    <t>KF73</t>
  </si>
  <si>
    <t>KF 73 MOLDER (Р°РЅР°Р»РѕРі WF8101/KL83/WK512)</t>
  </si>
  <si>
    <t>Daewoo Lanos, OPEL Corsa 93-, Omega B 94-, VECTRA 1.6-2.6 95- , VAZ 1.6, 1.6 16v (Р°РЅР°Р»РѕРі WF8101/KL83/WK512)\n\n\n\n\n</t>
  </si>
  <si>
    <t>KF8</t>
  </si>
  <si>
    <t>KF 8 MOLDER (Р°РЅР°Р»РѕРі WF8042/KC18/W8422)</t>
  </si>
  <si>
    <t>85.51</t>
  </si>
  <si>
    <t>VW/Audi/Fiat/Citroen/Peugeot Diesel eng., СЃ РїСЂРѕРєР»Р°РґРєРѕР№ 83-99, Iveco 99- (Р°РЅР°Р»РѕРі WF8042/KC18/W8422)\n</t>
  </si>
  <si>
    <t>KF80</t>
  </si>
  <si>
    <t>KF 80 MOLDER (Р°РЅР°Р»РѕРі WF8052/KC90/WK880)</t>
  </si>
  <si>
    <t>181.67</t>
  </si>
  <si>
    <t>FORD TRANSIT 2.5D/TD 84-10/97 (Р°РЅР°Р»РѕРі WF8052/KC90/WK880)\n\n\n\n\n\n</t>
  </si>
  <si>
    <t>KF87</t>
  </si>
  <si>
    <t>KF 87 MOLDER (Р°РЅР°Р»РѕРі 95046E/KC197/WK94020)</t>
  </si>
  <si>
    <t>190.79</t>
  </si>
  <si>
    <t>Renault Magnum, Midlum, Premium (Р°РЅР°Р»РѕРі 95046E/KC197/WK94020)\n\n\n\n\n</t>
  </si>
  <si>
    <t>KFX112D</t>
  </si>
  <si>
    <t>KFX 112D MOLDER (Р°РЅР°Р»РѕРі WF8392/KX222DEco/PU816X)</t>
  </si>
  <si>
    <t>185.85</t>
  </si>
  <si>
    <t>VW Crafter 2.5TDI 06-&gt;  (Р°РЅР°Р»РѕРі WF8392/KX222DEco/PU816X)\n\n\n\n\n\n\n</t>
  </si>
  <si>
    <t>KFX121D</t>
  </si>
  <si>
    <t>KFX 121D MOLDER (Р°РЅР°Р»РѕРі WF8166/KX231DEco/P732X)</t>
  </si>
  <si>
    <t>100.34</t>
  </si>
  <si>
    <t>OPEL OMEGA, VECTRA, ZAFIRA 2.0DTI, 2.2DTI 96- (Р°РЅР°Р»РѕРі WF8166/KX231DEco/P732X)\n\n\n\n\n\n</t>
  </si>
  <si>
    <t>KFX13</t>
  </si>
  <si>
    <t>KFX 13 MOLDER (Р°РЅР°Р»РѕРі 33166RE/KX23/P917X)</t>
  </si>
  <si>
    <t>50.55</t>
  </si>
  <si>
    <t>FIAT DUCATO 2.5D/TD -94, PCA 1.9D/TD, 2.5D/TD 94-В  (Р°РЅР°Р»РѕРі 33166RE/KX23/P917X)\n\n\n\n</t>
  </si>
  <si>
    <t>KFX25</t>
  </si>
  <si>
    <t>KFX 25 MOLDER (Р°РЅР°Р»РѕРі 33167E/KX35/P707)</t>
  </si>
  <si>
    <t>48.65</t>
  </si>
  <si>
    <t>MAN (buses) SG240H,SG242 85-94 (Р°РЅР°Р»РѕРі 33167E/KX35/P707)\n\n\n\n\n\n\n\n</t>
  </si>
  <si>
    <t>KFX53/1</t>
  </si>
  <si>
    <t>KFX 53/1 MOLDER (Р°РЅР°Р»РѕРі WF8021/KX63/1/P716)</t>
  </si>
  <si>
    <t>61.19</t>
  </si>
  <si>
    <t>CITROEN JUMPY, BERLINGO, FIAT SCUDO, PEUGEOT EXPERT 1.9D/TD 95- (Р°РЅР°Р»РѕРі WF8021/KX63/1/P716)\n\n\n\n\n\n</t>
  </si>
  <si>
    <t>KFX57/2D</t>
  </si>
  <si>
    <t>KFX 57/2D MOLDER (Р°РЅР°Р»РѕРі 95021E/KX67/2DEco/PU10461X)</t>
  </si>
  <si>
    <t>163.05</t>
  </si>
  <si>
    <t>MB VARIO/ATEGO 96- (Р°РЅР°Р»РѕРі 95021E/KX67/2DEco/PU10461X)\n\n\n\n\n\n</t>
  </si>
  <si>
    <t>KFX58D</t>
  </si>
  <si>
    <t>KFX 58D MOLDER (Р°РЅР°Р»РѕРі WF8156/KX68DEco/BFU700X)</t>
  </si>
  <si>
    <t>60.05</t>
  </si>
  <si>
    <t>MB - trucks diesel engines (Р°РЅР°Р»РѕРі WF8156/KX68DEco/BFU700X)\n\n\n\n</t>
  </si>
  <si>
    <t>KFX68D</t>
  </si>
  <si>
    <t>KFX 68D MOLDER (Р°РЅР°Р»РѕРі WF8308/KX178DEco/PU9362X)</t>
  </si>
  <si>
    <t>A3/G5/TOURAN TDI/SDI (Р°РЅР°Р»РѕРі WF8308/KX178DEco/PU9362X)\n\n\n\n\n\n</t>
  </si>
  <si>
    <t>KFX69D</t>
  </si>
  <si>
    <t>KFX 69D MOLDER (Р°РЅР°Р»РѕРі WF8014/KX79D/P7161X)</t>
  </si>
  <si>
    <t>RENAULT MEGANE, LAGUNA, KANGOO 1.9D/DTI/DCI 97-  (Р°РЅР°Р»РѕРі WF8014/KX79D/P7161X)\n\n\n\n\n\n</t>
  </si>
  <si>
    <t>KFX73D</t>
  </si>
  <si>
    <t>KFX 73D MOLDER (Р°РЅР°Р»РѕРі WF8315/KX183D/PU731X)</t>
  </si>
  <si>
    <t>64.61</t>
  </si>
  <si>
    <t>PRIMASTAR/MASTER (Р°РЅР°Р»РѕРі WF8315/KX183D/PU731X)\n\n\n\n\n</t>
  </si>
  <si>
    <t>KFX74D</t>
  </si>
  <si>
    <t>KFX 74D MOLDER (Р°РЅР°Р»РѕРі WF8177/KX84DEco/PU1021X)</t>
  </si>
  <si>
    <t>94.25</t>
  </si>
  <si>
    <t>CITROEN JUMPY, BERLINGO, PEUGEOT PARTNER 1.9D 98- (Р°РЅР°Р»РѕРі WF8177/KX84DEco/PU1021X)\n\n\n\n\n\n</t>
  </si>
  <si>
    <t>KFX75D</t>
  </si>
  <si>
    <t>KFX 75D MOLDER (Р°РЅР°Р»РѕРі WF8256/KX85DEco/PU830X)</t>
  </si>
  <si>
    <t>151.64</t>
  </si>
  <si>
    <t>CITROEN/PEUGEOT/FIAT 2.0, 2.2 diesel engines 01- (Р°РЅР°Р»РѕРі WF8256/KX85DEco/PU830X)\n\n\n\n\n</t>
  </si>
  <si>
    <t>KFX94D</t>
  </si>
  <si>
    <t>KFX 94D MOLDER (Р°РЅР°Р»РѕРі WF8301/KX204D/P726X)</t>
  </si>
  <si>
    <t>87.79</t>
  </si>
  <si>
    <t>OPEL Movano/ Vivaro/ / RENAULT Trafic/ Master II/ / Nissan Primastar/ Interstar 09/ 00-&gt; 1, 9/ 2, 5/ 3, 0L 7701207667/ 93160736/ 1640500QAB (Р°РЅР°Р»РѕРі WF8301/KX204D/P726X)\n\n\n\n\n\n</t>
  </si>
  <si>
    <t>KFX98D</t>
  </si>
  <si>
    <t>KFX 98D MOLDER (Р°РЅР°Р»РѕРі WF8366/KX208DEco/PU723X)</t>
  </si>
  <si>
    <t>193.45</t>
  </si>
  <si>
    <t>FIAT/OPEL 1.3/1.9 CDTi 04-&gt; (Р°РЅР°Р»РѕРі WF8366/KX208DEco/PU723X)\n\n\n\n</t>
  </si>
  <si>
    <t>LF110</t>
  </si>
  <si>
    <t>LF 110 MOLDER (Р°РЅР°Р»РѕРі WA6168/LX220/РЎ22117)</t>
  </si>
  <si>
    <t>60.81</t>
  </si>
  <si>
    <t>LADA 2109-2112 РёРЅР¶РµРєС‚РѕСЂ, VW TRANSPORTER 1.6-2.1 -92, AUDI 100 1.8i-2.3i -90 (Р°РЅР°Р»РѕРі WA6168/LX220/РЎ22117)\n\n\n\n\n\n</t>
  </si>
  <si>
    <t>LF1101</t>
  </si>
  <si>
    <t>LF 1101 MOLDER (Р°РЅР°Р»РѕРі WA6781/LX1211/C35154)</t>
  </si>
  <si>
    <t>A3/G5/TOURAN 1.9-2.0TDI  (Р°РЅР°Р»РѕРі WA6781/LX1211/C35154)\n\n\n\n\n\n\n\n\n\n\n\n\n</t>
  </si>
  <si>
    <t>LF1148</t>
  </si>
  <si>
    <t>LF 1148 MOLDER (Р°РЅР°Р»РѕРі WA6761/LX1258/C3875)</t>
  </si>
  <si>
    <t>75.63</t>
  </si>
  <si>
    <t>Renault Clio/ Kangoo 1.5 mot. K9K700/ 6/ 01- (Р°РЅР°Р»РѕРі WA6761/LX1258/C3875)\n\n\n\n\n\n\n\n\n\n\n\n\n</t>
  </si>
  <si>
    <t>LF1342</t>
  </si>
  <si>
    <t>LF 1342 MOLDER (Р°РЅР°Р»РѕРі WA9411/LX1452/C3282)</t>
  </si>
  <si>
    <t>150.88</t>
  </si>
  <si>
    <t>Citroen C3 1.4HDI 16V, Peugeot 206 1.4HDI 16V 05/02-&gt; (Р°РЅР°Р»РѕРі WA9411/LX1452/C3282)\n\n\n\n\n\n\n\n\n\n\n\n</t>
  </si>
  <si>
    <t>LF1456</t>
  </si>
  <si>
    <t>LF 1456 MOLDER (Р°РЅР°Р»РѕРі WA9756/LX1566/C14130)</t>
  </si>
  <si>
    <t>120.10</t>
  </si>
  <si>
    <t>Audi A3 II| Seat Altea, Toledo III| Skoda Octavia II| VW Bora II, Caddy III,Golf V, Passat, Touran 1.6, 2.0FSI 04- (Р°РЅР°Р»РѕРі WA9756/LX1566/C14130)\n\n\n\n\n\n\n\n\n\n\n\n\n\n</t>
  </si>
  <si>
    <t>LF1458</t>
  </si>
  <si>
    <t>LF 1458 MOLDER (Р°РЅР°Р»РѕРі WA9409/LX1568/C21104)</t>
  </si>
  <si>
    <t>115.92</t>
  </si>
  <si>
    <t>Citroen Berlingo II, Peugeot Partner II 1.9D, 2.0HDI 11/02-&gt; (Р°РЅР°Р»РѕРі WA9409/LX1568/C21104)\n\n\n\n\n\n\n</t>
  </si>
  <si>
    <t>LF1463</t>
  </si>
  <si>
    <t>LF 1463 MOLDER (Р°РЅР°Р»РѕРі WA9420/LX1573/C421921)</t>
  </si>
  <si>
    <t>146.70</t>
  </si>
  <si>
    <t>MB VITO/VIANO -&gt;03 (Р°РЅР°Р»РѕРі WA9420/LX1573/C421921)\n\n\n\n\n\n\n\n\n\n\n\n\n\n\n\n\n\n\n</t>
  </si>
  <si>
    <t>LF1473</t>
  </si>
  <si>
    <t>LF 1473 MOLDER (Р°РЅР°Р»РѕРі WA9412/LX1583/C30163)</t>
  </si>
  <si>
    <t>117.82</t>
  </si>
  <si>
    <t>OPEL Vivaro 2, 5DTI/ CDTI / RENAULT Trafic II 2.0, 2,5 CDI 05/ 03- (Р°РЅР°Р»РѕРі WA9412/LX1583/C30163)\n\n\n\n\n\n\n\n\n\n</t>
  </si>
  <si>
    <t>LF1476</t>
  </si>
  <si>
    <t>LF 1476 MOLDER (Р°РЅР°Р»РѕРі WA9558/LX1586/C27161)</t>
  </si>
  <si>
    <t>70.84</t>
  </si>
  <si>
    <t>Ford Transit 2.2TDCI 06- (Р°РЅР°Р»РѕРі WA9558/LX1586/C27161)\n\n\n\n\n\n\n\n</t>
  </si>
  <si>
    <t>LF1546</t>
  </si>
  <si>
    <t>LF 1546 MOLDER (Р°РЅР°Р»РѕРі WA9413/LX1656/C29168)</t>
  </si>
  <si>
    <t>159.63</t>
  </si>
  <si>
    <t>Renault Master 2.2DCI, 2.5DCI 11/03--&gt; (Р°РЅР°Р»РѕРі WA9413/LX1656/C29168)\n\n\n\n\n\n\n\n\n\n\n\n\n\n\n\n\n\n\n\n\n\n</t>
  </si>
  <si>
    <t>LF156</t>
  </si>
  <si>
    <t>LF 156 MOLDER (Р°РЅР°Р»РѕРі WA6176/LX266/C2039)</t>
  </si>
  <si>
    <t>33.98</t>
  </si>
  <si>
    <t>VW GOLF II, JETTA II 1.6, 1.8 83-91 (Р°РЅР°Р»РѕРі WA6176/LX266/C2039)\n\n\n\n\n\n\n\n\n\n\n\n\n\n\n\n\n</t>
  </si>
  <si>
    <t>LF1675</t>
  </si>
  <si>
    <t>LF 1675 MOLDER (Р°РЅР°Р»РѕРі WA9547/LX1785/C2641)</t>
  </si>
  <si>
    <t>79.43</t>
  </si>
  <si>
    <t>Hyundai Tucson| Kia Sportage II (Р°РЅР°Р»РѕРі WA9547/LX1785/C2641)\n\n\n\n\n\n\n\n\n\n\n\n\n\n\n\n\n\n\n</t>
  </si>
  <si>
    <t>LF1715</t>
  </si>
  <si>
    <t>LF 1715 MOLDER (Р°РЅР°Р»РѕРі WA9402/LX1825/C301252)</t>
  </si>
  <si>
    <t>118.96</t>
  </si>
  <si>
    <t>OPEL Corsa C/ Tigra II 1, 3CDTI/ 1, 7DTI/ CDTI 09/ 00-&gt; (Р°РЅР°Р»РѕРі WA9402/LX1825/C301252)\n\n\n\n\n\n\n\n\n</t>
  </si>
  <si>
    <t>LF1717</t>
  </si>
  <si>
    <t>LF 1717 MOLDER (Р°РЅР°Р»РѕРі WA9556/LX1827/C2859)</t>
  </si>
  <si>
    <t>61.57</t>
  </si>
  <si>
    <t>Fiat 500 1.2 8V, Grande Punto 1.2 8V, 1.4 8V, Idea 1.2 8V| Lancia Musa, Ypsilon| Ford Ka II 1.2 8V (Р°РЅР°Р»РѕРі WA9556/LX1827/C2859)\n\n\n\n\n\n\n\n\n\n</t>
  </si>
  <si>
    <t>LF1805</t>
  </si>
  <si>
    <t>LF 1805 MOLDER (Р°РЅР°Р»РѕРі WA9439/LX1915/C2324)</t>
  </si>
  <si>
    <t>108.70</t>
  </si>
  <si>
    <t>Aveo / Kalos 1.2-1.6 02-&gt;  (Р°РЅР°Р»РѕРі WA9439/LX1915/C2324)\n\n\n\n\n\n\n\n\n\n</t>
  </si>
  <si>
    <t>LF1810</t>
  </si>
  <si>
    <t>LF 1810 MOLDER (Р°РЅР°Р»РѕРі WA9459/LX1920/C38771)</t>
  </si>
  <si>
    <t>158.49</t>
  </si>
  <si>
    <t>Fiat Punto II 1.3JTD (Р°РЅР°Р»РѕРі WA9459/LX1920/C38771)\n\n\n\n\n\n\n\n\n\n\n</t>
  </si>
  <si>
    <t>LF186</t>
  </si>
  <si>
    <t>LF 186 MOLDER (Р°РЅР°Р»РѕРі WA6167/LX296/C311521)</t>
  </si>
  <si>
    <t>AUDI 100 2.0, 2.3, 2.8 91-94, A6 1.8-2.8 94-97 (Р°РЅР°Р»РѕРі WA6167/LX296/C311521)\n\n\n\n\n\n\n\n</t>
  </si>
  <si>
    <t>LF1900</t>
  </si>
  <si>
    <t>LF 1900 MOLDER (Р°РЅР°Р»РѕРі WA9545/LX2010/C3880)</t>
  </si>
  <si>
    <t>140.08</t>
  </si>
  <si>
    <t>Skoda Fabia II, Roomster 1.4i (86HP), 1.6i (105HP) (Р°РЅР°Р»РѕРі WA9545/LX2010/C3880)\n\n\n\n\n\n\n\n\n\n\n\n\n\n</t>
  </si>
  <si>
    <t>LF1912</t>
  </si>
  <si>
    <t>LF 1912 MOLDER (Р°РЅР°Р»РѕРі WA9559/LX2022/C351601)</t>
  </si>
  <si>
    <t>109.46</t>
  </si>
  <si>
    <t>Citroen C8, Jumpy II| Fiat Scudo II, Ulysse II| Peugeot Expert II, 807  (Р°РЅР°Р»РѕРі WA9559/LX2022/C351601)\n\n\n\n\n\n\n\n\n\n\n\n\n</t>
  </si>
  <si>
    <t>LF197</t>
  </si>
  <si>
    <t>LF 197 MOLDER (Р°РЅР°Р»РѕРі WA9464/LX307/C2964)</t>
  </si>
  <si>
    <t>NISSAN PRIMERA,SUNNY 2.0D 90-95, PRIMERA 1.8 16V, 2.0 16V 99- (Р°РЅР°Р»РѕРі WA9464/LX307/C2964)\n\n\n\n\n\n\n\n\n\n\n\n\n\n</t>
  </si>
  <si>
    <t>LF206</t>
  </si>
  <si>
    <t>LF 206 MOLDER (Р°РЅР°Р»РѕРі WA6249/LX316/C2598)</t>
  </si>
  <si>
    <t>71.83</t>
  </si>
  <si>
    <t>OPEL KADETT 2.0i 88-91, DAEWOO ESPERO -99, NEXIA -97 (Р°РЅР°Р»РѕРі WA6249/LX316/C2598)\n\n\n\n\n\n\n\n\n\n\n\n\n\n</t>
  </si>
  <si>
    <t>LF2521</t>
  </si>
  <si>
    <t>LF 2521 MOLDER (Р°РЅР°Р»РѕРі WA9569/LX2631/C25101)</t>
  </si>
  <si>
    <t>Renault Kangoo II 1.5dCI 02/08- (Р°РЅР°Р»РѕРі WA9569/LX2631/C25101)\n\n\n\n\n\n\n\n\n\n\n\n\n\n\n\n\n\n\n\n\n</t>
  </si>
  <si>
    <t>LF2572</t>
  </si>
  <si>
    <t>LF 2572 MOLDER (Р°РЅР°Р»РѕРі WA6732/LX2682/C1189)</t>
  </si>
  <si>
    <t>95.02</t>
  </si>
  <si>
    <t>FIAT Doblo 1.9/D/JTD 03/01-&gt; (Р°РЅР°Р»РѕРі WA6732/LX2682/C1189)\n\n\n\n\n\n\n\n\n\n\n\n\n\n\n\n\n\n\n\n</t>
  </si>
  <si>
    <t>LF2734</t>
  </si>
  <si>
    <t>LF 2734 MOLDER (Р°РЅР°Р»РѕРі WA6697/LX2844/C26721)</t>
  </si>
  <si>
    <t>88.55</t>
  </si>
  <si>
    <t>RENAULT Clio II, Kangoo 1.4i, Megane 1.4 Symbol II 1.4i 07/96- (Р°РЅР°Р»РѕРі WA6697/LX2844/C26721)\n\n\n\n\n\n\n\n\n\n\n\n\n\n\n</t>
  </si>
  <si>
    <t>LF295</t>
  </si>
  <si>
    <t>LF 295 MOLDER (Р°РЅР°Р»РѕРі WA6228/LX405/C271541)</t>
  </si>
  <si>
    <t>80.57</t>
  </si>
  <si>
    <t>VW GOLF III, VENTO 91-98 (Р°РЅР°Р»РѕРі WA6228/LX405/C271541)\n\n\n\n\n\n\n\n\n\n\n</t>
  </si>
  <si>
    <t>LF312</t>
  </si>
  <si>
    <t>LF 312 MOLDER (Р°РЅР°Р»РѕРі WA9405/LX422/C26168)</t>
  </si>
  <si>
    <t>79.05</t>
  </si>
  <si>
    <t>BMW 535i, 540i, 735i, 740i (M62 - eng.) 96- (Р°РЅР°Р»РѕРі WA9405/LX422/C26168)\n\n\n\n\n\n\n\n\n\n\n\n\n\n\n\n\n</t>
  </si>
  <si>
    <t>LF320</t>
  </si>
  <si>
    <t>LF 320 MOLDER (Р°РЅР°Р»РѕРі WA6221/LX430/C29912)</t>
  </si>
  <si>
    <t>63.09</t>
  </si>
  <si>
    <t>OPEL Calibra A, Vectra A 1.7D -95, 1.6-2.0i -95 (Р°РЅР°Р»РѕРі WA6221/LX430/C29912)\nOPEL Calibra A, Vectra A 1.7D -95, 1.6-2.0i -95 (Р°РЅР°Р»РѕРі WA6221/LX430/C29912)\n\n\n\n\n\n\n\n\n\n\n\n\n\n\n\n</t>
  </si>
  <si>
    <t>LF344</t>
  </si>
  <si>
    <t>LF 344 MOLDER (Р°РЅР°Р»РѕРі WA6204/LX454/C24401)</t>
  </si>
  <si>
    <t>FIAT TEMPRA 1.4i 91-96, TIPO,UNO 1.4i 89-95, Tavria/Slavuta 1.2i, 1.3i (Р°РЅР°Р»РѕРі WA6204/LX454/C24401)\n\n\n\n\n\n\n</t>
  </si>
  <si>
    <t>LF368/1</t>
  </si>
  <si>
    <t>LF 368/1 MOLDER (Р°РЅР°Р»РѕРі WA6441/LX478/1/C17129)</t>
  </si>
  <si>
    <t>85.89</t>
  </si>
  <si>
    <t>CITROEN/PEUGEOT/FIAT DUCATO 1.9D/TD, 2.5D/TD 88-02 (Р°РЅР°Р»РѕРі WA6441/LX478/1/C17129)\n\n\n\n\n\n\n\n\n\n\n\n\n\n</t>
  </si>
  <si>
    <t>LF401/1</t>
  </si>
  <si>
    <t>LF 401/1 MOLDER (Р°РЅР°Р»РѕРі WA6342 /LX511/1 /C32338)</t>
  </si>
  <si>
    <t>MB SPRINTER all engines 95-00 (Р°РЅР°Р»РѕРі WA6342 /LX511/1 /C32338)\n\n\n\n\n\n</t>
  </si>
  <si>
    <t>LF403/1</t>
  </si>
  <si>
    <t>LF 403/1 MOLDER (Р°РЅР°Р»РѕРі WA6343/ LX513/1/ C32338)</t>
  </si>
  <si>
    <t>141.00</t>
  </si>
  <si>
    <t>MB VITO 99-, SPRINTER CDI - eng. 00- (Р°РЅР°Р»РѕРі WA6343/ LX513/1/ C32338)\n\n\n\n\n\n\n\n\n\n\n\n\n\n\n\n\n\n\n\n\n\n\n</t>
  </si>
  <si>
    <t>LF427</t>
  </si>
  <si>
    <t>LF 427 MOLDER (Р°РЅР°Р»РѕРі WA6344/LX537C29198)</t>
  </si>
  <si>
    <t>VW T4 2.0, 2.5, 2.8VR6, 1.9TD, 2.4D, 2.5TDI 90- (Р°РЅР°Р»РѕРі WA6344/LX537C29198)\n\n\n\n\n\n\n\n\n\n\n</t>
  </si>
  <si>
    <t>LF44</t>
  </si>
  <si>
    <t>LF 44 MOLDER (Р°РЅР°Р»РѕРі WA6166/LX54/C34109)</t>
  </si>
  <si>
    <t>64.23</t>
  </si>
  <si>
    <t>VW/AUDI 1.6D/TD -91, AUDI 80 2.0 16V, 2.3E -96 (Р°РЅР°Р»РѕРі WA6166/LX54/C34109)\n\n\n\n\n\n\n\n\n\n\n\n\n\n\n\n\n\n\n\n</t>
  </si>
  <si>
    <t>LF462</t>
  </si>
  <si>
    <t>LF 462 MOLDER (Р°РЅР°Р»РѕРі WA6185/LX572/C33156)</t>
  </si>
  <si>
    <t>CITROEN Bx 1.5-1.9D 82- 94 , C5 1.8-3.0HDI 01- 04 , C8 2.0- 2.2 HDI 02-, JUMPY 1.6-2.0TD, 95- FIAT Scudo 1.6-2.0 96-, Expert 1.6-2.0 TD/HDI 96- (Р°РЅР°Р»РѕРі WA6185/LX572/C33156)\n\n\n\n\n\n\n\n\n</t>
  </si>
  <si>
    <t>LF501</t>
  </si>
  <si>
    <t>LF 501 MOLDER (Р°РЅР°Р»РѕРі WA6487/LX611/C17278)</t>
  </si>
  <si>
    <t>159.25</t>
  </si>
  <si>
    <t>FIAT DUCATO 1.9TD, 2.5TDI 94-02, 2.0JTD, 2.3JTD, 2.8JTD 01- (Р°РЅР°Р»РѕРі WA6487/LX611/C17278)\n\n\n\n\n\n\n\n\n\n\n\n\n\n</t>
  </si>
  <si>
    <t>LF574</t>
  </si>
  <si>
    <t>LF 574 MOLDER (Р°РЅР°Р»РѕРі WA6333/LX684/C37153)</t>
  </si>
  <si>
    <t>76.77</t>
  </si>
  <si>
    <t>VW GOLF, AUDI A3, SKODA OCTAVIA 1.8, 1.8T, 1.9TDI/SDI 96-В  (Р°РЅР°Р»РѕРі WA6333/LX684/C37153)\n\n\n\n\n\n\n\n\n\n\n\n\n\n\n\n</t>
  </si>
  <si>
    <t>LF594/1</t>
  </si>
  <si>
    <t>LF 594/1 MOLDER (Р°РЅР°Р»РѕРі WA6684/LX704/1/C32511)</t>
  </si>
  <si>
    <t>58.91</t>
  </si>
  <si>
    <t>RENAULT 1.9 diesel engines 99-  (Р°РЅР°Р»РѕРі WA6684/LX704/1/C32511)\n\n\n\n\n\n\n\n\n\n\n\n</t>
  </si>
  <si>
    <t>LF625</t>
  </si>
  <si>
    <t>LF 625 MOLDER (Р°РЅР°Р»РѕРі WA6214/LX735/C30130)</t>
  </si>
  <si>
    <t>83.23</t>
  </si>
  <si>
    <t>OPEL ASTRA (all engines) 98-, ZAFIRA (all engines) 99- (Р°РЅР°Р»РѕРі WA6214/LX735/C30130)\n\n\n\n\n\n\n\n\n\n\n\n\n\n\n</t>
  </si>
  <si>
    <t>LF676</t>
  </si>
  <si>
    <t>LF 676 MOLDER (Р°РЅР°Р»РѕРі WA9448/LX786/C32191)</t>
  </si>
  <si>
    <t>93.11</t>
  </si>
  <si>
    <t>VW T5 1.9TDI, 2.5TDI, 2.0, 3.2 V6 03- (Р°РЅР°Р»РѕРі WA9448/LX786/C32191)\n\n\n\n\n\n\n\n\n\n\n\n</t>
  </si>
  <si>
    <t>LF688/1</t>
  </si>
  <si>
    <t>LF 688/1 MOLDER (Р°РЅР°Р»РѕРі WA6535/LX798/1/РЎ27743KIT)</t>
  </si>
  <si>
    <t>71.07</t>
  </si>
  <si>
    <t>FORD Fiesta IV Focus, Connect 1.6-2.0i, 1.8TD 98- (Р°РЅР°Р»РѕРі WA6535/LX798/1/РЎ27743KIT)\n\n\n\n\n\n\n</t>
  </si>
  <si>
    <t>LF714</t>
  </si>
  <si>
    <t>LF 714 MOLDER (Р°РЅР°Р»РѕРі WA6375/LX824/C2771)</t>
  </si>
  <si>
    <t>148.60</t>
  </si>
  <si>
    <t>RENAULT KANGOO 1.9D 98-, CLIO 1.9D 00- (Р°РЅР°Р»РѕРі WA6375/LX824/C2771)\n\n\n\n\n\n\n\n\n\n\n\n\n\n\n\n\n</t>
  </si>
  <si>
    <t>LF717</t>
  </si>
  <si>
    <t>LF 717 MOLDER (Р°РЅР°Р»РѕРі WA6250/LX827/C2229)</t>
  </si>
  <si>
    <t>66.89</t>
  </si>
  <si>
    <t>LANOS 1.4-1.6 97- (Р°РЅР°Р»РѕРі WA6250/LX827/C2229)\n\n\n\n\n\n\n</t>
  </si>
  <si>
    <t>LF766</t>
  </si>
  <si>
    <t>LF 766 MOLDER (Р°РЅР°Р»РѕРі WA6562/LX876/C321541)</t>
  </si>
  <si>
    <t>RENAULT MASTER 2.5TD, 2.8DTI 98-, 2.2DCI 00- (Р°РЅР°Р»РѕРі WA6562/LX876/C321541)\n\n\n\n\n\n\n\n\n\n\n\n\n\n\n\n</t>
  </si>
  <si>
    <t>LF889</t>
  </si>
  <si>
    <t>LF 889 MOLDER (Р°РЅР°Р»РѕРі WA6699/LX999/C301251)</t>
  </si>
  <si>
    <t>98.44</t>
  </si>
  <si>
    <t>OPEL CORSA (all engines 09/00-), MERIVA 03- (Р°РЅР°Р»РѕРі WA6699/LX999/C301251)\n\n\n\n\n\n\n\n\n\n\n\n\n\n\n\n\n\n</t>
  </si>
  <si>
    <t>LF9</t>
  </si>
  <si>
    <t>LF 9 MOLDER (Р°РЅР°Р»РѕРі WA6208/LX119/C26109)</t>
  </si>
  <si>
    <t>56.25</t>
  </si>
  <si>
    <t>FORD SCORPIO 2.0-2.9 86-93, 2.5TD -98, SIERRA 2.0, 1.8TD 86-93 (Р°РЅР°Р»РѕРі WA6208/LX119/C26109)\n\n\n\n\n\n\n\n\n</t>
  </si>
  <si>
    <t>LF915</t>
  </si>
  <si>
    <t>LF 915 MOLDER (Р°РЅР°Р»РѕРі 93123E/LX1025/C2913661)</t>
  </si>
  <si>
    <t>586.43</t>
  </si>
  <si>
    <t>DAF 95XF 97-02 (Р°РЅР°Р»РѕРі 93123E/LX1025/C2913661)\n\n\n\n\n\n\n\n\n\n\n\n\n\n</t>
  </si>
  <si>
    <t>LF93</t>
  </si>
  <si>
    <t>LF 93 MOLDER (Р°РЅР°Р»РѕРі WA6384/LX203/C2863)</t>
  </si>
  <si>
    <t>61.95</t>
  </si>
  <si>
    <t>OPEL ASCONA 1.3, 1.6 81-88, KADETT 1.3, 1.6 85-93В  (Р°РЅР°Р»РѕРі WA6384/LX203/C2863)\n\n\n\n\n\n\n\n</t>
  </si>
  <si>
    <t>LF966</t>
  </si>
  <si>
    <t>LF 966 MOLDER (Р°РЅР°Р»РѕРі WA6362/LX1076/)</t>
  </si>
  <si>
    <t>102.24</t>
  </si>
  <si>
    <t>MITSUBISHI COLT 1.3i 05/96-, LANCER 1.3i, 1.6i 96- (Р°РЅР°Р»РѕРі WA6362/LX1076/)\n\n\n\n\n\n\n</t>
  </si>
  <si>
    <t>LF970</t>
  </si>
  <si>
    <t>LF 970 MOLDER (Р°РЅР°Р»РѕРі WA6762/LX1080/C30931)</t>
  </si>
  <si>
    <t>82.85</t>
  </si>
  <si>
    <t>VAG Polo/ Fabia 1.2 (AZQ/ BME) 10/ 01- (Р°РЅР°Р»РѕРі WA6762/LX1080/C30931)\n\n\n\n\n\n\n\n\n\n\n\n\n\n\n\n\n\n\n</t>
  </si>
  <si>
    <t>LF98</t>
  </si>
  <si>
    <t>LF 98 MOLDER (Р°РЅР°Р»РѕРі WA6383/LX208/C28522)</t>
  </si>
  <si>
    <t>65.75</t>
  </si>
  <si>
    <t>AUDI 80 1.6, 1.8S 87-91, 1.6, 2.0 91-94, VW GOLF III 1.4 91-97 (Р°РЅР°Р»РѕРі WA6383/LX208/C28522)\n\n\n\n\n\n\n\n\n\n\n\n\n\n</t>
  </si>
  <si>
    <t>LK119</t>
  </si>
  <si>
    <t>LK 119 MOLDER (Р°РЅР°Р»РѕРі WP9222/LA229/CU3540)</t>
  </si>
  <si>
    <t>128.84</t>
  </si>
  <si>
    <t>VIANO/VITO 109-122CDI 03- (Р°РЅР°Р»РѕРі WP9222/LA229/CU3540)\n\n\n\n\n\n\n\n</t>
  </si>
  <si>
    <t>LK21</t>
  </si>
  <si>
    <t>LK 21 MOLDER (Р°РЅР°Р»РѕРі WP6812/LA31/CU2882)</t>
  </si>
  <si>
    <t>SKODA OCTAVIA 97-, VW GOLF III, PASSAT B6 00- (Р°РЅР°Р»РѕРі WP6812/LA31/CU2882)\n\n\n\n\n\n\n\n</t>
  </si>
  <si>
    <t>LK272</t>
  </si>
  <si>
    <t>LK 272 MOLDER (Р°РЅР°Р»РѕРі WP9246/LA382/CU3454)</t>
  </si>
  <si>
    <t>178.25</t>
  </si>
  <si>
    <t>Opel Vivaro, Renault Trafic II 2/01--&gt; (Р°РЅР°Р»РѕРі WP9246/LA382/CU3454)\n\n\n\n\n\n\n\n</t>
  </si>
  <si>
    <t>LK34</t>
  </si>
  <si>
    <t>LK 34 MOLDER (Р°РЅР°Р»РѕРі WP9130/LA144/CU2335)</t>
  </si>
  <si>
    <t>96.80</t>
  </si>
  <si>
    <t>FIAT DOBLO/PUNTO 01-&gt; (Р°РЅР°Р»РѕРі WP9130/LA144/CU2335)\n\n\n\n\n\n\n\n</t>
  </si>
  <si>
    <t>LK358</t>
  </si>
  <si>
    <t>LK 358 MOLDER (Р°РЅР°Р»РѕРі WP9336/LA468/S/CU24182)</t>
  </si>
  <si>
    <t>150.12</t>
  </si>
  <si>
    <t>Renault Kangoo 08-&gt;  (Р°РЅР°Р»РѕРі WP9336/LA468/S/CU24182)\n\n\n\n\n\n\n\n</t>
  </si>
  <si>
    <t>LK65</t>
  </si>
  <si>
    <t>LK 65 MOLDER (Р°РЅР°Р»РѕРі WP6828/LA75/CU3054)</t>
  </si>
  <si>
    <t>112.88</t>
  </si>
  <si>
    <t>OPEL ASTRA 02/98-, ZAFIRA 04/99- (Р°РЅР°Р»РѕРі WP6828/LA75/CU3054)\n\n\n\n\n\n\n\n</t>
  </si>
  <si>
    <t>LK7</t>
  </si>
  <si>
    <t>LK 7 MOLDER (Р°РЅР°Р»РѕРі WP9034/LA117/CU3337)</t>
  </si>
  <si>
    <t>131.88</t>
  </si>
  <si>
    <t>OPEL CORSA 09/00-, VECTRA 04/02- (Р°РЅР°Р»РѕРі WP9034/LA117/CU3337)\n\n\n\n\n\n\n\n\n</t>
  </si>
  <si>
    <t>LK71</t>
  </si>
  <si>
    <t>LK 71 MOLDER (Р°РЅР°Р»РѕРі WP9146/LA181/CU2939)</t>
  </si>
  <si>
    <t>98.06</t>
  </si>
  <si>
    <t>VAG A3/ EOS/ GOLF V/ PASSAT/ TOURAN/ OCTAVIA 1, 4-2, 0L 05/ 03-&gt; (Р°РЅР°Р»РѕРі WP9146/LA181/CU2939)\n\n\n\n\n\n</t>
  </si>
  <si>
    <t>LK73</t>
  </si>
  <si>
    <t>LK 73 MOLDER (Р°РЅР°Р»РѕРі WP6984/LA83/CU3858)</t>
  </si>
  <si>
    <t>109.84</t>
  </si>
  <si>
    <t>MB SPRINTER 01/95-, VW LT 05/96- (Р°РЅР°Р»РѕРі WP6984/LA83/CU3858)\n\n\n\n\n\n\n</t>
  </si>
  <si>
    <t>LKX71</t>
  </si>
  <si>
    <t>LKX 71 MOLDER (Р°РЅР°Р»РѕРі WP9147/LAK181/CUK2939)</t>
  </si>
  <si>
    <t>104.14</t>
  </si>
  <si>
    <t>VAG A3/ Golf 5/ Jetta III/ Polo/ Caddy/ Passat/ Touran &amp; Skoda Octavia all 04-&gt; (Р°РЅР°Р»РѕРі WP9147/LAK181/CUK2939)\n\n\n\n\n\n\n\n</t>
  </si>
  <si>
    <t>OF107</t>
  </si>
  <si>
    <t>OF 107 MOLDER (Р°РЅР°Р»РѕРі WL7177/OC217/W671)</t>
  </si>
  <si>
    <t>TOYOTA COROLLA 1.6GTI 87-93, 1.4i, 1.6i 01- (Р°РЅР°Р»РѕРі WL7177/OC217/W671)\n\n</t>
  </si>
  <si>
    <t>OF11</t>
  </si>
  <si>
    <t>OF 11 MOLDER (Р°РЅР°Р»РѕРі 51791/OC121/W1110211)</t>
  </si>
  <si>
    <t>188.89</t>
  </si>
  <si>
    <t>RENAULT/VOLVO - trucks (Р°РЅР°Р»РѕРі 51791/OC121/W1110211)\n</t>
  </si>
  <si>
    <t>OF12</t>
  </si>
  <si>
    <t>OF 12 MOLDER (Р°РЅР°Р»РѕРі WL7098/OC21o.F./W712)</t>
  </si>
  <si>
    <t>39.43</t>
  </si>
  <si>
    <t>OPEL ASCONA,CORSA,KADETT 1.2, 1.3 -85 (Р°РЅР°Р»РѕРі WL7098/OC21o.F./W712)\n\n</t>
  </si>
  <si>
    <t>OF122</t>
  </si>
  <si>
    <t>OF 122 MOLDER (Р°РЅР°Р»РѕРі WL7089/OC232/W92032)</t>
  </si>
  <si>
    <t>68.41</t>
  </si>
  <si>
    <t>FORD Transit 2.5D/TD/DI 83-00 (Р°РЅР°Р»РѕРі WL7089/OC232/W92032)</t>
  </si>
  <si>
    <t>OF138</t>
  </si>
  <si>
    <t>OF 138 MOLDER (Р°РЅР°Р»РѕРі WL7160/OC248/WP1144)</t>
  </si>
  <si>
    <t>RENAULT/IVECO/FIAT DUCATO 2.5, 2.8 diesel eng. 82- (Р°РЅР°Р»РѕРі WL7160/OC248/WP1144)\n</t>
  </si>
  <si>
    <t>OF152</t>
  </si>
  <si>
    <t>OF 152 MOLDER (Р°РЅР°Р»РѕРі WL7217/OC262/W8301)</t>
  </si>
  <si>
    <t>89.69</t>
  </si>
  <si>
    <t>VW PASSAT,T4,SHARAN,VENTO 1.9TD/TDI 96- (Р°РЅР°Р»РѕРі WL7217/OC262/W8301)\n</t>
  </si>
  <si>
    <t>OF154</t>
  </si>
  <si>
    <t>OF 154 MOLDER (Р°РЅР°Р»РѕРі WL7071/OC264/W71930)</t>
  </si>
  <si>
    <t>VW/AUDI 1.8-2.8 Р±РµРЅР·РёРЅ 91- (Р°РЅР°Р»РѕРі WL7071/OC264/W71930)</t>
  </si>
  <si>
    <t>OF164</t>
  </si>
  <si>
    <t>OF 164 MOLDER (Р°РЅР°Р»РѕРі WL7154/OC274/WP92881)</t>
  </si>
  <si>
    <t>137.20</t>
  </si>
  <si>
    <t>MITSUBISHI L200,L300,L400, PAJERO 2.5D/TD 86- (Р°РЅР°Р»РѕРі WL7154/OC274/WP92881)\n</t>
  </si>
  <si>
    <t>OF180</t>
  </si>
  <si>
    <t>OF 180 MOLDER (Р°РЅР°Р»РѕРі WL7161/OC290/WP9404)</t>
  </si>
  <si>
    <t>202.95</t>
  </si>
  <si>
    <t>RENAULT MASTER 2.5TD 88-98, TRAFIC 2.5D 89-01 (Р°РЅР°Р»РѕРі WL7161/OC290/WP9404)\n\n</t>
  </si>
  <si>
    <t>OF184</t>
  </si>
  <si>
    <t>OF 184 MOLDER (Р°РЅР°Р»РѕРі WL7169/OC295/W71252)</t>
  </si>
  <si>
    <t>VW GOLF,VENTO,POLO,BORA,CADDY 1.4, 1.6 91- (Р°РЅР°Р»РѕРі WL7169/OC295/W71252)\n</t>
  </si>
  <si>
    <t>OF185</t>
  </si>
  <si>
    <t>OF 185 MOLDER (Р°РЅР°Р»РѕРі WL7203/OC295/W71252)</t>
  </si>
  <si>
    <t>62.33</t>
  </si>
  <si>
    <t>VW GOLF,VENTO,POLO,BORA,CADDY 1.4, 1.6 91- (Р°РЅР°Р»РѕРі WL7203/OC295/W71252)\n</t>
  </si>
  <si>
    <t>OF273</t>
  </si>
  <si>
    <t>OF 273 MOLDER (Р°РЅР°Р»РѕРі WL7067/OC383/W7172)</t>
  </si>
  <si>
    <t>47.13</t>
  </si>
  <si>
    <t>Lada 2101-2107 (Р°РЅР°Р»РѕРі WL7067/OC383/W7172)</t>
  </si>
  <si>
    <t>OF274</t>
  </si>
  <si>
    <t>OF 274 MOLDER (Р°РЅР°Р»РѕРі WL7168/OC384/W9142)</t>
  </si>
  <si>
    <t>44.85</t>
  </si>
  <si>
    <t>ZAZ TAVRIA, SLAVUTA, SENS 1.3i, Lada 2108-21099 (Р°РЅР°Р»РѕРі WL7168/OC384/W9142)</t>
  </si>
  <si>
    <t>OF294</t>
  </si>
  <si>
    <t>OF 294 MOLDER (Р°РЅР°Р»РѕРі WL7414/OC404/W1323)</t>
  </si>
  <si>
    <t>258.82</t>
  </si>
  <si>
    <t>Volksvagen LT 28, LT 35, LT46 2.8TDI 8/97- (Р°РЅР°Р»РѕРі WL7414/OC404/W1323)\n\n</t>
  </si>
  <si>
    <t>OF348</t>
  </si>
  <si>
    <t>OF 348 MOLDER (Р°РЅР°Р»РѕРі WL7308/OC458/W7003)</t>
  </si>
  <si>
    <t>80.95</t>
  </si>
  <si>
    <t>Alfa Romeo 147 1.9JTD, 156 1.9JTD| Fiat Multipla 1.9JTD, Stilo 1.9JTD (Р°РЅР°Р»РѕРі WL7308/OC458/W7003)\n</t>
  </si>
  <si>
    <t>OF357</t>
  </si>
  <si>
    <t>OF 357 MOLDER (Р°РЅР°Р»РѕРі WL7254/OC467/W753)</t>
  </si>
  <si>
    <t>51.31</t>
  </si>
  <si>
    <t>RENAULT 1.1-2.0 Р±РµРЅР·РёРЅ 86-, 1.9 diesel eng. 96- (Р°РЅР°Р»РѕРі WL7254/OC467/W753)</t>
  </si>
  <si>
    <t>OF360</t>
  </si>
  <si>
    <t>OF 360 MOLDER (Р°РЅР°Р»РѕРі WL7448/OC470/W94066)</t>
  </si>
  <si>
    <t>90.83</t>
  </si>
  <si>
    <t>Audi A4 1.8T| Skoda Superb 1.8T 20V (AWT), VW Passat 1.8T (Р°РЅР°Р»РѕРі WL7448/OC470/W94066)\n\n</t>
  </si>
  <si>
    <t>OF361</t>
  </si>
  <si>
    <t>OF 361 MOLDER (Р°РЅР°Р»РѕРі WL7427/OC471/W79)</t>
  </si>
  <si>
    <t>64.99</t>
  </si>
  <si>
    <t>CLIO/MEGANE 1.9dCi , Duster 1.5dCi 10- (Р°РЅР°Р»РѕРі WL7427/OC471/W79)\n</t>
  </si>
  <si>
    <t>OF37</t>
  </si>
  <si>
    <t>OF 37 MOLDER (Р°РЅР°Р»РѕРі WL7070/OC47/W7195)</t>
  </si>
  <si>
    <t>VW/AUDI -97 (Р°РЅР°Р»РѕРі WL7070/OC47/W7195)</t>
  </si>
  <si>
    <t>OF391</t>
  </si>
  <si>
    <t>OF 391 MOLDER (Р°РЅР°Р»РѕРі WL7324/OC988/W7143)</t>
  </si>
  <si>
    <t>FIAT 1.1-1.6 Р±РµРЅР·РёРЅ 87-94 (Р°РЅР°Р»РѕРі WL7324/OC988/W7143)\n\n</t>
  </si>
  <si>
    <t>OF393</t>
  </si>
  <si>
    <t>OF 393 MOLDER (Р°РЅР°Р»РѕРі WL7176/OC503/W840)</t>
  </si>
  <si>
    <t>CITROEN/PEUGEOT J5 1.9D, 2.5D/TD 90-, BOXER 2.4D/TD 94-В (Р°РЅР°Р»РѕРі WL7176/OC503/W840)\n\n</t>
  </si>
  <si>
    <t>OF41</t>
  </si>
  <si>
    <t>OF 41 MOLDER (Р°РЅР°Р»РѕРі WL7068/OC51/W94025)</t>
  </si>
  <si>
    <t>66.51</t>
  </si>
  <si>
    <t>VW/AUDI/SEAT/VOLVO diesel engines (Р°РЅР°Р»РѕРі WL7068/OC51/W94025)</t>
  </si>
  <si>
    <t>OF42</t>
  </si>
  <si>
    <t>OF 42 MOLDER (Р°РЅР°Р»РѕРі WL7074/OC52/W71243)</t>
  </si>
  <si>
    <t>69.55</t>
  </si>
  <si>
    <t>FORD SIERRA 1.6,1.8 -93, ESCORT 89-В (Р°РЅР°Р»РѕРі WL7074/OC52/W71243)\n</t>
  </si>
  <si>
    <t>OF496</t>
  </si>
  <si>
    <t>OF 496 MOLDER (Р°РЅР°Р»РѕРі WL7077/OC606/W71927)</t>
  </si>
  <si>
    <t>FORD ESCORT,FIESTA,FOCUS,MONDEO 1.6, 1.8 92-В (Р°РЅР°Р»РѕРі WL7077/OC606/W71927)\n\n</t>
  </si>
  <si>
    <t>OF507</t>
  </si>
  <si>
    <t>OF 507 MOLDER (Р°РЅР°Р»РѕРі WL7107/OC617/W6102)</t>
  </si>
  <si>
    <t>HONDA 1.5-2.0 Р±РµРЅР·РёРЅ 85-, OPEL VECTRA 1.7TD 90-95В  (Р°РЅР°Р»РѕРі WL7107/OC617/W6102)\n\n</t>
  </si>
  <si>
    <t>OF55</t>
  </si>
  <si>
    <t>OF 55 MOLDER (Р°РЅР°Р»РѕРі WL7088/OC65/W93011)</t>
  </si>
  <si>
    <t>68.03</t>
  </si>
  <si>
    <t>FORD SIERRA 2.3D, SCORPIO 2.5D/TD -93 (Р°РЅР°Р»РѕРі WL7088/OC65/W93011)\n</t>
  </si>
  <si>
    <t>OF80</t>
  </si>
  <si>
    <t>OF 80 MOLDER (Р°РЅР°Р»РѕРі WL7129/OC90o.F./W71275)</t>
  </si>
  <si>
    <t>38.01</t>
  </si>
  <si>
    <t>Daewoo Espero, Lanos,Leganza, Nexia, Nubira Opel Astra, Corsa, Vectra (Р°РЅР°Р»РѕРі WL7129/OC90o.F./W71275)</t>
  </si>
  <si>
    <t>OF83</t>
  </si>
  <si>
    <t>OF 83 MOLDER (Р°РЅР°Р»РѕРі WL7087/OC93/W71318)</t>
  </si>
  <si>
    <t>OPEL ASCONA,KADETT,VECTRA 1.6D, 1.7D -95В  (Р°РЅР°Р»РѕРі WL7087/OC93/W71318)\n\n</t>
  </si>
  <si>
    <t>OF85</t>
  </si>
  <si>
    <t>OF 85 MOLDER (Р°РЅР°Р»РѕРі WL7200/OC195/W81180)</t>
  </si>
  <si>
    <t>57.39</t>
  </si>
  <si>
    <t>MAZDA 323 1.6 85-93, 1.5i 94-01, 626 1.8, 2.0 -99 (Р°РЅР°Р»РѕРі WL7200/OC195/W81180)</t>
  </si>
  <si>
    <t>OF866</t>
  </si>
  <si>
    <t>OF 866 MOLDER (Р°РЅР°Р»РѕРі WL7086/OC976/W7161)</t>
  </si>
  <si>
    <t>FIAT DUCATO 2.0 -94, PEUGEOT BOXER 1.9D 96- (Р°РЅР°Р»РѕРі WL7086/OC976/W7161)</t>
  </si>
  <si>
    <t>OF873</t>
  </si>
  <si>
    <t>OF 873 MOLDER (Р°РЅР°Р»РѕРі WL7091/OC983/W71316)</t>
  </si>
  <si>
    <t>68.79</t>
  </si>
  <si>
    <t>FIAT BRAVA,BRAVO,FIORINO,MAREA,TEMPRA 1.4, 1.6 94-В (Р°РЅР°Р»РѕРі WL7091/OC983/W71316)\n</t>
  </si>
  <si>
    <t>OF876</t>
  </si>
  <si>
    <t>OF 876 MOLDER (Р°РЅР°Р»РѕРі WL7252/OC986/W6102)</t>
  </si>
  <si>
    <t>RENAULT CLIO, TWINGO, KANGOO 1.2i 96-, FIAT PUNTO 1.2i 99- (Р°РЅР°Р»РѕРі WL7252/OC986/W6102)\n</t>
  </si>
  <si>
    <t>OF878</t>
  </si>
  <si>
    <t>OF 878 MOLDER (Р°РЅР°Р»РѕРі WL7172/OC988/W6101)</t>
  </si>
  <si>
    <t>Chrysler| Lexus| Mini| Suzuki| Toyota 4-Runner, Auris, Camry FF, Celica, Corolla IX/X, Cressida, Crown, Hiace, Landcruiser, Previa, Runner, Soarer, Starlet, Supra, Yaris| Volkswagen (Р°РЅР°Р»РѕРі WL7172/OC988/W6101)\n\n</t>
  </si>
  <si>
    <t>OF901/1</t>
  </si>
  <si>
    <t>OF 901/1 MOLDER (Р°РЅР°Р»РѕРі WL7143/OC109/1/W81184)</t>
  </si>
  <si>
    <t>52.07</t>
  </si>
  <si>
    <t>NISSAN 1.4-2.0 Р±РµРЅР·РёРЅ 86-В  (Р°РЅР°Р»РѕРі WL7143/OC109/1/W81184)\n\n</t>
  </si>
  <si>
    <t>OF91</t>
  </si>
  <si>
    <t>OF 91 MOLDER (Р°РЅР°Р»РѕРі WL7133/OC105/W9504)</t>
  </si>
  <si>
    <t>102.62</t>
  </si>
  <si>
    <t>VW LT 2.4D/TD 78-96, T4 2.4D/TD 92- (Р°РЅР°Р»РѕРі WL7133/OC105/W9504)</t>
  </si>
  <si>
    <t>OF93</t>
  </si>
  <si>
    <t>OF 93 MOLDER (Р°РЅР°Р»РѕРі WL7093/OC203/W71319)</t>
  </si>
  <si>
    <t>FORD ESCORT,FIESTA,SIERRA,MONDEO 1.8D/TD 88- (Р°РЅР°Р»РѕРі WL7093/OC203/W71319)\n\n</t>
  </si>
  <si>
    <t>OF95</t>
  </si>
  <si>
    <t>OF 95 MOLDER (Р°РЅР°Р»РѕРі WL7171/OC205/W81180)</t>
  </si>
  <si>
    <t>MAZDA E2000,E2200, ISUZU MIDI 2.2D 89-, HYUNDAI 1.5-2.5 90- (Р°РЅР°Р»РѕРі WL7171/OC205/W81180)</t>
  </si>
  <si>
    <t>OF953</t>
  </si>
  <si>
    <t>OF 953 MOLDER (Р°РЅР°Р»РѕРі WL7323/OC1063/W71273)</t>
  </si>
  <si>
    <t>FORD Focus/ C-Max/ Mondeo III &amp; Mazda 3, 5-Serie/ MPV II 1, 8вЂ¦2, 3L all 2000-&gt;В (Р°РЅР°Р»РѕРі WL7323/OC1063/W71273)\n\n</t>
  </si>
  <si>
    <t>OF96</t>
  </si>
  <si>
    <t>OF 96 MOLDER (Р°РЅР°Р»РѕРі 92019E/OC206/W1160)</t>
  </si>
  <si>
    <t>163.43</t>
  </si>
  <si>
    <t>MAN trucks &amp; buses 87- (Р°РЅР°Р»РѕРі 92019E/OC206/W1160)\n</t>
  </si>
  <si>
    <t>OFX100D</t>
  </si>
  <si>
    <t>OFX 100D MOLDER (Р°РЅР°Р»РѕРі WL7306/OX210DEco/HU923X)</t>
  </si>
  <si>
    <t>141.76</t>
  </si>
  <si>
    <t>RENAULT ESPACE, LAGUNA, MASTER 2.2DCI, OPEL MOVANO 2.2DTI 00- (Р°РЅР°Р»РѕРі WL7306/OX210DEco/HU923X)\n\n\n</t>
  </si>
  <si>
    <t>OFX13/1D</t>
  </si>
  <si>
    <t>OFX 13/1D MOLDER (Р°РЅР°Р»РѕРі WL7061/OX123/1DEco/HU951X</t>
  </si>
  <si>
    <t>72.21</t>
  </si>
  <si>
    <t>MB W210 (E200D-E300D/TD) 95-99, SPRINTER, VITO 96- (Р°РЅР°Р»РѕРі WL7061/OX123/1DEco/HU951X\n\n</t>
  </si>
  <si>
    <t>OFX148D</t>
  </si>
  <si>
    <t>OFX 148D MOLDER (Р°РЅР°Р»РѕРі WL7295/OX258DEco/HU6007X)</t>
  </si>
  <si>
    <t>53.97</t>
  </si>
  <si>
    <t>OPEL ASTRA/VECTRA B 2.2 16V 02- (Р°РЅР°Р»РѕРі WL7295/OX258DEco/HU6007X)\n</t>
  </si>
  <si>
    <t>OFX229/2D</t>
  </si>
  <si>
    <t>OFX 229/2D MOLDER (Р°РЅР°Р»РѕРі WL7413/OX339/2DEco/HU71151X)</t>
  </si>
  <si>
    <t>67.65</t>
  </si>
  <si>
    <t>Citroen/ Peugeot 206/ 307/ 407/ Volvo S40 1, 4вЂ¦2, 0L &amp; Diesel 96-&gt; (Р°РЅР°Р»РѕРі WL7413/OX339/2DEco/HU71151X)</t>
  </si>
  <si>
    <t>OFX23D</t>
  </si>
  <si>
    <t>OFX 23D MOLDER (Р°РЅР°Р»РѕРі WL7304/OX133DEco/HU7271X)</t>
  </si>
  <si>
    <t>77.53</t>
  </si>
  <si>
    <t>MB W202 (C180-C280) -00, SPRINTER,VITO Р±РµРЅР·РёРЅ 95- (Р°РЅР°Р»РѕРі WL7304/OX133DEco/HU7271X)\n\n</t>
  </si>
  <si>
    <t>OFX250D</t>
  </si>
  <si>
    <t>OFX 250D MOLDER (Р°РЅР°Р»РѕРі WL7318/OX360DEco/HU710X)</t>
  </si>
  <si>
    <t>VW/AUDI 1.2i 01- (Р°РЅР°Р»РѕРі WL7318/OX360DEco/HU710X)\n</t>
  </si>
  <si>
    <t>OFX261D</t>
  </si>
  <si>
    <t>OFX 261D MOLDER (Р°РЅР°Р»РѕРі WL7408/OX371DEco/HU7131X)</t>
  </si>
  <si>
    <t>OPEL Astra H/ Agila/ Meriva/ Corsa D 1, 3CDTI 09/ 03-&gt;  (Р°РЅР°Р»РѕРі WL7408/OX371DEco/HU7131X)</t>
  </si>
  <si>
    <t>OFX278D</t>
  </si>
  <si>
    <t>OFX 278D MOLDER (Р°РЅР°Р»РѕРі WL7476/OX388DEco/HU7008Z)</t>
  </si>
  <si>
    <t>41.81</t>
  </si>
  <si>
    <t>Audi| Seat | Skoda| Volkswagen 1.6TDI, 2.0TDI (Р°РЅР°Р»РѕРі WL7476/OX388DEco/HU7008Z)\n\n</t>
  </si>
  <si>
    <t>OFX291D</t>
  </si>
  <si>
    <t>OFX 291D MOLDER (Р°РЅР°Р»РѕРі WL7422/OX401DEco/HU6122X)</t>
  </si>
  <si>
    <t>82.09</t>
  </si>
  <si>
    <t>ASTRA/VECTRA Z18XER (Р°РЅР°Р»РѕРі WL7422/OX401DEco/HU6122X)\n\n</t>
  </si>
  <si>
    <t>OFX308D</t>
  </si>
  <si>
    <t>OFX 308D MOLDER (Р°РЅР°Р»РѕРі WL7429/OX418DEco/HU7127X)</t>
  </si>
  <si>
    <t>175.21</t>
  </si>
  <si>
    <t>Fiat, Opel, Suzuki 1.3JTD/CDTI (Р°РЅР°Р»РѕРі WL7429/OX418DEco/HU7127X)\n</t>
  </si>
  <si>
    <t>OFX331D</t>
  </si>
  <si>
    <t>OFX 331D MOLDER (Р°РЅР°Р»РѕРі WL7424/OX441DEco/HU618X)</t>
  </si>
  <si>
    <t>95.78</t>
  </si>
  <si>
    <t>Opel Vivaro 2.0CDTi| Renault Laguna II, Megane II, Trafic II 2.0dCi 16V 8/05-&gt; (Р°РЅР°Р»РѕРі WL7424/OX441DEco/HU618X)\n</t>
  </si>
  <si>
    <t>OFX33D</t>
  </si>
  <si>
    <t>OFX 33D MOLDER (Р°РЅР°Р»РѕРі WL7008/OX143DEco/HU7262X)</t>
  </si>
  <si>
    <t>VW/AUDI 1.9TDI 96- (Р°РЅР°Р»РѕРі WL7008/OX143DEco/HU7262X)\n\n</t>
  </si>
  <si>
    <t>OFX40D</t>
  </si>
  <si>
    <t>OFX 40D MOLDER (Р°РЅР°Р»РѕРі WL7036/OX150DEco/HU9324X)</t>
  </si>
  <si>
    <t>РќР°СЏРІРЅС– MB trucks 6t-18t (Р°РЅР°Р»РѕРі WL7036/OX150DEco/HU9324X)</t>
  </si>
  <si>
    <t>OFX43/7D</t>
  </si>
  <si>
    <t>OFX 43/7D MOLDER (Р°РЅР°Р»РѕРі WL7009/OX153/7DEco/HU7185X)</t>
  </si>
  <si>
    <t>84.75</t>
  </si>
  <si>
    <t>MB W202/W203/W210/W211/W220 Р±РµРЅР·РёРЅ 96-  (Р°РЅР°Р»РѕРі WL7009/OX153/7DEco/HU7185X)\n\n</t>
  </si>
  <si>
    <t>OFX43D1</t>
  </si>
  <si>
    <t>OFX 43D1 MOLDER (Р°РЅР°Р»РѕРі WL7228/OX153D1Eco/HU7181N)</t>
  </si>
  <si>
    <t>OPEL ASTRA 2.0DI/DTI 98-, OMEGA 2.0DTI 97-00, 2.2DTI 00- (Р°РЅР°Р»РѕРі WL7228/OX153D1Eco/HU7181N)\n</t>
  </si>
  <si>
    <t>OFX43D3</t>
  </si>
  <si>
    <t>OFX 43D3 MOLDER (Р°РЅР°Р»РѕРі WL7240/OX153D3Eco/HU7181K)</t>
  </si>
  <si>
    <t>MB W202/W203/W210 (220CDI) 97-, VITO 108CDI-112CDI 99-  (Р°РЅР°Р»РѕРі WL7240/OX153D3Eco/HU7181K)\n</t>
  </si>
  <si>
    <t>OFX44/1D</t>
  </si>
  <si>
    <t>OFX 44/1D MOLDER (Р°РЅР°Р»РѕРі WL7220/OX154/1DEco/HU9254X)</t>
  </si>
  <si>
    <t>87.03</t>
  </si>
  <si>
    <t>BMW 320i-328i, 520i-530i (M50,M52,M54 - engines) 95- (Р°РЅР°Р»РѕРі WL7220/OX154/1DEco/HU9254X)\n\n\n</t>
  </si>
  <si>
    <t>OFX53/4D</t>
  </si>
  <si>
    <t>OFX 53/4D MOLDER (Р°РЅР°Р»РѕРі WL7294/OX163/4DEco/HU820X)</t>
  </si>
  <si>
    <t>OPEL ASTRA, CORSA, COMBO 1.7DTI 00- (Р°РЅР°Р»РѕРі WL7294/OX163/4DEco/HU820X)\n</t>
  </si>
  <si>
    <t>OFX61/2D</t>
  </si>
  <si>
    <t>OFX 61/2D MOLDER (Р°РЅР°Р»РѕРі WL7305/OX171/2DEco/HU7162X)</t>
  </si>
  <si>
    <t>FORD FIESTA, FUSION 1.4TDCI, PEUGEOT 206 1.4HDI 01- (Р°РЅР°Р»РѕРі WL7305/OX171/2DEco/HU7162X)\n\n</t>
  </si>
  <si>
    <t>OFX63/1D</t>
  </si>
  <si>
    <t>OFX 63/1D MOLDER (Р°РЅР°Р»РѕРі WL7232/OX173/1DEco/HU7128X)</t>
  </si>
  <si>
    <t>66.13</t>
  </si>
  <si>
    <t>OPEL CORSA 1.0i, 1.2i 96-, ASTRA 1.2i 00-, COMBO 1.7DTI 01- (Р°РЅР°Р»РѕРі WL7232/OX173/1DEco/HU7128X)</t>
  </si>
  <si>
    <t>OFX78D</t>
  </si>
  <si>
    <t>OFX 78D MOLDER (Р°РЅР°Р»РѕРі WL7296/OX188DEco/HU7197X)</t>
  </si>
  <si>
    <t>AUDI/VW GOLF, BORA, TRANSPORTER, SHARAN 1.9TDI, 2.8 VR6 99- (Р°РЅР°Р»РѕРі WL7296/OX188DEco/HU7197X)\n</t>
  </si>
  <si>
    <t>OFX81D</t>
  </si>
  <si>
    <t>OFX 81D MOLDER (Р°РЅР°Р»РѕРі WL7286/OX191DEco/HU920X)</t>
  </si>
  <si>
    <t>78.29</t>
  </si>
  <si>
    <t>FORD TRANSIT 2.4DI, MONDEO 2.0DI/TDCI 00- (Р°РЅР°Р»РѕРі WL7286/OX191DEco/HU920X)\n\n</t>
  </si>
  <si>
    <t>NOWAX, Р°РІС‚РѕС…С–РјС–СЏ</t>
  </si>
  <si>
    <t>NX00006</t>
  </si>
  <si>
    <t>NOWAX  РџС–РЅР° Р°РєС‚РёРІРЅР°,СЃСѓРїРµСЂРєРѕРЅС†РµРЅС‚СЂР°С‚ РґР»СЏ Р±РµР·РєРѕРЅС‚Р°РєС‚РЅРѕС— РјРёР№РєРё/Viper Active Foam, 0.5L</t>
  </si>
  <si>
    <t>NX00007</t>
  </si>
  <si>
    <t>NOWAX  РџС–РЅР° Р°РєС‚РёРІРЅР° СЃСѓРїРµСЂРєРѕРЅС†РµРЅС‚СЂР°С‚ РґР»СЏ Р±РµР·РєРѕРЅС‚Р°РєС‚.РјРёР№РєРё Nowax Zimer Active Foam, 0.5L (РІР·С–СЂРµС†СЊ)</t>
  </si>
  <si>
    <t>NX00201</t>
  </si>
  <si>
    <t xml:space="preserve">NOWAX  РџРѕР»С–СЂРѕР»СЊ РїР°РЅРµР»С– РїСЂРёР»Р°РґС–РІ  BLACK Cockpit Cleaner 200ml, РІР°РЅС–Р»СЊ </t>
  </si>
  <si>
    <t>25.32</t>
  </si>
  <si>
    <t>NX00202</t>
  </si>
  <si>
    <t xml:space="preserve">NOWAX  РџРѕР»С–СЂРѕР»СЊ РїР°РЅРµР»С– РїСЂРёР»Р°РґС–РІ  BLACK Cockpit Cleaner 200ml, Р»РёРјРѕРЅ </t>
  </si>
  <si>
    <t>NX00203</t>
  </si>
  <si>
    <t xml:space="preserve">NOWAX  РџРѕР»С–СЂРѕР»СЊ РїР°РЅРµР»С– РїСЂРёР»Р°РґС–РІ  BLACK Cockpit Cleaner 200ml, Р°РїРµР»СЊСЃРёРЅ </t>
  </si>
  <si>
    <t>NX00204</t>
  </si>
  <si>
    <t xml:space="preserve">NOWAX  РџРѕР»С–СЂРѕР»СЊ РїР°РЅРµР»С– РїСЂРёР»Р°РґС–РІ  BLACK Cockpit Cleaner 200ml, РїРѕР»СѓРЅРёС†СЏ </t>
  </si>
  <si>
    <t>NX00205</t>
  </si>
  <si>
    <t xml:space="preserve">NOWAX  РџРѕР»С–СЂРѕР»СЊ РїР°РЅРµР»С– РїСЂРёР»Р°РґС–РІ  BLACK Cockpit Cleaner 200ml, РЅРѕРІР° РјР°С€РёРЅР° </t>
  </si>
  <si>
    <t>NX00207</t>
  </si>
  <si>
    <t xml:space="preserve">NOWAX  РџРѕР»С–СЂРѕР»СЊ РїР°РЅРµР»С–,  Spray 200ml-Cherry,(24С€С‚.) </t>
  </si>
  <si>
    <t>NX00451</t>
  </si>
  <si>
    <t xml:space="preserve">NOWAX  РџРѕР»С–СЂРѕР»СЊ РїР°РЅРµР»С– РїСЂРёР»Р°РґС–РІ  BLACK Cockpit Cleaner 450ml, РІР°РЅС–Р»СЊ </t>
  </si>
  <si>
    <t>41.19</t>
  </si>
  <si>
    <t>NX00452</t>
  </si>
  <si>
    <t xml:space="preserve">NOWAX  РџРѕР»С–СЂРѕР»СЊ РїР°РЅРµР»С– РїСЂРёР»Р°РґС–РІ  BLACK Cockpit Cleaner 450ml, Р»РёРјРѕРЅ </t>
  </si>
  <si>
    <t>NX00453</t>
  </si>
  <si>
    <t xml:space="preserve">NOWAX  РџРѕР»С–СЂРѕР»СЊ РїР°РЅРµР»С– РїСЂРёР»Р°РґС–РІ  BLACK Cockpit Cleaner 450ml, Р°РїРµР»СЊСЃРёРЅ </t>
  </si>
  <si>
    <t>NX00454</t>
  </si>
  <si>
    <t xml:space="preserve">NOWAX  РџРѕР»С–СЂРѕР»СЊ РїР°РЅРµР»С– РїСЂРёР»Р°РґС–РІ  BLACK Cockpit Cleaner 450ml, РїРѕР»СѓРЅРёС†СЏ </t>
  </si>
  <si>
    <t>NX00455</t>
  </si>
  <si>
    <t xml:space="preserve">NOWAX  РџРѕР»С–СЂРѕР»СЊ РїР°РЅРµР»С– РїСЂРёР»Р°РґС–РІ  BLACK Cockpit Cleaner 450ml, РЅРѕРІР° РјР°С€РёРЅР° </t>
  </si>
  <si>
    <t>NX00456</t>
  </si>
  <si>
    <t xml:space="preserve">NOWAX  РџРѕР»С–СЂРѕР»СЊ РїР°РЅРµР»С– РїСЂРёР»Р°РґС–РІ  BLACK Cockpit Cleaner 450ml, РїРµСЂСЃРёРє </t>
  </si>
  <si>
    <t>NX00457</t>
  </si>
  <si>
    <t xml:space="preserve">NOWAX  РџРѕР»С–СЂРѕР»СЊ РїР°РЅРµР»С–,  Spray 450ml-Cherry,(12С€С‚.) </t>
  </si>
  <si>
    <t>NX00500</t>
  </si>
  <si>
    <t>РђРІС‚РѕС€Р°РјРїСѓРЅСЊ РєРѕРЅС†РµРЅС‚СЂР°С‚ 1:100 /Nowax Car Wash Shampoo,0.5L,(18С€С‚.)</t>
  </si>
  <si>
    <t>22.60</t>
  </si>
  <si>
    <t>NX00510</t>
  </si>
  <si>
    <t>РђРІС‚РѕС€Р°РјРїСѓРЅСЊ РєРѕРЅС†РµРЅС‚СЂР°С‚ Р· РІС–СЃРєРѕРј РєР°СЂРЅР°СѓР±Рё 1:100 /Nowax Carnauba Wash&amp;Wax,0.5L,(12С€С‚.)</t>
  </si>
  <si>
    <t>NX00701</t>
  </si>
  <si>
    <t xml:space="preserve">NOWAX  РџРѕР»С–СЂРѕР»СЊ РїР°РЅРµР»С–,  Spray 750ml-Vanila,(12С€С‚.) </t>
  </si>
  <si>
    <t>59.94</t>
  </si>
  <si>
    <t>NX00702</t>
  </si>
  <si>
    <t xml:space="preserve">NOWAX  РџРѕР»С–СЂРѕР»СЊ РїР°РЅРµР»С–,  Spray 750ml-Lemon,(12С€С‚.) </t>
  </si>
  <si>
    <t>NX00703</t>
  </si>
  <si>
    <t xml:space="preserve">NOWAX  РџРѕР»С–СЂРѕР»СЊ РїР°РЅРµР»С–,  Spray 750ml-Orange,(12С€С‚.) </t>
  </si>
  <si>
    <t>NX00704</t>
  </si>
  <si>
    <t xml:space="preserve">NOWAX  РџРѕР»С–СЂРѕР»СЊ РїР°РЅРµР»С–,  Spray 750ml-Strawberry,(12С€С‚.) </t>
  </si>
  <si>
    <t>NX00705</t>
  </si>
  <si>
    <t xml:space="preserve">NOWAX  РџРѕР»С–СЂРѕР»СЊ РїР°РЅРµР»С–,  Spray 750ml-New Car,(12С€С‚.) </t>
  </si>
  <si>
    <t>NX00706</t>
  </si>
  <si>
    <t xml:space="preserve">NOWAX  РџРѕР»С–СЂРѕР»СЊ РїР°РЅРµР»С–,  Spray 750ml-Peach,(12С€С‚.) </t>
  </si>
  <si>
    <t>NX00707</t>
  </si>
  <si>
    <t xml:space="preserve">NOWAX  РџРѕР»С–СЂРѕР»СЊ РїР°РЅРµР»С–,  Spray 750ml-Cherry,(12С€С‚.) </t>
  </si>
  <si>
    <t>NX01000</t>
  </si>
  <si>
    <t>РђРІС‚РѕС€Р°РјРїСѓРЅСЊ РєРѕРЅС†РµРЅС‚СЂР°С‚ 1:100 /Nowax Car Wash Shampoo,1L,(12С€С‚.)</t>
  </si>
  <si>
    <t>33.82</t>
  </si>
  <si>
    <t>NX01100</t>
  </si>
  <si>
    <t>РђРІС‚РѕС€Р°РјРїСѓРЅСЊ РєРѕРЅС†РµРЅС‚СЂР°С‚ Р· РІС–СЃРєРѕРј РєР°СЂРЅР°СѓР±Рё 1:100 /Nowax Carnauba Wash&amp;Wax,1L,(12С€С‚.)</t>
  </si>
  <si>
    <t>36.22</t>
  </si>
  <si>
    <t>NX01125</t>
  </si>
  <si>
    <t>NOWAX  РџРѕР»С–СЂРѕР»СЊ-РјРѕР»РѕС‡РєРѕ РґР»СЏ РїР»Р°СЃС‚РёРєСѓ,РєРѕРЅС†РµРЅС‚СЂР°С‚/Nowax Black Cockpit Milk/ 1L,(9С€С‚.РІ СѓРїР°Рє.)</t>
  </si>
  <si>
    <t>60.58</t>
  </si>
  <si>
    <t>NX01129</t>
  </si>
  <si>
    <t>NOWAX  РџРѕР»С–СЂРѕР»СЊ РґР»СЏ С€РёРЅ NOWAX LUXOR WET TIRE SHINE,1L,(9С€С‚.РІ СѓРїР°Рє.)</t>
  </si>
  <si>
    <t>98.09</t>
  </si>
  <si>
    <t>NX01134</t>
  </si>
  <si>
    <t xml:space="preserve">AUTO DRIVE Р’С–СЃРє С…РѕР»РѕРґРЅРёР№ СЃСѓРїРµСЂРєРѕРЅС†РµРЅС‚СЂР°С‚,Ventura  Waterless Wax,1L,1:150,1:100 </t>
  </si>
  <si>
    <t>52.89</t>
  </si>
  <si>
    <t>NX01136</t>
  </si>
  <si>
    <t>AUTO DRIVE Р’С–СЃРє С…РѕР»РѕРґРЅРёР№ СЃСѓРїРµСЂРєРѕРЅС†РµРЅС‚СЂР°С‚,Ventura NANO Waterless Wax, 1L</t>
  </si>
  <si>
    <t>76.29</t>
  </si>
  <si>
    <t>NX05117</t>
  </si>
  <si>
    <t>NOWAX Р’С–СЃРє С…РѕР»РѕРґРЅРёР№,СЃСѓРїРµСЂРєРѕРЅС†РµРЅС‚СЂР°С‚ /Ventura Waterless Wax, 5L</t>
  </si>
  <si>
    <t>213.48</t>
  </si>
  <si>
    <t>NX05125</t>
  </si>
  <si>
    <t>NOWAX РџРѕР»С–СЂРѕР»СЊ-РјРѕР»РѕС‡РєРѕ РґР»СЏ РїР»Р°СЃС‚РёРєСѓ,РєРѕРЅС†РµРЅС‚СЂР°С‚/Nowax Black Cockpit Milk/ 5L</t>
  </si>
  <si>
    <t>255.15</t>
  </si>
  <si>
    <t>NX05138</t>
  </si>
  <si>
    <t>NOWAX Р’С–СЃРє С…РѕР»РѕРґРЅРёР№ СЃСѓРїРµСЂРєРѕРЅС†РµРЅС‚СЂР°С‚,Ventura NANO Waterless Wax, 5L</t>
  </si>
  <si>
    <t>340.57</t>
  </si>
  <si>
    <t>NX20007</t>
  </si>
  <si>
    <t>NOWAX  GLASS ANTI-FOGGING AGENT, 200ml. Р—Р°СЃС–Р± РїСЂРѕС‚Рё Р·Р°РїРѕС‚С–РІР°РЅРЅСЏ СЃС‚РµРєРѕР». Р—Р°С…РёС‰Р°С” Р·РІРёС‡Р°Р№РЅРµ С‚Р° РїР»Р°СЃС‚РёРєРѕ</t>
  </si>
  <si>
    <t>NX20017</t>
  </si>
  <si>
    <t xml:space="preserve">NOWAX  Р—РјР°Р·РєР° РґР»СЏ Р»Р°РЅС†СЋРіС–РІ,Chain Lube Road,200ml. (24С€С‚.) </t>
  </si>
  <si>
    <t>46.80</t>
  </si>
  <si>
    <t>NX20020</t>
  </si>
  <si>
    <t>NOWAX  РћС‡РёСЃРЅРёРє РµР»РµРєС‚СЂРёС‡РЅРёС… РєРѕРЅС‚Р°РєС‚С–РІ,Contact cleaner,200ml. (24С€С‚.)</t>
  </si>
  <si>
    <t>NX20021</t>
  </si>
  <si>
    <t>NOWAX  РћС‡РёСЃРЅРёРє С‚РµРєСЃС‚РёР»СЋ,MULTI-PURPOSE FOAM CLEANER,200ml. (24С€С‚.)</t>
  </si>
  <si>
    <t>NX20111/1</t>
  </si>
  <si>
    <t>NOWAX  РџС–РЅР° Р°РєС‚РёРІРЅР°,СЃСѓРїРµСЂРєРѕРЅС†РµРЅС‚СЂР°С‚ РґР»СЏ Р±РµР·РєРѕРЅС‚Р°РєС‚РЅРѕС— РјРёР№РєРё+РљР°РЅС–СЃС‚СЂР°/Viper Active Foam 22kg (20L)</t>
  </si>
  <si>
    <t>660.31</t>
  </si>
  <si>
    <t>NX20118</t>
  </si>
  <si>
    <t>NOWAX  РџС–РЅР° Р°РєС‚РёРІРЅР°,СЃСѓРїРµСЂРєРѕРЅС†-С‚ РґР»СЏ Р±РµР·РєРѕРЅС‚Р°РєС‚РЅРѕС— РјРёР№РєРё+РљР°РЅС–СЃС‚СЂР°/Zimer Active Foam 20kg</t>
  </si>
  <si>
    <t>456.77</t>
  </si>
  <si>
    <t>NX20119</t>
  </si>
  <si>
    <t>NOWAX  РџС–РЅР° Р°РєС‚РёРІРЅР°,СЃСѓРїРµСЂРєРѕРЅС†-С‚ РґР»СЏ Р±РµР·РєРѕРЅС‚Р°РєС‚РЅРѕС— РјРёР№РєРё+РљР°РЅС–СЃС‚СЂР°/Nowax Zimer+ Active Foam 22kg (20Р»)</t>
  </si>
  <si>
    <t>700.22</t>
  </si>
  <si>
    <t>NX25025</t>
  </si>
  <si>
    <t>NOWAX  РћРјРёРІР°С‡ СЃРєР»Р° ,Р»С–С‚РЅС–Р№ РєРѕРЅС†РµРЅС‚СЂР°С‚ Anti Insekt Screen Citrus,250ml (24С€С‚.)</t>
  </si>
  <si>
    <t>21.32</t>
  </si>
  <si>
    <t>NX25125</t>
  </si>
  <si>
    <t xml:space="preserve">NOWAX  РћРјРёРІР°С‡ СЃРєР»Р° ,Р»С–С‚РЅС–Р№ РєРѕРЅС†РµРЅС‚СЂР°С‚ Anti Insekt Screen Wash Ice Fresh,250ml (24С€С‚.) </t>
  </si>
  <si>
    <t>NX25225</t>
  </si>
  <si>
    <t xml:space="preserve">NOWAX  РћРјРёРІР°С‡ СЃРєР»Р° ,Р»С–С‚РЅС–Р№ РєРѕРЅС†РµРЅС‚СЂР°С‚ Anti Insekt Screen Wash  Cherry,250ml (24С€С‚.) </t>
  </si>
  <si>
    <t>NX25226</t>
  </si>
  <si>
    <t xml:space="preserve">NOWAX  РњРѕР»РѕС‡РєРѕ РґР»СЏ РїР°РЅРµР»С– РїСЂРёР»Р°РґС–РІ/ Cockpit Milk/ Citrus 250ml </t>
  </si>
  <si>
    <t>28.69</t>
  </si>
  <si>
    <t>NX25227</t>
  </si>
  <si>
    <t xml:space="preserve">NOWAX  РњРѕР»РѕС‡РєРѕ РґР»СЏ РїР°РЅРµР»С– РїСЂРёР»Р°РґС–РІ/ Cockpit Milk/ Cherry 250ml </t>
  </si>
  <si>
    <t>NX25228</t>
  </si>
  <si>
    <t xml:space="preserve">NOWAX  РњРѕР»РѕС‡РєРѕ РґР»СЏ РїР°РЅРµР»С– РїСЂРёР±РѕСЂС–РІ/ Cockpit Milk/ New Car 250ml </t>
  </si>
  <si>
    <t>NX25229</t>
  </si>
  <si>
    <t xml:space="preserve">NOWAX  РћС‡РёСЃРЅРёРє СЃРєР»Р°  Glass Cleaner 250ml </t>
  </si>
  <si>
    <t>NX25230</t>
  </si>
  <si>
    <t xml:space="preserve">NOWAX  Р§РѕСЂРЅРёС‚РµР»СЊ С– Р±Р»РёСЃРє РґР»СЏ С€РёРЅ  Tyre Shine 250ml </t>
  </si>
  <si>
    <t>36.70</t>
  </si>
  <si>
    <t>NX25231</t>
  </si>
  <si>
    <t xml:space="preserve">NOWAX  РћС‡РёСЃРЅРёРє РІС–Рґ РєРѕРјР°С… СЃРєР»Р° С‚Р° РєСѓР·РѕРІР°  Insect Remover 250ml </t>
  </si>
  <si>
    <t>NX25232</t>
  </si>
  <si>
    <t xml:space="preserve">NOWAX  РћС‡РёСЃРЅРёРє РїР»Р°СЃС‚РёРєСѓ С– РІС–РЅС–Р»Сѓ  Plastic Cleaner 250ml </t>
  </si>
  <si>
    <t>26.93</t>
  </si>
  <si>
    <t>NX25239</t>
  </si>
  <si>
    <t>NOWAX РћС‡РёСЃРЅРёРє Р±С–С‚СѓРјРЅРёС… РїР»СЏРј С– РєРѕРјР°С… Tar Remover, 250РјР».(24С€С‚./СѓРїР°Рє.)</t>
  </si>
  <si>
    <t>NX30105</t>
  </si>
  <si>
    <t>NOWAX  MOTOR DOCTOR, 300ml. РџСЂРёСЃР°РґРєР° РґРѕ РјРѕС‚РѕСЂРЅРѕРіРѕ РјР°СЃР»Р°, Р·Р°СЃС‚РѕСЃРѕРІСѓС”С‚СЊСЃСЏ РґР»СЏ РїС–РґРІРёС‰РµРЅРЅСЏ С‚РёСЃРєСѓ РјР°СЃР»Р° С–</t>
  </si>
  <si>
    <t>NX30210</t>
  </si>
  <si>
    <t xml:space="preserve">NOWAX  OIL STOP LEAK, 300ml. Р“РµСЂРјРµС‚РёРє РјР°СЃР»СЏРЅРѕС— СЃРёСЃС‚РµРјРё РґРІРёРіСѓРЅР° С” СЃРїРµС†С–Р°Р»СЊРЅРѕСЋ </t>
  </si>
  <si>
    <t>65.23</t>
  </si>
  <si>
    <t>NX30211</t>
  </si>
  <si>
    <t xml:space="preserve">NOWAX  Р“РµСЂРјРµС‚РёРє РіС–РґСЂРѕРїС–РґСЃРёР»СЋРІР°С‡Р° РєРµСЂРјР°,300ml (24С€С‚) </t>
  </si>
  <si>
    <t>62.83</t>
  </si>
  <si>
    <t>NX30820</t>
  </si>
  <si>
    <t xml:space="preserve">NOWAX  INJECTOR CLEANER, 300ml. РћС‡РёСЃРЅРёРє С–РЅР¶РµРєС‚РѕСЂР°. Р—Р°СЃС–Р± РґР»СЏ РѕС‡РёС‰РµРЅРЅСЏ РїР°Р»РёРІРЅРѕС— </t>
  </si>
  <si>
    <t>55.93</t>
  </si>
  <si>
    <t>NX30840</t>
  </si>
  <si>
    <t>NOWAX  DIESEL FUEL SYSTEM CLEANER, 300ml. РћС‡РёСЃРЅРёРє РґРёР·РµР»СЊРЅРѕС— СЃРёСЃС‚РµРјРё.</t>
  </si>
  <si>
    <t>NX32520</t>
  </si>
  <si>
    <t xml:space="preserve">NOWAX  RADIATOR LEAK STOP, 325ml. Р“РµСЂРјРµС‚РёРє СЂР°РґС–Р°С‚РѕСЂР° </t>
  </si>
  <si>
    <t>41.99</t>
  </si>
  <si>
    <t>NX32540</t>
  </si>
  <si>
    <t xml:space="preserve">NOWAX  RADIATOR FLASH, 325ml. РџСЂРѕРјРёРІРєР° СЂР°РґС–Р°С‚РѕСЂР° </t>
  </si>
  <si>
    <t>39.59</t>
  </si>
  <si>
    <t>NX40650</t>
  </si>
  <si>
    <t>NOWAX  CARBURETOR CLEANER, 400ml. РћС‡РёСЃРЅРёРє РєР°СЂР±СЋСЂР°С‚РѕСЂР°. Р’С–РґРЅРѕРІР»СЋС” РїРµСЂРІРёРЅРЅС– С…Р°СЂР°РєС‚РµСЂРёСЃС‚РёРєРё РєР°СЂР±СЋСЂР°С‚РѕСЂР°</t>
  </si>
  <si>
    <t>36.38</t>
  </si>
  <si>
    <t>NX44310</t>
  </si>
  <si>
    <t>NOWAX  MOTOR FLUSH, 450ml. РџСЂРѕРјРёРІРєР° РґРІРёРіСѓРЅР° 10 С…РІ. Р—Р°СЃС‚РѕСЃРѕРІСѓС”С‚СЊСЃСЏ РґР»СЏ РЅРµР№С‚СЂР°Р»С–Р·Р°С†С–С— Р·Р°Р±СЂСѓРґРЅРµРЅСЊ, РІРёРґР°</t>
  </si>
  <si>
    <t>45.36</t>
  </si>
  <si>
    <t>NX44310/325</t>
  </si>
  <si>
    <t>NOWAX MOTOR FLUSH РџСЂРѕРјРёРІРєР° РґРІРёРіСѓРЅР° 10 С…РІ 325ml</t>
  </si>
  <si>
    <t>45.20</t>
  </si>
  <si>
    <t>NX45016</t>
  </si>
  <si>
    <t>NOWAX  LEATHER PROTECTANT, 450ml. РћС‡РёСЃРЅРёРє С€РєС–СЂРё. РЎРїРµС†С–Р°Р»СЊРЅРёР№ Р·Р°СЃС–Р± РґР»СЏ РµС„РµРєС‚РёРІРЅРѕРіРѕ РѕС‡РёС‰РµРЅРЅСЏ С‚Р° РґРѕРіР»СЏ</t>
  </si>
  <si>
    <t>60.74</t>
  </si>
  <si>
    <t>NX45017</t>
  </si>
  <si>
    <t xml:space="preserve">NOWAX  Р“РµСЂРјРµС‚РёРє С€РёРЅ,Tire Doctor,450ml. (12С€С‚.) </t>
  </si>
  <si>
    <t>86.55</t>
  </si>
  <si>
    <t>NX45018</t>
  </si>
  <si>
    <t xml:space="preserve">NOWAX  РћС‡РёСЃРЅРёРє РµР»РµРєС‚СЂРёС‡РЅРёС… РєРѕРЅС‚Р°РєС‚С–РІ,Contact cleaner,450ml. (24С€С‚.) </t>
  </si>
  <si>
    <t>72.12</t>
  </si>
  <si>
    <t>NX45110</t>
  </si>
  <si>
    <t xml:space="preserve">NOWAX  MOTOR STARTER, 450ml. РЁРІРёРґРєРёР№ СЃС‚Р°СЂС‚. Р—Р°Р±РµР·РїРµС‡СѓС” РЅР°РґС–Р№РЅРёР№ С– С€РІРёРґРєРёР№ Р·Р°РїСѓСЃРє </t>
  </si>
  <si>
    <t>NX45430</t>
  </si>
  <si>
    <t>NOWAX  TAR REMOVER, 450ml. РћС‡РёСЃРЅРёРє Р±С–С‚СѓРјРЅРёС… РїР»СЏРј. РњСѓР»СЊС‚РёС„СѓРЅРєС†С–РѕРЅР°Р»СЊРЅРёР№ РѕС‡РёС‰СѓРІР°С‡ РїСЂРёР·РЅР°С‡РµРЅРёР№ РґР»СЏ РІРёРґР°</t>
  </si>
  <si>
    <t>53.37</t>
  </si>
  <si>
    <t>NX45500</t>
  </si>
  <si>
    <t xml:space="preserve">NOWAX  ENGINE SURFACE CLEANER, 450ml. РћС‡РёСЃРЅРёРє РїРѕРІРµСЂС…РЅС– РґРІРёРіСѓРЅР° </t>
  </si>
  <si>
    <t>50.49</t>
  </si>
  <si>
    <t>NX49209</t>
  </si>
  <si>
    <t xml:space="preserve">NOWAX  РЎСѓРїРµСЂРєР»РµР№,100%РЎРђ,3g*6С€С‚./РґРёСЃРїР». </t>
  </si>
  <si>
    <t>NX49309</t>
  </si>
  <si>
    <t>NOWAX  РЎСѓРїРµСЂРєР»РµР№ РіРµР»СЊ,100%РЎРђ,3g*6С€С‚./РґРёСЃРїР».</t>
  </si>
  <si>
    <t>NX55018</t>
  </si>
  <si>
    <t xml:space="preserve">NOWAX  РћС‡РёСЃРЅРёРє СЃРё-РјРё РІРµРЅС‚РёР»СЏС†С–С— С– РєРѕРЅРґРёС†С–РѕРЅСѓРІР°РЅРЅСЏ,Air Condisioner Cleaner,550ml. (12С€С‚.) </t>
  </si>
  <si>
    <t>NX65000</t>
  </si>
  <si>
    <t xml:space="preserve">NOWAX  MULTI-PURPOSE FOAM CLEANER, 650ml. РћС‡РёСЃРЅРёРє С‚РµРєСЃС‚РёР»СЋ. РЈРЅС–РІРµСЂСЃР°Р»СЊРЅРёР№ </t>
  </si>
  <si>
    <t>NX65370</t>
  </si>
  <si>
    <t xml:space="preserve">NOWAX  UNDERCOATING SPRAY, 650ml. РђРЅС‚РёРєРѕСЂРѕР·С–Р№РЅРёР№ Р·Р°СЃС–Р± </t>
  </si>
  <si>
    <t>93.60</t>
  </si>
  <si>
    <t>NX75001</t>
  </si>
  <si>
    <t>NOWAX  РћС‡РёСЃРЅРёРє РІС–Рґ Р±С–С‚СѓРјРЅРёС… РїР»СЏРј С– РєРѕРјР°С… Nowax "Tar remover",750РјР».</t>
  </si>
  <si>
    <t>89.91</t>
  </si>
  <si>
    <t>NX75002</t>
  </si>
  <si>
    <t>NOWAX  РћС‡РёСЃРЅРёРє С‚РµРєСЃС‚РёР»СЋ Nowax Textile Cleaner,750РјР».</t>
  </si>
  <si>
    <t>39.91</t>
  </si>
  <si>
    <t>NX75003</t>
  </si>
  <si>
    <t>NOWAX  РњРѕР»РѕС‡РєРѕ-РїРѕР»С–СЂРѕР»СЊ РґР»СЏ РїР»Р°СЃС‚РёРєСѓ/Nowax Cockpit Milk/750ml</t>
  </si>
  <si>
    <t>NX75004</t>
  </si>
  <si>
    <t>NOWAX  РћС‡РёСЃРЅРёРє РґРёСЃРєС–РІ Nowax Wheel Cleaner,750ml</t>
  </si>
  <si>
    <t>NX75005</t>
  </si>
  <si>
    <t>NOWAX  РћС‡РёСЃРЅРёРє СЃРєР»Р° Nowax Glass Cleaner,750ml</t>
  </si>
  <si>
    <t>32.70</t>
  </si>
  <si>
    <t>NX75006</t>
  </si>
  <si>
    <t>NOWAX  Р§РѕСЂРЅРёС‚РµР»СЊ С– Р±Р»РёСЃРє РґР»СЏ С€РёРЅ Nowax Tyre Shine,750ml</t>
  </si>
  <si>
    <t>71.32</t>
  </si>
  <si>
    <t>NX75007</t>
  </si>
  <si>
    <t>NOWAX  РћС‡РёСЃРЅРёРє РґРІРёРіСѓРЅР° Nowax Engine Cleaner,750ml</t>
  </si>
  <si>
    <t>46.32</t>
  </si>
  <si>
    <t>NX75008</t>
  </si>
  <si>
    <t xml:space="preserve">NOWAX  РћС‡РёСЃРЅРёРє РІС–Рґ РєРѕРјР°С… Nowax Insect Remover,750ml </t>
  </si>
  <si>
    <t>NX75012</t>
  </si>
  <si>
    <t>NOWAX  РћС‡РёСЃРЅРёРє РїР»Р°СЃС‚РёРєСѓ С– РІС–РЅС–Р»Сѓ Nowax PlastiСЃ Cleaner,750ml</t>
  </si>
  <si>
    <t>47.92</t>
  </si>
  <si>
    <t>NTN - SNR</t>
  </si>
  <si>
    <t>6001LLU/5K</t>
  </si>
  <si>
    <t>6001LLU/5K  NTN-SNR - РџС–РґС€РёРїРЅРёРє</t>
  </si>
  <si>
    <t>38.28</t>
  </si>
  <si>
    <t>SNR</t>
  </si>
  <si>
    <t>12X28X8  (6001LLU/5K)</t>
  </si>
  <si>
    <t>6003LLU/5K</t>
  </si>
  <si>
    <t>6003LLU/5K  NTN-SNR - РџС–РґС€РёРїРЅРёРє</t>
  </si>
  <si>
    <t>42.57</t>
  </si>
  <si>
    <t>17X35X10  (6003LLU/5K)</t>
  </si>
  <si>
    <t>6006.EE</t>
  </si>
  <si>
    <t>6006.EE  NTN-SNR - РџС–РґС€РёРїРЅРёРє</t>
  </si>
  <si>
    <t>30X55X13  (6006EE)</t>
  </si>
  <si>
    <t>6201LLU/5K</t>
  </si>
  <si>
    <t>6201LLU/5K (TW)  NTN-SNR - РџС–РґС€РёРїРЅРёРє</t>
  </si>
  <si>
    <t>49.95</t>
  </si>
  <si>
    <t>12X32X10  (6201LLU/5K)</t>
  </si>
  <si>
    <t>6202.EE</t>
  </si>
  <si>
    <t>6202.EE  NTN-SNR - РџС–РґС€РёРїРЅРёРє</t>
  </si>
  <si>
    <t>51.32</t>
  </si>
  <si>
    <t>15X35X11  (6202EE)</t>
  </si>
  <si>
    <t>6202LLU/5K</t>
  </si>
  <si>
    <t>6202LLU/5K  NTN-SNR - РџС–РґС€РёРїРЅРёРє</t>
  </si>
  <si>
    <t>15X35X11  (6202LLU/5K)</t>
  </si>
  <si>
    <t>6203LLU/5K</t>
  </si>
  <si>
    <t>6203LLU/5K (TW)  NTN-SNR - РџС–РґС€РёРїРЅРёРє</t>
  </si>
  <si>
    <t>41.37</t>
  </si>
  <si>
    <t>17X40X12  (6203LLU/5K)</t>
  </si>
  <si>
    <t>63006.EE</t>
  </si>
  <si>
    <t>63006.EE  NTN-SNR - РџС–РґС€РёРїРЅРёРє</t>
  </si>
  <si>
    <t>30X55X19  (63006EE)</t>
  </si>
  <si>
    <t>6303LLU/5K</t>
  </si>
  <si>
    <t>6303LLU/5K  NTN-SNR - РџС–РґС€РёРїРЅРёРє</t>
  </si>
  <si>
    <t>17X47X14  (6303LLU/5K)</t>
  </si>
  <si>
    <t>ACB30X55X23</t>
  </si>
  <si>
    <t>ACB30X55X23  NTN-SNR - РџС–РґС€РёРїРЅРёРє</t>
  </si>
  <si>
    <t>283.72</t>
  </si>
  <si>
    <t>30X55X23  (ACB30X55X23)</t>
  </si>
  <si>
    <t>ACB35X50X20</t>
  </si>
  <si>
    <t>ACB35X50X20  NTN-SNR - РџС–РґС€РёРїРЅРёРє</t>
  </si>
  <si>
    <t>248.36</t>
  </si>
  <si>
    <t>(ACB35X50X20)</t>
  </si>
  <si>
    <t>ACB35X52X20</t>
  </si>
  <si>
    <t>ACB35X52X20  NTN-SNR - РџС–РґС€РёРїРЅРёРє</t>
  </si>
  <si>
    <t>159.97</t>
  </si>
  <si>
    <t>(ACB35X52X20)</t>
  </si>
  <si>
    <t>ACB35X52X22</t>
  </si>
  <si>
    <t>ACB35X52X22  NTN-SNR - РџС–РґС€РёРїРЅРёРє</t>
  </si>
  <si>
    <t>258.15</t>
  </si>
  <si>
    <t>35X52X22  (ACB35x52x22)</t>
  </si>
  <si>
    <t>ACB35X55X20</t>
  </si>
  <si>
    <t>ACB35X55X20  NTN-SNR - РџС–РґС€РёРїРЅРёРє</t>
  </si>
  <si>
    <t>174.90</t>
  </si>
  <si>
    <t>(ACB35X55X20)</t>
  </si>
  <si>
    <t>ACB35X62X24</t>
  </si>
  <si>
    <t>ACB35X62X24  NTN-SNR - РџС–РґС€РёРїРЅРёРє</t>
  </si>
  <si>
    <t>284.58</t>
  </si>
  <si>
    <t>(ACB35X62X24)</t>
  </si>
  <si>
    <t>ACB40X62X20.625</t>
  </si>
  <si>
    <t>ACB40X62X20.625  NTN-SNR - РџС–РґС€РёРїРЅРёРє</t>
  </si>
  <si>
    <t>307.06</t>
  </si>
  <si>
    <t>40X62X20  (ACB40X62X20625)</t>
  </si>
  <si>
    <t>ACB40X62X24</t>
  </si>
  <si>
    <t>ACB40X62X24  NTN-SNR - РџС–РґС€РёРїРЅРёРє</t>
  </si>
  <si>
    <t>344.48</t>
  </si>
  <si>
    <t>(ACB40X62X24)</t>
  </si>
  <si>
    <t>DPF357.06K1</t>
  </si>
  <si>
    <t>DPF357.06K1  NTN-SNR - РЁРєС–РІ РєРѕР»С–РЅС‡Р°СЃС‚РѕРіРѕ РІР°Р»Сѓ</t>
  </si>
  <si>
    <t>2169.01</t>
  </si>
  <si>
    <t>РІ РєРѕРјР»РµРєС‚С– Р· С€Р°Р№Р±РѕСЋ DPF357.06 RD|    -   AUDI A6  2.5 TDI 95-, VW - CRAFTER 30-35 2.5 TDI 06-, VW  T4 2.4D 90-     [EVR515400]  0X188X58  (DPF35706K1)</t>
  </si>
  <si>
    <t>GA350.21</t>
  </si>
  <si>
    <t>GA350.21  NTN-SNR - РћР±РІС–РґРЅРёР№ СЂРѕР»РёРє</t>
  </si>
  <si>
    <t>236.52</t>
  </si>
  <si>
    <t xml:space="preserve">BMW 3, 5 - series 90-99 (РѕР±РІРѕРґ. ALT)   (GA35021)  [EVR55006]  0X70X24,5  </t>
  </si>
  <si>
    <t>GA350.26</t>
  </si>
  <si>
    <t>GA350.26  NTN-SNR - РќР°С‚СЏР¶РЅРёР№ СЂРѕР»РёРє СЂРµРјРµРЅСЏ</t>
  </si>
  <si>
    <t xml:space="preserve">BMW E34, E36  90-99 (РЅР°С‚СЏР¶. A/C)   (GA35026)  [EVR55012]  0X80X21  </t>
  </si>
  <si>
    <t>GA350.29</t>
  </si>
  <si>
    <t>GA350.29  NTN-SNR - РќР°С‚СЏР¶РЅРёР№ СЂРѕР»РёРє СЂРµРјРµРЅСЏ</t>
  </si>
  <si>
    <t>306.21</t>
  </si>
  <si>
    <t xml:space="preserve">BMW 3, 5, 7 1.8-2.5 diesel eng.  91- (РЅР°С‚СЏР¶. ALT)   (GA35029)  [EVR55024]  0X70X23  </t>
  </si>
  <si>
    <t>GA350.31</t>
  </si>
  <si>
    <t>GA350.31  NTN-SNR - РњРµС…Р°РЅС–Р·Рј РЅР°С‚СЏРіСѓ СЂРµРјРµРЅСЏ</t>
  </si>
  <si>
    <t>616.70</t>
  </si>
  <si>
    <t xml:space="preserve">BMW 3, 5, 7 1.8-2.5 diesel eng.  91- (Р°РјРѕСЂС‚. РЅР°С‚СЏР¶. ALT)   (GA35031)  [EVR55022]  0X37X95  </t>
  </si>
  <si>
    <t>GA350.33</t>
  </si>
  <si>
    <t>GA350.33  NTN-SNR - РњРµС…Р°РЅС–Р·Рј РЅР°С‚СЏРіСѓ СЂРµРјРµРЅСЏ</t>
  </si>
  <si>
    <t>511.66</t>
  </si>
  <si>
    <t xml:space="preserve">BMW 520I, 525I, 528I 90-  (GA35033)  [EVR55025]  0X70X26  </t>
  </si>
  <si>
    <t>GA350.50</t>
  </si>
  <si>
    <t>GA350.50  NTN-SNR - РћР±РІС–РґРЅРёР№ СЂРѕР»РёРє</t>
  </si>
  <si>
    <t>276.17</t>
  </si>
  <si>
    <t xml:space="preserve">BMW E46 316i, 318i (M43)  98-05 (РѕР±РІРѕРґ. ALT)   (GA35050) [EVR55020]  0X70X26  </t>
  </si>
  <si>
    <t>GA350.56</t>
  </si>
  <si>
    <t>GA350.56  NTN-SNR - РћР±РІС–РґРЅРёР№ СЂРѕР»РёРє</t>
  </si>
  <si>
    <t>348.77</t>
  </si>
  <si>
    <t xml:space="preserve">BMW 2.0i - 3.0i  03-  (РѕР±РІРѕРґ. ALT)   (GA35056) [EVR55060]  0X75X26  </t>
  </si>
  <si>
    <t>GA350.59</t>
  </si>
  <si>
    <t>GA350.59  NTN-SNR - РќР°С‚СЏР¶РЅРёР№ СЂРѕР»РёРє СЂРµРјРµРЅСЏ</t>
  </si>
  <si>
    <t>425.32</t>
  </si>
  <si>
    <t xml:space="preserve">BMW 318tds, 525tds, 725tds 95- (РЅР°С‚СЏР¶. ALT)   (GA35059) [EVR55035]  0X70X26  </t>
  </si>
  <si>
    <t>GA350.86</t>
  </si>
  <si>
    <t>GA350.86  NTN-SNR - РќР°С‚СЏР¶РЅРёР№ СЂРѕР»РёРє СЂРµРјРµРЅСЏ</t>
  </si>
  <si>
    <t>773.58</t>
  </si>
  <si>
    <t>BMW 3 (E46), 5 (E60) 2.0d/3.0d  02- (GA35086)</t>
  </si>
  <si>
    <t>GA351.00</t>
  </si>
  <si>
    <t>GA351.00  NTN-SNR - РќР°С‚СЏР¶РЅРёР№ СЂРѕР»РёРє СЂРµРјРµРЅСЏ</t>
  </si>
  <si>
    <t>429.61</t>
  </si>
  <si>
    <t xml:space="preserve">MB W123/124/201/202/210 85 -  (РЅР°С‚СЏР¶. A/C)   (GA35100) [EVR55100]  0X80X25  </t>
  </si>
  <si>
    <t>GA351.05</t>
  </si>
  <si>
    <t>GA351.05  NTN-SNR - РћР±РІС–РґРЅРёР№ СЂРѕР»РёРє</t>
  </si>
  <si>
    <t xml:space="preserve">MB W123/124/201/202/210  85 -  (РѕР±РІРѕРґ. ALT)   (GA35105) [EVR55101]  0X75X26,4  </t>
  </si>
  <si>
    <t>GA351.08</t>
  </si>
  <si>
    <t>GA351.08  NTN-SNR - РњРµС…Р°РЅС–Р·Рј РЅР°С‚СЏРіСѓ СЂРµРјРµРЅСЏ</t>
  </si>
  <si>
    <t>688.96</t>
  </si>
  <si>
    <t xml:space="preserve">MB CDI-engines (РјРµС…. РЅР°С‚СЏР¶. ALT)   (GA35108) [EVR55123]  0X70X26  </t>
  </si>
  <si>
    <t>GA351.09</t>
  </si>
  <si>
    <t>GA351.09  NTN-SNR - РћР±РІС–РґРЅРёР№ СЂРѕР»РёРє</t>
  </si>
  <si>
    <t>133.02</t>
  </si>
  <si>
    <t xml:space="preserve">VAG, BMW, MB W202/203,W210, VITO  00- (РѕР±РІРѕРґ. ALT)   (GA35109) [EVR55700]  0X69X26,4  </t>
  </si>
  <si>
    <t>GA351.14</t>
  </si>
  <si>
    <t>GA351.14  NTN-SNR - РњРµС…Р°РЅС–Р·Рј РЅР°С‚СЏРіСѓ СЂРµРјРµРЅСЏ</t>
  </si>
  <si>
    <t>1929.06</t>
  </si>
  <si>
    <t>MB  97- (РЅР°С‚СЏР¶. ALT)   [GA35114,  EVR55143]  0X95X26   (РґРёРІ.РєР°С‚Р°Р»РѕРі)</t>
  </si>
  <si>
    <t>GA351.18</t>
  </si>
  <si>
    <t>GA351.18  NTN-SNR - РћР±РІС–РґРЅРёР№ СЂРѕР»РёРє</t>
  </si>
  <si>
    <t>291.44</t>
  </si>
  <si>
    <t xml:space="preserve">MB CDI - eng.  05- (РѕР±РІРѕРґ. ALT, 2x)   (GA35118) [EVR55140]  54X30X0  </t>
  </si>
  <si>
    <t>GA351.19</t>
  </si>
  <si>
    <t>GA351.19  NTN-SNR - РћР±РІС–РґРЅРёР№ СЂРѕР»РёРє</t>
  </si>
  <si>
    <t xml:space="preserve">Audi A4/A5/A6, Q7| VW Touareg 2.7TDI-4.2TDI 2003-  (GA35119) [EVR55787]  0X65X26  </t>
  </si>
  <si>
    <t>GA351.20</t>
  </si>
  <si>
    <t>GA351.20  NTN-SNR - РћР±РІС–РґРЅРёР№ СЂРѕР»РёРє</t>
  </si>
  <si>
    <t>250.94</t>
  </si>
  <si>
    <t>GA351.26</t>
  </si>
  <si>
    <t>GA351.26  NTN-SNR - РћР±РІС–РґРЅРёР№ СЂРѕР»РёРє</t>
  </si>
  <si>
    <t>269.30</t>
  </si>
  <si>
    <t>MB A-classe/Vaneo  1,5-2,0/1,7-2,0CDI   97- (GA35126)</t>
  </si>
  <si>
    <t>GA351.32</t>
  </si>
  <si>
    <t>GA351.32  NTN-SNR - РќР°С‚СЏРіСѓРІР°С‡ СЂРµРјРµРЅСЏ</t>
  </si>
  <si>
    <t>564.87</t>
  </si>
  <si>
    <t>MB C-class (W202), E-class (W210), VITO, SPRINTER 2.0/2.3  / VW LT  93-  (GA35132)</t>
  </si>
  <si>
    <t>GA351.36</t>
  </si>
  <si>
    <t>GA351.36  NTN-SNR - РќР°С‚СЏР¶РЅРёР№ СЂРѕР»РёРє СЂРµРјРµРЅСЏ</t>
  </si>
  <si>
    <t>1318.88</t>
  </si>
  <si>
    <t>MB CLK/C/E/G/GL/M/R/S-class, SPRINTER  280CDI/320CDI   05- (GA35136)</t>
  </si>
  <si>
    <t>GA351.51</t>
  </si>
  <si>
    <t>GA351.51  NTN-SNR - РћР±РІС–РґРЅРёР№ СЂРѕР»РёРє</t>
  </si>
  <si>
    <t>254.37</t>
  </si>
  <si>
    <t>MB class CLK/C/E  1,8Kompressor(M271...)  2002-  : 216 37, 316 37, 316 43, 316LGT43, 316NGT37, 316NGT43, C 180, C 200, CLC 160, CLK 200, E 200, E200, E200 NGT, SLK 0x90,5x28 (GA35151)</t>
  </si>
  <si>
    <t>GA352.53</t>
  </si>
  <si>
    <t>GA352.53  NTN-SNR - РћР±РІС–РґРЅРёР№ СЂРѕР»РёРє</t>
  </si>
  <si>
    <t xml:space="preserve">Ford Tourneo, Transit Connect 1.8Di/TDCi 02-   (GA35253) [EVR55263]  0X60X26,6  </t>
  </si>
  <si>
    <t>GA352.59</t>
  </si>
  <si>
    <t>GA352.59  NTN-SNR - РњРµС…Р°РЅС–Р·Рј РЅР°С‚СЏРіСѓ СЂРµРјРµРЅСЏ</t>
  </si>
  <si>
    <t>1892.50</t>
  </si>
  <si>
    <t xml:space="preserve">FORD Mondeo, Transit 2.0 16v DI/TDDi, 2.0TDCi, 2.2TDCi  00-07 (РјРµС…. РЅР°С‚СЏР¶. ALT)   (GA35259) [EVR55256]  0X65X25,5  </t>
  </si>
  <si>
    <t>GA352.76</t>
  </si>
  <si>
    <t>GA352.76  NTN-SNR - РћР±РІС–РґРЅРёР№ СЂРѕР»РёРє</t>
  </si>
  <si>
    <t>FORD Galaxy, Mondeo III/IV 1.8/2.0/2.0D/2.3 05-   (GA35276)</t>
  </si>
  <si>
    <t>GA352.84</t>
  </si>
  <si>
    <t>GA352.84  NTN-SNR - РћР±РІС–РґРЅРёР№ СЂРѕР»РёРє</t>
  </si>
  <si>
    <t>FORD C-Max,Fiesta IV, Focus II, Mondeo IV, S-Max  1,8TDCI  2000-   (GA35284)</t>
  </si>
  <si>
    <t>GA353.53</t>
  </si>
  <si>
    <t>GA353.53  NTN-SNR - РњРµС…Р°РЅС–Р·Рј РЅР°С‚СЏРіСѓ СЂРµРјРµРЅСЏ</t>
  </si>
  <si>
    <t>969.77</t>
  </si>
  <si>
    <t xml:space="preserve">OPEL 2.0Di/DTi, 2.2Di/DTi  97- (РјРµС…. РЅР°С‚СЏР¶. ALT)   (GA35353) [EVR55328]  0X90X24,5  </t>
  </si>
  <si>
    <t>GA353.58</t>
  </si>
  <si>
    <t>GA353.58  NTN-SNR - РњРµС…Р°РЅС–Р·Рј РЅР°С‚СЏРіСѓ СЂРµРјРµРЅСЏ</t>
  </si>
  <si>
    <t>1059.02</t>
  </si>
  <si>
    <t xml:space="preserve">OPEL 1.4/1.4 16v - 1.8/1.8 16v  98- (РјРµС…. РЅР°С‚СЏР¶. ALT)   (GA35358) [EVR55338]  0X76X22  </t>
  </si>
  <si>
    <t>GA353.59</t>
  </si>
  <si>
    <t>GA353.59  NTN-SNR - РњРµС…Р°РЅС–Р·Рј РЅР°С‚СЏРіСѓ СЂРµРјРµРЅСЏ</t>
  </si>
  <si>
    <t>1033.44</t>
  </si>
  <si>
    <t xml:space="preserve">OPEL Astra, Corsa 1.2 16v, 1.4  96- (РјРµС…. РЅР°С‚СЏР¶. ALT)   (GA35359) [EVR55345]  0X70X24,5  </t>
  </si>
  <si>
    <t>GA354.06</t>
  </si>
  <si>
    <t>GA354.06  NTN-SNR - РћР±РІС–РґРЅРёР№ СЂРѕР»РёРє</t>
  </si>
  <si>
    <t>465.83</t>
  </si>
  <si>
    <t xml:space="preserve">VW LT, T4 2.5D/TDI/SDI  90- (РѕР±РІРѕРґ. ALT)   (GA35406) [EVR55424]  0X90X25  </t>
  </si>
  <si>
    <t>GA354.07</t>
  </si>
  <si>
    <t>GA354.07  NTN-SNR - РњРµС…Р°РЅС–Р·Рј РЅР°С‚СЏРіСѓ СЂРµРјРµРЅСЏ</t>
  </si>
  <si>
    <t>1183.63</t>
  </si>
  <si>
    <t xml:space="preserve">VW T4, LT 28-46 2.5TDI/SDI  96-06 (+ Р°РјРѕСЂС‚. РЅР°С‚СЏР¶. ALT)   (GA35407) 0X76X26   [EVR55483]  </t>
  </si>
  <si>
    <t>GA354.10</t>
  </si>
  <si>
    <t>GA354.10  NTN-SNR - РќР°С‚СЏР¶РЅРёР№ СЂРѕР»РёРє СЂРµРјРµРЅСЏ</t>
  </si>
  <si>
    <t>450.04</t>
  </si>
  <si>
    <t xml:space="preserve">VAG 1.6, 1.8, 2.0, 1.9TDI  95- (РЅР°С‚СЏР¶. A/C)   (GA35410) [EVR55464]  0X59,8X19  </t>
  </si>
  <si>
    <t>GA355.04</t>
  </si>
  <si>
    <t>GA355.04  NTN-SNR - РќР°С‚СЏР¶РЅРёР№ СЂРѕР»РёРє СЂРµРјРµРЅСЏ</t>
  </si>
  <si>
    <t>753.67</t>
  </si>
  <si>
    <t xml:space="preserve">RENAULT/NISSAN 1.5DCi  01- (РЅР°С‚СЏР¶. ALT, (-A/C))   (GA35504) [EVR55591]  0X65X26  </t>
  </si>
  <si>
    <t>GA355.14</t>
  </si>
  <si>
    <t>GA355.14  NTN-SNR - РњРµС…Р°РЅС–Р·Рј РЅР°С‚СЏРіСѓ СЂРµРјРµРЅСЏ</t>
  </si>
  <si>
    <t>978.18</t>
  </si>
  <si>
    <t xml:space="preserve">Renault Clio II, Espace III, Kangoo, Laguna/II, Megane| Dacia Logan, Sandero, Solenza| Nissan Kubistar 1.4 16V-2.0 16V  96-  (GA35514) [EVR55606]  0X60X25  </t>
  </si>
  <si>
    <t>GA355.15</t>
  </si>
  <si>
    <t>GA355.15  NTN-SNR - РњРµС…Р°РЅС–Р·Рј РЅР°С‚СЏРіСѓ СЂРµРјРµРЅСЏ</t>
  </si>
  <si>
    <t>1044.60</t>
  </si>
  <si>
    <t xml:space="preserve">RENAULT 1.6 16v, 1.5DCi  01- (РЅР°С‚СЏР¶. ALT, (A/C))   (GA35515) [EVR55607]  0X65X26  </t>
  </si>
  <si>
    <t>GA355.16</t>
  </si>
  <si>
    <t>GA355.16  NTN-SNR - РњРµС…Р°РЅС–Р·Рј РЅР°С‚СЏРіСѓ СЂРµРјРµРЅСЏ</t>
  </si>
  <si>
    <t>1036.88</t>
  </si>
  <si>
    <t xml:space="preserve">OPEL Vivaro, Nissan, Renault 2.2dCi/2.5dCi 00-  (GA35516) [EVR55610]  0X60X30  </t>
  </si>
  <si>
    <t>GA355.24</t>
  </si>
  <si>
    <t>GA355.24  NTN-SNR - РћР±РІС–РґРЅРёР№ СЂРѕР»РёРє</t>
  </si>
  <si>
    <t>849.27</t>
  </si>
  <si>
    <t>DACIA DUSTER/LOGAN 1.6 16V , LOGAN II /LODGY/SANDERO 1.5 dCi 08-  (GA35524)</t>
  </si>
  <si>
    <t>GA355.55</t>
  </si>
  <si>
    <t>GA355.55  NTN-SNR - РќР°С‚СЏР¶РЅРёР№ СЂРѕР»РёРє СЂРµРјРµРЅСЏ</t>
  </si>
  <si>
    <t>623.91</t>
  </si>
  <si>
    <t xml:space="preserve">RENAULT MEGANE 1.4, 1.6i 97-99 (РЅР°С‚СЏР¶. ALT, +PS, +A/C)   (GA35555) [EVR55564]  0X70X21  </t>
  </si>
  <si>
    <t>GA355.97</t>
  </si>
  <si>
    <t>GA355.97  NTN-SNR - РћР±РІС–РґРЅРёР№ СЂРѕР»РёРє</t>
  </si>
  <si>
    <t>318.56</t>
  </si>
  <si>
    <t xml:space="preserve">OPEL Vivaro 1.9DTi 2001-|    Dacia/Renault Clio, Kangoo, Laguna, Logan, Megan 1.4-2.0  99- (РѕР±РІРѕРґ. ALT, +AC)   (GA35597) [EVR55571]  0X60X25,5  </t>
  </si>
  <si>
    <t>GA355.98</t>
  </si>
  <si>
    <t>GA355.98  NTN-SNR - РњРµС…Р°РЅС–Р·Рј РЅР°С‚СЏРіСѓ СЂРµРјРµРЅСЏ</t>
  </si>
  <si>
    <t>1042.88</t>
  </si>
  <si>
    <t xml:space="preserve">RENAULT MEGANE 1.9dCi/tDi 99-  (GA35598) [EVR55599]  0X60X25,5  </t>
  </si>
  <si>
    <t>GA357.04</t>
  </si>
  <si>
    <t>GA357.04  NTN-SNR - РњРµС…Р°РЅС–Р·Рј РЅР°С‚СЏРіСѓ СЂРµРјРµРЅСЏ</t>
  </si>
  <si>
    <t>714.02</t>
  </si>
  <si>
    <t xml:space="preserve">VAG 1.6-2.0  95- (РјРµС…. РЅР°С‚СЏР¶. ALT)   (GA35704) [EVR55444]  0X70X24  </t>
  </si>
  <si>
    <t>GA357.07</t>
  </si>
  <si>
    <t>GA357.07  NTN-SNR - РќР°С‚СЏР¶РЅРёР№ СЂРѕР»РёРє СЂРµРјРµРЅСЏ</t>
  </si>
  <si>
    <t>455.19</t>
  </si>
  <si>
    <t xml:space="preserve">VW T4 2.4D, 2.5TDI  90- (РЅР°С‚СЏР¶. ALT)   (GA35707) [EVR55435]  0X75X26  </t>
  </si>
  <si>
    <t>GA357.12</t>
  </si>
  <si>
    <t>GA357.12  NTN-SNR - РћР±РІС–РґРЅРёР№ СЂРѕР»РёРє</t>
  </si>
  <si>
    <t xml:space="preserve">VAG 2.5TDI  97-04 (РѕР±РІРѕРґ. ALT, metal)   (GA35712) [EVR55701]  0X64,5X24,5  </t>
  </si>
  <si>
    <t>GA357.15</t>
  </si>
  <si>
    <t>GA357.15  NTN-SNR - РњРµС…Р°РЅС–Р·Рј РЅР°С‚СЏРіСѓ СЂРµРјРµРЅСЏ</t>
  </si>
  <si>
    <t>1190.84</t>
  </si>
  <si>
    <t xml:space="preserve">AUDI A4/A6, VW Passat 1.9TDI  95-01 (РЅР°С‚СЏР¶. ALT)   (GA35715) [EVR56305]  0X70X20  </t>
  </si>
  <si>
    <t>GA357.32</t>
  </si>
  <si>
    <t>GA357.32  NTN-SNR - РќР°С‚СЏР¶РЅРёР№ СЂРѕР»РёРє СЂРµРјРµРЅСЏ</t>
  </si>
  <si>
    <t>1169.21</t>
  </si>
  <si>
    <t>AUDI A4, A5, A6, Q7, VW Touareg| 2.7TDI/3.0TDI|  04- (GA35732)</t>
  </si>
  <si>
    <t>GA357.58</t>
  </si>
  <si>
    <t>GA357.58  NTN-SNR - РќР°С‚СЏР¶РЅРёР№ СЂРѕР»РёРє СЂРµРјРµРЅСЏ</t>
  </si>
  <si>
    <t>999.46</t>
  </si>
  <si>
    <t>VW Golf VI/Passat| Audi A3| Seat Altea,Leon, Skoda Octavia 1,8/2,0TSI/TFSI  08- (GA35758)</t>
  </si>
  <si>
    <t>GA358.02</t>
  </si>
  <si>
    <t>GA358.02  NTN-SNR - РћР±РІС–РґРЅРёР№ СЂРѕР»РёРє</t>
  </si>
  <si>
    <t>466.69</t>
  </si>
  <si>
    <t xml:space="preserve">FIAT DUCATO 2.3JTD  02- (РѕР±РІРѕРґ. ALT)   (GA35802) [EVR55884]  0X70X28  </t>
  </si>
  <si>
    <t>GA358.03</t>
  </si>
  <si>
    <t>GA358.03  NTN-SNR - РњРµС…Р°РЅС–Р·Рј РЅР°С‚СЏРіСѓ СЂРµРјРµРЅСЏ</t>
  </si>
  <si>
    <t>795.38</t>
  </si>
  <si>
    <t xml:space="preserve">FIAT DUCATO 2.3JTD  02- (РјРµС…. РЅР°С‚СЏР¶. ALT)   (GA35803) [EVR55880]  0X70X28  </t>
  </si>
  <si>
    <t>GA358.08</t>
  </si>
  <si>
    <t>GA358.08  NTN-SNR - РћР±РІС–РґРЅРёР№ СЂРѕР»РёРє</t>
  </si>
  <si>
    <t xml:space="preserve">FIAT DOBLO/IDEA/ PANDA/PUNTO  1.3JTD  03-  (GA35808) [EVR55889]  0X70X26  </t>
  </si>
  <si>
    <t>GA358.12</t>
  </si>
  <si>
    <t>GA358.12  NTN-SNR - РќР°С‚СЏР¶РЅРёР№ СЂРѕР»РёРє СЂРµРјРµРЅСЏ</t>
  </si>
  <si>
    <t>991.39</t>
  </si>
  <si>
    <t>FIAT Ducato, FORD Transit Tourneo, PEUGEOT Boxer| 2.2 HDI/2.2 TDCI| 2006-   (GA35812)</t>
  </si>
  <si>
    <t>GA358.55</t>
  </si>
  <si>
    <t>GA358.55  NTN-SNR - РњРµС…Р°РЅС–Р·Рј РЅР°С‚СЏРіСѓ СЂРµРјРµРЅСЏ</t>
  </si>
  <si>
    <t>1073.44</t>
  </si>
  <si>
    <t xml:space="preserve">PSA 1.9D/TD  96- (РјРµС…. РЅР°С‚СЏР¶. ALT, (PS), (A/C))   (GA35855) [EVR55925]  0X60X26,5  </t>
  </si>
  <si>
    <t>GA358.66</t>
  </si>
  <si>
    <t>GA358.66  NTN-SNR - РќР°С‚СЏР¶РЅРёР№ СЂРѕР»РёРє СЂРµРјРµРЅСЏ</t>
  </si>
  <si>
    <t>874.16</t>
  </si>
  <si>
    <t xml:space="preserve">CITROEN Jumper 1.9TD, 2.5D/TD, PEUGEOT Boxer 2.4D/TD  94- (РЅР°С‚СЏР¶. PS)   (GA35866) [EVR55909]  0X93,5X26  </t>
  </si>
  <si>
    <t>GA358.83</t>
  </si>
  <si>
    <t>GA358.83  NTN-SNR - РњРµС…Р°РЅС–Р·Рј РЅР°С‚СЏРіСѓ СЂРµРјРµРЅСЏ</t>
  </si>
  <si>
    <t>634.55</t>
  </si>
  <si>
    <t xml:space="preserve">FIAT Bravo, Doblo 1.4  05- (РјРµС…. РЅР°С‚СЏР¶. ALT, (A/C))   (GA35883) [EVR55870]  0X65X23  </t>
  </si>
  <si>
    <t>GA358.85</t>
  </si>
  <si>
    <t>GA358.85  NTN-SNR - РњРµС…Р°РЅС–Р·Рј РЅР°С‚СЏРіСѓ СЂРµРјРµРЅСЏ</t>
  </si>
  <si>
    <t>522.30</t>
  </si>
  <si>
    <t xml:space="preserve">FIAT 1.9D/JTD  99- (РјРµС…. РЅР°С‚СЏР¶. ALT)   (GA35885) [EVR55872]  0X65X29  </t>
  </si>
  <si>
    <t>GA358.94</t>
  </si>
  <si>
    <t>GA358.94  NTN-SNR - РќР°С‚СЏР¶РЅРёР№ СЂРѕР»РёРє СЂРµРјРµРЅСЏ</t>
  </si>
  <si>
    <t>255.23</t>
  </si>
  <si>
    <t xml:space="preserve">Fiat 1,4-1,6 [12V, 16V] 96-  (GA35894) [EVR55874]  0X70X24,5  </t>
  </si>
  <si>
    <t>GA359.03</t>
  </si>
  <si>
    <t>GA359.03  NTN-SNR - РћР±РІС–РґРЅРёР№ СЂРѕР»РёРє</t>
  </si>
  <si>
    <t xml:space="preserve">Ford/Citroen/Peugeot 1.4 HDi/TDCi 1.6HDi 01-  (GA35903) [EVR55247]  0X60X30  </t>
  </si>
  <si>
    <t>GA359.13</t>
  </si>
  <si>
    <t>GA359.13  NTN-SNR - РњРµС…Р°РЅС–Р·Рј РЅР°С‚СЏРіСѓ СЂРµРјРµРЅСЏ</t>
  </si>
  <si>
    <t>653.78</t>
  </si>
  <si>
    <t xml:space="preserve">PSA 2.0HDi/JTD, 2.2 HDi/JTD  99- (РјРµС…. РЅР°С‚СЏР¶. ALT)   (GA35913) [EVR55940]  70X25X29  </t>
  </si>
  <si>
    <t>GA359.16</t>
  </si>
  <si>
    <t>GA359.16  NTN-SNR - РћР±РІС–РґРЅРёР№ СЂРѕР»РёРє</t>
  </si>
  <si>
    <t>314.79</t>
  </si>
  <si>
    <t xml:space="preserve">CITROEN Berlingo,C3,C4,C5, PEUGEOT 207,307,407| 1.4HDI/1.6HDI 02-   (GA35916) [EVR55991]  0X65X25,5  </t>
  </si>
  <si>
    <t>GA359.67</t>
  </si>
  <si>
    <t>GA359.67  NTN-SNR - РћР±РІС–РґРЅРёР№ СЂРѕР»РёРє</t>
  </si>
  <si>
    <t>250.08</t>
  </si>
  <si>
    <t xml:space="preserve">PSA 1.6 - 2.0  94-02 (РѕР±РІРѕРґ. ALT)   (GA35967) [EVR55911]  0X90,5X25  </t>
  </si>
  <si>
    <t>GA359.71</t>
  </si>
  <si>
    <t>GA359.71  NTN-SNR - РћР±РІС–РґРЅРёР№ СЂРѕР»РёРє</t>
  </si>
  <si>
    <t xml:space="preserve">PSA 2.0HDi  99- (РѕР±РІРѕРґ.  ALT)   (GA35971) [EVR55544]  0X50X26  </t>
  </si>
  <si>
    <t>GA359.82</t>
  </si>
  <si>
    <t>GA359.82  NTN-SNR - РћР±РІС–РґРЅРёР№ СЂРѕР»РёРє</t>
  </si>
  <si>
    <t>272.22</t>
  </si>
  <si>
    <t xml:space="preserve">FIAT/PSA 1.9D  98- (РѕР±РІРѕРґ. ALT)   (GA35982) [EVR55944]  10X36X25  </t>
  </si>
  <si>
    <t>GA359.83</t>
  </si>
  <si>
    <t>GA359.83  NTN-SNR - РќР°С‚СЏР¶РЅРёР№ СЂРѕР»РёРє СЂРµРјРµРЅСЏ</t>
  </si>
  <si>
    <t>470.98</t>
  </si>
  <si>
    <t xml:space="preserve">PSA 1.4, 1.4 16v, 1.6 16v, 1.9D  98- (РЅР°С‚СЏР¶. ALT)   (GA35983) [EVR55946]  0X60X26,6  </t>
  </si>
  <si>
    <t>GA359.84</t>
  </si>
  <si>
    <t>GA359.84  NTN-SNR - РћР±РІС–РґРЅРёР№ СЂРѕР»РёРє</t>
  </si>
  <si>
    <t xml:space="preserve">PSA 2.0HDi, 2.2HDi  99- (РѕР±РІРѕРґ. ALT)   (GA35984) [EVR55939]  0X70X24,7  </t>
  </si>
  <si>
    <t>GA359.85</t>
  </si>
  <si>
    <t>GA359.85  NTN-SNR - РњРµС…Р°РЅС–Р·Рј РЅР°С‚СЏРіСѓ СЂРµРјРµРЅСЏ</t>
  </si>
  <si>
    <t>603.14</t>
  </si>
  <si>
    <t xml:space="preserve">PSA 2.0HDi/JTD, 2.2 HDi/JTD  99- (РјРµС…. РЅР°С‚СЏР¶. ALT)   (GA35985) [EVR55940]  0X70X25  </t>
  </si>
  <si>
    <t>GA359.92</t>
  </si>
  <si>
    <t>GA359.92  NTN-SNR - РќР°С‚СЏР¶РЅРёР№ СЂРѕР»РёРє СЂРµРјРµРЅСЏ</t>
  </si>
  <si>
    <t>338.65</t>
  </si>
  <si>
    <t xml:space="preserve">PSA 2.0HDi  99- (РЅР°С‚СЏР¶. ALT, (-A/C))   (GA35992) [EVR55873]  0X50X26  </t>
  </si>
  <si>
    <t>GA359.94</t>
  </si>
  <si>
    <t>GA359.94  NTN-SNR - РћР±РІС–РґРЅРёР№ СЂРѕР»РёРє</t>
  </si>
  <si>
    <t>214.38</t>
  </si>
  <si>
    <t xml:space="preserve">PSA 1.8 16v, 2.0 16v, 2.2 16v  01 - (РѕР±РІРѕРґ. ALT)   (GA35994) [EVR55952]  0X78X25  </t>
  </si>
  <si>
    <t>GA359.97</t>
  </si>
  <si>
    <t>GA359.97  NTN-SNR - РћР±РІС–РґРЅРёР№ СЂРѕР»РёРє</t>
  </si>
  <si>
    <t>293.16</t>
  </si>
  <si>
    <t xml:space="preserve">PSA 1.9D  98- (РѕР±РІРѕРґ. ALT, (PS), (-A/C))   (GA35997) [EVR55941]  0X59,6X25  </t>
  </si>
  <si>
    <t>GA369.03</t>
  </si>
  <si>
    <t>GA369.03  NTN-SNR - РњРµС…Р°РЅС–Р·Рј РЅР°С‚СЏРіСѓ СЂРµРјРµРЅСЏ</t>
  </si>
  <si>
    <t>1573.60</t>
  </si>
  <si>
    <t xml:space="preserve">TOYOTA AVENSIS,RAV4 2.0VVTI, PREVIA 2.4 16V 00- (РјРµС…. РЅР°С‚СЏР¶. ALT)   (GA36903) [EVR56931]  0X70X31,5  </t>
  </si>
  <si>
    <t>GA370.00</t>
  </si>
  <si>
    <t>GA370.00  NTN-SNR - РќР°С‚СЏР¶РЅРёР№ СЂРѕР»РёРє СЂРµРјРµРЅСЏ</t>
  </si>
  <si>
    <t xml:space="preserve">Mazda/Ford   (GA37000) [EVR57045]  0X95X27  </t>
  </si>
  <si>
    <t>GA370.01</t>
  </si>
  <si>
    <t>GA370.01  NTN-SNR - РќР°С‚СЏР¶РЅРёР№ СЂРѕР»РёРє СЂРµРјРµРЅСЏ</t>
  </si>
  <si>
    <t>303.29</t>
  </si>
  <si>
    <t xml:space="preserve">Mazda/Ford   (GA37001) [EVR57046]  0X80X22  </t>
  </si>
  <si>
    <t>GA385.04</t>
  </si>
  <si>
    <t>GA385.04  NTN-SNR - РќР°С‚СЏР¶РЅРёР№ СЂРѕР»РёРє СЂРµРјРµРЅСЏ</t>
  </si>
  <si>
    <t>1582.18</t>
  </si>
  <si>
    <t>SSANGYONG Actyon, Actyon Sports, Kyron  2,0/2,7xdi  05-  0x70x26 (GA38504)</t>
  </si>
  <si>
    <t>GA751.02</t>
  </si>
  <si>
    <t>GA751.02  NTN-SNR - РЁРєС–РІ РіРµРЅРµСЂР°С‚РѕСЂР°</t>
  </si>
  <si>
    <t>614.99</t>
  </si>
  <si>
    <t xml:space="preserve">DB G-classe 2.9 TD   97-  (GA75102) [EVR55171]  0X61X37,7  </t>
  </si>
  <si>
    <t>GA751.05</t>
  </si>
  <si>
    <t>GA751.05  NTN-SNR - РЁРєС–РІ РіРµРЅРµСЂР°С‚РѕСЂР°</t>
  </si>
  <si>
    <t>586.15</t>
  </si>
  <si>
    <t xml:space="preserve">DB C-classe/Sprinter/Vito 2.0/2.2 CDI 97-   (GA75105) [EVR55170]  0X55X40,5  </t>
  </si>
  <si>
    <t>GA751.21</t>
  </si>
  <si>
    <t>GA751.21  NTN-SNR - РЁРєС–РІ РіРµРЅРµСЂР°С‚РѕСЂР°</t>
  </si>
  <si>
    <t>498.10</t>
  </si>
  <si>
    <t>MB C-class (W204), E-Class (W212), SPRINTER 2-t (W901 / W902) SPRINTER 5-t (W906), VIANO (W639), VITO (W639) 2.0CDI/2.2CDI/2.5CDI  2006-   0x49,7x45,8 (GA75121)</t>
  </si>
  <si>
    <t>GA754.02</t>
  </si>
  <si>
    <t>GA754.02  NTN-SNR - РЁРєС–РІ РіРµРЅРµСЂР°С‚РѕСЂР°</t>
  </si>
  <si>
    <t>757.45</t>
  </si>
  <si>
    <t>[EVR55470]  0X61X36,5  AUDI A4 1.9TDI 95-01  (GA75402)</t>
  </si>
  <si>
    <t>GA754.05</t>
  </si>
  <si>
    <t>GA754.05  NTN-SNR - РЁРєС–РІ РіРµРЅРµСЂР°С‚РѕСЂР°</t>
  </si>
  <si>
    <t>580.14</t>
  </si>
  <si>
    <t xml:space="preserve">AUDI/VW 1.9TDI/SDI 98-  (GA75405) [EVR55472]  0X61X42,45  </t>
  </si>
  <si>
    <t>GE352.11</t>
  </si>
  <si>
    <t>GE352.11  NTN-SNR - РћР±РІС–РґРЅРёР№ СЂРѕР»РёРє СЂРµРјРµРЅСЏ Р“Р Рњ</t>
  </si>
  <si>
    <t xml:space="preserve">FORD Escort, Mondeo 1.6-2.0 16v  92-98 (РѕР±РІРѕРґ. Р“Р Рњ) d=48mm   (GE35211) [EVR55211]  0X46,8X29,1  </t>
  </si>
  <si>
    <t>GE353.10</t>
  </si>
  <si>
    <t>GE353.10  NTN-SNR - РћР±РІС–РґРЅРёР№ СЂРѕР»РёРє СЂРµРјРµРЅСЏ Р“Р Рњ</t>
  </si>
  <si>
    <t>289.21</t>
  </si>
  <si>
    <t xml:space="preserve">OPEL Astra, Corsa, Vectra 1.4 16v -1.8i 16v  94- (РѕР±РІРѕРґ. Р“Р Рњ) d=62.7mm   (GE35310) [EVR55312]  0X62,5X25  </t>
  </si>
  <si>
    <t>GE353.13</t>
  </si>
  <si>
    <t>GE353.13  NTN-SNR - РћР±РІС–РґРЅРёР№ СЂРѕР»РёРє СЂРµРјРµРЅСЏ Р“Р Рњ</t>
  </si>
  <si>
    <t xml:space="preserve">MAZDA 323 1.7TD 94- OPEL/ISUZU 1.7D/TD  (GE35313) [EVR55317]  67X34,5X0  </t>
  </si>
  <si>
    <t>GE353.15</t>
  </si>
  <si>
    <t>GE353.15  NTN-SNR - РћР±РІС–РґРЅРёР№ СЂРѕР»РёРє СЂРµРјРµРЅСЏ Р“Р Рњ</t>
  </si>
  <si>
    <t>207.17</t>
  </si>
  <si>
    <t xml:space="preserve">DAEWOO Lanos, CHEVROLET Aveo, Lacetti 1.4i 16v, 1.6i 16v (РѕР±РІРѕРґ. Р“Р Рњ)   (GE35315) [EVR59001, T42170]  0X64X29,5  </t>
  </si>
  <si>
    <t>GE355.13</t>
  </si>
  <si>
    <t>GE355.13  NTN-SNR - РћР±РІС–РґРЅРёР№ СЂРѕР»РёРє СЂРµРјРµРЅСЏ Р“Р Рњ</t>
  </si>
  <si>
    <t>506.51</t>
  </si>
  <si>
    <t xml:space="preserve">RENAULT Kangoo 1.9D  97- (РѕР±РІРѕРґ. Р“Р Рњ)   (GE35513) [EVR55511]  0X50X42  </t>
  </si>
  <si>
    <t>GE355.35</t>
  </si>
  <si>
    <t>GE355.35  NTN-SNR - РћР±РІС–РґРЅРёР№ СЂРѕР»РёРє СЂРµРјРµРЅСЏ Р“Р Рњ</t>
  </si>
  <si>
    <t>466.17</t>
  </si>
  <si>
    <t xml:space="preserve">OPEL, RENAULT, VOLVO 1.9D/TD/DI  96- (РѕР±РІРѕРґ. Р“Р Рњ)   (GE35535) [EVR55561]  0X59,25X30,85  </t>
  </si>
  <si>
    <t>GE355.37</t>
  </si>
  <si>
    <t>GE355.37  NTN-SNR - РћР±РІsРґРЅРёР№ СЂРѕР»РёРє СЂРµРјРµРЅСЏ Р“Р Рњ</t>
  </si>
  <si>
    <t xml:space="preserve">FIAT Ducato 2.5D, 2.8JTD, PSA 2.8JTD  82-    (GE35537)   26X64X28  </t>
  </si>
  <si>
    <t>GE357.08</t>
  </si>
  <si>
    <t>GE357.08  NTN-SNR - РћР±РІС–РґРЅРёР№ СЂРѕР»РёРє СЂРµРјРµРЅСЏ Р“Р Рњ</t>
  </si>
  <si>
    <t>[EVR55420]  0X59X28,5  Audi 100,A4,A6 2,6/2,8 V6/V8 94-00  (GE35708)</t>
  </si>
  <si>
    <t>GE357.14</t>
  </si>
  <si>
    <t>GE357.14  NTN-SNR - РћР±РІС–РґРЅРёР№ СЂРѕР»РёРє СЂРµРјРµРЅСЏ Р“Р Рњ</t>
  </si>
  <si>
    <t>293.50</t>
  </si>
  <si>
    <t xml:space="preserve">VAG 1.8, 1.8T 20v, 1.9TDI  97-, Crafter 2.5TDI  06- (РѕР±РІРѕРґ. Р“Р Рњ)   (GE35714, T42044) [EVR55441]  0X28,5X29  </t>
  </si>
  <si>
    <t>GE357.15</t>
  </si>
  <si>
    <t>GE357.15  NTN-SNR - РћР±РІС–РґРЅРёР№ СЂРѕР»РёРє СЂРµРјРµРЅСЏ Р“Р Рњ</t>
  </si>
  <si>
    <t>510.46</t>
  </si>
  <si>
    <t xml:space="preserve">VAG 1.9TDI/SDI  96- (РїРѕ в„– ch. РѕР±РІРѕРґ. Р“Р Рњ)   (GE35715) [EVR55433]  0X80X47,2  </t>
  </si>
  <si>
    <t>GE357.24</t>
  </si>
  <si>
    <t>GE357.24  NTN-SNR - РћР±РІС–РґРЅРёР№ СЂРѕР»РёРє СЂРµРјРµРЅСЏ Р“Р Рњ</t>
  </si>
  <si>
    <t xml:space="preserve">VAG 1.4, 1.4 16v, 1.6, 1.6 16v  99- (РѕР±РІРѕРґ. Р“Р Рњ)   (GE35724)  [EVR55458] 0X28,5X29  </t>
  </si>
  <si>
    <t>GE357.26</t>
  </si>
  <si>
    <t>GE357.26  NTN-SNR - РћР±РІС–РґРЅРёР№ СЂРѕР»РёРє СЂРµРјРµРЅСЏ Р“Р Рњ</t>
  </si>
  <si>
    <t>265.87</t>
  </si>
  <si>
    <t xml:space="preserve">VAG 1.4TDI, 1.9TDI  95- (РѕР±РІРѕРґ. Р“Р Рњ)   (GE35726) [EVR55465]  28,3X34X34  </t>
  </si>
  <si>
    <t>GE357.27</t>
  </si>
  <si>
    <t>GE357.27  NTN-SNR - РћР±РІС–РґРЅРёР№ СЂРѕР»РёРє СЂРµРјРµРЅСЏ Р“Р Рњ</t>
  </si>
  <si>
    <t>504.11</t>
  </si>
  <si>
    <t xml:space="preserve">SEAT CORDOBA, IBIZA 1.4i 16V 96-99 (РѕР±РІРѕРґ. Р“Р Рњ)   (GE35727) [EVR55431]  0X56X26,1  </t>
  </si>
  <si>
    <t>GE357.29</t>
  </si>
  <si>
    <t>GE357.29  NTN-SNR - РћР±РІС–РґРЅРёР№ СЂРѕР»РёРє СЂРµРјРµРЅСЏ Р“Р Рњ</t>
  </si>
  <si>
    <t>327.49</t>
  </si>
  <si>
    <t xml:space="preserve">VAG 1.4TDI, 1.9TDI, 2.0TDI  02- (РѕР±РІРѕРґ. Р“Р Рњ)   (GE35729) [EVR55735]  0X40X36,5  </t>
  </si>
  <si>
    <t>GE357.32</t>
  </si>
  <si>
    <t>GE357.32  NTN-SNR - РћР±РІС–РґРЅРёР№ СЂРѕР»РёРє СЂРµРјРµРЅСЏ Р“Р Рњ</t>
  </si>
  <si>
    <t>169.75</t>
  </si>
  <si>
    <t xml:space="preserve">AUDI A4,A6 1.8, 1.8T, 2.0  96- (РѕР±РІРѕРґ. Р“Р Рњ)   (GE35732) [EVR55730]  0X28,5X27  </t>
  </si>
  <si>
    <t>GE358.27</t>
  </si>
  <si>
    <t>GE358.27  NTN-SNR - РћР±РІС–РґРЅРёР№ СЂРѕР»РёРє СЂРµРјРµРЅСЏ Р“Р Рњ</t>
  </si>
  <si>
    <t xml:space="preserve">FIAT 1.9D/JTD  00- (РѕР±РІРѕРґ. Р“Р Рњ)   (GE35827) [EVR55898]  0X53X29  </t>
  </si>
  <si>
    <t>GE359.09</t>
  </si>
  <si>
    <t>GE359.09  NTN-SNR - РћР±РІС–РґРЅРёР№ СЂРѕР»РёРє СЂРµРјРµРЅСЏ Р“Р Рњ</t>
  </si>
  <si>
    <t xml:space="preserve">CITROEN/FIAT/PEUGEOT 1.9D/TD  93- (РѕР±РІРѕРґ. Р“Р Рњ)   (GE35909) [EVR56625, T42069] 0X60X34  </t>
  </si>
  <si>
    <t>GE359.23</t>
  </si>
  <si>
    <t>GE359.23  NTN-SNR - РћР±РІС–РґРЅРёР№ СЂРѕР»РёРє СЂРµРјРµРЅСЏ Р“Р Рњ</t>
  </si>
  <si>
    <t xml:space="preserve">PSA 1.4HDi, 1.6HDi  02- (РѕР±РІРѕРґ. Р“Р Рњ)   (GE35923) [EVR55954]  0X60X30  </t>
  </si>
  <si>
    <t>GE368.17</t>
  </si>
  <si>
    <t>GE368.17  NTN-SNR - РћР±РІС–РґРЅРёР№ СЂРѕР»РёРє СЂРµРјРµРЅСЏ Р“Р Рњ</t>
  </si>
  <si>
    <t>570.36</t>
  </si>
  <si>
    <t xml:space="preserve">NISSAN PRIMERA 2.0TD  96-  (GE36817) [EVR56815]  0X60X29,7  </t>
  </si>
  <si>
    <t>GE369.14</t>
  </si>
  <si>
    <t>GE369.14  NTN-SNR - РћР±РІС–РґРЅРёР№ СЂРѕР»РёРє СЂРµРјРµРЅСЏ Р“Р Рњ</t>
  </si>
  <si>
    <t>341.22</t>
  </si>
  <si>
    <t>[EVR56902]  0X57,5X29  TOYOTA 1.8 - 2.2 (16v)  87-01 (РѕР±РІРѕРґ. Р“Р Рњ)   (GE36914)</t>
  </si>
  <si>
    <t>GE370.15</t>
  </si>
  <si>
    <t>GE370.15  NTN-SNR - РћР±РІС–РґРЅРёР№ СЂРѕР»РёРє СЂРµРјРµРЅСЏ Р“Р Рњ</t>
  </si>
  <si>
    <t>489.52</t>
  </si>
  <si>
    <t xml:space="preserve">MAZDA 6  2.0DI 02-  (GE37015) [EVR57047]  0X58X33  </t>
  </si>
  <si>
    <t>GE370.18</t>
  </si>
  <si>
    <t>GE370.18  NTN-SNR - РћР±РІС–РґРЅРёР№ СЂРѕР»РёРє СЂРµРјРµРЅСЏ Р“Р Рњ</t>
  </si>
  <si>
    <t xml:space="preserve">Hyundai, Kia 1.5CRDi, 2.0CRDi, 2.2CRDi 04.01-  (GE37018) [EVR58409]  58X32X34   </t>
  </si>
  <si>
    <t>GE373.03</t>
  </si>
  <si>
    <t>GE373.03  NTN-SNR - РћР±РІС–РґРЅРёР№ СЂРѕР»РёРє СЂРµРјРµРЅСЏ Р“Р Рњ</t>
  </si>
  <si>
    <t>322.00</t>
  </si>
  <si>
    <t xml:space="preserve">HYUNDAI, MITSUBISHI 1.6 - 2.4  90- (РѕР±РІРѕРґ. Р“Р Рњ)   (GE37303) [EVR58400]  0X60X39,5  </t>
  </si>
  <si>
    <t>GE373.11</t>
  </si>
  <si>
    <t>GE373.11  NTN-SNR - РћР±РІС–РґРЅРёР№ СЂРѕР»РёРє СЂРµРјРµРЅСЏ Р“Р Рњ</t>
  </si>
  <si>
    <t>341.56</t>
  </si>
  <si>
    <t xml:space="preserve">Mitsubishi Galant/Colt/Lancer 1.8D/TD (4D65/4D65T)  84-  (GE37311) [EVR57305]  0X60X39  </t>
  </si>
  <si>
    <t>GE381.00</t>
  </si>
  <si>
    <t>GE381.00  NTN-SNR - РћР±РІС–РґРЅРёР№ СЂРѕР»РёРє СЂРµРјРµРЅСЏ Р“Р Рњ</t>
  </si>
  <si>
    <t>373.83</t>
  </si>
  <si>
    <t xml:space="preserve">SUBARU 1.6 - 2.5  92- (РѕР±РІРѕРґ. Р“Р Рњ)   (GE38100) [EVR58102, T42024]  0X60X35,2  </t>
  </si>
  <si>
    <t>GE381.01</t>
  </si>
  <si>
    <t>GE381.01  NTN-SNR - РћР±РІС–РґРЅРёР№ СЂРѕР»РёРє СЂРµРјРµРЅСЏ Р“Р Рњ</t>
  </si>
  <si>
    <t>366.28</t>
  </si>
  <si>
    <t xml:space="preserve">SUBARU 1.6 - 2.5  92- (РѕР±РІРѕРґ. Р“Р Рњ, РїРѕ 2 С€С‚.)   (GE38101) [EVR58101]  60X35X35  </t>
  </si>
  <si>
    <t>GE381.02</t>
  </si>
  <si>
    <t>GE381.02  NTN-SNR - РћР±РІС–РґРЅРёР№ СЂРѕР»РёРє СЂРµРјРµРЅСЏ Р“Р Рњ</t>
  </si>
  <si>
    <t>297.80</t>
  </si>
  <si>
    <t xml:space="preserve">SUBARU  98- (РѕР±РІРѕРґ. Р“Р Рњ)   (GE38102) [EVR58109]  0X60X33,5  </t>
  </si>
  <si>
    <t>GT352.09</t>
  </si>
  <si>
    <t>GT352.09  NTN-SNR - РќР°С‚СЏР¶РЅРёР№ СЂРѕР»РёРє СЂРµРјРµРЅСЏ Р“Р Рњ</t>
  </si>
  <si>
    <t>587.01</t>
  </si>
  <si>
    <t xml:space="preserve">FORD Sierra, Scorpio, Transit 1.3-2.0 OHC 82-93 (РЅР°С‚СЏР¶. Р“Р Рњ)   (GT35209) [EVR55206, T41142]  0X47X34,5  </t>
  </si>
  <si>
    <t>GT353.11</t>
  </si>
  <si>
    <t>GT353.11  NTN-SNR - РќР°С‚СЏР¶РЅРёР№ СЂРѕР»РёРє СЂРµРјРµРЅСЏ Р“Р Рњ</t>
  </si>
  <si>
    <t>467.89</t>
  </si>
  <si>
    <t xml:space="preserve">Daewoo Lanos 1.5 8V 97-|  OPEL ASTRA,VECTRA,CORSA 1.2-1.6  88- (РЅР°С‚СЏР¶. Р“Р Рњ)   (GT35311) [EVR55302]  0X59X30  </t>
  </si>
  <si>
    <t>GT353.15</t>
  </si>
  <si>
    <t>GT353.15  NTN-SNR - РќР°С‚СЏР¶РЅРёР№ СЂРѕР»РёРє СЂРµРјРµРЅСЏ Р“Р Рњ</t>
  </si>
  <si>
    <t>452.96</t>
  </si>
  <si>
    <t xml:space="preserve">OPEL 1.7D/TD/TDS  92-01 (РґРІРёРі. ISUZU,  РЅР°С‚СЏР¶. Р“Р Рњ)   (GT35315) [EVR55316]  0X65X34,3  </t>
  </si>
  <si>
    <t>GT353.16</t>
  </si>
  <si>
    <t>GT353.16  NTN-SNR - РќР°С‚СЏР¶РЅРёР№ СЂРѕР»РёРє СЂРµРјРµРЅСЏ Р“Р Рњ</t>
  </si>
  <si>
    <t>484.88</t>
  </si>
  <si>
    <t>OPEL Astra, Vectra, Omega 1.8/2.0 16V, Chevtolet Lacetti 1.8, Daewoo Nubira 1.8/2.0 91- (РЅР°С‚СЏР¶. Р“Р Рњ) [EVR55306]   (GT35316)</t>
  </si>
  <si>
    <t>GT353.17</t>
  </si>
  <si>
    <t>GT353.17  NTN-SNR - РќР°С‚СЏР¶РЅРёР№ СЂРѕР»РёРє СЂРµРјРµРЅСЏ Р“Р Рњ</t>
  </si>
  <si>
    <t xml:space="preserve">OPEL Astra, Corsa, Vectra, Zafira 1.4 16v -1.8 16v  95- (РЅР°С‚СЏР¶. Р“Р Рњ)   (GT35317) [EVR55327]  60X60X22  </t>
  </si>
  <si>
    <t>GT353.18</t>
  </si>
  <si>
    <t>GT353.18  NTN-SNR - РќР°С‚СЏР¶РЅРёР№ СЂРѕР»РёРє СЂРµРјРµРЅСЏ Р“Р Рњ</t>
  </si>
  <si>
    <t>643.48</t>
  </si>
  <si>
    <t xml:space="preserve">OPEL ASTRA,VECTRA,OMEGA 1.8,2.0  88-99 (РЅР°С‚СЏР¶. Р“Р Рњ)   (GT35318) [EVR55315]  0X59X33,5  </t>
  </si>
  <si>
    <t>GT353.28</t>
  </si>
  <si>
    <t>GT353.28  NTN-SNR - РќР°С‚СЏР¶РЅРёР№ СЂРѕР»РёРє СЂРµРјРµРЅСЏ Р“Р Рњ</t>
  </si>
  <si>
    <t xml:space="preserve">DAEWOO Tico, Matiz 0.8, 1.0  95- (РЅР°С‚СЏР¶. Р“Р Рњ)   (GT35328) [EVR59003]  0X42X28  </t>
  </si>
  <si>
    <t>GT355.22</t>
  </si>
  <si>
    <t>GT355.22  NTN-SNR - РќР°С‚СЏР¶РЅРёР№ СЂРѕР»РёРє СЂРµРјРµРЅСЏ Р“Р Рњ</t>
  </si>
  <si>
    <t>404.04</t>
  </si>
  <si>
    <t xml:space="preserve">RENAULT MEGANE CLIO II  19 1.4/1.6 92-  (GT35522) [EVR55538]  0X55X22  </t>
  </si>
  <si>
    <t>GT355.36</t>
  </si>
  <si>
    <t>GT355.36  NTN-SNR - РќР°С‚СЏР¶РЅРёР№ СЂРѕР»РёРє СЂРµРјРµРЅСЏ Р“Р Рњ</t>
  </si>
  <si>
    <t>637.99</t>
  </si>
  <si>
    <t xml:space="preserve">RENAULT 1.8 16v, 2.0 16v  99 - (РЅР°С‚СЏР¶. Р“Р Рњ)   (GT35536) [EVR55555]  0X65,5X32  </t>
  </si>
  <si>
    <t>GT355.38</t>
  </si>
  <si>
    <t>GT355.38  NTN-SNR - РќР°С‚СЏР¶РЅРёР№ СЂРѕР»РёРє СЂРµРјРµРЅСЏ Р“Р Рњ</t>
  </si>
  <si>
    <t>1046.32</t>
  </si>
  <si>
    <t xml:space="preserve">RENAULT Espace, Laguna, Master 2.2DCI  00- (РЅР°С‚СЏР¶. Р“Р Рњ)   (GT35538) [EVR55582]  70X32,2X32,2  </t>
  </si>
  <si>
    <t>GT355.39</t>
  </si>
  <si>
    <t>GT355.39  NTN-SNR - РќР°С‚СЏР¶РЅРёР№ СЂРѕР»РёРє СЂРµРјРµРЅСЏ Р“Р Рњ</t>
  </si>
  <si>
    <t>657.55</t>
  </si>
  <si>
    <t xml:space="preserve">DACIA, RENAULT, NISSAN 1.5 dCi  01- (РЅР°С‚СЏР¶. Р“Р Рњ)   (GT35539) [EVR55581]  0X60X32  </t>
  </si>
  <si>
    <t>GT355.44</t>
  </si>
  <si>
    <t>GT355.44  NTN-SNR - РќР°С‚СЏР¶РЅРёР№ СЂРѕР»РёРє СЂРµРјРµРЅСЏ Р“Р Рњ</t>
  </si>
  <si>
    <t>415.20</t>
  </si>
  <si>
    <t xml:space="preserve">RENAULT 1.6, 1.6 16v  02- (РЅР°С‚СЏР¶. Р“Р Рњ)   (GT35544) [EVR55519]  0X65,8X32  </t>
  </si>
  <si>
    <t>GT357.02</t>
  </si>
  <si>
    <t>GT357.02  NTN-SNR - РќР°С‚СЏР¶РЅРёР№ СЂРѕР»РёРє СЂРµРјРµРЅСЏ Р“Р Рњ</t>
  </si>
  <si>
    <t>259.52</t>
  </si>
  <si>
    <t xml:space="preserve">VW/AUDI 1.6D/TD, 1.9D/TD 81- (РЅР°С‚СЏР¶. Р“Р Рњ)   (GT35702) [EVR55405]  0X72,1X30  </t>
  </si>
  <si>
    <t>GT357.13</t>
  </si>
  <si>
    <t>GT357.13  NTN-SNR - РќР°С‚СЏР¶РЅРёР№ СЂРѕР»РёРє СЂРµРјРµРЅСЏ Р“Р Рњ</t>
  </si>
  <si>
    <t>990.53</t>
  </si>
  <si>
    <t xml:space="preserve">VAG 1.9TDI/SDI  96-06 (РЅР°С‚СЏР¶. Р“Р Рњ)   (GT35713) [EVR55491]  0X67X29,8  </t>
  </si>
  <si>
    <t>GT357.20</t>
  </si>
  <si>
    <t>GT357.20  NTN-SNR - РќР°С‚СЏР¶РЅРёР№ СЂРѕР»РёРє СЂРµРјРµРЅСЏ Р“Р Рњ</t>
  </si>
  <si>
    <t>773.24</t>
  </si>
  <si>
    <t xml:space="preserve">AUDI A4/A6 VW PASSAT 1.8/1.8T 20V  94- (РЅР°С‚СЏР¶. Р“Р Рњ, ZZ = 153)   (GT35720) [EVR55440]  0X72X32,6  </t>
  </si>
  <si>
    <t>GT357.25</t>
  </si>
  <si>
    <t>GT357.25  NTN-SNR - РќР°С‚СЏР¶РЅРёР№ СЂРѕР»РёРє СЂРµРјРµРЅСЏ Р“Р Рњ</t>
  </si>
  <si>
    <t>527.45</t>
  </si>
  <si>
    <t xml:space="preserve">VAG 1.4, 1.4 16v, 1.6, 1.6 16v  99- (РЅР°С‚СЏР¶. Р“Р Рњ)   (GT35725) [EVR55456]  0X60X24,2  </t>
  </si>
  <si>
    <t>GT357.27</t>
  </si>
  <si>
    <t>GT357.27  NTN-SNR - РќР°С‚СЏР¶РЅРёР№ СЂРѕР»РёРє СЂРµРјРµРЅСЏ Р“Р Рњ</t>
  </si>
  <si>
    <t>574.14</t>
  </si>
  <si>
    <t xml:space="preserve">AUDI/VW/SEAT/SKODA 1.6, 2.0 96- (РЅР°С‚СЏР¶. Р“Р Рњ)   (GT35727) [EVR55443]  0X72X29,17  </t>
  </si>
  <si>
    <t>GT357.31</t>
  </si>
  <si>
    <t>GT357.31  NTN-SNR - РќР°С‚СЏР¶РЅРёР№ СЂРѕР»РёРє СЂРµРјРµРЅСЏ Р“Р Рњ</t>
  </si>
  <si>
    <t>723.12</t>
  </si>
  <si>
    <t xml:space="preserve">VAG 2.5TDI  97-05 (РЅР°С‚СЏР¶. Р“Р Рњ)   (GT35731) [EVR55703]  0X72X34  </t>
  </si>
  <si>
    <t>GT357.33</t>
  </si>
  <si>
    <t>GT357.33  NTN-SNR - РќР°С‚СЏР¶РЅРёР№ СЂРѕР»РёРє СЂРµРјРµРЅСЏ Р“Р Рњ</t>
  </si>
  <si>
    <t>633.69</t>
  </si>
  <si>
    <t xml:space="preserve">VW LT, T4 2.4D, 2.5TDI  90- (РЅР°С‚СЏР¶. Р“Р Рњ)   (GT35733) [EVR55446]  0X73X27,2  </t>
  </si>
  <si>
    <t>GT357.34</t>
  </si>
  <si>
    <t>GT357.34  NTN-SNR - РќР°С‚СЏР¶РЅРёР№ СЂРѕР»РёРє СЂРµРјРµРЅСЏ Р“Р Рњ</t>
  </si>
  <si>
    <t>676.26</t>
  </si>
  <si>
    <t xml:space="preserve">VAG 1.8/1.8T 20V  96- (РЅР°С‚СЏР¶. Р“Р Рњ, Y-125 001--)   (GT35734) [EVR55442]  0X72X24,5  </t>
  </si>
  <si>
    <t>GT357.37</t>
  </si>
  <si>
    <t>GT357.37  NTN-SNR - РќР°С‚СЏР¶РЅРёР№ СЂРѕР»РёРє СЂРµРјРµРЅСЏ Р“Р Рњ</t>
  </si>
  <si>
    <t>782.16</t>
  </si>
  <si>
    <t xml:space="preserve">VAG 1.4TDI, 1.9TDI  95-06 (РЅР°С‚СЏР¶. Р“Р Рњ)   (GT35737) [EVR55494]  0X72X35  </t>
  </si>
  <si>
    <t>GT357.43</t>
  </si>
  <si>
    <t>GT357.43  NTN-SNR - РњРµС…Р°РЅС–Р·Рј РЅР°С‚СЏРіСѓ СЂРµРјРµРЅСЏ Р“Р Рњ</t>
  </si>
  <si>
    <t>914.50</t>
  </si>
  <si>
    <t xml:space="preserve">VAG 1.8, 1.8T, 1.8T 20v, 2.0  95- (СѓСЃРїРѕРє. Р“Р Рњ)   (GT35743) [EVR55712]  0X28,3X27  </t>
  </si>
  <si>
    <t>GT357.45</t>
  </si>
  <si>
    <t>GT357.45  NTN-SNR - РњРµС…Р°РЅС–Р·Рј РЅР°С‚СЏРіСѓ СЂРµРјРµРЅСЏ Р“Р Рњ</t>
  </si>
  <si>
    <t>896.13</t>
  </si>
  <si>
    <t xml:space="preserve">VAG 1.8, 1.8T, 1.8T 20v  97- (РЅР°С‚СЏР¶. СѓСЃРїРѕРє. Р“Р Рњ)   (GT35745) [EVR55709]  </t>
  </si>
  <si>
    <t>GT357.47</t>
  </si>
  <si>
    <t>GT357.47  NTN-SNR - РќР°С‚СЏР¶РЅРёР№ СЂРѕР»РёРє СЂРµРјРµРЅСЏ Р“Р Рњ</t>
  </si>
  <si>
    <t>772.89</t>
  </si>
  <si>
    <t xml:space="preserve">VAG 1.9TDI  00-05 (РЅР°С‚СЏР¶. Р“Р Рњ)   (GT35747) [EVR55489]  0X72X35  </t>
  </si>
  <si>
    <t>GT357.51</t>
  </si>
  <si>
    <t>GT357.51  NTN-SNR - РќР°С‚СЏР¶РЅРёР№ СЂРѕР»РёРє СЂРµРјРµРЅСЏ Р“Р Рњ</t>
  </si>
  <si>
    <t>1008.04</t>
  </si>
  <si>
    <t xml:space="preserve">VAG 1.9TDI  00- (РЅР°С‚СЏР¶. Р“Р Рњ)   (GT35751) [EVR55739]  0X78,5X35,2  </t>
  </si>
  <si>
    <t>GT357.60</t>
  </si>
  <si>
    <t>GT357.60  NTN-SNR - РњРµС…Р°РЅС–Р·Рј РЅР°С‚СЏРіСѓ СЂРµРјРµРЅСЏ Р“Р Рњ</t>
  </si>
  <si>
    <t>850.65</t>
  </si>
  <si>
    <t xml:space="preserve">AUDI 3,7/4,2 [eng:AQG, BCY-BRV A6Q, A8Q] 99-05  (GT35760) [EVR55728]  </t>
  </si>
  <si>
    <t>GT357.62</t>
  </si>
  <si>
    <t>GT357.62  NTN-SNR - РњРµС…Р°РЅС–Р·Рј РЅР°С‚СЏРіСѓ СЂРµРјРµРЅСЏ Р“Р Рњ</t>
  </si>
  <si>
    <t>553.37</t>
  </si>
  <si>
    <t xml:space="preserve">AUDI A4,A6 3.0 '00- (РЅР°С‚СЏР¶. Р“Р Рњ)   (GT35762) [EVR55732]  </t>
  </si>
  <si>
    <t>GT357.65</t>
  </si>
  <si>
    <t>GT357.65  NTN-SNR - РќР°С‚СЏР¶РЅРёР№ СЂРѕР»РёРє СЂРµРјРµРЅСЏ Р“Р Рњ</t>
  </si>
  <si>
    <t>808.60</t>
  </si>
  <si>
    <t xml:space="preserve">AUDI/SEAT/SKODA/VW  1.8T  96-  (GT35765) [EVR55765]  0X72X31  </t>
  </si>
  <si>
    <t>GT358.30</t>
  </si>
  <si>
    <t>GT358.30  NTN-SNR - РќР°С‚СЏР¶РЅРёР№ СЂРѕР»РёРє СЂРµРјРµРЅСЏ Р“Р Рњ</t>
  </si>
  <si>
    <t xml:space="preserve">FIAT 1.9D/TD/JTD, 2.4D/TD/JTD  96- (РЅР°С‚СЏР¶. Р“Р Рњ)   (GT35830) [EVR55844]  0X64,6X30  </t>
  </si>
  <si>
    <t>GT358.40</t>
  </si>
  <si>
    <t>GT358.40  NTN-SNR - РќР°С‚СЏР¶РЅРёР№ СЂРѕР»РёРє СЂРµРјРµРЅСЏ Р“Р Рњ</t>
  </si>
  <si>
    <t>496.73</t>
  </si>
  <si>
    <t xml:space="preserve">FIAT 1.2, 1.4  02- (РЅР°С‚СЏР¶. Р“Р Рњ)   (GT35840) [EVR56015]  </t>
  </si>
  <si>
    <t>GT359.08</t>
  </si>
  <si>
    <t>GT359.08  NTN-SNR - РќР°С‚СЏР¶РЅРёР№ СЂРѕР»РёРє СЂРµРјРµРЅСЏ Р“Р Рњ</t>
  </si>
  <si>
    <t>454.67</t>
  </si>
  <si>
    <t xml:space="preserve">CITROEN/FIAT/PEUGEOT 1.9D/TD  93- (РЅР°С‚СЏР¶. Р“Р Рњ)   (GT35908, T41138) [EVR56622]   60X34X0  </t>
  </si>
  <si>
    <t>GT359.17</t>
  </si>
  <si>
    <t>GT359.17  NTN-SNR - РќР°С‚СЏР¶РЅРёР№ СЂРѕР»РёРє СЂРµРјРµРЅСЏ Р“Р Рњ</t>
  </si>
  <si>
    <t>327.15</t>
  </si>
  <si>
    <t xml:space="preserve">PSA 1,9D 2.0HDi/2.2HDi  99- FIAT 2.0JTD, (РЅР°С‚СЏР¶. Р“Р Рњ)   (GT35917) [EVR55921]  0X60X30  </t>
  </si>
  <si>
    <t>GT359.22</t>
  </si>
  <si>
    <t>GT359.22  NTN-SNR - РќР°С‚СЏР¶РЅРёР№ СЂРѕР»РёРє СЂРµРјРµРЅСЏ Р“Р Рњ</t>
  </si>
  <si>
    <t>595.42</t>
  </si>
  <si>
    <t xml:space="preserve">PSA 1.1, 1.4  96- (РЅР°С‚СЏР¶. Р“Р Рњ)   (GT35922) [EVR55958]  0X60X25  </t>
  </si>
  <si>
    <t>GT359.24</t>
  </si>
  <si>
    <t>GT359.24  NTN-SNR - РќР°С‚СЏР¶РЅРёР№ СЂРѕР»РёРє СЂРµРјРµРЅСЏ Р“Р Рњ</t>
  </si>
  <si>
    <t>490.03</t>
  </si>
  <si>
    <t xml:space="preserve">PSA 1.4HDi, 1.6HDi  02- (РЅР°С‚СЏР¶. Р“Р Рњ)   (GT35924) [EVR55953]  0X60X29  </t>
  </si>
  <si>
    <t>GT359.33</t>
  </si>
  <si>
    <t>GT359.33  NTN-SNR - РќР°С‚СЏР¶РЅРёР№ СЂРѕР»РёРє СЂРµРјРµРЅСЏ Р“Р Рњ</t>
  </si>
  <si>
    <t>412.62</t>
  </si>
  <si>
    <t xml:space="preserve">FIAT 2.0D, FORD 2.0TDCi, PSA 2.0HDi  04- (РЅР°С‚СЏР¶. Р“Р Рњ)   (GT35933) [EVR55973]  0X60X29  </t>
  </si>
  <si>
    <t>GT365.05</t>
  </si>
  <si>
    <t>GT365.05  NTN-SNR - РќР°С‚СЏР¶РЅРёР№ СЂРѕР»РёРє СЂРµРјРµРЅСЏ Р“Р Рњ</t>
  </si>
  <si>
    <t xml:space="preserve">LT 2,5TDi 96- [AHD,AGX,APA]| T4 98-  (GT36505) [EVR55478]  0X63X24,1  </t>
  </si>
  <si>
    <t>GT368.03</t>
  </si>
  <si>
    <t>GT368.03  NTN-SNR - РќР°С‚СЏР¶РЅРёР№ СЂРѕР»РёРє СЂРµРјРµРЅСЏ Р“Р Рњ</t>
  </si>
  <si>
    <t xml:space="preserve">NISSAN PATROL 2.8D/TD, 4.2D/TD 88-00 (РЅР°С‚СЏР¶. Р“Р Рњ)   (GT36803) [EVR56821]  60X48,5X42,5  </t>
  </si>
  <si>
    <t>GT368.07</t>
  </si>
  <si>
    <t>GT368.07  NTN-SNR - РќР°С‚СЏР¶РЅРёР№ СЂРѕР»РёРє СЂРµРјРµРЅСЏ Р“Р Рњ</t>
  </si>
  <si>
    <t>235.66</t>
  </si>
  <si>
    <t xml:space="preserve">NISSAN Sunny,Primera (CD17,CD20) 86-00  (GT36807) [EVR56812]  0X60X25,4  </t>
  </si>
  <si>
    <t>GT369.01</t>
  </si>
  <si>
    <t>GT369.01  NTN-SNR - РќР°С‚СЏР¶РЅРёР№ СЂРѕР»РёРє СЂРµРјРµРЅСЏ Р“Р Рњ</t>
  </si>
  <si>
    <t>515.95</t>
  </si>
  <si>
    <t xml:space="preserve">TOYOTA HIACE 2.4D/TD, 2.8D 89- (РЅР°С‚СЏР¶. Р“Р Рњ)   (GT36901) [EVR56928]  62X30,5X0  </t>
  </si>
  <si>
    <t>GT369.05</t>
  </si>
  <si>
    <t>GT369.05  NTN-SNR - РќР°С‚СЏР¶РЅРёР№ СЂРѕР»РёРє СЂРµРјРµРЅСЏ Р“Р Рњ</t>
  </si>
  <si>
    <t>337.79</t>
  </si>
  <si>
    <t xml:space="preserve">TOYOTA COROLLA 1.3 92-97, 1.4 97-00 (РЅР°С‚СЏР¶. Р“Р Рњ)   (GT36905) [EVR56920]  56X42,3X46  </t>
  </si>
  <si>
    <t>GT369.12</t>
  </si>
  <si>
    <t>GT369.12  NTN-SNR - РќР°С‚СЏР¶РЅРёР№ СЂРѕР»РёРє СЂРµРјРµРЅСЏ Р“Р Рњ</t>
  </si>
  <si>
    <t>537.23</t>
  </si>
  <si>
    <t xml:space="preserve">TOYOTA HI-ACE /HILUX   2.5D-4D/3,0D    01-  (GT36912) [EVR56939]  0X62X28,7  </t>
  </si>
  <si>
    <t>GT369.36</t>
  </si>
  <si>
    <t>GT369.36  NTN-SNR - РњРµС…Р°РЅС–Р·Рј РЅР°С‚СЏРіСѓ СЂРµРјРµРЅСЏ Р“Р Рњ</t>
  </si>
  <si>
    <t xml:space="preserve">TOYOTA D4D 3.0TDI 1KDFTV HILUX  01-, LAND CRUISER 2.5D4d/3.0TDi/3.0D-4D  (GT36936) [EVR56969]  </t>
  </si>
  <si>
    <t>GT370.00</t>
  </si>
  <si>
    <t>GT370.00  NTN-SNR - РќР°С‚СЏР¶РЅРёР№ СЂРѕР»РёРє СЂРµРјРµРЅСЏ Р“Р Рњ</t>
  </si>
  <si>
    <t>225.53</t>
  </si>
  <si>
    <t xml:space="preserve">MAZDA 626,E2000,E2200 2.0 88-94, KIA Clarus,Sportage 2.0 16v  87-04 (РЅР°С‚СЏР¶. Р“Р Рњ)   (GT37000) [EVR57013]  0X52X37  </t>
  </si>
  <si>
    <t>GT370.04</t>
  </si>
  <si>
    <t>GT370.04  NTN-SNR - РќР°С‚СЏР¶РЅРёР№ СЂРѕР»РёРє СЂРµРјРµРЅСЏ Р“Р Рњ</t>
  </si>
  <si>
    <t>415.54</t>
  </si>
  <si>
    <t xml:space="preserve">MAZDA 626 2.0D 88-98 (РЅР°С‚СЏР¶. Р“Р Рњ)   (GT37004) [EVR57019]  0X58X39  </t>
  </si>
  <si>
    <t>GT370.10</t>
  </si>
  <si>
    <t>GT370.10  NTN-SNR - РќР°С‚СЏР¶РЅРёР№ СЂРѕР»РёРє СЂРµРјРµРЅСЏ Р“Р Рњ</t>
  </si>
  <si>
    <t xml:space="preserve">KIA Carens 1.6, Rio 1.5,  Shuma 1.5 16v  00-06, MAZDA 323 1.5/1.5 16v  98-04 (РЅР°С‚СЏР¶. Р“Р Рњ)   (GT37010) [EVR57002]  0X52X31  </t>
  </si>
  <si>
    <t>GT370.15</t>
  </si>
  <si>
    <t>GT370.15  NTN-SNR - РќР°С‚СЏР¶РЅРёР№ СЂРѕР»РёРє СЂРµРјРµРЅСЏ Р“Р Рњ</t>
  </si>
  <si>
    <t>496.38</t>
  </si>
  <si>
    <t xml:space="preserve">MAZDA 323/626 2.0TD/TurboDI  98-   (GT37015) [EVR57034]  0X58X30  </t>
  </si>
  <si>
    <t>GT370.28</t>
  </si>
  <si>
    <t>GT370.28  NTN-SNR - РњРµС…Р°РЅС–Р·Рј РЅР°С‚СЏРіСѓ СЂРµРјРµРЅСЏ Р“Р Рњ</t>
  </si>
  <si>
    <t xml:space="preserve">MAZDA 626 GF 2.0 TDVI 16V (RFT) 04-  (GT37028)  [EVR57061]   0X64,7X28,1  </t>
  </si>
  <si>
    <t>GT373.00</t>
  </si>
  <si>
    <t>GT373.00  NTN-SNR - РќР°С‚СЏР¶РЅРёР№ СЂРѕР»РёРє СЂРµРјРµРЅСЏ Р“Р Рњ</t>
  </si>
  <si>
    <t xml:space="preserve">HYUNDAI, KIA, MITSUBISHI 2.5D/TD  90- (РЅР°С‚СЏР¶. Р“Р Рњ)   (GT37300) [EVR57313]  0X60X33,15  </t>
  </si>
  <si>
    <t>GT373.04</t>
  </si>
  <si>
    <t>GT373.04  NTN-SNR - РќР°С‚СЏР¶РЅРёР№ СЂРѕР»РёРє СЂРµРјРµРЅСЏ Р“Р Рњ</t>
  </si>
  <si>
    <t>300.71</t>
  </si>
  <si>
    <t xml:space="preserve">HYUNDAI, KIA, MITSUBISHI 2.5D/TD  90- (РЅР°С‚СЏР¶. Р“Р Рњ, BS)   (GT37304) [EVR57314]  0X58X28,5  </t>
  </si>
  <si>
    <t>GT373.23</t>
  </si>
  <si>
    <t>GT373.23  NTN-SNR - РќР°С‚СЏР¶РЅРёР№ СЂРѕР»РёРє СЂРµРјРµРЅСЏ Р“Р Рњ</t>
  </si>
  <si>
    <t xml:space="preserve">MITSUBISHI 1.6, 1.8 (16v)  96-02 (РЅР°С‚СЏР¶. Р“Р Рњ)   (GT37323) [EVR57312]  0X55X18,5  </t>
  </si>
  <si>
    <t>GT373.24</t>
  </si>
  <si>
    <t>GT373.24  NTN-SNR - РќР°С‚СЏР¶РЅРёР№ СЂРѕР»РёРє СЂРµРјРµРЅСЏ Р“Р Рњ</t>
  </si>
  <si>
    <t>488.32</t>
  </si>
  <si>
    <t xml:space="preserve">MITSUBISHI  96- (РЅР°С‚СЏР¶. Р“Р Рњ)   (GT37324) [EVR57329]  0X57X31  </t>
  </si>
  <si>
    <t>GT373.30</t>
  </si>
  <si>
    <t>GT373.30  NTN-SNR - РњРµС…Р°РЅС–Р·Рј РЅР°С‚СЏРіСѓ СЂРµРјРµРЅСЏ Р“Р Рњ</t>
  </si>
  <si>
    <t>1050.95</t>
  </si>
  <si>
    <t xml:space="preserve">MITSUBISHI L200 4WD KB4T 2.5D 2000-  (GT37330) [EVR57344]  </t>
  </si>
  <si>
    <t>GT373.32</t>
  </si>
  <si>
    <t>GT373.32  NTN-SNR - РќР°С‚СЏР¶РЅРёР№ СЂРѕР»РёРє СЂРµРјРµРЅСЏ Р“Р Рњ</t>
  </si>
  <si>
    <t>353.92</t>
  </si>
  <si>
    <t xml:space="preserve">MITSUBISHI Outlander 2.4i 4WD 16V 2003-2008  (GT37332) [EVR57356]  0X66X22  </t>
  </si>
  <si>
    <t>GT373.35</t>
  </si>
  <si>
    <t>GT373.35  NTN-SNR - РћР±РІС–РґРЅРёР№ СЂРѕР»РёРє СЂРµРјРµРЅСЏ Р“Р Рњ</t>
  </si>
  <si>
    <t>457.25</t>
  </si>
  <si>
    <t xml:space="preserve">MITSUBISHI L200 2.5DI-D 2005- (2С€С‚. РЅР° РґРІРёРі.)  (GT37335) 0X60X35  </t>
  </si>
  <si>
    <t>GT384.02</t>
  </si>
  <si>
    <t>GT384.02  NTN-SNR - РќР°С‚СЏР¶РЅРёР№ СЂРѕР»РёРє СЂРµРјРµРЅСЏ Р“Р Рњ</t>
  </si>
  <si>
    <t>238.24</t>
  </si>
  <si>
    <t xml:space="preserve">HYUNDAI Atos/Prime/Getz 1,0/1,1 98-  (GT38402) [EVR58410]  0X57,1X27,14  </t>
  </si>
  <si>
    <t>KB650.01</t>
  </si>
  <si>
    <t>KB650.01  NTN-SNR - РљРѕРјРїР»РµРєС‚ РѕРїРѕСЂРё Р°РјРѕСЂС‚РёР·Р°С‚РѕСЂР°</t>
  </si>
  <si>
    <t>BMW 3 (E36) 91-98, (Front, L/R)  (KB65001)</t>
  </si>
  <si>
    <t>KB650.03</t>
  </si>
  <si>
    <t>KB650.03  NTN-SNR - РљРѕРјРїР»РµРєС‚ РѕРїРѕСЂРё Р°РјРѕСЂС‚РёР·Р°С‚РѕСЂР°  !!! Р—Р°РјС–РЅР° РґР»СЏ M250.05</t>
  </si>
  <si>
    <t>549.93</t>
  </si>
  <si>
    <t>BMW (E39)  97-, (Front, L/R)  (KB65003)</t>
  </si>
  <si>
    <t>KB651.01</t>
  </si>
  <si>
    <t>KB651.01  NTN-SNR - РљРѕРјРїР»РµРєС‚ РѕРїРѕСЂРё Р°РјРѕСЂС‚РёР·Р°С‚РѕСЂР°</t>
  </si>
  <si>
    <t>403.87</t>
  </si>
  <si>
    <t>MB (W124) 85-95, (Front, L/R)  (KB65101)</t>
  </si>
  <si>
    <t>KB651.02</t>
  </si>
  <si>
    <t>KB651.02  NTN-SNR - РљРѕРјРїР»РµРєС‚ РѕРїРѕСЂРё Р°РјРѕСЂС‚РёР·Р°С‚РѕСЂР°</t>
  </si>
  <si>
    <t>1005.30</t>
  </si>
  <si>
    <t>MB C-Class (W203) 02-  (Front, L/R) (KB65102)</t>
  </si>
  <si>
    <t>KB651.03</t>
  </si>
  <si>
    <t>KB651.03  NTN-SNR - РљРѕРјРїР»РµРєС‚ РѕРїРѕСЂРё Р°РјРѕСЂС‚РёР·Р°С‚РѕСЂР°</t>
  </si>
  <si>
    <t>335.04</t>
  </si>
  <si>
    <t>MB Sprinter 95-06, VW LT 05.96-, (Front, L/R)  (KB65103)</t>
  </si>
  <si>
    <t>KB652.09</t>
  </si>
  <si>
    <t>KB652.09  NTN-SNR - РљРѕРјРїР»РµРєС‚ РѕРїРѕСЂРё Р°РјРѕСЂС‚РёР·Р°С‚РѕСЂР°</t>
  </si>
  <si>
    <t>FORD Focus 98-02, (Front, L/R)  (KB65209)</t>
  </si>
  <si>
    <t>KB652.13</t>
  </si>
  <si>
    <t>KB652.13  NTN-SNR - РљРѕРјРїР»РµРєС‚ РѕРїРѕСЂРё Р°РјРѕСЂС‚РёР·Р°С‚РѕСЂР°</t>
  </si>
  <si>
    <t>469.95</t>
  </si>
  <si>
    <t>FORD Focus II, C-MAX| MAZDA 3 03-| VOLVO S40, V50 04-  (Front, L/R)  (KB65213)</t>
  </si>
  <si>
    <t>KB653.11</t>
  </si>
  <si>
    <t>KB653.11  NTN-SNR - РљРѕРјРїР»РµРєС‚ РѕРїРѕСЂРё Р°РјРѕСЂС‚РёР·Р°С‚РѕСЂР°</t>
  </si>
  <si>
    <t>653.26</t>
  </si>
  <si>
    <t>OPEL Signum 03-, Vectra C 05-, (Front, L/R)  (KB65311)</t>
  </si>
  <si>
    <t>KB653.13</t>
  </si>
  <si>
    <t>KB653.13  NTN-SNR - РљРѕРјРїР»РµРєС‚ РѕРїРѕСЂРё Р°РјРѕСЂС‚РёР·Р°С‚РѕСЂР°</t>
  </si>
  <si>
    <t>551.48</t>
  </si>
  <si>
    <t>OPEL Astra G, Combo, Meriva, Vectra B, Zafira A 1.2-2.6  95-  (Front, L/R)  (KB65313)</t>
  </si>
  <si>
    <t>KB655.12</t>
  </si>
  <si>
    <t>KB655.12  NTN-SNR - РљРѕРјРїР»РµРєС‚ РѕРїРѕСЂРё Р°РјРѕСЂС‚РёР·Р°С‚РѕСЂР°</t>
  </si>
  <si>
    <t>848.42</t>
  </si>
  <si>
    <t>RENAULT Laguna 03.01-, (Front, L/R)  (KB65512)</t>
  </si>
  <si>
    <t>KB655.28</t>
  </si>
  <si>
    <t>KB655.28  NTN-SNR - РљРѕРјРїР»РµРєС‚ РѕРїРѕСЂРё Р°РјРѕСЂС‚РёР·Р°С‚РѕСЂР°</t>
  </si>
  <si>
    <t>339.33</t>
  </si>
  <si>
    <t>DACIA Logan 04-  (Front, L/R)   (KB65528)</t>
  </si>
  <si>
    <t>KB655.35</t>
  </si>
  <si>
    <t>KB655.35  NTN-SNR - РљРѕРјРїР»РµРєС‚ РѕРїРѕСЂРё Р°РјРѕСЂС‚РёР·Р°С‚РѕСЂР°</t>
  </si>
  <si>
    <t>742.34</t>
  </si>
  <si>
    <t>RENAULT Megane III (BZ0_) 08-  (Front, L/R)  (KB65535)</t>
  </si>
  <si>
    <t>KB655.36</t>
  </si>
  <si>
    <t>KB655.36  NTN-SNR - РљРѕРјРїР»РµРєС‚ РѕРїРѕСЂРё Р°РјРѕСЂС‚РёР·Р°С‚РѕСЂР°</t>
  </si>
  <si>
    <t>661.67</t>
  </si>
  <si>
    <t>RENAULT Fluence 1.5D/1.6i  10-  (Front, L/R)  (KB65536)</t>
  </si>
  <si>
    <t>KB657.02</t>
  </si>
  <si>
    <t>KB657.02  NTN-SNR - РљРѕРјРїР»РµРєС‚ РѕРїРѕСЂРё Р°РјРѕСЂС‚РёР·Р°С‚РѕСЂР°</t>
  </si>
  <si>
    <t>183.65</t>
  </si>
  <si>
    <t>AUDI 80, 90 79-00| VW Passat 73-88  (Front, L/R)  (KB65702)</t>
  </si>
  <si>
    <t>KB657.04</t>
  </si>
  <si>
    <t>KB657.04  NTN-SNR - РљРѕРјРїР»РµРєС‚ РѕРїРѕСЂРё Р°РјРѕСЂС‚РёР·Р°С‚РѕСЂР°</t>
  </si>
  <si>
    <t>241.84</t>
  </si>
  <si>
    <t>FORD Galaxy 95-| SEAT Alhambra 96-| VW Sharan 95-, (Front, L/R)  (KB65704)</t>
  </si>
  <si>
    <t>KB657.08</t>
  </si>
  <si>
    <t>KB657.08  NTN-SNR - РљРѕРјРїР»РµРєС‚ РѕРїРѕСЂРё Р°РјРѕСЂС‚РёР·Р°С‚РѕСЂР°</t>
  </si>
  <si>
    <t>SEAT Leon,Toledo 99-| SKODA Octavia 98-, (Front, L/R)  (KB65708)</t>
  </si>
  <si>
    <t>KB657.12</t>
  </si>
  <si>
    <t>KB657.12  NTN-SNR - РљРѕРјРїР»РµРєС‚ РѕРїРѕСЂРё Р°РјРѕСЂС‚РёР·Р°С‚РѕСЂР°</t>
  </si>
  <si>
    <t>425.84</t>
  </si>
  <si>
    <t>AUDI A4| VW Passat 95-00| (Front, L/R)  (KB65712)</t>
  </si>
  <si>
    <t>KB657.14</t>
  </si>
  <si>
    <t>KB657.14  NTN-SNR - РљРѕРјРїР»РµРєС‚ РѕРїРѕСЂРё Р°РјРѕСЂС‚РёР·Р°С‚РѕСЂР°</t>
  </si>
  <si>
    <t>AUDI A3 03-| SKODA Octavia, SuperB II 04-| VW Golf V 03-, Passat 05-, Jetta 05-, Tiguan 07-, Touran 03-, Caddy 04-, (Front, L/R)  (KB65714)</t>
  </si>
  <si>
    <t>KB658.14</t>
  </si>
  <si>
    <t>KB658.14  NTN-SNR - РљРѕРјРїР»РµРєС‚ РѕРїРѕСЂРё Р°РјРѕСЂС‚РёР·Р°С‚РѕСЂР°</t>
  </si>
  <si>
    <t>708.36</t>
  </si>
  <si>
    <t>FIAT Doblo Cargo 03.03-, Palio Weekend 04.96-, (Front, R)  (KB65814)</t>
  </si>
  <si>
    <t>KB658.15</t>
  </si>
  <si>
    <t>KB658.15  NTN-SNR - РљРѕРјРїР»РµРєС‚ РѕРїРѕСЂРё Р°РјРѕСЂС‚РёР·Р°С‚РѕСЂР°</t>
  </si>
  <si>
    <t>FIAT Doblo Cargo 03.03-, Palio Weekend 04.96-, (Front, L)  (KB65815)</t>
  </si>
  <si>
    <t>KB658.20</t>
  </si>
  <si>
    <t>KB658.20  NTN-SNR - РљРѕРјРїР»РµРєС‚ РѕРїРѕСЂРё Р°РјРѕСЂС‚РёР·Р°С‚РѕСЂР°</t>
  </si>
  <si>
    <t>471.32</t>
  </si>
  <si>
    <t>FIAT Grande Punto 1,2 05-| OPEL Corsa D 1,3 CDTI 06-, (Front, L/R)  (KB65820)</t>
  </si>
  <si>
    <t>KB658.24</t>
  </si>
  <si>
    <t>KB658.24  NTN-SNR - РљРѕРјРїР»РµРєС‚ РѕРїРѕСЂРё Р°РјРѕСЂС‚РёР·Р°С‚РѕСЂР°</t>
  </si>
  <si>
    <t>591.81</t>
  </si>
  <si>
    <t>FIAT - FIORINO 1.4 08-, LINEA - 1.4 07-, QUBO - 1.4 08- (Front, R)  (KB65824)</t>
  </si>
  <si>
    <t>KB659.05</t>
  </si>
  <si>
    <t>KB659.05  NTN-SNR - РљРѕРјРїР»РµРєС‚ РѕРїРѕСЂРё Р°РјРѕСЂС‚РёР·Р°С‚РѕСЂР°</t>
  </si>
  <si>
    <t>464.97</t>
  </si>
  <si>
    <t>CITROEN Berlingo 96-, Xsara 97-05, ZX 91-98| PEUGEOT Partner 96-, (Front, L/R)  (KB65905)</t>
  </si>
  <si>
    <t>KB659.08</t>
  </si>
  <si>
    <t>KB659.08  NTN-SNR - РљРѕРјРїР»РµРєС‚ РѕРїРѕСЂРё Р°РјРѕСЂС‚РёР·Р°С‚РѕСЂР°</t>
  </si>
  <si>
    <t>CITROEN Berlingo (800kg) 96-, Xsara 97-00| PEUGEOT 306 97-, Partner (800kg) 96-, (Front, L/R)  (KB65908)</t>
  </si>
  <si>
    <t>KB659.10</t>
  </si>
  <si>
    <t>KB659.10  NTN-SNR - РљРѕРјРїР»РµРєС‚ РѕРїРѕСЂРё Р°РјРѕСЂС‚РёР·Р°С‚РѕСЂР°</t>
  </si>
  <si>
    <t>485.23</t>
  </si>
  <si>
    <t>PEUGEOT 206 98-, (Front, L)  (KB65910)</t>
  </si>
  <si>
    <t>KB659.11</t>
  </si>
  <si>
    <t>KB659.11  NTN-SNR - РљРѕРјРїР»РµРєС‚ РѕРїРѕСЂРё Р°РјРѕСЂС‚РёР·Р°С‚РѕСЂР°</t>
  </si>
  <si>
    <t>PEUGEOT 206 98-, (Front, R)   (KB65911)</t>
  </si>
  <si>
    <t>KB659.16</t>
  </si>
  <si>
    <t>KB659.16  NTN-SNR - РљРѕРјРїР»РµРєС‚ РѕРїРѕСЂРё Р°РјРѕСЂС‚РёР·Р°С‚РѕСЂР°</t>
  </si>
  <si>
    <t>1060.56</t>
  </si>
  <si>
    <t>CITROEN Jumpy 95-, Evasion 94-| PEUGEOT 806 95-, Expert 96-, (Front, L)  (KB65916)</t>
  </si>
  <si>
    <t>KB659.17</t>
  </si>
  <si>
    <t>KB659.17  NTN-SNR - РљРѕРјРїР»РµРєС‚ РѕРїРѕСЂРё Р°РјРѕСЂС‚РёР·Р°С‚РѕСЂР°</t>
  </si>
  <si>
    <t>CITROEN Jumpy 95-, Evasion 94-| PEUGEOT 806 95-, Expert 96-, (Front, R)   (KB65917)</t>
  </si>
  <si>
    <t>KB659.20</t>
  </si>
  <si>
    <t>KB659.20  NTN-SNR - РљРѕРјРїР»РµРєС‚ РѕРїРѕСЂРё Р°РјРѕСЂС‚РёР·Р°С‚РѕСЂР°</t>
  </si>
  <si>
    <t>674.55</t>
  </si>
  <si>
    <t>CITROEN Jumper| FIAT Ducato| PEUGEOT Boxer 94-02, (Front, L)  (KB65920)</t>
  </si>
  <si>
    <t>KB659.21</t>
  </si>
  <si>
    <t>KB659.21  NTN-SNR - РљРѕРјРїР»РµРєС‚ РѕРїРѕСЂРё Р°РјРѕСЂС‚РёР·Р°С‚РѕСЂР°</t>
  </si>
  <si>
    <t>CITROEN Jumper| FIAT Ducato| PEUGEOT Boxer 94-02, (Front, R)   (KB65921)</t>
  </si>
  <si>
    <t>KB659.26</t>
  </si>
  <si>
    <t>KB659.26  NTN-SNR - РљРѕРјРїР»РµРєС‚ РѕРїРѕСЂРё Р°РјРѕСЂС‚РёР·Р°С‚РѕСЂР°</t>
  </si>
  <si>
    <t>927.37</t>
  </si>
  <si>
    <t>CITROEN Jumper| FIAT Ducato| PEUGEOT Boxer 02-, (Front, L),  (KB65926)</t>
  </si>
  <si>
    <t>KB659.27</t>
  </si>
  <si>
    <t>KB659.27  NTN-SNR - РљРѕРјРїР»РµРєС‚ РѕРїРѕСЂРё Р°РјРѕСЂС‚РёР·Р°С‚РѕСЂР°</t>
  </si>
  <si>
    <t>CITROEN Jumper| FIAT Ducato| PEUGEOT Boxer 02-, (Front, R),  (KB65927)</t>
  </si>
  <si>
    <t>KB659.28</t>
  </si>
  <si>
    <t>KB659.28  NTN-SNR - РљРѕРјРїР»РµРєС‚ РѕРїРѕСЂРё Р°РјРѕСЂС‚РёР·Р°С‚РѕСЂР°</t>
  </si>
  <si>
    <t>423.78</t>
  </si>
  <si>
    <t>PEUGEOT 407 1.8 16V, 2.0 16V, 1.6 HDI, 2.0 HDI 04-, (Front, L/R)  (KB65928)</t>
  </si>
  <si>
    <t>KB659.31</t>
  </si>
  <si>
    <t>KB659.31  NTN-SNR - РљРѕРјРїР»РµРєС‚ РѕРїРѕСЂРё Р°РјРѕСЂС‚РёР·Р°С‚РѕСЂР°</t>
  </si>
  <si>
    <t>CITROEN C2, C3| PEUGEOT 1007 1.1-1.6HDI 02.02-, (Front, L/R)  (KB65931)</t>
  </si>
  <si>
    <t>KB659.32</t>
  </si>
  <si>
    <t>KB659.32  NTN-SNR - РљРѕРјРїР»РµРєС‚ РѕРїРѕСЂРё Р°РјРѕСЂС‚РёР·Р°С‚РѕСЂР°</t>
  </si>
  <si>
    <t>403.01</t>
  </si>
  <si>
    <t>PEUGEOT 207| 1.4, 1.6, 1.6HDI| 02.06-, (Front, L/R)  (KB65932)</t>
  </si>
  <si>
    <t>KB659.34</t>
  </si>
  <si>
    <t>KB659.34  NTN-SNR - РљРѕРјРїР»РµРєС‚ РѕРїРѕСЂРё Р°РјРѕСЂС‚РёР·Р°С‚РѕСЂР°</t>
  </si>
  <si>
    <t>970.97</t>
  </si>
  <si>
    <t>CITROEN Jumper| FIAT Ducato| PEUGEOT Boxer 02-06, (Front, L)  (KB65934)</t>
  </si>
  <si>
    <t>KB659.37</t>
  </si>
  <si>
    <t>KB659.37  NTN-SNR - РљРѕРјРїР»РµРєС‚ РѕРїРѕСЂРё Р°РјРѕСЂС‚РёР·Р°С‚РѕСЂР°</t>
  </si>
  <si>
    <t>845.84</t>
  </si>
  <si>
    <t>MITSUBISHI Asx (GA) 10-, Lancer  (CX, CY)  08-, Outlander II 06- | PEUGEOT 4007 (GA) 07-, 4008  12-   (Front L/R)</t>
  </si>
  <si>
    <t>KB668.04</t>
  </si>
  <si>
    <t>KB668.04  NTN-SNR - РљРѕРјРїР»РµРєС‚ РѕРїРѕСЂРё Р°РјРѕСЂС‚РёР·Р°С‚РѕСЂР°</t>
  </si>
  <si>
    <t>609.15</t>
  </si>
  <si>
    <t>NISSAN Qashqai  02.07-, (Front, L)  (KB66804)</t>
  </si>
  <si>
    <t>KB670.01</t>
  </si>
  <si>
    <t>KB670.01  NTN-SNR - РљРѕРјРїР»РµРєС‚ РѕРїРѕСЂРё Р°РјРѕСЂС‚РёР·Р°С‚РѕСЂР°</t>
  </si>
  <si>
    <t>625.97</t>
  </si>
  <si>
    <t>MAZDA 323 F, S VI 1.4-2.0D  98-04  (Front, L/R)  (KB67001)</t>
  </si>
  <si>
    <t>KB672.01</t>
  </si>
  <si>
    <t>KB672.01  NTN-SNR - РљРѕРјРїР»РµРєС‚ РѕРїРѕСЂРё Р°РјРѕСЂС‚РёР·Р°С‚РѕСЂР°</t>
  </si>
  <si>
    <t>290.07</t>
  </si>
  <si>
    <t>LADA Samara 2108-09, 21099 88-,  (Front, L/R)</t>
  </si>
  <si>
    <t>KB672.02</t>
  </si>
  <si>
    <t>KB672.02  NTN-SNR - РљРѕРјРїР»РµРєС‚ РѕРїРѕСЂРё Р°РјРѕСЂС‚РёР·Р°С‚РѕСЂР°</t>
  </si>
  <si>
    <t>375.55</t>
  </si>
  <si>
    <t>LADA 2110-2112  95-,  (Front, L/R)</t>
  </si>
  <si>
    <t>KB674.00</t>
  </si>
  <si>
    <t>KB674.00  NTN-SNR - РљРѕРјРїР»РµРєС‚ РѕРїРѕСЂРё Р°РјРѕСЂС‚РёР·Р°С‚РѕСЂР°</t>
  </si>
  <si>
    <t>190.86</t>
  </si>
  <si>
    <t>HONDA Accord III, IV, V, VI, VII  85-02, (Front, L/R)  (KB67400)</t>
  </si>
  <si>
    <t>KB681.00</t>
  </si>
  <si>
    <t>KB681.00  NTN-SNR - РљРѕРјРїР»РµРєС‚ РѕРїРѕСЂРё Р°РјРѕСЂС‚РёР·Р°С‚РѕСЂР°</t>
  </si>
  <si>
    <t>1032.59</t>
  </si>
  <si>
    <t>SUBARU Forester, Impreza, Legacy I, II, III, Outback 1.6-3.0  89-  (Front, L/R)  (KB68100)</t>
  </si>
  <si>
    <t>KB690.00</t>
  </si>
  <si>
    <t>KB690.00  NTN-SNR - РљРѕРјРїР»РµРєС‚ РѕРїРѕСЂРё Р°РјРѕСЂС‚РёР·Р°С‚РѕСЂР°</t>
  </si>
  <si>
    <t>343.62</t>
  </si>
  <si>
    <t>CHEVROLET Lacetti| DAEWOO Nubira 1.4I, 1.6I, 1.8I  04-  (Front, L/R)</t>
  </si>
  <si>
    <t>KB690.01</t>
  </si>
  <si>
    <t>KB690.01  NTN-SNR - РљРѕРјРїР»РµРєС‚ РѕРїРѕСЂРё Р°РјРѕСЂС‚РёР·Р°С‚РѕСЂР°</t>
  </si>
  <si>
    <t>226.05</t>
  </si>
  <si>
    <t>CHEVROLET Aveo, Spark| DAEWOO Kalos, Matiz 08-  (Front, L/R) /52711/</t>
  </si>
  <si>
    <t>KB952.03</t>
  </si>
  <si>
    <t>KB952.03  NTN-SNR - РљРѕРјРїР»РµРєС‚ РѕРїРѕСЂРё Р°РјРѕСЂС‚РёР·Р°С‚РѕСЂР°</t>
  </si>
  <si>
    <t>318.22</t>
  </si>
  <si>
    <t>FORD C-Max 07-, Focus II 04-, (Front, L/R)  (KB95203)</t>
  </si>
  <si>
    <t>KB952.04</t>
  </si>
  <si>
    <t>KB952.04  NTN-SNR - РљРѕРјРїР»РµРєС‚ РѕРїРѕСЂРё Р°РјРѕСЂС‚РёР·Р°С‚РѕСЂР°</t>
  </si>
  <si>
    <t>572.59</t>
  </si>
  <si>
    <t>FORD Mondeo III 00-07, (Rear, L/R)  (KB95204)</t>
  </si>
  <si>
    <t>KB957.01</t>
  </si>
  <si>
    <t>KB957.01  NTN-SNR - РљРѕРјРїР»РµРєС‚ РѕРїРѕСЂРё Р°РјРѕСЂС‚РёР·Р°С‚РѕСЂР°</t>
  </si>
  <si>
    <t>84.79</t>
  </si>
  <si>
    <t>AUDI 100 82-94, A6 94-97 (Rear, L/R)  (KB95701)</t>
  </si>
  <si>
    <t>KB957.04</t>
  </si>
  <si>
    <t>KB957.04  NTN-SNR - РљРѕРјРїР»РµРєС‚ РѕРїРѕСЂРё Р°РјРѕСЂС‚РёР·Р°С‚РѕСЂР°</t>
  </si>
  <si>
    <t>234.98</t>
  </si>
  <si>
    <t>AUDI A2 00-05| SEAT Cordoba, Ibiza 02-| SKODA Octavia 98-, Roomster 06-, (Rear, L/R)  (KB95704)</t>
  </si>
  <si>
    <t>KB957.06</t>
  </si>
  <si>
    <t>KB957.06  NTN-SNR - РљРѕРјРїР»РµРєС‚ РѕРїРѕСЂРё Р°РјРѕСЂС‚РёР·Р°С‚РѕСЂР°</t>
  </si>
  <si>
    <t>AUDI A6 97-05| VW Passat 96-05, (Rear, L/R)  (KB95706)</t>
  </si>
  <si>
    <t>KB957.07</t>
  </si>
  <si>
    <t>KB957.07  NTN-SNR - РљРѕРјРїР»РµРєС‚ РѕРїРѕСЂРё Р°РјРѕСЂС‚РёР·Р°С‚РѕСЂР°</t>
  </si>
  <si>
    <t>254.03</t>
  </si>
  <si>
    <t>SEAT Altea, Leon, Toledo III| VW Golf V 1.4 16V-2.0FSI 03-, (Rear, L/R)  (KB95707)</t>
  </si>
  <si>
    <t>KB957.08</t>
  </si>
  <si>
    <t>KB957.08  NTN-SNR - РљРѕРјРїР»РµРєС‚ РѕРїРѕСЂРё Р°РјРѕСЂС‚РёР·Р°С‚РѕСЂР°</t>
  </si>
  <si>
    <t>238.75</t>
  </si>
  <si>
    <t>AUDI A3 03-| VW Golf V, Touran 03-, (Rear, L/R)  (KB95708)</t>
  </si>
  <si>
    <t>KB959.01</t>
  </si>
  <si>
    <t>KB959.01  NTN-SNR - РљРѕРјРїР»РµРєС‚ РѕРїРѕСЂРё Р°РјРѕСЂС‚РёР·Р°С‚РѕСЂР°</t>
  </si>
  <si>
    <t>206.14</t>
  </si>
  <si>
    <t>PEUGEOT 307 03.02-, (Rear, L/R)  (KB95901)</t>
  </si>
  <si>
    <t>KB973.02</t>
  </si>
  <si>
    <t>KB973.02  NTN-SNR - РљРѕРјРїР»РµРєС‚ РѕРїРѕСЂРё Р°РјРѕСЂС‚РёР·Р°С‚РѕСЂР°</t>
  </si>
  <si>
    <t>MITSUBISHI  Lancer IX, X (CS_, CY_ ), Outlander (CU_, CF_, CW_), ASX  03-  (Rear, L/R)</t>
  </si>
  <si>
    <t>KBLF40935</t>
  </si>
  <si>
    <t>KBLF40935  NTN-SNR - РћРїРѕСЂР° Р°РјРѕСЂС‚РёР·Р°С‚РѕСЂР°</t>
  </si>
  <si>
    <t>KBLF40940</t>
  </si>
  <si>
    <t>KBLF40940  NTN-SNR - РћРїРѕСЂР° Р°РјРѕСЂС‚РёР·Р°С‚РѕСЂР°</t>
  </si>
  <si>
    <t>KBLF41097</t>
  </si>
  <si>
    <t>KBLF41097  NTN-SNR - РћРїРѕСЂР° Р°РјРѕСЂС‚РёР·Р°С‚РѕСЂР°</t>
  </si>
  <si>
    <t>304.15</t>
  </si>
  <si>
    <t>KBLF41103</t>
  </si>
  <si>
    <t>KBLF41103  NTN-SNR - РћРїРѕСЂР° Р°РјРѕСЂС‚РёР·Р°С‚РѕСЂР°</t>
  </si>
  <si>
    <t>KBLF41104</t>
  </si>
  <si>
    <t>KBLF41104  NTN-SNR - РћРїРѕСЂР° Р°РјРѕСЂС‚РёР·Р°С‚РѕСЂР°</t>
  </si>
  <si>
    <t>323.20</t>
  </si>
  <si>
    <t>KBLF41114</t>
  </si>
  <si>
    <t>KBLF41114  NTN-SNR - РћРїРѕСЂР° Р°РјРѕСЂС‚РёР·Р°С‚РѕСЂР°</t>
  </si>
  <si>
    <t>42.40</t>
  </si>
  <si>
    <t>KBLF41615</t>
  </si>
  <si>
    <t>KBLF41615  NTN-SNR - РћРїРѕСЂР° Р°РјРѕСЂС‚РёР·Р°С‚РѕСЂР°</t>
  </si>
  <si>
    <t>159.11</t>
  </si>
  <si>
    <t>KBLF41765</t>
  </si>
  <si>
    <t>KBLF41765  NTN-SNR - РћРїРѕСЂР° Р°РјРѕСЂС‚РёР·Р°С‚РѕСЂР°</t>
  </si>
  <si>
    <t>134.91</t>
  </si>
  <si>
    <t>KBLF41788</t>
  </si>
  <si>
    <t>KBLF41788  NTN-SNR - РћРїРѕСЂР° Р°РјРѕСЂС‚РёР·Р°С‚РѕСЂР°</t>
  </si>
  <si>
    <t>KBLF41792</t>
  </si>
  <si>
    <t>KBLF41792  NTN-SNR - РћРїРѕСЂР° Р°РјРѕСЂС‚РёР·Р°С‚РѕСЂР°</t>
  </si>
  <si>
    <t>270.68</t>
  </si>
  <si>
    <t>KBLF41794</t>
  </si>
  <si>
    <t>KBLF41794  NTN-SNR - РћРїРѕСЂР° Р°РјРѕСЂС‚РёР·Р°С‚РѕСЂР°</t>
  </si>
  <si>
    <t>KBLF41795</t>
  </si>
  <si>
    <t>KBLF41795  NTN-SNR - РћРїРѕСЂР° Р°РјРѕСЂС‚РёР·Р°С‚РѕСЂР°</t>
  </si>
  <si>
    <t>326.63</t>
  </si>
  <si>
    <t>KBLF41800</t>
  </si>
  <si>
    <t>KBLF41800  NTN-SNR - РћРїРѕСЂР° Р°РјРѕСЂС‚РёР·Р°С‚РѕСЂР°</t>
  </si>
  <si>
    <t>414.85</t>
  </si>
  <si>
    <t>KBLF41801</t>
  </si>
  <si>
    <t>KBLF41801  NTN-SNR - РћРїРѕСЂР° Р°РјРѕСЂС‚РёР·Р°С‚РѕСЂР°</t>
  </si>
  <si>
    <t>333.84</t>
  </si>
  <si>
    <t>KBLF41802</t>
  </si>
  <si>
    <t>KBLF41802  NTN-SNR - РћРїРѕСЂР° Р°РјРѕСЂС‚РёР·Р°С‚РѕСЂР°</t>
  </si>
  <si>
    <t>323.71</t>
  </si>
  <si>
    <t>KBLF41803</t>
  </si>
  <si>
    <t>KBLF41803  NTN-SNR - РћРїРѕСЂР° Р°РјРѕСЂС‚РёР·Р°С‚РѕСЂР°</t>
  </si>
  <si>
    <t>164.60</t>
  </si>
  <si>
    <t>KBLF41809</t>
  </si>
  <si>
    <t>KBLF41809  NTN-SNR - РћРїРѕСЂР° Р°РјРѕСЂС‚РёР·Р°С‚РѕСЂР°</t>
  </si>
  <si>
    <t>KBLF41810</t>
  </si>
  <si>
    <t>KBLF41810  NTN-SNR - РћРїРѕСЂР° Р°РјРѕСЂС‚РёР·Р°С‚РѕСЂР°</t>
  </si>
  <si>
    <t>KBLF41813</t>
  </si>
  <si>
    <t>KBLF41813  NTN-SNR - РћРїРѕСЂР° Р°РјРѕСЂС‚РёР·Р°С‚РѕСЂР°</t>
  </si>
  <si>
    <t>KBLF41817</t>
  </si>
  <si>
    <t>KBLF41817  NTN-SNR - РћРїРѕСЂР° Р°РјРѕСЂС‚РёР·Р°С‚РѕСЂР°</t>
  </si>
  <si>
    <t>190.01</t>
  </si>
  <si>
    <t>KBLF45</t>
  </si>
  <si>
    <t>KBLF45  NTN-SNR - РћРїРѕСЂР° Р°РјРѕСЂС‚РёР·Р°С‚РѕСЂР°</t>
  </si>
  <si>
    <t>200.99</t>
  </si>
  <si>
    <t>KD455.47</t>
  </si>
  <si>
    <t>KD455.47  NTN-SNR - Р РµРјРєРѕРјРїР»РµРєС‚ СЂРµРјРµРЅСЏ Р“Р Рњ</t>
  </si>
  <si>
    <t>1148.27</t>
  </si>
  <si>
    <t>Nissan Interstar, Primastar| Opel Movano, Vivaro|  Renault Trafic, Laguna, Espace| Volvo S40, V40 1,9dCi  00-07    [EVR5558070]  0X50X30,8  (KD45547)</t>
  </si>
  <si>
    <t>KD457.45</t>
  </si>
  <si>
    <t>KD457.45  NTN-SNR - Р РµРјРєРѕРјРїР»РµРєС‚ СЂРµРјРµРЅСЏ Р“Р Рњ</t>
  </si>
  <si>
    <t>1535.32</t>
  </si>
  <si>
    <t>Audi A4, VW Passat  1,8/2,0 Turbo 20V  96-05  (AEB/ANB/ APU/AWT/ALT)    [EVR5549671]  (KD45745)</t>
  </si>
  <si>
    <t>KS555.01</t>
  </si>
  <si>
    <t>KS555.01  NTN-SNR - РџС–РґС€РёРїРЅРёРє Р·Р°РґРЅСЊРѕС— Р±Р°Р»РєРё</t>
  </si>
  <si>
    <t>661.84</t>
  </si>
  <si>
    <t>(KS55501)</t>
  </si>
  <si>
    <t>KS559.00</t>
  </si>
  <si>
    <t>KS559.00  NTN-SNR - РџС–РґС€РёРїРЅРёРє Р·Р°РґРЅСЊРѕС— Р±Р°Р»РєРё</t>
  </si>
  <si>
    <t>CITROEN Xsara, ZX| PEUGEOT 205, 306, 309 93-  (Rear)  (KS55900)</t>
  </si>
  <si>
    <t>KS559.09</t>
  </si>
  <si>
    <t>KS559.09  NTN-SNR - РџС–РґС€РёРїРЅРёРє Р·Р°РґРЅСЊРѕС— Р±Р°Р»РєРё</t>
  </si>
  <si>
    <t>534.49</t>
  </si>
  <si>
    <t>CITROEN Berlingo| PEUGEOT Partner 2002-  (Rear, L/R)</t>
  </si>
  <si>
    <t>M252.06</t>
  </si>
  <si>
    <t>M252.06  NTN-SNR - РџС–РґС€РёРїРЅРёРє РѕРїРѕСЂРё Р°РјРѕСЂС‚РёР·Р°С‚РѕСЂР°</t>
  </si>
  <si>
    <t>181.94</t>
  </si>
  <si>
    <t>FORD Mondeo I -96, II -00, Scorpio II -98, VOLVO S/V40 01-  (M25206)</t>
  </si>
  <si>
    <t>M252.08</t>
  </si>
  <si>
    <t>M252.08  NTN-SNR - РџС–РґС€РёРїРЅРёРє РѕРїРѕСЂРё Р°РјРѕСЂС‚РёР·Р°С‚РѕСЂР°</t>
  </si>
  <si>
    <t>102.47</t>
  </si>
  <si>
    <t>FORD Focus 98-, (Front, L/R)  (M25208)</t>
  </si>
  <si>
    <t>M252.09</t>
  </si>
  <si>
    <t>M252.09  NTN-SNR - РџС–РґС€РёРїРЅРёРє РѕРїРѕСЂРё Р°РјРѕСЂС‚РёР·Р°С‚РѕСЂР°</t>
  </si>
  <si>
    <t>250.25</t>
  </si>
  <si>
    <t>FORD Mondeo III, Transit, all 00- (Front, L/R)  (M25209)</t>
  </si>
  <si>
    <t>M252.10</t>
  </si>
  <si>
    <t>M252.10  NTN-SNR - РџС–РґС€РёРїРЅРёРє РѕРїРѕСЂРё Р°РјРѕСЂС‚РёР·Р°С‚РѕСЂР°</t>
  </si>
  <si>
    <t>268.44</t>
  </si>
  <si>
    <t>FORD Fiesta V, MAZDA 2 (all) 01-  (M25210)</t>
  </si>
  <si>
    <t>M252.11</t>
  </si>
  <si>
    <t>M252.11  NTN-SNR - РџС–РґС€РёРїРЅРёРє РѕРїРѕСЂРё Р°РјРѕСЂС‚РёР·Р°С‚РѕСЂР°</t>
  </si>
  <si>
    <t>207.86</t>
  </si>
  <si>
    <t>FORD Focus, C-Max 03-07, Kuga 2.0 TDCi 08-| MAZDA  3 (BK) 03-|  VOLVO  C70 II 06- (L/R)  (M25211)</t>
  </si>
  <si>
    <t>M253.01</t>
  </si>
  <si>
    <t>M253.01  NTN-SNR - РџС–РґС€РёРїРЅРёРє РѕРїРѕСЂРё Р°РјРѕСЂС‚РёР·Р°С‚РѕСЂР°</t>
  </si>
  <si>
    <t>70.72</t>
  </si>
  <si>
    <t>OPEL Astra F, Vectra A 1.4-2.5  88-01 (M25301)</t>
  </si>
  <si>
    <t>M253.05</t>
  </si>
  <si>
    <t>M253.05  NTN-SNR - РџС–РґС€РёРїРЅРёРє РѕРїРѕСЂРё Р°РјРѕСЂС‚РёР·Р°С‚РѕСЂР°</t>
  </si>
  <si>
    <t>OPEL Ascona C, Omega A/B, Senator B  (M25305)</t>
  </si>
  <si>
    <t>M253.08</t>
  </si>
  <si>
    <t>M253.08  NTN-SNR - РџС–РґС€РёРїРЅРёРє РѕРїРѕСЂРё Р°РјРѕСЂС‚РёР·Р°С‚РѕСЂР°</t>
  </si>
  <si>
    <t>219.36</t>
  </si>
  <si>
    <t>OPEL Astra G, Corsa C, Vectra B, Zafira  95-  (Front, L/R)</t>
  </si>
  <si>
    <t>M254.08</t>
  </si>
  <si>
    <t>M254.08  NTN-SNR - РџС–РґС€РёРїРЅРёРє РѕРїРѕСЂРё Р°РјРѕСЂС‚РёР·Р°С‚РѕСЂР°</t>
  </si>
  <si>
    <t>VW T5 03-, (Front, L/R)  (M25408)</t>
  </si>
  <si>
    <t>M255.04</t>
  </si>
  <si>
    <t>M255.04  NTN-SNR - РџС–РґС€РёРїРЅРёРє РѕРїРѕСЂРё Р°РјРѕСЂС‚РёР·Р°С‚РѕСЂР°</t>
  </si>
  <si>
    <t>118.77</t>
  </si>
  <si>
    <t>RENAULT Clio I, II 91.01-, Kangoo 98.03-, Twingo 93.03-  FRONT L/R  (M25504)</t>
  </si>
  <si>
    <t>M255.06</t>
  </si>
  <si>
    <t>M255.06  NTN-SNR - РџС–РґС€РёРїРЅРёРє РѕРїРѕСЂРё Р°РјРѕСЂС‚РёР·Р°С‚РѕСЂР°</t>
  </si>
  <si>
    <t>230.34</t>
  </si>
  <si>
    <t>OPEL Vivaro 01-, RENAULT Trafic 01-, NISSAN Primastar 01-  (M25506)</t>
  </si>
  <si>
    <t>M255.07</t>
  </si>
  <si>
    <t>M255.07  NTN-SNR - РџС–РґС€РёРїРЅРёРє РѕРїРѕСЂРё Р°РјРѕСЂС‚РёР·Р°С‚РѕСЂР°</t>
  </si>
  <si>
    <t>160.31</t>
  </si>
  <si>
    <t>RENAULT Espace IV| Laguna II| Vel Satis 1,6 16V-3,5 V6 01-   (M25507)</t>
  </si>
  <si>
    <t>M255.10</t>
  </si>
  <si>
    <t>M255.10  NTN-SNR - РџС–РґС€РёРїРЅРёРє РѕРїРѕСЂРё Р°РјРѕСЂС‚РёР·Р°С‚РѕСЂР°</t>
  </si>
  <si>
    <t>221.07</t>
  </si>
  <si>
    <t>RENAULT Laguna III 1.5, 1.6, 2.0dci  07-  (M25510)</t>
  </si>
  <si>
    <t>M259.01</t>
  </si>
  <si>
    <t>M259.01  NTN-SNR - РџС–РґС€РёРїРЅРёРє РѕРїРѕСЂРё Р°РјРѕСЂС‚РёР·Р°С‚РѕСЂР°</t>
  </si>
  <si>
    <t>106.42</t>
  </si>
  <si>
    <t>RENAULT 19, R21, R5, SUPER 5, MEGANE 96-, SCENIC 99-| VOLVO 440/460/480  (M25901)</t>
  </si>
  <si>
    <t>M259.05</t>
  </si>
  <si>
    <t>M259.05  NTN-SNR - РџС–РґС€РёРїРЅРёРє РѕРїРѕСЂРё Р°РјРѕСЂС‚РёР·Р°С‚РѕСЂР°</t>
  </si>
  <si>
    <t>213.01</t>
  </si>
  <si>
    <t>CITROEN Jumper, FIAT Ducato, PEUGEOT Boxer 94-  (Front, L/R)   (M25905)</t>
  </si>
  <si>
    <t>M259.07</t>
  </si>
  <si>
    <t>M259.07  NTN-SNR - РџС–РґС€РёРїРЅРёРє РѕРїРѕСЂРё Р°РјРѕСЂС‚РёР·Р°С‚РѕСЂР°</t>
  </si>
  <si>
    <t>381.73</t>
  </si>
  <si>
    <t>CITROEN Jumpy| FIAT Scudo| PEUGEOT Expert  94-  (M25907)</t>
  </si>
  <si>
    <t>M259.10</t>
  </si>
  <si>
    <t>M259.10  NTN-SNR - РџС–РґС€РёРїРЅРёРє РѕРїРѕСЂРё Р°РјРѕСЂС‚РёР·Р°С‚РѕСЂР°</t>
  </si>
  <si>
    <t>45X12X19  (M25910)</t>
  </si>
  <si>
    <t>M259.12</t>
  </si>
  <si>
    <t>M259.12  NTN-SNR - РџС–РґС€РёРїРЅРёРє РѕРїРѕСЂРё Р°РјРѕСЂС‚РёР·Р°С‚РѕСЂР°</t>
  </si>
  <si>
    <t>186.57</t>
  </si>
  <si>
    <t>CITROEN C4 Picasso II| PEUGEOT 308 II  13-  (Front, L/R)</t>
  </si>
  <si>
    <t>R140.01</t>
  </si>
  <si>
    <t>R140.01  NTN-SNR - РљРѕРјРїР»РµРєС‚ РїС–РґС€РёРїРЅРёРєР° СЃС‚СѓРїРёС†С–</t>
  </si>
  <si>
    <t>1101.24</t>
  </si>
  <si>
    <t>[EVR4001]  45,3X80X48  OPEL Movano 07/2000-, REAR L/R  (R14001)</t>
  </si>
  <si>
    <t>R140.06</t>
  </si>
  <si>
    <t>R140.06  NTN-SNR - РљРѕРјРїР»РµРєС‚ РїС–РґС€РёРїРЅРёРєР° СЃС‚СѓРїРёС†С–</t>
  </si>
  <si>
    <t>1127.50</t>
  </si>
  <si>
    <t>[EVR4006]  49X84X48  OPEL Movano 07/2000- FRONT L/R  (R14006)</t>
  </si>
  <si>
    <t>R140.13</t>
  </si>
  <si>
    <t>R140.13  NTN-SNR - РљРѕРјРїР»РµРєС‚ РїС–РґС€РёРїРЅРёРєР° СЃС‚СѓРїРёС†С–</t>
  </si>
  <si>
    <t>1092.32</t>
  </si>
  <si>
    <t>[EVR4013]  40X73X55  IVECO DAILY 35-8, TURBODAILY 35-10, 35-21, 49-10, 49-12 96, FRONT L/R  (R14013)</t>
  </si>
  <si>
    <t>R140.14</t>
  </si>
  <si>
    <t>R140.14  NTN-SNR - РљРѕРјРїР»РµРєС‚ РїС–РґС€РёРїРЅРёРєР° СЃС‚СѓРїРёС†С–</t>
  </si>
  <si>
    <t>1677.78</t>
  </si>
  <si>
    <t>[EVR4014]  IVECO Daily 35-8| 35-10| 35-12| 49-10| 49-12 Turbodaily 03/96-99, REAR L/R  (R14014)</t>
  </si>
  <si>
    <t>R140.37</t>
  </si>
  <si>
    <t>R140.37  NTN-SNR - РљРѕРјРїР»РµРєС‚ РїС–РґС€РёРїРЅРёРєР° СЃС‚СѓРїРёС†С–</t>
  </si>
  <si>
    <t>873.82</t>
  </si>
  <si>
    <t>[EVR4037]  CITROEN Jumper| FIAT Ducato| PEUGEOT Boxer 1.9D-2.8HDI  94-06  (Rear, L/R)  (R14037)</t>
  </si>
  <si>
    <t>R140.87</t>
  </si>
  <si>
    <t>R140.87  NTN-SNR - РљРѕРјРїР»РµРєС‚ РїС–РґС€РёРїРЅРёРєР° СЃС‚СѓРїРёС†С–</t>
  </si>
  <si>
    <t>358.90</t>
  </si>
  <si>
    <t>[EVR4087]  40X68X19  FORD Transit 85-00 (FRONT L/R)  (R14087)</t>
  </si>
  <si>
    <t>R140.94</t>
  </si>
  <si>
    <t>R140.94  NTN-SNR - РљРѕРјРїР»РµРєС‚ РїС–РґС€РёРїРЅРёРєР° СЃС‚СѓРїРёС†С–</t>
  </si>
  <si>
    <t>1134.71</t>
  </si>
  <si>
    <t>[EVR4094]  55X90X23  FIAT Ducato III, CITROEN Jumper II| PEUGEOT Boxer 94- (FRONT L/R)  (R14094)</t>
  </si>
  <si>
    <t>R141.03</t>
  </si>
  <si>
    <t>R141.03  NTN-SNR - РљРѕРјРїР»РµРєС‚ РїС–РґС€РёРїРЅРёРєР° СЃС‚СѓРїРёС†С–</t>
  </si>
  <si>
    <t>1187.41</t>
  </si>
  <si>
    <t>[EVR4049]  FIAT Ducato 2.0-2.8JTD 09.04-, FRONT L/R  (R14103)</t>
  </si>
  <si>
    <t>R141.05</t>
  </si>
  <si>
    <t>R141.05  NTN-SNR - РљРѕРјРїР»РµРєС‚ РїС–РґС€РёРїРЅРёРєР° СЃС‚СѓРїРёС†С–</t>
  </si>
  <si>
    <t>977.83</t>
  </si>
  <si>
    <t>[EVR5275]  39X74X39  FORD Tourneo Connect 1.8 16V 02-   Front, L/R (R14105)</t>
  </si>
  <si>
    <t>R141.06</t>
  </si>
  <si>
    <t>R141.06  NTN-SNR - РљРѕРјРїР»РµРєС‚ РїС–РґС€РёРїРЅРёРєР° СЃС‚СѓРїРёС†С–</t>
  </si>
  <si>
    <t>FORD Tourneo Connect (MPV) 02-  (Front, L/R)  (R14106)</t>
  </si>
  <si>
    <t>R141.15</t>
  </si>
  <si>
    <t>R141.15  NTN-SNR - РљРѕРјРїР»РµРєС‚ РїС–РґС€РёРїРЅРёРєР° СЃС‚СѓРїРёС†С–</t>
  </si>
  <si>
    <t>1013.36</t>
  </si>
  <si>
    <t>TOYOTA Land Cruiser 100 4.2TD,4.7 98-, (Front, L/R)  (R14115)</t>
  </si>
  <si>
    <t>R141.23</t>
  </si>
  <si>
    <t>R141.23  NTN-SNR - РљРѕРјРїР»РµРєС‚ РїС–РґС€РёРїРЅРёРєР° СЃС‚СѓРїРёС†С–</t>
  </si>
  <si>
    <t>779.59</t>
  </si>
  <si>
    <t>FIAT Doblo 10- (-ABS)  (Rear, L/R)  (R14123)</t>
  </si>
  <si>
    <t>R141.24</t>
  </si>
  <si>
    <t>R141.24  NTN-SNR - РљРѕРјРїР»РµРєС‚ РїС–РґС€РёРїРЅРёРєР° СЃС‚СѓРїРёС†С–</t>
  </si>
  <si>
    <t>911.58</t>
  </si>
  <si>
    <t>[EVR5864]  FIAT Doblo 10- (+ABS)  (Rear, L/R)  (R14124)</t>
  </si>
  <si>
    <t>R141.25</t>
  </si>
  <si>
    <t>R141.25  NTN-SNR - РљРѕРјРїР»РµРєС‚ РїС–РґС€РёРїРЅРёРєР° СЃС‚СѓРїРёС†С–</t>
  </si>
  <si>
    <t>FIAT Doblo Maxi 10- (-ABS)  (Rear, L/R)  (R14125)</t>
  </si>
  <si>
    <t>R141.28</t>
  </si>
  <si>
    <t>R141.28  NTN-SNR - РљРѕРјРїР»РµРєС‚ РїС–РґС€РёРїРЅРёРєР° СЃС‚СѓРїРёС†С–</t>
  </si>
  <si>
    <t>1404.53</t>
  </si>
  <si>
    <t>[EVR5373]  OPEL Movano B, RENAULT Master IV| 2.3dCi  10-  (Rear, L/R)  (R14128)</t>
  </si>
  <si>
    <t>R141.29</t>
  </si>
  <si>
    <t>R141.29  NTN-SNR - РљРѕРјРїР»РµРєС‚ РїС–РґС€РёРїРЅРёРєР° СЃС‚СѓРїРёС†С–</t>
  </si>
  <si>
    <t>1287.81</t>
  </si>
  <si>
    <t>[EVR5372]  OPEL Movano B, RENAULT Master IV  2.3dCi|  10-  (Front, L/R)  (R14129)</t>
  </si>
  <si>
    <t>R141.39</t>
  </si>
  <si>
    <t>R141.39  NTN-SNR - РљРѕРјРїР»РµРєС‚ РїС–РґС€РёРїРЅРёРєР° СЃС‚СѓРїРёС†С–</t>
  </si>
  <si>
    <t>1124.93</t>
  </si>
  <si>
    <t>FORD Transit 2.4 TDCi, 3.2 TDCi  00-  (Rear, L/R)  (R141.39)</t>
  </si>
  <si>
    <t>R141.46</t>
  </si>
  <si>
    <t>R141.46  NTN-SNR - РљРѕРјРїР»РµРєС‚ РїС–РґС€РёРїРЅРёРєР° СЃС‚СѓРїРёС†С–</t>
  </si>
  <si>
    <t>904.37</t>
  </si>
  <si>
    <t>[EVR5147]  50X92X51  MERCEDES VITO, VIANO (W639) 03- (REAR L/R)  (R14146)</t>
  </si>
  <si>
    <t>R141.49</t>
  </si>
  <si>
    <t>R141.49  NTN-SNR - РљРѕРјРїР»РµРєС‚ РїС–РґС€РёРїРЅРёРєР° СЃС‚СѓРїРёС†С–</t>
  </si>
  <si>
    <t>3274.72</t>
  </si>
  <si>
    <t>MB Sprinter 3/3,5/5t 06-  (R14149)</t>
  </si>
  <si>
    <t>R141.51</t>
  </si>
  <si>
    <t>R141.51  NTN-SNR - РљРѕРјРїР»РµРєС‚ РїС–РґС€РёРїРЅРёРєР° СЃС‚СѓРїРёС†С–</t>
  </si>
  <si>
    <t>403.35</t>
  </si>
  <si>
    <t>LDV - 400 Autobus - 2.5 D/TD 94-, FRONT (R14151)</t>
  </si>
  <si>
    <t>R141.54</t>
  </si>
  <si>
    <t>R141.54  NTN-SNR - РљРѕРјРїР»РµРєС‚ РїС–РґС€РёРїРЅРёРєР° СЃС‚СѓРїРёС†С–</t>
  </si>
  <si>
    <t>3527.20</t>
  </si>
  <si>
    <t>MB Sprinter| VW Crafter 1.8-3.5 06-  (Rear, L/R)</t>
  </si>
  <si>
    <t>R150.22</t>
  </si>
  <si>
    <t>R150.22  NTN-SNR - РљРѕРјРїР»РµРєС‚ РїС–РґС€РёРїРЅРёРєР° СЃС‚СѓРїРёС†С–</t>
  </si>
  <si>
    <t>1642.42</t>
  </si>
  <si>
    <t>[EVR5039]  37X139X64  BMW 5 (E34)| 7 (E32)| 8 (E31) 86-99 (FRONT L/R)  (R15022)</t>
  </si>
  <si>
    <t>R150.23</t>
  </si>
  <si>
    <t>R150.23  NTN-SNR - РљРѕРјРїР»РµРєС‚ РїС–РґС€РёРїРЅРёРєР° СЃС‚СѓРїРёС†С–</t>
  </si>
  <si>
    <t>445.41</t>
  </si>
  <si>
    <t>[EVR5023]  BMW 3 (E36) 90-99 (REAR L/R)  (R15023)</t>
  </si>
  <si>
    <t>R150.24</t>
  </si>
  <si>
    <t>R150.24  NTN-SNR - РљРѕРјРїР»РµРєС‚ РїС–РґС€РёРїРЅРёРєР° СЃС‚СѓРїРёС†С–</t>
  </si>
  <si>
    <t>[EVR5024]  42X75X37  BMW 3 (E36, E46)| Z1, Z4 90- (REAR L/R)  (R15024)</t>
  </si>
  <si>
    <t>R150.26</t>
  </si>
  <si>
    <t>R150.26  NTN-SNR - РљРѕРјРїР»РµРєС‚ РїС–РґС€РёРїРЅРёРєР° СЃС‚СѓРїРёС†С–</t>
  </si>
  <si>
    <t>1769.78</t>
  </si>
  <si>
    <t>[EVR5026]  65X136X80  BMW seria 7 E38 94-01 (FRONT L/R)  (R15026)</t>
  </si>
  <si>
    <t>R150.29</t>
  </si>
  <si>
    <t>R150.29  NTN-SNR - РљРѕРјРїР»РµРєС‚ РїС–РґС€РёРїРЅРёРєР° СЃС‚СѓРїРёС†С–</t>
  </si>
  <si>
    <t>[EVR5029]  45X123X41  BMW seria 5 (E39) 95-04 (REAR L/R)  (R15029)</t>
  </si>
  <si>
    <t>R150.30</t>
  </si>
  <si>
    <t>R150.30  NTN-SNR - РљРѕРјРїР»РµРєС‚ РїС–РґС€РёРїРЅРёРєР° СЃС‚СѓРїРёС†С–</t>
  </si>
  <si>
    <t>1647.06</t>
  </si>
  <si>
    <t>[EVR5030]  BMW seria 5 (E39) 95-04 (FRONT L/R)  (R15030)</t>
  </si>
  <si>
    <t>R150.33</t>
  </si>
  <si>
    <t>R150.33  NTN-SNR - РљРѕРјРїР»РµРєС‚ РїС–РґС€РёРїРЅРёРєР° СЃС‚СѓРїРёС†С–</t>
  </si>
  <si>
    <t>916.21</t>
  </si>
  <si>
    <t>[EVR5033]  49X90X45  BMW 3 (E90), (E91), (E92)| 5 (E60), (E61)| X3| X5 00- (FRONT L/R)  (R15033)</t>
  </si>
  <si>
    <t>R150.34</t>
  </si>
  <si>
    <t>R150.34  NTN-SNR - РљРѕРјРїР»РµРєС‚ РїС–РґС€РёРїРЅРёРєР° СЃС‚СѓРїРёС†С–</t>
  </si>
  <si>
    <t>1911.90</t>
  </si>
  <si>
    <t>[EVR5034]  0X145X87  BMW 7 E65,E66  Front, L/R  (R15034)</t>
  </si>
  <si>
    <t>R150.37</t>
  </si>
  <si>
    <t>R150.37  NTN-SNR - РљРѕРјРїР»РµРєС‚ РїС–РґС€РёРїРЅРёРєР° СЃС‚СѓРїРёС†С–</t>
  </si>
  <si>
    <t>1908.81</t>
  </si>
  <si>
    <t>[EVR5037]  0X138,5X83  BMW seria 5, 6 (E60/E61/E63/E64) 03- (FRONT L/R)  (R15037)</t>
  </si>
  <si>
    <t>R150.41</t>
  </si>
  <si>
    <t>R150.41  NTN-SNR - РљРѕРјРїР»РµРєС‚ РїС–РґС€РёРїРЅРёРєР° СЃС‚СѓРїРёС†С–</t>
  </si>
  <si>
    <t>[EVR5041]  42X75X37  BMW 3 (E90) 01/05-09/05 REAR L/R  (R15041)</t>
  </si>
  <si>
    <t>R150.45</t>
  </si>
  <si>
    <t>R150.45  NTN-SNR - РљРѕРјРїР»РµРєС‚ РїС–РґС€РёРїРЅРёРєР° СЃС‚СѓРїРёС†С–</t>
  </si>
  <si>
    <t>2333.10</t>
  </si>
  <si>
    <t>BMW  X5(E70),  X6(E71) 07-  (Front, L/R)</t>
  </si>
  <si>
    <t>R151.07</t>
  </si>
  <si>
    <t>R151.07  NTN-SNR - РљРѕРјРїР»РµРєС‚ РїС–РґС€РёРїРЅРёРєР° СЃС‚СѓРїРёС†С–</t>
  </si>
  <si>
    <t>[EVR5107]  MERCEDES (W201, W202, W124, W210) 82-02 (REAR L/R)  (R15107)</t>
  </si>
  <si>
    <t>R151.14</t>
  </si>
  <si>
    <t>R151.14  NTN-SNR - РљРѕРјРїР»РµРєС‚ РїС–РґС€РёРїРЅРёРєР° СЃС‚СѓРїРёС†С–</t>
  </si>
  <si>
    <t>271.88</t>
  </si>
  <si>
    <t>[EVR5114]  31,75X59,13X15,88  MERCEDES (W201/W124/S124) 80-97 (FRONT L/R)  (R15114)</t>
  </si>
  <si>
    <t>R151.20</t>
  </si>
  <si>
    <t>R151.20  NTN-SNR - РљРѕРјРїР»РµРєС‚ РїС–РґС€РёРїРЅРёРєР° СЃС‚СѓРїРёС†С–</t>
  </si>
  <si>
    <t>890.81</t>
  </si>
  <si>
    <t>[EVR5120]  25X52X52  MERCEDES W140 91-99 (FRONT L/R)  (R15120)</t>
  </si>
  <si>
    <t>R151.24</t>
  </si>
  <si>
    <t>R151.24  NTN-SNR - РљРѕРјРїР»РµРєС‚ РїС–РґС€РёРїРЅРёРєР° СЃС‚СѓРїРёС†С–</t>
  </si>
  <si>
    <t>415.71</t>
  </si>
  <si>
    <t>[EVR5124]  21,99X45,24X15,49  MERCEDES W202/S202, W210/S210 93-02 (FRONT L/R)  (R15124)</t>
  </si>
  <si>
    <t>R151.25</t>
  </si>
  <si>
    <t>R151.25  NTN-SNR - РљРѕРјРїР»РµРєС‚ РїС–РґС€РёРїРЅРёРєР° СЃС‚СѓРїРёС†С–</t>
  </si>
  <si>
    <t>1102.96</t>
  </si>
  <si>
    <t>[EVR5125]  MB S-Class (W140) 93-99, (W220) 99-04  (Rear, L/R)</t>
  </si>
  <si>
    <t>R151.26</t>
  </si>
  <si>
    <t>R151.26  NTN-SNR - РљРѕРјРїР»РµРєС‚ РїС–РґС€РёРїРЅРёРєР° СЃС‚СѓРїРёС†С–</t>
  </si>
  <si>
    <t>714.37</t>
  </si>
  <si>
    <t>[EVR5126]  49X88X46  MERCEDES ML 230/320/430 (W163) 98-05 (F, REAR L/R)  (R15126)</t>
  </si>
  <si>
    <t>R151.27</t>
  </si>
  <si>
    <t>R151.27  NTN-SNR - РљРѕРјРїР»РµРєС‚ РїС–РґС€РёРїРЅРёРєР° СЃС‚СѓРїРёС†С–</t>
  </si>
  <si>
    <t>[EVR5127]  MERCEDES VITO 96- C (CL/W203/S203) 02- (F,R L/R)  (R15127)</t>
  </si>
  <si>
    <t>R151.30</t>
  </si>
  <si>
    <t>R151.30  NTN-SNR - РљРѕРјРїР»РµРєС‚ РїС–РґС€РёРїРЅРёРєР° СЃС‚СѓРїРёС†С–</t>
  </si>
  <si>
    <t>1018.51</t>
  </si>
  <si>
    <t>[EVR5130]  49X88X46  MERCEDES W210 | E230-420 (T210)| W140 94-, REAR L/R  (R15130)</t>
  </si>
  <si>
    <t>R151.35</t>
  </si>
  <si>
    <t>R151.35  NTN-SNR - РљРѕРјРїР»РµРєС‚ РїС–РґС€РёРїРЅРёРєР° СЃС‚СѓРїРёС†С–</t>
  </si>
  <si>
    <t>509.08</t>
  </si>
  <si>
    <t>[EVR5135]  40X68X19  MERCEDES W220 S280-S500 10/98-, FRONT L/R  (R15135)</t>
  </si>
  <si>
    <t>R151.36</t>
  </si>
  <si>
    <t>R151.36  NTN-SNR - РљРѕРјРїР»РµРєС‚ РїС–РґС€РёРїРЅРёРєР° СЃС‚СѓРїРёС†С–</t>
  </si>
  <si>
    <t>[EVR5136]  40X68X19  MERCEDES C-CLASS W203 00-07, (FRONT L/R)  (R15136)</t>
  </si>
  <si>
    <t>R151.37</t>
  </si>
  <si>
    <t>R151.37  NTN-SNR - РљРѕРјРїР»РµРєС‚ РїС–РґС€РёРїРЅРёРєР° СЃС‚СѓРїРёС†С–</t>
  </si>
  <si>
    <t>895.10</t>
  </si>
  <si>
    <t>[EVR5137]  49X128,5X50  MERCEDES KLASA E (W211/S211) 11.02-, REAR L/R  (R15137)</t>
  </si>
  <si>
    <t>R151.38</t>
  </si>
  <si>
    <t>R151.38  NTN-SNR - РљРѕРјРїР»РµРєС‚ РїС–РґС€РёРїРЅРёРєР° СЃС‚СѓРїРёС†С–</t>
  </si>
  <si>
    <t>675.75</t>
  </si>
  <si>
    <t>[EVR5138]  MB E-Class (W211, W212) 02-| CLS C-219 04-, (Front, L/R)  (R15138)</t>
  </si>
  <si>
    <t>R151.40</t>
  </si>
  <si>
    <t>R151.40  NTN-SNR - РљРѕРјРїР»РµРєС‚ РїС–РґС€РёРїРЅРёРєР° СЃС‚СѓРїРёС†С–</t>
  </si>
  <si>
    <t>702.52</t>
  </si>
  <si>
    <t>[EVR5145]  45X84X39  Mercedes A-CLASS (W169) 04-| B-CLASS (W245) 05-, FRONT L/R  (R15140)</t>
  </si>
  <si>
    <t>R152.23</t>
  </si>
  <si>
    <t>R152.23  NTN-SNR - РљРѕРјРїР»РµРєС‚ РїС–РґС€РёРїРЅРёРєР° СЃС‚СѓРїРёС†С–</t>
  </si>
  <si>
    <t>876.05</t>
  </si>
  <si>
    <t>[EVR5223]  40X75X37  FORD Mondeo III 00-07| Jaguar X-Type 02- (FRONT L/R)  (R15223)</t>
  </si>
  <si>
    <t>R152.55</t>
  </si>
  <si>
    <t>R152.55  NTN-SNR - РљРѕРјРїР»РµРєС‚ РїС–РґС€РёРїРЅРёРєР° СЃС‚СѓРїРёС†С–</t>
  </si>
  <si>
    <t>640.05</t>
  </si>
  <si>
    <t>[EVR5255]  39X72,05X37  FORD Fiesta V, Focus I, Fusion 98- (FRONT L/R)  (R15255)</t>
  </si>
  <si>
    <t>R152.56</t>
  </si>
  <si>
    <t>R152.56  NTN-SNR - РљРѕРјРїР»РµРєС‚ РїС–РґС€РёРїРЅРёРєР° СЃС‚СѓРїРёС†С–</t>
  </si>
  <si>
    <t>673.17</t>
  </si>
  <si>
    <t>[EVR5256]  29X53X37  FORD Focus, Fiesta| Fusion 98- (REAR L/R)  (R15256)</t>
  </si>
  <si>
    <t>R152.60</t>
  </si>
  <si>
    <t>R152.60  NTN-SNR - РљРѕРјРїР»РµРєС‚ РїС–РґС€РёРїРЅРёРєР° СЃС‚СѓРїРёС†С–</t>
  </si>
  <si>
    <t>1187.75</t>
  </si>
  <si>
    <t>[EVR5260]  45X110X63  FORD Transit 00-06 (FRONT L/R)  (R15260)</t>
  </si>
  <si>
    <t>R152.62</t>
  </si>
  <si>
    <t>R152.62  NTN-SNR - РљРѕРјРїР»РµРєС‚ РїС–РґС€РёРїРЅРёРєР° СЃС‚СѓРїРёС†С–</t>
  </si>
  <si>
    <t>1258.64</t>
  </si>
  <si>
    <t>[EVR5262]  26,4X131,25X91,55  FORD FOCUS 03- (FRONT L/R)  (R15262)</t>
  </si>
  <si>
    <t>R152.74</t>
  </si>
  <si>
    <t>R152.74  NTN-SNR - РљРѕРјРїР»РµРєС‚ РїС–РґС€РёРїРЅРёРєР° СЃС‚СѓРїРёС†С–</t>
  </si>
  <si>
    <t>1360.42</t>
  </si>
  <si>
    <t>[EVR5294]  FORD Fiesta 1.25-1.6TDCi  08-  (Rear. L/R)  (R15274)</t>
  </si>
  <si>
    <t>R152.79</t>
  </si>
  <si>
    <t>R152.79  NTN-SNR - РљРѕРјРїР»РµРєС‚ РїС–РґС€РёРїРЅРёРєР° СЃС‚СѓРїРёС†С–</t>
  </si>
  <si>
    <t>1484.69</t>
  </si>
  <si>
    <t>FORD Focus II, C-Max 1.4-2.5 03-, (Р±РµР· РґР°С‚С‡РёРєР° ABS) (Rear) (R15279)</t>
  </si>
  <si>
    <t>R153.25</t>
  </si>
  <si>
    <t>R153.25  NTN-SNR - РљРѕРјРїР»РµРєС‚ РїС–РґС€РёРїРЅРёРєР° СЃС‚СѓРїРёС†С–</t>
  </si>
  <si>
    <t>437.00</t>
  </si>
  <si>
    <t>[EVR5325]  34X66X37  OPEL Astra| Corsa| Tigra| Vectra 84-05 (FRONT L/R)  (R15325)</t>
  </si>
  <si>
    <t>R153.40</t>
  </si>
  <si>
    <t>R153.40  NTN-SNR - РљРѕРјРїР»РµРєС‚ РїС–РґС€РёРїРЅРёРєР° СЃС‚СѓРїРёС†С–</t>
  </si>
  <si>
    <t>2294.83</t>
  </si>
  <si>
    <t>[EVR5340]  OPEL Vectra C 02- (4РѕС‚РІСЂ.) (FRONT, L/R)  (R15340)</t>
  </si>
  <si>
    <t>R153.41</t>
  </si>
  <si>
    <t>R153.41  NTN-SNR - РљРѕРјРїР»РµРєС‚ РїС–РґС€РёРїРЅРёРєР° СЃС‚СѓРїРёС†С–</t>
  </si>
  <si>
    <t>3096.56</t>
  </si>
  <si>
    <t>[EVR5341]  OPEL Vectra C 02- (5РѕС‚РІСЂ.) (REAR L/R)  (R15341)</t>
  </si>
  <si>
    <t>R153.43</t>
  </si>
  <si>
    <t>R153.43  NTN-SNR - РљРѕРјРїР»РµРєС‚ РїС–РґС€РёРїРЅРёРєР° СЃС‚СѓРїРёС†С–</t>
  </si>
  <si>
    <t>2883.72</t>
  </si>
  <si>
    <t>[EVR5343]  OPEL Vectra C 05- (5РѕС‚РІСЂ.) (FRONT L/R)  (R15343)</t>
  </si>
  <si>
    <t>R153.46</t>
  </si>
  <si>
    <t>R153.46  NTN-SNR - РљРѕРјРїР»РµРєС‚ РїС–РґС€РёРїРЅРёРєР° СЃС‚СѓРїРёС†С–</t>
  </si>
  <si>
    <t>505.99</t>
  </si>
  <si>
    <t>[EVR5346]  40X72X36  SUZUKI Swift III| 1.3/1.3D/1.5| 02.05-, FRONT L/R  (R15346)</t>
  </si>
  <si>
    <t>R153.48</t>
  </si>
  <si>
    <t>R153.48  NTN-SNR - РљРѕРјРїР»РµРєС‚ РїС–РґС€РёРїРЅРёРєР° СЃС‚СѓРїРёС†С–</t>
  </si>
  <si>
    <t>3532.35</t>
  </si>
  <si>
    <t>[EVR5348]  25X137X85  OPEL Astra H 04- (5РѕС‚РІСЂ.), (FRONT L/R)  (R15348)</t>
  </si>
  <si>
    <t>R153.57</t>
  </si>
  <si>
    <t>R153.57  NTN-SNR - РљРѕРјРїР»РµРєС‚ РїС–РґС€РёРїРЅРёРєР° СЃС‚СѓРїРёС†С–</t>
  </si>
  <si>
    <t>530.20</t>
  </si>
  <si>
    <t>[EVR5861]  34,98X72,04X33  FIAT Grande PUNTO 10/05- , OPEL Corsa D 07/06- (FRONT L/R)  (R15357)</t>
  </si>
  <si>
    <t>R153.69</t>
  </si>
  <si>
    <t>R153.69  NTN-SNR - РљРѕРјРїР»РµРєС‚ РїС–РґС€РёРїРЅРёРєР° СЃС‚СѓРїРёС†С–</t>
  </si>
  <si>
    <t>[EVR5370]  CHEVROLET Cruze| OPEL Astra J 1.4-2.0D (R16") 09- (Rear, L/R)  (R15369)</t>
  </si>
  <si>
    <t>R154.13</t>
  </si>
  <si>
    <t>R154.13  NTN-SNR - РљРѕРјРїР»РµРєС‚ РїС–РґС€РёРїРЅРёРєР° СЃС‚СѓРїРёС†С–</t>
  </si>
  <si>
    <t>169.24</t>
  </si>
  <si>
    <t>[EVR5413]  17,46X39,88X13,84  AUDI 80, 90, 100 76-91, VW Golf I-III 74-99, Passat 73-97 (R,L/R)  (R15413)</t>
  </si>
  <si>
    <t>R154.22</t>
  </si>
  <si>
    <t>R154.22  NTN-SNR - РљРѕРјРїР»РµРєС‚ РїС–РґС€РёРїРЅРёРєР° СЃС‚СѓРїРёС†С–</t>
  </si>
  <si>
    <t>629.40</t>
  </si>
  <si>
    <t>[EVR5422]  41,27X73,43X21,5  VW LT 40-55 - 06/1996, FRONT L/R  (R15422)</t>
  </si>
  <si>
    <t>R154.24</t>
  </si>
  <si>
    <t>R154.24  NTN-SNR - РљРѕРјРїР»РµРєС‚ РїС–РґС€РёРїРЅРёРєР° СЃС‚СѓРїРёС†С–</t>
  </si>
  <si>
    <t>377.61</t>
  </si>
  <si>
    <t>[EVR5424]  VW T3 81-92 (FRONT L/R)  (R15424)</t>
  </si>
  <si>
    <t>R154.33</t>
  </si>
  <si>
    <t>R154.33  NTN-SNR - РљРѕРјРїР»РµРєС‚ РїС–РґС€РёРїРЅРёРєР° СЃС‚СѓРїРёС†С–</t>
  </si>
  <si>
    <t>759.68</t>
  </si>
  <si>
    <t>[EVR5433]  45X80X45  VW T4 90-03 (REAR L/R)  (R15433)</t>
  </si>
  <si>
    <t>R154.34</t>
  </si>
  <si>
    <t>R154.34  NTN-SNR - РљРѕРјРїР»РµРєС‚ РїС–РґС€РёРїРЅРёРєР° СЃС‚СѓРїРёС†С–</t>
  </si>
  <si>
    <t>[EVR5434]  VW PASSAT, Golf III 91-99 (FRONT L/R)  (R15434)</t>
  </si>
  <si>
    <t>R154.41</t>
  </si>
  <si>
    <t>R154.41  NTN-SNR - РљРѕРјРїР»РµРєС‚ РїС–РґС€РёРїРЅРёРєР° СЃС‚СѓРїРёС†С–</t>
  </si>
  <si>
    <t>790.75</t>
  </si>
  <si>
    <t>[EVR5441]  43X80X38  VW Sharan, FORD Galaxy, SEAT Alhambra 95- (FRONT,REAR L/R)  (R15441)</t>
  </si>
  <si>
    <t>R154.42</t>
  </si>
  <si>
    <t>R154.42  NTN-SNR - РљРѕРјРїР»РµРєС‚ РїС–РґС€РёРїРЅРёРєР° СЃС‚СѓРїРёС†С–</t>
  </si>
  <si>
    <t>814.95</t>
  </si>
  <si>
    <t>[EVR5442]  43X80X38  VW Sharan, FORD Galaxy, SEAT Alhambra 95- (REAR L/R)  (R15442)</t>
  </si>
  <si>
    <t>R154.44</t>
  </si>
  <si>
    <t>R154.44  NTN-SNR - РљРѕРјРїР»РµРєС‚ РїС–РґС€РёРїРЅРёРєР° СЃС‚СѓРїРёС†С–</t>
  </si>
  <si>
    <t>1713.83</t>
  </si>
  <si>
    <t>[EVR5444]  39X130X127  VW Passat, SKODA Superb, AUDI A6 96-08 (REAR L/R)  (R15444)</t>
  </si>
  <si>
    <t>R154.46</t>
  </si>
  <si>
    <t>R154.46  NTN-SNR - РљРѕРјРїР»РµРєС‚ РїС–РґС€РёРїРЅРёРєР° СЃС‚СѓРїРёС†С–</t>
  </si>
  <si>
    <t>1050.78</t>
  </si>
  <si>
    <t>[EVR5446]  49X84X48  SPRINTER 208-414, VW LT28/35/46 95-06 (REAR L/R)  (R15446)</t>
  </si>
  <si>
    <t>R154.47</t>
  </si>
  <si>
    <t>R154.47  NTN-SNR - РљРѕРјРїР»РµРєС‚ РїС–РґС€РёРїРЅРёРєР° СЃС‚СѓРїРёС†С–</t>
  </si>
  <si>
    <t>805.51</t>
  </si>
  <si>
    <t>[EVR5447]  50X90X90  SPRINTER 408-414, VW LT46 96-06 (REAR L/R)  (R15447)</t>
  </si>
  <si>
    <t>R154.50</t>
  </si>
  <si>
    <t>R154.50  NTN-SNR - РљРѕРјРїР»РµРєС‚ РїС–РґС€РёРїРЅРёРєР° СЃС‚СѓРїРёС†С–</t>
  </si>
  <si>
    <t>[EVR5450]  29X50,29X14,73  AUDI A4 95-03, SEAT Inca, VW Caddy II 95-04 (REAR L/R)  (R15450)</t>
  </si>
  <si>
    <t>R154.55</t>
  </si>
  <si>
    <t>R154.55  NTN-SNR - РљРѕРјРїР»РµРєС‚ РїС–РґС€РёРїРЅРёРєР° СЃС‚СѓРїРёС†С–</t>
  </si>
  <si>
    <t>1268.42</t>
  </si>
  <si>
    <t>[EVR5454]  30X136,45X67  AUDI A3| SEAT Altea| VW Caddy III, Golf V, Passat, Touran| SKODA Octavia 03- (REAR L/R)  (R15455)</t>
  </si>
  <si>
    <t>R154.56</t>
  </si>
  <si>
    <t>R154.56  NTN-SNR - РљРѕРјРїР»РµРєС‚ РїС–РґС€РёРїРЅРёРєР° СЃС‚СѓРїРёС†С–</t>
  </si>
  <si>
    <t>1569.48</t>
  </si>
  <si>
    <t>[EVR5456]  0X136X84  AUDI A3| SEAT Altea| VW Caddy III, Golf V, Passat, Touran| SKODA Octavia 03- (FRONT L/R)  (R15456)</t>
  </si>
  <si>
    <t>R154.58</t>
  </si>
  <si>
    <t>R154.58  NTN-SNR - РљРѕРјРїР»РµРєС‚ РїС–РґС€РёРїРЅРёРєР° СЃС‚СѓРїРёС†С–</t>
  </si>
  <si>
    <t>1917.39</t>
  </si>
  <si>
    <t>[EVR5458]  VW T5 03- (FRONT,REAR L/R)  (R15458)</t>
  </si>
  <si>
    <t>R154.59</t>
  </si>
  <si>
    <t>R154.59  NTN-SNR - РљРѕРјРїР»РµРєС‚ РїС–РґС€РёРїРЅРёРєР° СЃС‚СѓРїРёС†С–</t>
  </si>
  <si>
    <t>1122.35</t>
  </si>
  <si>
    <t>[EVR5460]  VW Touareg| PORSCHE Cayenne 10/2002-, FRONT L/R  (R15459)</t>
  </si>
  <si>
    <t>R154.61</t>
  </si>
  <si>
    <t>R154.61  NTN-SNR - РљРѕРјРїР»РµРєС‚ РїС–РґС€РёРїРЅРёРєР° СЃС‚СѓРїРёС†С–</t>
  </si>
  <si>
    <t>1531.37</t>
  </si>
  <si>
    <t>[EVR5463]  AUDI A3| SEAT Altea, Toledo III| VW Caddy III, Golf V 03- (FRONT L/R)  (R15461)</t>
  </si>
  <si>
    <t>R154.66</t>
  </si>
  <si>
    <t>R154.66  NTN-SNR - РљРѕРјРїР»РµРєС‚ РїС–РґС€РёРїРЅРёРєР° СЃС‚СѓРїРёС†С–</t>
  </si>
  <si>
    <t>1378.61</t>
  </si>
  <si>
    <t>[EVR6713]  PORSCHE Cayenne| VW Touareg 3.0TDI-4.8i  10-  (front/rear L/R) (R15466)</t>
  </si>
  <si>
    <t>R154.69</t>
  </si>
  <si>
    <t>R154.69  NTN-SNR - РљРѕРјРїР»РµРєС‚ РїС–РґС€РёРїРЅРёРєР° СЃС‚СѓРїРёС†С–</t>
  </si>
  <si>
    <t>2099.84</t>
  </si>
  <si>
    <t>[EVR5476]  AUDI A3| SEAT Leon| SKODA Ootavia| VW Golf VII, Passat 1.2-2.0D 12-  (Front, L/R)  (R15469)</t>
  </si>
  <si>
    <t>R155.114</t>
  </si>
  <si>
    <t>R155.114  NTN-SNR - РљРѕРјРїР»РµРєС‚ РїС–РґС€РёРїРЅРёРєР° СЃС‚СѓРїРёС†С–</t>
  </si>
  <si>
    <t>794.52</t>
  </si>
  <si>
    <t>[EVR5522]  DACIA Duster 4X4 1.5dCi, 1.6  10-  (Rear, L/R)  (R155114)</t>
  </si>
  <si>
    <t>R155.119</t>
  </si>
  <si>
    <t>R155.119  NTN-SNR - РљРѕРјРїР»РµРєС‚ РїС–РґС€РёРїРЅРёРєР° СЃС‚СѓРїРёС†С–</t>
  </si>
  <si>
    <t>2479.51</t>
  </si>
  <si>
    <t>NISSAN Qashqai (J11E)| RENAULT Kadjar  13-  (Front, L/R)</t>
  </si>
  <si>
    <t>R155.19</t>
  </si>
  <si>
    <t>R155.19  NTN-SNR - РљРѕРјРїР»РµРєС‚ РїС–РґС€РёРїРЅРёРєР° СЃС‚СѓРїРёС†С–</t>
  </si>
  <si>
    <t>[EVR5519]  25X52X37  RENAULT 19,MEGANE,CLIO 84- (REAR L/R)  (R15519)</t>
  </si>
  <si>
    <t>R155.58</t>
  </si>
  <si>
    <t>R155.58  NTN-SNR - РљРѕРјРїР»РµРєС‚ РїС–РґС€РёРїРЅРёРєР° СЃС‚СѓРїРёС†С–</t>
  </si>
  <si>
    <t>559.89</t>
  </si>
  <si>
    <t>[EVR5558]  25X55X43  RENAULT Kangoo (- ABS) 97- (REAR L/R)  (R15558)</t>
  </si>
  <si>
    <t>R155.60</t>
  </si>
  <si>
    <t>R155.60  NTN-SNR - РљРѕРјРїР»РµРєС‚ РїС–РґС€РёРїРЅРёРєР° СЃС‚СѓРїРёС†С–</t>
  </si>
  <si>
    <t>1106.73</t>
  </si>
  <si>
    <t>[EVR5560]  25X133X54  RENAULT Kangoo (+ ABS) 97- (REAR L/R)  (R15560)</t>
  </si>
  <si>
    <t>R155.62</t>
  </si>
  <si>
    <t>R155.62  NTN-SNR - РљРѕРјРїР»РµРєС‚ РїС–РґС€РёРїРЅРёРєР° СЃС‚СѓРїРёС†С–</t>
  </si>
  <si>
    <t>504.79</t>
  </si>
  <si>
    <t>[EVR5516]  37X72,04X37  DACIA Logan 04-| RENAULT 19, 21, Kangoo 88-  (FRONT L/R) (R15562)</t>
  </si>
  <si>
    <t>R155.63</t>
  </si>
  <si>
    <t>R155.63  NTN-SNR - РљРѕРјРїР»РµРєС‚ РїС–РґС€РёРїРЅРёРєР° СЃС‚СѓРїРёС†С–</t>
  </si>
  <si>
    <t>394.43</t>
  </si>
  <si>
    <t>[EVR5563]  25X52X37  DACIA Logan| RENAULT 9, 11, 19, Clio, Megane, 93- (REAR L/R)  (R15563)</t>
  </si>
  <si>
    <t>R155.64</t>
  </si>
  <si>
    <t>R155.64  NTN-SNR - РљРѕРјРїР»РµРєС‚ РїС–РґС€РёРїРЅРёРєР° СЃС‚СѓРїРёС†С–</t>
  </si>
  <si>
    <t>1060.05</t>
  </si>
  <si>
    <t>[EVR5564]  49X84X48  RENAULT Master II, III| OPEL Movano 98- (FRONT L/R)  (R15564)</t>
  </si>
  <si>
    <t>R155.69</t>
  </si>
  <si>
    <t>R155.69  NTN-SNR - РљРѕРјРїР»РµРєС‚ РїС–РґС€РёРїРЅРёРєР° СЃС‚СѓРїРёС†С–</t>
  </si>
  <si>
    <t>1107.59</t>
  </si>
  <si>
    <t>[EVR5569]  45X86X39  RENAULT Trafic II| OPEL Vivaro 01- (FRONT L/R)  (R15569)</t>
  </si>
  <si>
    <t>R155.70</t>
  </si>
  <si>
    <t>R155.70  NTN-SNR - РљРѕРјРїР»РµРєС‚ РїС–РґС€РёРїРЅРёРєР° СЃС‚СѓРїРёС†С–</t>
  </si>
  <si>
    <t>1109.65</t>
  </si>
  <si>
    <t>[EVR5570]  35X68X48  OPEL Vivaro 01-| RENAULT Trafic 01- (REAR L/R)  (R15570)</t>
  </si>
  <si>
    <t>R155.71</t>
  </si>
  <si>
    <t>R155.71  NTN-SNR - РљРѕРјРїР»РµРєС‚ РїС–РґС€РёРїРЅРёРєР° СЃС‚СѓРїРёС†С–</t>
  </si>
  <si>
    <t>846.36</t>
  </si>
  <si>
    <t>[EVR4099]  45X86X39  RENAULT Trafic II (- ABS) 01-| Vivaro 2001- (FRONT L/R)  (R15571)</t>
  </si>
  <si>
    <t>R155.74</t>
  </si>
  <si>
    <t>R155.74  NTN-SNR - РљРѕРјРїР»РµРєС‚ РїС–РґС€РёРїРЅРёРєР° СЃС‚СѓРїРёС†С–</t>
  </si>
  <si>
    <t>952.77</t>
  </si>
  <si>
    <t>[EVR5574]  45X88,02X39  RENAULT Trafic 02-, FRONT L/R  (R15574)</t>
  </si>
  <si>
    <t>R155.76</t>
  </si>
  <si>
    <t>R155.76  NTN-SNR - РљРѕРјРїР»РµРєС‚ РїС–РґС€РёРїРЅРёРєР° СЃС‚СѓРїРёС†С–</t>
  </si>
  <si>
    <t>975.60</t>
  </si>
  <si>
    <t>[EVR5576]  42X77X39  RENAULT Megane, Scenic II, Grand Scenic 02- (FRONT L/R)  (R15576)</t>
  </si>
  <si>
    <t>R155.77</t>
  </si>
  <si>
    <t>R155.77  NTN-SNR - РљРѕРјРїР»РµРєС‚ РїС–РґС€РёРїРЅРёРєР° СЃС‚СѓРїРёС†С–</t>
  </si>
  <si>
    <t>717.80</t>
  </si>
  <si>
    <t>[EVR5577]  25X55X45  RENAULT Megane II 1.4 16V 2.0 16V 11/02-, REAR L/R  (R15577)</t>
  </si>
  <si>
    <t>R155.78</t>
  </si>
  <si>
    <t>R155.78  NTN-SNR - РљРѕРјРїР»РµРєС‚ РїС–РґС€РёРїРЅРёРєР° СЃС‚СѓРїРёС†С–</t>
  </si>
  <si>
    <t>692.74</t>
  </si>
  <si>
    <t>[EVR5579]  25X55X48  RENAULT Grand Scenic, Megane II 08.03-, REAR L/R  (R15578)</t>
  </si>
  <si>
    <t>R155.80</t>
  </si>
  <si>
    <t>R155.80  NTN-SNR - РљРѕРјРїР»РµРєС‚ РїС–РґС€РёРїРЅРёРєР° СЃС‚СѓРїРёС†С–</t>
  </si>
  <si>
    <t>610.87</t>
  </si>
  <si>
    <t>[EVR5580]  37X72,04X37  DACIA Logan 04- (FRONT L/R)  (R15580)</t>
  </si>
  <si>
    <t>R155.82</t>
  </si>
  <si>
    <t>R155.82  NTN-SNR - РљРѕРјРїР»РµРєС‚ РїС–РґС€РёРїРЅРёРєР° СЃС‚СѓРїРёС†С–</t>
  </si>
  <si>
    <t>1344.63</t>
  </si>
  <si>
    <t>[EVR5582]  25X133X54  RENAULT Kangoo (+ABS) 03.98-02.07, REAR L/R  (R15582)</t>
  </si>
  <si>
    <t>R155.87</t>
  </si>
  <si>
    <t>R155.87  NTN-SNR - РљРѕРјРїР»РµРєС‚ РїС–РґС€РёРїРЅРёРєР° СЃС‚СѓРїРёС†С–</t>
  </si>
  <si>
    <t>600.23</t>
  </si>
  <si>
    <t>[EVR5595]  42X80X39  DACIA Duster, RENAULT Megane III 1.4,1.5dCi,1.6,2.0| 11.08-  (Front, L/R)  (R15587)</t>
  </si>
  <si>
    <t>R157.08</t>
  </si>
  <si>
    <t>R157.08  NTN-SNR - РљРѕРјРїР»РµРєС‚ РїС–РґС€РёРїРЅРёРєР° СЃС‚СѓРїРёС†С–</t>
  </si>
  <si>
    <t>[EVR5708]  AUDI 80, 90, VW Passat 86-00 (FRONT L/R)  (R15708)</t>
  </si>
  <si>
    <t>R157.12</t>
  </si>
  <si>
    <t>R157.12  NTN-SNR - РљРѕРјРїР»РµРєС‚ РїС–РґС€РёРїРЅРёРєР° СЃС‚СѓРїРёС†С–</t>
  </si>
  <si>
    <t>[EVR5712]  AUDI 80, 90, 100, A4, A6 76-01, SEAT Inca, VW Caddy II 95-04 (REAR L/R)  (R15712)</t>
  </si>
  <si>
    <t>R157.20</t>
  </si>
  <si>
    <t>R157.20  NTN-SNR - РљРѕРјРїР»РµРєС‚ РїС–РґС€РёРїРЅРёРєР° СЃС‚СѓРїРёС†С–</t>
  </si>
  <si>
    <t>[EVR5720]  AUDI A3,TT| SEAT Toledo| SKODA Octavia| VW Bora, Golf 96- (REAR L/R)  (R15720)</t>
  </si>
  <si>
    <t>R157.22</t>
  </si>
  <si>
    <t>R157.22  NTN-SNR - РљРѕРјРїР»РµРєС‚ РїС–РґС€РёРїРЅРёРєР° СЃС‚СѓРїРёС†С–</t>
  </si>
  <si>
    <t>629.92</t>
  </si>
  <si>
    <t>[EVR5722]  40X74X40  AUDI A3,TT| SEAT Toledo| SKODA Octavia| VW Bora, Golf 96- (FRONT L/R)  (R15722)</t>
  </si>
  <si>
    <t>R157.26</t>
  </si>
  <si>
    <t>R157.26  NTN-SNR - РљРѕРјРїР»РµРєС‚ РїС–РґС€РёРїРЅРёРєР° СЃС‚СѓРїРёС†С–</t>
  </si>
  <si>
    <t>1046.15</t>
  </si>
  <si>
    <t>[EVR5466, EVR5726]  AUDI A6 97-05 (REAR L/R)  (R15726)</t>
  </si>
  <si>
    <t>R157.32</t>
  </si>
  <si>
    <t>R157.32  NTN-SNR - РљРѕРјРїР»РµРєС‚ РїС–РґС€РёРїРЅРёРєР° СЃС‚СѓРїРёС†С–</t>
  </si>
  <si>
    <t>[EVR5732]  27,5X126,65X82  AUDI A2| VW Polo,Fox| SKODA Fabia 99- (FRONT L/R)  (R15732)</t>
  </si>
  <si>
    <t>R157.40</t>
  </si>
  <si>
    <t>R157.40  NTN-SNR - РљРѕРјРїР»РµРєС‚ РїС–РґС€РёРїРЅРёРєР° СЃС‚СѓРїРёС†С–</t>
  </si>
  <si>
    <t>1264.99</t>
  </si>
  <si>
    <t>[EVR5739]  45X84,95X40  AUDI A6, Avant, Allroad 04- (FRONT L/R)  (R15740)</t>
  </si>
  <si>
    <t>R158.36</t>
  </si>
  <si>
    <t>R158.36  NTN-SNR - РљРѕРјРїР»РµРєС‚ РїС–РґС€РёРїРЅРёРєР° СЃС‚СѓРїРёС†С–</t>
  </si>
  <si>
    <t>432.70</t>
  </si>
  <si>
    <t>[EVR5836]  36,98X72,04X37  FIAT Brava, Bravo, Marea, Doblo, Tempra (-ABS) 90- (FRONT L/R)  (R15836)</t>
  </si>
  <si>
    <t>R158.43</t>
  </si>
  <si>
    <t>R158.43  NTN-SNR - РљРѕРјРїР»РµРєС‚ РїС–РґС€РёРїРЅРёРєР° СЃС‚СѓРїРёС†С–</t>
  </si>
  <si>
    <t>587.52</t>
  </si>
  <si>
    <t>[EVR5843]  36,98X72,04X37  ALFA ROMEO 145, 146| FIAT Brava, Bravo, Doblo, Idea, Strada 94- (FRONT, L/R)  (R15843)</t>
  </si>
  <si>
    <t>R158.44</t>
  </si>
  <si>
    <t>R158.44  NTN-SNR - РљРѕРјРїР»РµРєС‚ РїС–РґС€РёРїРЅРёРєР° СЃС‚СѓРїРёС†С–</t>
  </si>
  <si>
    <t>[EVR5844]  34,98X72,04X33  FIAT Punto, Tempra ,Tipo (+ABS) 90-, FRONT L/R  (R15844)</t>
  </si>
  <si>
    <t>R158.53</t>
  </si>
  <si>
    <t>R158.53  NTN-SNR - РљРѕРјРїР»РµРєС‚ РїС–РґС€РёРїРЅРёРєР° СЃС‚СѓРїРёС†С–</t>
  </si>
  <si>
    <t>1080.47</t>
  </si>
  <si>
    <t>[EVR5853]  30X117,5X61  FIAT Doblo, Doblo Cargo 01- (REAR L/R)  (R15853)</t>
  </si>
  <si>
    <t>R159.24</t>
  </si>
  <si>
    <t>R159.24  NTN-SNR - РљРѕРјРїР»РµРєС‚ РїС–РґС€РёРїРЅРёРєР° СЃС‚СѓРїРёС†С–</t>
  </si>
  <si>
    <t>[EVR5924]  CITROEN XM 89-97, XM TD 89-97, FRONT L/R  (R15924)</t>
  </si>
  <si>
    <t>R159.31</t>
  </si>
  <si>
    <t>R159.31  NTN-SNR - РљРѕРјРїР»РµРєС‚ РїС–РґС€РёРїРЅРёРєР° СЃС‚СѓРїРёС†С–</t>
  </si>
  <si>
    <t>806.02</t>
  </si>
  <si>
    <t>[EVR5931]  44X82,5X37  CITROEN Jumpy| FIAT Ulysse, Scudo| PEUGEOT 806, Expert 94- (FRONT L/R)  (R15931)</t>
  </si>
  <si>
    <t>R159.38</t>
  </si>
  <si>
    <t>R159.38  NTN-SNR - РљРѕРјРїР»РµРєС‚ РїС–РґС€РёРїРЅРёРєР° СЃС‚СѓРїРёС†С–</t>
  </si>
  <si>
    <t>517.15</t>
  </si>
  <si>
    <t>[EVR5938]  25X52X37  Citroen AX, Xsara, Peugeot 106, 206 96- (REAR L/R)  (R15938)</t>
  </si>
  <si>
    <t>R159.44</t>
  </si>
  <si>
    <t>R159.44  NTN-SNR - РљРѕРјРїР»РµРєС‚ РїС–РґС€РёРїРЅРёРєР° СЃС‚СѓРїРёС†С–</t>
  </si>
  <si>
    <t>[EVR5944]  CITROEN Berlingo, C3 I, II, C4 I, II, C5, DS3, DS4, DS5| PEUGEOT 207, 208, 307, 308, 3008, 5008, Partner 1.0i-3.0HDi 00-  (Front, L/R)  (R15944)</t>
  </si>
  <si>
    <t>R159.45</t>
  </si>
  <si>
    <t>R159.45  NTN-SNR - РљРѕРјРїР»РµРєС‚ РїС–РґС€РёРїРЅРёРєР° СЃС‚СѓРїРёС†С–</t>
  </si>
  <si>
    <t>[EVR5945]  44X82,5X37  CITROEN C8| FIAT Ulysse 2.0-2.2JTD| PEUGEOT 807 2.0-2.2HDi (-ABS) 02-, FRONT L/R  (R15945)</t>
  </si>
  <si>
    <t>R159.46</t>
  </si>
  <si>
    <t>R159.46  NTN-SNR - РљРѕРјРїР»РµРєС‚ РїС–РґС€РёРїРЅРёРєР° СЃС‚СѓРїРёС†С–</t>
  </si>
  <si>
    <t>1669.71</t>
  </si>
  <si>
    <t>[EVR5946]  30X120X69  CITROEN C8| FIAT Ulysse 2.0-2.2JTD| PEUGEOT 807 2.0-2.2HDi (-ABS) 02-, REAR L/R  (R15946)</t>
  </si>
  <si>
    <t>R159.49</t>
  </si>
  <si>
    <t>R159.49  NTN-SNR - РљРѕРјРїР»РµРєС‚ РїС–РґС€РёРїРЅРёРєР° СЃС‚СѓРїРёС†С–</t>
  </si>
  <si>
    <t>1287.47</t>
  </si>
  <si>
    <t>[EVR6635]  25X130X60  PEUGEOT 407 04-, REAR L/R  (R15949)</t>
  </si>
  <si>
    <t>R159.53</t>
  </si>
  <si>
    <t>R159.53  NTN-SNR - РљРѕРјРїР»РµРєС‚ РїС–РґС€РёРїРЅРёРєР° СЃС‚СѓРїРёС†С–</t>
  </si>
  <si>
    <t>699.95</t>
  </si>
  <si>
    <t>[EVR5950]  CITROEN C4| PEUGEOT 207, 307, 307SW 06-  (Rear, L/R)  (R15953)</t>
  </si>
  <si>
    <t>R159.54</t>
  </si>
  <si>
    <t>R159.54  NTN-SNR - РљРѕРјРїР»РµРєС‚ РїС–РґС€РёРїРЅРёРєР° СЃС‚СѓРїРёС†С–</t>
  </si>
  <si>
    <t>[EVR6645]  CITROEN Berlingo 1.6 Hdi, C4 Picasso 2.0 i 16V| PEUGEOT 308 SW 1.6 16V 07-, REAR L/R (R15954)</t>
  </si>
  <si>
    <t>R159.55</t>
  </si>
  <si>
    <t>R159.55  NTN-SNR - РљРѕРјРїР»РµРєС‚ РїС–РґС€РёРїРЅРёРєР° СЃС‚СѓРїРёС†С–</t>
  </si>
  <si>
    <t>1159.77</t>
  </si>
  <si>
    <t>[EVR6638]  CITROEN Jumpy 1.6HDi, 2.0HDi 07-, FRONT L/R  (R15955)</t>
  </si>
  <si>
    <t>R166.13</t>
  </si>
  <si>
    <t>R166.13  NTN-SNR - РљРѕРјРїР»РµРєС‚ РїС–РґС€РёРїРЅРёРєР° СЃС‚СѓРїРёС†С–</t>
  </si>
  <si>
    <t>508.57</t>
  </si>
  <si>
    <t>[EVR6613]  PEUGEOT 305, 405, Partner| CITROEN Berlingo, Xantia, FRONT L/R  (R16613)</t>
  </si>
  <si>
    <t>R166.31</t>
  </si>
  <si>
    <t>R166.31  NTN-SNR - РљРѕРјРїР»РµРєС‚ РїС–РґС€РёРїРЅРёРєР° СЃС‚СѓРїРёС†С–</t>
  </si>
  <si>
    <t>1520.39</t>
  </si>
  <si>
    <t>[EVR6631]  32X129,1X38  CITROEN C5 1,6HDI-3,0 V6 01-, REAR L/R  (R16631)</t>
  </si>
  <si>
    <t>R166.32</t>
  </si>
  <si>
    <t>R166.32  NTN-SNR - РљРѕРјРїР»РµРєС‚ РїС–РґС€РёРїРЅРёРєР° СЃС‚СѓРїРёС†С–</t>
  </si>
  <si>
    <t>950.20</t>
  </si>
  <si>
    <t>[EVR6632]  24,97X129,1X68  CITROEN C3 1.1-1.6 16V 02-, REAR L/R  (R16632)</t>
  </si>
  <si>
    <t>R168.59</t>
  </si>
  <si>
    <t>R168.59  NTN-SNR - РљРѕРјРїР»РµРєС‚ РїС–РґС€РёРїРЅРёРєР° СЃС‚СѓРїРёС†С–</t>
  </si>
  <si>
    <t>964.62</t>
  </si>
  <si>
    <t>[EVR6859]  NISSAN Pathfinder| Terrano I 10.87-  (R16859)</t>
  </si>
  <si>
    <t>R168.63</t>
  </si>
  <si>
    <t>R168.63  NTN-SNR - РљРѕРјРїР»РµРєС‚ РїС–РґС€РёРїРЅРёРєР° СЃС‚СѓРїРёС†С–</t>
  </si>
  <si>
    <t>NISSAN Almera II 00-04 Front L/R (R16863)</t>
  </si>
  <si>
    <t>R168.66</t>
  </si>
  <si>
    <t>R168.66  NTN-SNR - РљРѕРјРїР»РµРєС‚ РїС–РґС€РёРїРЅРёРєР° СЃС‚СѓРїРёС†С–</t>
  </si>
  <si>
    <t>842.07</t>
  </si>
  <si>
    <t>NISSAN X-Trail (T30) 2WD 01-04, Rear L/R (R16866)\n</t>
  </si>
  <si>
    <t>R168.78</t>
  </si>
  <si>
    <t>R168.78  NTN-SNR - РљРѕРјРїР»РµРєС‚ РїС–РґС€РёРїРЅРёРєР° СЃС‚СѓРїРёС†С–</t>
  </si>
  <si>
    <t>1692.54</t>
  </si>
  <si>
    <t>[EVR6885]  NISSAN Tiida 1.5D, 1.6, 1.8  07-  (Rear, L/R)  (R16878)</t>
  </si>
  <si>
    <t>R169.15</t>
  </si>
  <si>
    <t>R169.15  NTN-SNR - РљРѕРјРїР»РµРєС‚ РїС–РґС€РёРїРЅРёРєР° СЃС‚СѓРїРёС†С–</t>
  </si>
  <si>
    <t>561.61</t>
  </si>
  <si>
    <t>[EVR6915]  TOYOTA Land Cruiser (FJ62) 87-89, (FJ80) 90-, FRONT L/R  (R16915)</t>
  </si>
  <si>
    <t>R169.29</t>
  </si>
  <si>
    <t>R169.29  NTN-SNR - РљРѕРјРїР»РµРєС‚ РїС–РґС€РёРїРЅРёРєР° СЃС‚СѓРїРёС†С–</t>
  </si>
  <si>
    <t>726.21</t>
  </si>
  <si>
    <t>[EVR6929]  TOYOTA Yaris (CP10) 99-, FRONT L/R  (R16929)</t>
  </si>
  <si>
    <t>R169.36</t>
  </si>
  <si>
    <t>R169.36  NTN-SNR - РљРѕРјРїР»РµРєС‚ РїС–РґС€РёРїРЅРёРєР° СЃС‚СѓРїРёС†С–</t>
  </si>
  <si>
    <t>746.63</t>
  </si>
  <si>
    <t>[EVR6936]  TOYOTA Camry 91-94, FRONT L/R  (R16936)</t>
  </si>
  <si>
    <t>R169.61</t>
  </si>
  <si>
    <t>R169.61  NTN-SNR - РљРѕРјРїР»РµРєС‚ РїС–РґС€РёРїРЅРёРєР° СЃС‚СѓРїРёС†С–</t>
  </si>
  <si>
    <t>739.43</t>
  </si>
  <si>
    <t>[EVR6963]  40X74X42  TOYOTA Avensis 01.03- , Front L/R (R16961)</t>
  </si>
  <si>
    <t>R169.73</t>
  </si>
  <si>
    <t>R169.73  NTN-SNR - РљРѕРјРїР»РµРєС‚ РїС–РґС€РёРїРЅРёРєР° СЃС‚СѓРїРёС†С–</t>
  </si>
  <si>
    <t>1402.47</t>
  </si>
  <si>
    <t>[EVR6964]  LEXUS ES330,ES350,RX330 04-14 | MAZDA 6, CX-7, CX-9 06-15 | TOYOTA Avalon, Camry, Highlander  01-  (Front, L/R)  (R169.73)</t>
  </si>
  <si>
    <t>R169.74</t>
  </si>
  <si>
    <t>R169.74  NTN-SNR - РљРѕРјРїР»РµРєС‚ РїС–РґС€РёРїРЅРёРєР° СЃС‚СѓРїРёС†С–</t>
  </si>
  <si>
    <t>3932.27</t>
  </si>
  <si>
    <t>[EVR6987]  TOYOTA Auris, Avensis, Corolla, Rav4  2.0, 2.4, 2.2  06-  (Rear, L/R)  (R16974)</t>
  </si>
  <si>
    <t>R169.75</t>
  </si>
  <si>
    <t>R169.75  NTN-SNR - РљРѕРјРїР»РµРєС‚ РїС–РґС€РёРїРЅРёРєР° СЃС‚СѓРїРёС†С–</t>
  </si>
  <si>
    <t>961.18</t>
  </si>
  <si>
    <t>[EVR6976]  TOYOTA Yaris 1.0 12V, 1.3 16V, 1.4TDI  05-  (Front, L/R)  (R16975)</t>
  </si>
  <si>
    <t>R170.08</t>
  </si>
  <si>
    <t>R170.08  NTN-SNR - РљРѕРјРїР»РµРєС‚ РїС–РґС€РёРїРЅРёРєР° СЃС‚СѓРїРёС†С–</t>
  </si>
  <si>
    <t>[EVR7008]  MAZDA 626 (GC) 83-87, REAR L/R  (R17008)</t>
  </si>
  <si>
    <t>R170.36</t>
  </si>
  <si>
    <t>R170.36  NTN-SNR - РљРѕРјРїР»РµРєС‚ РїС–РґС€РёРїРЅРёРєР° СЃС‚СѓРїРёС†С–</t>
  </si>
  <si>
    <t>[EVR7049]  MAZDA 3, 5 03-,  (Rear, L/R)  (R17036)</t>
  </si>
  <si>
    <t>R170.41</t>
  </si>
  <si>
    <t>R170.41  NTN-SNR - РљРѕРјРїР»РµРєС‚ РїС–РґС€РёРїРЅРёРєР° СЃС‚СѓРїРёС†С–</t>
  </si>
  <si>
    <t>1553.00</t>
  </si>
  <si>
    <t>[EVR7050]  26,41X78X37  MAZDA 3, 02.07- , Front L/R (R17041)</t>
  </si>
  <si>
    <t>R170.44</t>
  </si>
  <si>
    <t>R170.44  NTN-SNR - РљРѕРјРїР»РµРєС‚ РїС–РґС€РёРїРЅРёРєР° СЃС‚СѓРїРёС†С–</t>
  </si>
  <si>
    <t>793.66</t>
  </si>
  <si>
    <t>[EVR7047]  39X72,05X37  MAZDA 2 1.2-1.6TDCI| FORD Fiesta VI 07-, FRONT L/R  (R17044)</t>
  </si>
  <si>
    <t>R170.49</t>
  </si>
  <si>
    <t>R170.49  NTN-SNR - РљРѕРјРїР»РµРєС‚ РїС–РґС€РёРїРЅРёРєР° СЃС‚СѓРїРёС†С–</t>
  </si>
  <si>
    <t>852.19</t>
  </si>
  <si>
    <t>[EVR7048]  42X80X45  MAZDA 3, 5 1.8 2.0 2.0TDVI 05.02-, Front L/R (R17049)</t>
  </si>
  <si>
    <t>R170.55</t>
  </si>
  <si>
    <t>R170.55  NTN-SNR - РљРѕРјРїР»РµРєС‚ РїС–РґС€РёРїРЅРёРєР° СЃС‚СѓРїРёС†С–</t>
  </si>
  <si>
    <t>1048.55</t>
  </si>
  <si>
    <t>MAZDA 6 (GH) 1.8,2.0,2.5  07-,  (Front, L/R)  (R17055)</t>
  </si>
  <si>
    <t>R170.56</t>
  </si>
  <si>
    <t>R170.56  NTN-SNR - РљРѕРјРїР»РµРєС‚ РїС–РґС€РёРїРЅРёРєР° СЃС‚СѓРїРёС†С–</t>
  </si>
  <si>
    <t>1527.08</t>
  </si>
  <si>
    <t>[EVR7053]  MAZDA 6 2.0MZR, 2.2D (ABS+)  07-  (Front, L/R)  (R17056)</t>
  </si>
  <si>
    <t>R172.03</t>
  </si>
  <si>
    <t>R172.03  NTN-SNR - РљРѕРјРїР»РµРєС‚ РїС–РґС€РёРїРЅРёРєР° СЃС‚СѓРїРёС†С–</t>
  </si>
  <si>
    <t>415.37</t>
  </si>
  <si>
    <t>[EVR7203]  34X64X64  LADA Samara, 110, 111, 112  86-,  (Front, L/R)  /GK1306/</t>
  </si>
  <si>
    <t>R172.04</t>
  </si>
  <si>
    <t>R172.04  NTN-SNR - РљРѕРјРїР»РµРєС‚ РїС–РґС€РёРїРЅРёРєР° СЃС‚СѓРїРёС†С–</t>
  </si>
  <si>
    <t>[EVR7204]  30X60,03X37  LADA Samara, 110, 111, 112  86-,  (Rear, L/R)  /GK1307/</t>
  </si>
  <si>
    <t>R173.06</t>
  </si>
  <si>
    <t>R173.06  NTN-SNR - РљРѕРјРїР»РµРєС‚ РїС–РґС€РёРїРЅРёРєР° СЃС‚СѓРїРёС†С–</t>
  </si>
  <si>
    <t>[EVR7306]  MITSUBISHI Pajero 83-90, L300 86-96, FRONT L/R  (R17306)</t>
  </si>
  <si>
    <t>R173.19</t>
  </si>
  <si>
    <t>R173.19  NTN-SNR - РљРѕРјРїР»РµРєС‚ РїС–РґС€РёРїРЅРёРєР° СЃС‚СѓРїРёС†С–</t>
  </si>
  <si>
    <t>1316.65</t>
  </si>
  <si>
    <t>[EVR7319]  40X80X44  MITSUBISHI Pajero 90-, REAR L/R  (R17319)</t>
  </si>
  <si>
    <t>R173.22</t>
  </si>
  <si>
    <t>R173.22  NTN-SNR - РљРѕРјРїР»РµРєС‚ РїС–РґС€РёРїРЅРёРєР° СЃС‚СѓРїРёС†С–</t>
  </si>
  <si>
    <t>630.43</t>
  </si>
  <si>
    <t>[EVR7322]  40X74X74  MITSUBISHI CARISMA,COLT VI ,SPACE STAR 09/1995-  (R17322)</t>
  </si>
  <si>
    <t>R173.26</t>
  </si>
  <si>
    <t>R173.26  NTN-SNR - РљРѕРјРїР»РµРєС‚ РїС–РґС€РёРїРЅРёРєР° СЃС‚СѓРїРёС†С–</t>
  </si>
  <si>
    <t>1533.43</t>
  </si>
  <si>
    <t>[EVR7326]  30X108X108  MITSUBISHI Galant 1.8-2.5 92-95, REAR L/R  (R17326)</t>
  </si>
  <si>
    <t>R173.28</t>
  </si>
  <si>
    <t>R173.28  NTN-SNR - РљРѕРјРїР»РµРєС‚ РїС–РґС€РёРїРЅРёРєР° СЃС‚СѓРїРёС†С–</t>
  </si>
  <si>
    <t>1272.54</t>
  </si>
  <si>
    <t>[EVR8962]  MITSUBISHI Outlander II| Peugeot 4007 2.2 HDi, 2.4 16V 06-,  (Rear, L/R)  (R17328)</t>
  </si>
  <si>
    <t>R173.38</t>
  </si>
  <si>
    <t>R173.38  NTN-SNR - РљРѕРјРїР»РµРєС‚ РїС–РґС€РёРїРЅРёРєР° СЃС‚СѓРїРёС†С–</t>
  </si>
  <si>
    <t>628.72</t>
  </si>
  <si>
    <t>[EVR8960]  40X80X40  MITSUBISHI Outlander 2.0I 16V 03.02-, Lancer 03-, Front L/R (R17338)</t>
  </si>
  <si>
    <t>R173.47</t>
  </si>
  <si>
    <t>R173.47  NTN-SNR - РљРѕРјРїР»РµРєС‚ РїС–РґС€РёРїРЅРёРєР° СЃС‚СѓРїРёС†С–</t>
  </si>
  <si>
    <t>[EVR8956]  MITSUBISHI Pajero 00-  (Front, L/R)  (R17347)</t>
  </si>
  <si>
    <t>R173.56</t>
  </si>
  <si>
    <t>R173.56  NTN-SNR - РљРѕРјРїР»РµРєС‚ РїС–РґС€РёРїРЅРёРєР° СЃС‚СѓРїРёС†С–</t>
  </si>
  <si>
    <t>2981.73</t>
  </si>
  <si>
    <t>MITSUBISHI L200 II 06-, (Front L/R)  (R17356)</t>
  </si>
  <si>
    <t>R173.59</t>
  </si>
  <si>
    <t>R173.59  NTN-SNR - РљРѕРјРїР»РµРєС‚ РїС–РґС€РёРїРЅРёРєР° СЃС‚СѓРїРёС†С–</t>
  </si>
  <si>
    <t>1781.62</t>
  </si>
  <si>
    <t>[EVR8983]  MITSUBISHI Asx 10-, Lancer X 08-,  (Rear, L/R)  (R17359)</t>
  </si>
  <si>
    <t>R174.12</t>
  </si>
  <si>
    <t>R174.12  NTN-SNR - РљРѕРјРїР»РµРєС‚ РїС–РґС€РёРїРЅРёРєР° СЃС‚СѓРїРёС†С–</t>
  </si>
  <si>
    <t>648.97</t>
  </si>
  <si>
    <t>[EVR7412]  HONDA Accord 2.0 86-89, FRONT L/R  (R17412)</t>
  </si>
  <si>
    <t>R174.14</t>
  </si>
  <si>
    <t>R174.14  NTN-SNR - РљРѕРјРїР»РµРєС‚ РїС–РґС€РёРїРЅРёРєР° СЃС‚СѓРїРёС†С–</t>
  </si>
  <si>
    <t>771.18</t>
  </si>
  <si>
    <t>[EVR7414]  37,98X73X40  HONDA CR-V II 02-06, REAR L/R  (R17414)</t>
  </si>
  <si>
    <t>R174.34</t>
  </si>
  <si>
    <t>R174.34  NTN-SNR - РљРѕРјРїР»РµРєС‚ РїС–РґС€РёРїРЅРёРєР° СЃС‚СѓРїРёС†С–</t>
  </si>
  <si>
    <t>636.27</t>
  </si>
  <si>
    <t>[EVR7434]  43X79X41  HONDA Civic 1,6, CR-X, CR-V, Integra 1,6-1,8 -97, FRONT L/R  (R17434)</t>
  </si>
  <si>
    <t>R174.40</t>
  </si>
  <si>
    <t>R174.40  NTN-SNR - РљРѕРјРїР»РµРєС‚ РїС–РґС€РёРїРЅРёРєР° СЃС‚СѓРїРёС†С–</t>
  </si>
  <si>
    <t>664.76</t>
  </si>
  <si>
    <t>[EVR7440]  45X84X42  HONDA CR-V 2.0, 2.2CDTi 02-, FR-V 1.7, 2.0 05-, FRONT L/R  (R17440)</t>
  </si>
  <si>
    <t>R174.45</t>
  </si>
  <si>
    <t>R174.45  NTN-SNR - РљРѕРјРїР»РµРєС‚ РїС–РґС€РёРїРЅРёРєР° СЃС‚СѓРїРёС†С–</t>
  </si>
  <si>
    <t>1083.05</t>
  </si>
  <si>
    <t>[EVR7445]  51X91X44  HONDA C-RV 07-,  (Front, L/R)  (R17445)</t>
  </si>
  <si>
    <t>R174.61</t>
  </si>
  <si>
    <t>R174.61  NTN-SNR - РљРѕРјРїР»РµРєС‚ РїС–РґС€РёРїРЅРёРєР° СЃС‚СѓРїРёС†С–</t>
  </si>
  <si>
    <t>817.01</t>
  </si>
  <si>
    <t>[EVR7453]  48X86X42  HONDA Accord VIII 03-, FRONT L/R  (R17461)</t>
  </si>
  <si>
    <t>R174.62</t>
  </si>
  <si>
    <t>R174.62  NTN-SNR - РљРѕРјРїР»РµРєС‚ РїС–РґС€РёРїРЅРёРєР° СЃС‚СѓРїРёС†С–</t>
  </si>
  <si>
    <t>1404.87</t>
  </si>
  <si>
    <t>[EVR7467]  HONDA Accord VIII (CL, CM) 2.0, 2.4  03-  (Rear, L/R)  (R17462)</t>
  </si>
  <si>
    <t>R174.70</t>
  </si>
  <si>
    <t>R174.70  NTN-SNR - РљРѕРјРїР»РµРєС‚ РїС–РґС€РёРїРЅРёРєР° СЃС‚СѓРїРёС†С–</t>
  </si>
  <si>
    <t>937.50</t>
  </si>
  <si>
    <t>[EVR7456]  HONDA Civic 05-,  (Rear, L/R)  (R17470)</t>
  </si>
  <si>
    <t>R174.72</t>
  </si>
  <si>
    <t>R174.72  NTN-SNR - РљРѕРјРїР»РµРєС‚ РїС–РґС€РёРїРЅРёРєР° СЃС‚СѓРїРёС†С–</t>
  </si>
  <si>
    <t>1442.29</t>
  </si>
  <si>
    <t>R174.74</t>
  </si>
  <si>
    <t>R174.74  NTN-SNR - РљРѕРјРїР»РµРєС‚ РїС–РґС€РёРїРЅРёРєР° СЃС‚СѓРїРёС†С–</t>
  </si>
  <si>
    <t>1262.76</t>
  </si>
  <si>
    <t>HONDA CR-V (RD) 95-, (Rear, R) (R17474)</t>
  </si>
  <si>
    <t>R174.75</t>
  </si>
  <si>
    <t>R174.75  NTN-SNR - РљРѕРјРїР»РµРєС‚ РїС–РґС€РёРїРЅРёРєР° СЃС‚СѓРїРёС†С–</t>
  </si>
  <si>
    <t>HONDA CR-V (RD) 95-, (Rear, L) (R17475)</t>
  </si>
  <si>
    <t>R174.89</t>
  </si>
  <si>
    <t>R174.89  NTN-SNR - РљРѕРјРїР»РµРєС‚ РїС–РґС€РёРїРЅРёРєР° СЃС‚СѓРїРёС†С–</t>
  </si>
  <si>
    <t>[EVR7472]  HONDA CR-V 2.0, 2.2CDTi 02-, FR-V 1.7, 2.0 05-, Civic VII 1.4, 1.8, 2.2 CTDi 06-,  (Front, L/R)  (R17489)</t>
  </si>
  <si>
    <t>R174.97</t>
  </si>
  <si>
    <t>R174.97  NTN-SNR - РљРѕРјРїР»РµРєС‚ РїС–РґС€РёРїРЅРёРєР° СЃС‚СѓРїРёС†С–</t>
  </si>
  <si>
    <t>1391.31</t>
  </si>
  <si>
    <t>[EVR7469]  HONDA Accord VIII 2.0, 2.2D, 2.4  07.08-  (Front, L/R)  (R17497)</t>
  </si>
  <si>
    <t>R174.98</t>
  </si>
  <si>
    <t>R174.98  NTN-SNR - РљРѕРјРїР»РµРєС‚ РїС–РґС€РёРїРЅРёРєР° СЃС‚СѓРїРёС†С–</t>
  </si>
  <si>
    <t>1751.07</t>
  </si>
  <si>
    <t>[EVR7468]  HONDA Accord 2.0, 2.2i-DTEC, 2.4  08-  (Rear, L/R)  (R17498)</t>
  </si>
  <si>
    <t>R177.19</t>
  </si>
  <si>
    <t>R177.19  NTN-SNR - РљРѕРјРїР»РµРєС‚ РїС–РґС€РёРїРЅРёРєР° СЃС‚СѓРїРёС†С–</t>
  </si>
  <si>
    <t>1237.87</t>
  </si>
  <si>
    <t>[EVR7726]  FIAT Sedici| SUZUKI SX4  06-  (Rear, L/R)  (R17719)</t>
  </si>
  <si>
    <t>R177.20</t>
  </si>
  <si>
    <t>R177.20  NTN-SNR - РљРѕРјРїР»РµРєС‚ РїС–РґС€РёРїРЅРёРєР° СЃС‚СѓРїРёС†С–</t>
  </si>
  <si>
    <t>[EVR7727]  23,4X140X88,5  SUZUKI SX4 06-  (R17720)</t>
  </si>
  <si>
    <t>R177.32</t>
  </si>
  <si>
    <t>R177.32  NTN-SNR - РљРѕРјРїР»РµРєС‚ РїС–РґС€РёРїРЅРёРєР° СЃС‚СѓРїРёС†С–</t>
  </si>
  <si>
    <t>1696.83</t>
  </si>
  <si>
    <t>[EVR7734]  27,4X140X78,5  SUZUKI Grand Vitara (JT) 05-  (Front/Real, L/R) (R17732)</t>
  </si>
  <si>
    <t>R177.37</t>
  </si>
  <si>
    <t>R177.37  NTN-SNR - РљРѕРјРїР»РµРєС‚ РїС–РґС€РёРїРЅРёРєР° СЃС‚СѓРїРёС†С–</t>
  </si>
  <si>
    <t>SUZUKI  Alto (RF410), Ignis (RG)  02-  (Front, L/R)  (R17737)</t>
  </si>
  <si>
    <t>R181.09</t>
  </si>
  <si>
    <t>R181.09  NTN-SNR - РљРѕРјРїР»РµРєС‚ РїС–РґС€РёРїРЅРёРєР° СЃС‚СѓРїРёС†С–</t>
  </si>
  <si>
    <t>[EVR8109]  42X72X38  SUBARU IMPREZA (GC),LEGACY 08/1992-  (R18109)</t>
  </si>
  <si>
    <t>R181.10</t>
  </si>
  <si>
    <t>R181.10  NTN-SNR - РљРѕРјРїР»РµРєС‚ РїС–РґС€РёРїРЅРёРєР° СЃС‚СѓРїРёС†С–</t>
  </si>
  <si>
    <t>[EVR8110]  38X65X52  SUBARU LEGACY EJ18 SPI 01/1989-  (R18110)</t>
  </si>
  <si>
    <t>R181.19</t>
  </si>
  <si>
    <t>R181.19  NTN-SNR - РљРѕРјРїР»РµРєС‚ РїС–РґС€РёРїРЅРёРєР° СЃС‚СѓРїРёС†С–</t>
  </si>
  <si>
    <t>1521.93</t>
  </si>
  <si>
    <t>[EVR8112]  SUBARU Legasy IV (B13) 2.0,2.5,3.0| (Front, L/R) (R18119)</t>
  </si>
  <si>
    <t>R184.05</t>
  </si>
  <si>
    <t>R184.05  NTN-SNR - РљРѕРјРїР»РµРєС‚ РїС–РґС€РёРїРЅРёРєР° СЃС‚СѓРїРёС†С–</t>
  </si>
  <si>
    <t>540.84</t>
  </si>
  <si>
    <t>[EVR8405]    HYUNDAI ACCENT| KIA RIO 09.99- (FRONT L/R)  (R18405)</t>
  </si>
  <si>
    <t>R184.13</t>
  </si>
  <si>
    <t>R184.13  NTN-SNR - РљРѕРјРїР»РµРєС‚ РїС–РґС€РёРїРЅРёРєР° СЃС‚СѓРїРёС†С–</t>
  </si>
  <si>
    <t>679.52</t>
  </si>
  <si>
    <t>[EVR8929]  HYUNDAI Elantra, Matrix| KIA  Cerato 01-,  (Front, L/R)  (R18413)</t>
  </si>
  <si>
    <t>R184.22</t>
  </si>
  <si>
    <t>R184.22  NTN-SNR - РљРѕРјРїР»РµРєС‚ РїС–РґС€РёРїРЅРёРєР° СЃС‚СѓРїРёС†С–</t>
  </si>
  <si>
    <t>2314.05</t>
  </si>
  <si>
    <t>[EVR8938]  0X148X148  HYUNDAI Sonata 01-| KIA Magentis (GD) 2.0,2.5 V6 01-,  (Rear, L/R)  (R18422)</t>
  </si>
  <si>
    <t>R184.26</t>
  </si>
  <si>
    <t>R184.26  NTN-SNR - РљРѕРјРїР»РµРєС‚ РїС–РґС€РёРїРЅРёРєР° СЃС‚СѓРїРёС†С–</t>
  </si>
  <si>
    <t>606.58</t>
  </si>
  <si>
    <t>[EVR8950]  KIA Cee'd| HYUNDAI I30 1.4, 1.6, 2.0, 1.6CRDI  06-  (Front, L/R)  (R18426)</t>
  </si>
  <si>
    <t>R184.52</t>
  </si>
  <si>
    <t>R184.52  NTN-SNR - РљРѕРјРїР»РµРєС‚ РїС–РґС€РёРїРЅРёРєР° СЃС‚СѓРїРёС†С–</t>
  </si>
  <si>
    <t>275.65</t>
  </si>
  <si>
    <t>[EVR8452]  20X47X14  DAEWOO MATIZ 98- (REAR L/R)  (R18452)</t>
  </si>
  <si>
    <t>R184.53</t>
  </si>
  <si>
    <t>R184.53  NTN-SNR - РљРѕРјРїР»РµРєС‚ РїС–РґС€РёРїРЅРёРєР° СЃС‚СѓРїРёС†С–</t>
  </si>
  <si>
    <t>[EVR8453]  34,99X59,98X59,98  Daewoo Matiz 98- (FRONT L/R)  (R18453)</t>
  </si>
  <si>
    <t>R184.69</t>
  </si>
  <si>
    <t>R184.69  NTN-SNR - РљРѕРјРїР»РµРєС‚ РїС–РґС€РёРїРЅРёРєР° СЃС‚СѓРїРёС†С–</t>
  </si>
  <si>
    <t>1772.70</t>
  </si>
  <si>
    <t>[EVR8954]  HYUNDAI SantaFe 2WD 2.7, 2.2CRDI 05-, iX55 2WD 09-  (Rear, L/R)  (R18469)</t>
  </si>
  <si>
    <t>R186.00</t>
  </si>
  <si>
    <t>R186.00  NTN-SNR - РљРѕРјРїР»РµРєС‚ РїС–РґС€РёРїРЅРёРєР° СЃС‚СѓРїРёС†С–</t>
  </si>
  <si>
    <t>375.89</t>
  </si>
  <si>
    <t>[EVR8600]  21,99X45,97X15,49  CHRYSLER Voyager 2.5i-3.8i AWD 84-01,  (Rear, L/R)  (R18600)</t>
  </si>
  <si>
    <t>R186.10</t>
  </si>
  <si>
    <t>R186.10  NTN-SNR - РљРѕРјРїР»РµРєС‚ РїС–РґС€РёРїРЅРёРєР° СЃС‚СѓРїРёС†С–</t>
  </si>
  <si>
    <t>1591.96</t>
  </si>
  <si>
    <t>CITROEN C-Crosser  07-| DODGE Caliber  06-| JEEP Compas, Patriot  06-  (Rear, L/R)</t>
  </si>
  <si>
    <t>R187.01</t>
  </si>
  <si>
    <t>R187.01  NTN-SNR - РљРѕРјРїР»РµРєС‚ РїС–РґС€РёРїРЅРёРєР° СЃС‚СѓРїРёС†С–</t>
  </si>
  <si>
    <t>1413.80</t>
  </si>
  <si>
    <t>[EVR8701]  SMART Fortwo 04-  (Front, L/R)  28X134X46  (R18701)</t>
  </si>
  <si>
    <t>R190.00</t>
  </si>
  <si>
    <t>R190.00  NTN-SNR - РљРѕРјРїР»РµРєС‚ РїС–РґС€РёРїРЅРёРєР° СЃС‚СѓРїРёС†С–</t>
  </si>
  <si>
    <t>[EVR9000]  DAEWOO Lanos 96-| CHEVROLET Aveo 03-  (FRONT L/R)  (R19000)</t>
  </si>
  <si>
    <t>R190.01</t>
  </si>
  <si>
    <t>R190.01  NTN-SNR - РљРѕРјРїР»РµРєС‚ РїС–РґС€РёРїРЅРёРєР° СЃС‚СѓРїРёС†С–</t>
  </si>
  <si>
    <t>[EVR9001]  DAEWOO Lanos (KLAT), Nubira (KLAJ)  97-  (Front, L/R)  (R19001)</t>
  </si>
  <si>
    <t>R190.06</t>
  </si>
  <si>
    <t>R190.06  NTN-SNR - РљРѕРјРїР»РµРєС‚ РїС–РґС€РёРїРЅРёРєР° СЃС‚СѓРїРёС†С–</t>
  </si>
  <si>
    <t>2246.60</t>
  </si>
  <si>
    <t>[EVR5367]  CHEVROLET Evanda, Epica, Captiva (+ABS) 2.0i 02-,  Front L/R ( R19006)</t>
  </si>
  <si>
    <t>R190.07</t>
  </si>
  <si>
    <t>R190.07  NTN-SNR - РљРѕРјРїР»РµРєС‚ РїС–РґС€РёРїРЅРёРєР° СЃС‚СѓРїРёС†С–</t>
  </si>
  <si>
    <t>615.50</t>
  </si>
  <si>
    <t>[EVR9007]  CHEVROLET Aveo 04-, Rear, L/R (R19007)</t>
  </si>
  <si>
    <t>R190.11</t>
  </si>
  <si>
    <t>R190.11  NTN-SNR - РљРѕРјРїР»РµРєС‚ РїС–РґС€РёРїРЅРёРєР° СЃС‚СѓРїРёС†С–</t>
  </si>
  <si>
    <t>2611.33</t>
  </si>
  <si>
    <t>[EVR5358]  CHEVROLET Captiva| OPEL Antara 2.0D,2.4,3.2| 06-, (Front, L/R) (R19011)</t>
  </si>
  <si>
    <t>R190.12</t>
  </si>
  <si>
    <t>R190.12  NTN-SNR - РљРѕРјРїР»РµРєС‚ РїС–РґС€РёРїРЅРёРєР° СЃС‚СѓРїРёС†С–</t>
  </si>
  <si>
    <t>2886.64</t>
  </si>
  <si>
    <t>[EVR5359]  CHEVROLET Captiva| OPEL Antara 2.0D,2.4,3.2| 06-, (Rear, L/R)  (R19012)</t>
  </si>
  <si>
    <t>OE - filter</t>
  </si>
  <si>
    <t>1 208 300 = KC109     (OE FORD)</t>
  </si>
  <si>
    <t>235.39</t>
  </si>
  <si>
    <t>FORD</t>
  </si>
  <si>
    <t>1109AP</t>
  </si>
  <si>
    <t>1109AP = OC100     (OE PSA)</t>
  </si>
  <si>
    <t>91.77</t>
  </si>
  <si>
    <t>PEUGEOT</t>
  </si>
  <si>
    <t>1109AY</t>
  </si>
  <si>
    <t>1109AY = L343C     (OE PSA)</t>
  </si>
  <si>
    <t>110.34</t>
  </si>
  <si>
    <t>Citroen C4 1.6 HDI 16V 10-</t>
  </si>
  <si>
    <t>82 00 362 442</t>
  </si>
  <si>
    <t>82 00 362 442 = L470     (OE RENAULT)</t>
  </si>
  <si>
    <t>154.48</t>
  </si>
  <si>
    <t>RENAULT</t>
  </si>
  <si>
    <t>Nissan Qashqai 1.6 dCi,X-Trail 2.0 dCi, Primastar 2.0 dCi, OPEL Movano A 2.5 CDTi, Vivaro 2.0 CDTi</t>
  </si>
  <si>
    <t>82 00 768 913</t>
  </si>
  <si>
    <t>82 00 768 913 = LS932     (OE RENAULT)</t>
  </si>
  <si>
    <t>95.63</t>
  </si>
  <si>
    <t>OPEL Vivaro 2,0-16v/1,9DTI 8/01-&gt; ,RENAULT Clio II 1,4-2,0-16v/1,5DCI/1,9D 9/98-&gt; ,Megane I-II 1,4-2</t>
  </si>
  <si>
    <t>OE BMW</t>
  </si>
  <si>
    <t>BMW M Twinpower Tubo Oil SAE 10W-60 1L (x12)</t>
  </si>
  <si>
    <t>369.27</t>
  </si>
  <si>
    <t>BMW M Twinpower Tubo Oil Longlife-01 SAE 0W-40 1L (x12)</t>
  </si>
  <si>
    <t>403.29</t>
  </si>
  <si>
    <t>BMW Twinpower Tubo Oil Longlife-04 SAE 0W-30 1L (x12)</t>
  </si>
  <si>
    <t>311.53</t>
  </si>
  <si>
    <t>OE FORD</t>
  </si>
  <si>
    <t>Ford Formula F 5W-30 1 Liter (x12)</t>
  </si>
  <si>
    <t>150.06</t>
  </si>
  <si>
    <t>Ford Formula F 5W-30 5 Liter (x4)</t>
  </si>
  <si>
    <t>735.42</t>
  </si>
  <si>
    <t>Ford Formula S/SD 5w-40 5 Liter (x4)</t>
  </si>
  <si>
    <t>770.36</t>
  </si>
  <si>
    <t>OE GM</t>
  </si>
  <si>
    <t>GM DEXOS 2 5W-30 1 Liter (x20)</t>
  </si>
  <si>
    <t>GM DEXOS 2 5W-30 2 Liter (x10)</t>
  </si>
  <si>
    <t>242.75</t>
  </si>
  <si>
    <t>GM DEXOS 2 5W-30 5 Liter (x4)</t>
  </si>
  <si>
    <t>524.12</t>
  </si>
  <si>
    <t>GM 10W-40 1 Liter (x20)</t>
  </si>
  <si>
    <t>87.35</t>
  </si>
  <si>
    <t>GM 10W-40 2 Liter (x10)</t>
  </si>
  <si>
    <t>172.87</t>
  </si>
  <si>
    <t>GM 10W-40 5 Liter (x4)</t>
  </si>
  <si>
    <t>376.08</t>
  </si>
  <si>
    <t>OE HONDA</t>
  </si>
  <si>
    <t>HONDA Genuie SYNTHETIC BLEND 5W-20 1qt (946 ml)</t>
  </si>
  <si>
    <t>HONDA Genuie SYNTHETIC BLEND 5W-30 1qt (946 ml)</t>
  </si>
  <si>
    <t>OE LEXUS</t>
  </si>
  <si>
    <t>Lexus LGMO SAE 5W-30 5 Liter (x4)</t>
  </si>
  <si>
    <t>978.72</t>
  </si>
  <si>
    <t>OE MAZDA</t>
  </si>
  <si>
    <t>MAZDA 5W-30 Super Premium 1qt (946 ml)</t>
  </si>
  <si>
    <t>195.27</t>
  </si>
  <si>
    <t>MAZDA ORIGINAL OIL ULTRA 5W-30 1L (x20)</t>
  </si>
  <si>
    <t>MAZDA ORIGINAL OIL ULTRA 5W-30 5L (x3)</t>
  </si>
  <si>
    <t>800.88</t>
  </si>
  <si>
    <t>OE MB</t>
  </si>
  <si>
    <t>Mercedes MB 228.51 (1LС…12)</t>
  </si>
  <si>
    <t>201.00</t>
  </si>
  <si>
    <t>A00198937010016</t>
  </si>
  <si>
    <t>Mercedes Synthetic MB 229.52 (1LС…12)</t>
  </si>
  <si>
    <t>230.43</t>
  </si>
  <si>
    <t>A0019893701BAA4</t>
  </si>
  <si>
    <t>Mercedes Synthetic MB 229.52 (5LС…4)</t>
  </si>
  <si>
    <t>984.42</t>
  </si>
  <si>
    <t>A001989680300G1</t>
  </si>
  <si>
    <t>GetriebeГ¶l Mercedes MB 236.14 (1LС…12)</t>
  </si>
  <si>
    <t>268.68</t>
  </si>
  <si>
    <t>OE NISSAN</t>
  </si>
  <si>
    <t>KE90090032</t>
  </si>
  <si>
    <t>NISSAN Motor Oil 5W-40 1 Liter (С…18)</t>
  </si>
  <si>
    <t>149.14</t>
  </si>
  <si>
    <t>OE TOYOTA</t>
  </si>
  <si>
    <t>TOYOTA ATF Type T-IV 1qt (946 ml)</t>
  </si>
  <si>
    <t>177.74</t>
  </si>
  <si>
    <t>TOYOTA Motor Oil SN 5W-30 1qt (946 ml)</t>
  </si>
  <si>
    <t>TOYOTA ATF WS 1qt (946 ml)</t>
  </si>
  <si>
    <t>278.40</t>
  </si>
  <si>
    <t>TOYOTA SYNTHETIC 5W-40 5Lx4 (NEW)</t>
  </si>
  <si>
    <t>1146.06</t>
  </si>
  <si>
    <t>TOYOTA  5W-30 Fuel Economy 5L (x4)</t>
  </si>
  <si>
    <t>797.39</t>
  </si>
  <si>
    <t>TOYOTA  5W-30 Fuel Economy 1L (x12)</t>
  </si>
  <si>
    <t>189.60</t>
  </si>
  <si>
    <t>OE VW AUDI</t>
  </si>
  <si>
    <t>G052167M2</t>
  </si>
  <si>
    <t>VW AUDI Special Plus 5W-40 1Lx12</t>
  </si>
  <si>
    <t>233.55</t>
  </si>
  <si>
    <t>G052167M4</t>
  </si>
  <si>
    <t>VW AUDI Special Plus 5W-40 5Lx4</t>
  </si>
  <si>
    <t>1103.77</t>
  </si>
  <si>
    <t>G052195M2</t>
  </si>
  <si>
    <t>VW AUDI Longlife III 5W-30 1Lx12</t>
  </si>
  <si>
    <t>246.79</t>
  </si>
  <si>
    <t>G052195M4</t>
  </si>
  <si>
    <t>VW AUDI Longlife III 5W-30 5Lx4</t>
  </si>
  <si>
    <t>1169.79</t>
  </si>
  <si>
    <t>OFF ROAD</t>
  </si>
  <si>
    <t>BOL0403 Spot</t>
  </si>
  <si>
    <t>Р‘Р•Р›РђР’РўРћ РђРІС‚РѕР»Р°РјРїР° СЃРІС–С‚Р»РѕРґС–РѕРґРЅР° (4С€С‚.*3w) EPISTAR Spot LED/(40С€С‚./РІ СЏС‰.)</t>
  </si>
  <si>
    <t>288.65</t>
  </si>
  <si>
    <t>BOL0403QL</t>
  </si>
  <si>
    <t>256.43</t>
  </si>
  <si>
    <t>BOL0603L</t>
  </si>
  <si>
    <t>Р‘Р•Р›РђР’РўРћ РђРІС‚РѕР»Р°РјРїР° СЃРІС–С‚Р»РѕРґС–РѕРґРЅР° (6С€С‚.*3w) EPISTAR Spot LED/(20С€С‚./РІ СЏС‰.)</t>
  </si>
  <si>
    <t>313.97</t>
  </si>
  <si>
    <t>BOL0603LA</t>
  </si>
  <si>
    <t>BOL0903 Flood</t>
  </si>
  <si>
    <t>Р‘Р•Р›РђР’РўРћ РђРІС‚РѕР»Р°РјРїР° СЃРІС–С‚Р»РѕРґС–РѕРґРЅР° (9С€С‚.*3w) EPISTAR Flood LED/(20С€С‚./РІ СЏС‰.)</t>
  </si>
  <si>
    <t>349.55</t>
  </si>
  <si>
    <t>BOL0903 Spot</t>
  </si>
  <si>
    <t>Р‘Р•Р›РђР’РўРћ РђРІС‚РѕР»Р°РјРїР° СЃРІС–С‚Р»РѕРґС–РѕРґРЅР° (9С€С‚.*3w) EPISTAR Spot LED/(20С€С‚./РІ СЏС‰.)</t>
  </si>
  <si>
    <t>ORIGINAL BIRTH</t>
  </si>
  <si>
    <t>2070  Original Birth - РЎР°Р№Р»РµРЅС‚Р±Р»РѕРє</t>
  </si>
  <si>
    <t>518.91</t>
  </si>
  <si>
    <t>BIRTH</t>
  </si>
  <si>
    <t>CITROEN Jumpy II| FIAT Scudo II| PEUGEOT Expert II  07-  (front arm front L/R)\n</t>
  </si>
  <si>
    <t>2093  Original Birth - РЎР°Р№Р»РµРЅС‚Р±Р»РѕРє</t>
  </si>
  <si>
    <t>2143  Original Birth - РЎР°Р№Р»РµРЅС‚Р±Р»РѕРє</t>
  </si>
  <si>
    <t>AUDI 100/A6  91-97 front L/R inner</t>
  </si>
  <si>
    <t>2146  Original Birth - РЎР°Р№Р»РµРЅС‚Р±Р»РѕРє</t>
  </si>
  <si>
    <t>292.43</t>
  </si>
  <si>
    <t>AUDI A4-A8| VW Passat 1,6-4,2 08.94- L/R</t>
  </si>
  <si>
    <t>2157  Original Birth - РЎР°Р№Р»РµРЅС‚Р±Р»РѕРє</t>
  </si>
  <si>
    <t>177.77</t>
  </si>
  <si>
    <t>2158  Original Birth - РЎР°Р№Р»РµРЅС‚Р±Р»РѕРє</t>
  </si>
  <si>
    <t>330.30</t>
  </si>
  <si>
    <t>FIAT Scudo, PEUGEOT Expert I/II  96-07 front L/R</t>
  </si>
  <si>
    <t>2159  Original Birth - РЎР°Р№Р»РµРЅС‚Р±Р»РѕРє</t>
  </si>
  <si>
    <t>377.41</t>
  </si>
  <si>
    <t>FIAT Scudo, PEUGEOT Expert I/II  96-07 front right</t>
  </si>
  <si>
    <t>2160  Original Birth - РЎР°Р№Р»РµРЅС‚Р±Р»РѕРє</t>
  </si>
  <si>
    <t>2189  Original Birth - РЎР°Р№Р»РµРЅС‚Р±Р»РѕРє</t>
  </si>
  <si>
    <t>84.97</t>
  </si>
  <si>
    <t>FORD Fiesta  96-01 front L/R rear</t>
  </si>
  <si>
    <t>2190  Original Birth - РЎР°Р№Р»РµРЅС‚Р±Р»РѕРє</t>
  </si>
  <si>
    <t>FORD Fiesta  96-01 front L/R front</t>
  </si>
  <si>
    <t>2196  Original Birth - РЎР°Р№Р»РµРЅС‚Р±Р»РѕРє</t>
  </si>
  <si>
    <t>106.13</t>
  </si>
  <si>
    <t>RENAULT Espace III, Laguna I 1995-2003</t>
  </si>
  <si>
    <t>2197  Original Birth - РЎР°Р№Р»РµРЅС‚Р±Р»РѕРє</t>
  </si>
  <si>
    <t>122.66</t>
  </si>
  <si>
    <t>RENAULT Laguna  93-01 front L/R rear</t>
  </si>
  <si>
    <t>2205  Original Birth - РЎР°Р№Р»РµРЅС‚Р±Р»РѕРє</t>
  </si>
  <si>
    <t>63.11</t>
  </si>
  <si>
    <t>FIAT Palio, Doblo, Strada| 1.2-1.9D| 03.98- FRONT L/R</t>
  </si>
  <si>
    <t>2224  Original Birth - РЎР°Р№Р»РµРЅС‚Р±Р»РѕРє</t>
  </si>
  <si>
    <t>PEUGEOT 406 1.8-2.2, 3.0V6, 1.9D, 2.1TD12V, 2.0HDI 97-</t>
  </si>
  <si>
    <t>2251  Original Birth - РЎР°Р№Р»РµРЅС‚Р±Р»РѕРє</t>
  </si>
  <si>
    <t>283.01</t>
  </si>
  <si>
    <t>BMW 3 (E46)  97-05 front L/R rear (РІСЃС‚Р°РІРєР°)\n</t>
  </si>
  <si>
    <t>2266  Original Birth - РЎР°Р№Р»РµРЅС‚Р±Р»РѕРє</t>
  </si>
  <si>
    <t>42.49</t>
  </si>
  <si>
    <t>2278  Original Birth - РЎР°Р№Р»РµРЅС‚Р±Р»РѕРє</t>
  </si>
  <si>
    <t>OPEL Astra G, Zafira A  98-05 front L/R rear</t>
  </si>
  <si>
    <t>2281  Original Birth - РЎР°Р№Р»РµРЅС‚Р±Р»РѕРє</t>
  </si>
  <si>
    <t>84.44</t>
  </si>
  <si>
    <t>2282  Original Birth - РЎР°Р№Р»РµРЅС‚Р±Р»РѕРє</t>
  </si>
  <si>
    <t>169.77</t>
  </si>
  <si>
    <t>2283  Original Birth - РЎР°Р№Р»РµРЅС‚Р±Р»РѕРє</t>
  </si>
  <si>
    <t>101.51</t>
  </si>
  <si>
    <t>PEUGEOT 206 09/98- L/R</t>
  </si>
  <si>
    <t>2293  Original Birth - РЎР°Р№Р»РµРЅС‚Р±Р»РѕРє</t>
  </si>
  <si>
    <t>56.53</t>
  </si>
  <si>
    <t>2345  Original Birth - РЎР°Р№Р»РµРЅС‚Р±Р»РѕРє Р±Р°Р»РєРё</t>
  </si>
  <si>
    <t>OPEL Vectra A,  DAEWOO Lanos, Nexia rear L/R</t>
  </si>
  <si>
    <t>2364  Original Birth - РЎР°Р№Р»РµРЅС‚Р±Р»РѕРє Р±Р°Р»РєРё</t>
  </si>
  <si>
    <t>CITROEN Berlingo, PEUGEOT Partner  96-02 rear L/R front (2x2pcs.)</t>
  </si>
  <si>
    <t>2375  Original Birth - РЎР°Р№Р»РµРЅС‚Р±Р»РѕРє</t>
  </si>
  <si>
    <t>70.75</t>
  </si>
  <si>
    <t>2383  Original Birth - РЎР°Р№Р»РµРЅС‚Р±Р»РѕРє</t>
  </si>
  <si>
    <t>36.44</t>
  </si>
  <si>
    <t>2384  Original Birth - РЎР°Р№Р»РµРЅС‚Р±Р»РѕРє</t>
  </si>
  <si>
    <t>2385  Original Birth - РЎР°Р№Р»РµРЅС‚Р±Р»РѕРє</t>
  </si>
  <si>
    <t>2417  Original Birth - РЎР°Р№Р»РµРЅС‚Р±Р»РѕРє</t>
  </si>
  <si>
    <t>212.26</t>
  </si>
  <si>
    <t>FIAT Doblo, Strada| 1.2-1.9D| 01.01- REAR RIGHT</t>
  </si>
  <si>
    <t>2418  Original Birth - РЎР°Р№Р»РµРЅС‚Р±Р»РѕРє</t>
  </si>
  <si>
    <t>FIAT Doblo, Strada| 1.2-1.9D| 01.01- REAR LEFT</t>
  </si>
  <si>
    <t>2469  Original Birth - РЎР°Р№Р»РµРЅС‚Р±Р»РѕРє</t>
  </si>
  <si>
    <t>FORD Fiesta, Fusion  02- front L/R rear</t>
  </si>
  <si>
    <t>2473  Original Birth - РЎР°Р№Р»РµРЅС‚Р±Р»РѕРє</t>
  </si>
  <si>
    <t>94.40</t>
  </si>
  <si>
    <t>OPEL Movano| RENAULT Master| NISSAN Interstar 1.9-3.0  98-  (L/R)</t>
  </si>
  <si>
    <t>2475  Original Birth - РЎР°Р№Р»РµРЅС‚Р±Р»РѕРє</t>
  </si>
  <si>
    <t>RENAULT Espace IV, Laguna II  01- front L/R front</t>
  </si>
  <si>
    <t>2476  Original Birth - РЎР°Р№Р»РµРЅС‚Р±Р»РѕРє</t>
  </si>
  <si>
    <t>RENAULT Espace IV, Laguna II  01- front L/R rear</t>
  </si>
  <si>
    <t>2489  Original Birth - РЎР°Р№Р»РµРЅС‚Р±Р»РѕРє</t>
  </si>
  <si>
    <t>DAEWOO Matiz (M200,M250) 05-  (L/R)</t>
  </si>
  <si>
    <t>2491  Original Birth - РЎР°Р№Р»РµРЅС‚Р±Р»РѕРє</t>
  </si>
  <si>
    <t>FORD Transit  00- front L/R front</t>
  </si>
  <si>
    <t>2495  Original Birth - РЎР°Р№Р»РµРЅС‚Р±Р»РѕРє</t>
  </si>
  <si>
    <t>103.82</t>
  </si>
  <si>
    <t>CITROEN C3  02-09 front L/R front</t>
  </si>
  <si>
    <t>2496  Original Birth - РЎР°Р№Р»РµРЅС‚Р±Р»РѕРє</t>
  </si>
  <si>
    <t>CITROEN C3  02-09 front L/R rear</t>
  </si>
  <si>
    <t>2526  Original Birth - РЎР°Р№Р»РµРЅС‚Р±Р»РѕРє</t>
  </si>
  <si>
    <t>RENAULT Megane II, Scenic II, Grand Scenic 1.4-2.0 2003-</t>
  </si>
  <si>
    <t>2527  Original Birth - РЎР°Р№Р»РµРЅС‚Р±Р»РѕРє</t>
  </si>
  <si>
    <t>113.24</t>
  </si>
  <si>
    <t>2546  Original Birth - РЎР°Р№Р»РµРЅС‚Р±Р»РѕРє</t>
  </si>
  <si>
    <t>DAEWOO,CHEVROLET Lacetti 1.4I, 1.6I, 1.8I 04-  (front arm front L/R)</t>
  </si>
  <si>
    <t>2567  Original Birth - РЎР°Р№Р»РµРЅС‚Р±Р»РѕРє</t>
  </si>
  <si>
    <t>75.55</t>
  </si>
  <si>
    <t>2593  Original Birth - РЎР°Р№Р»РµРЅС‚Р±Р»РѕРє</t>
  </si>
  <si>
    <t>2611  Original Birth - РЎР°Р№Р»РµРЅС‚Р±Р»РѕРє</t>
  </si>
  <si>
    <t>80.17</t>
  </si>
  <si>
    <t>DACIA/RENAULT Logan, Sandero  04- front L/R front/rear (2x2pcs.)</t>
  </si>
  <si>
    <t>2615  Original Birth - РЎР°Р№Р»РµРЅС‚Р±Р»РѕРє</t>
  </si>
  <si>
    <t>61.33</t>
  </si>
  <si>
    <t xml:space="preserve">CHEVROLET Aveo, DAEWOO Kalos 1.2, 1.4, 1.5  02-  (front arm front L/R) </t>
  </si>
  <si>
    <t>2616  Original Birth - РЎР°Р№Р»РµРЅС‚Р±Р»РѕРє</t>
  </si>
  <si>
    <t>96.71</t>
  </si>
  <si>
    <t xml:space="preserve">CHEVROLET Aveo, DAEWOO Kalos 1.2, 1.4, 1.5  02-  (front arm rear L/R) </t>
  </si>
  <si>
    <t>2627  Original Birth - РЎР°Р№Р»РµРЅС‚Р±Р»РѕРє</t>
  </si>
  <si>
    <t>AUDI A3 Quattro Ch.8L-Y-117 501--  97-03 front L/R rear</t>
  </si>
  <si>
    <t>2628  Original Birth - РЎР°Р№Р»РµРЅС‚Р±Р»РѕРє</t>
  </si>
  <si>
    <t>394.29</t>
  </si>
  <si>
    <t>VW Passat 1.6-3.6 2005-| VW Tiguan 1.4,2.0 2007- L/R</t>
  </si>
  <si>
    <t>4009  Original Birth - Р’С‚СѓР»РєР° СЃС‚Р°Р±С–Р»С–Р·Р°С‚РѕСЂР°</t>
  </si>
  <si>
    <t>51.91</t>
  </si>
  <si>
    <t>RENAULT Laguna II 1.6 16V-3.0 V6 24V 03.01- (d=21mm) FRONT</t>
  </si>
  <si>
    <t>4015  Original Birth - Р’С‚СѓР»РєР° СЃС‚Р°Р±С–Р»С–Р·Р°С‚РѕСЂР°</t>
  </si>
  <si>
    <t>FORD Tourneo Connect 1.8TDCi  06.02-   (Rear, L/R)</t>
  </si>
  <si>
    <t>4115  Original Birth - Р’С‚СѓР»РєР° СЃС‚Р°Р±С–Р»С–Р·Р°С‚РѕСЂР°</t>
  </si>
  <si>
    <t>NISSAN Primastar| OPEL Vivaro| RENAULT Trafic II 06-  (Front, L/R)  (d=23mm)</t>
  </si>
  <si>
    <t>4302  Original Birth - Р’С‚СѓР»РєР° СЃС‚Р°Р±С–Р»С–Р·Р°С‚РѕСЂР°</t>
  </si>
  <si>
    <t>18.84</t>
  </si>
  <si>
    <t>MB W201, W124  (Front, L/R)  (d=24mm)</t>
  </si>
  <si>
    <t>4406  Original Birth - Р’С‚СѓР»РєР° СЃС‚Р°Р±С–Р»С–Р·Р°С‚РѕСЂР°</t>
  </si>
  <si>
    <t>CITROEN ZX, Xsara, PEUGEOT 306  91-05 front L/R (d=18mm)</t>
  </si>
  <si>
    <t>4426  Original Birth - Р’С‚СѓР»РєР° СЃС‚Р°Р±С–Р»С–Р·Р°С‚РѕСЂР°</t>
  </si>
  <si>
    <t>14.22</t>
  </si>
  <si>
    <t>4444  Original Birth - Р’С‚СѓР»РєР° СЃС‚Р°Р±С–Р»С–Р·Р°С‚РѕСЂР°</t>
  </si>
  <si>
    <t>4490  Original Birth - Р’С‚СѓР»РєР° СЃС‚Р°Р±С–Р»С–Р·Р°С‚РѕСЂР°</t>
  </si>
  <si>
    <t>17.42</t>
  </si>
  <si>
    <t>4508  Original Birth - Р’С‚СѓР»РєР° СЃС‚Р°Р±С–Р»С–Р·Р°С‚РѕСЂР°</t>
  </si>
  <si>
    <t>AUDI 100/A6  91-97 front inner</t>
  </si>
  <si>
    <t>4511  Original Birth - Р’С‚СѓР»РєР° СЃС‚Р°Р±С–Р»С–Р·Р°С‚РѕСЂР°</t>
  </si>
  <si>
    <t>AUDI A3, A4, SKODA Octavia (1U), VW GOLF IV  97- front L/R (d=19mm)</t>
  </si>
  <si>
    <t>4516  Original Birth - Р’С‚СѓР»РєР° СЃС‚Р°Р±С–Р»С–Р·Р°С‚РѕСЂР°</t>
  </si>
  <si>
    <t>RENAULT R19, Megane I,Scenic I  89-03 front L/R outer (d=18mm)</t>
  </si>
  <si>
    <t>4544  Original Birth - Р’С‚СѓР»РєР° СЃС‚Р°Р±С–Р»С–Р·Р°С‚РѕСЂР°</t>
  </si>
  <si>
    <t>FORD Escort I, II, IV, V, VI, VII, Fiesta III, IV 1.3-2.0 06.70-  (d=18mm)</t>
  </si>
  <si>
    <t>4547  Original Birth - Р’С‚СѓР»РєР° СЃС‚Р°Р±С–Р»С–Р·Р°С‚РѕСЂР°</t>
  </si>
  <si>
    <t>4552  Original Birth - Р’С‚СѓР»РєР° СЃС‚Р°Р±С–Р»С–Р·Р°С‚РѕСЂР°</t>
  </si>
  <si>
    <t>43.55</t>
  </si>
  <si>
    <t>PEUGEOT 206  98-06 front L/R (d=18mm)</t>
  </si>
  <si>
    <t>4577  Original Birth - Р’С‚СѓР»РєР° СЃС‚Р°Р±С–Р»С–Р·Р°С‚РѕСЂР°</t>
  </si>
  <si>
    <t>38.22</t>
  </si>
  <si>
    <t>FORD Focus  98-04 rear L/R</t>
  </si>
  <si>
    <t>4587  Original Birth - Р’С‚СѓР»РєР° СЃС‚Р°Р±С–Р»С–Р·Р°С‚РѕСЂР°</t>
  </si>
  <si>
    <t>RENAULT Megane, Clio Symbol  96- front L/R inner (d=24mm)</t>
  </si>
  <si>
    <t>4603  Original Birth - Р’С‚СѓР»РєР° СЃС‚Р°Р±С–Р»С–Р·Р°С‚РѕСЂР°</t>
  </si>
  <si>
    <t>CITROEN ZX, PEUGEOT 306  91-02 front L/R (d=19mm)</t>
  </si>
  <si>
    <t>4605  Original Birth - Р’С‚СѓР»РєР° СЃС‚Р°Р±С–Р»С–Р·Р°С‚РѕСЂР°</t>
  </si>
  <si>
    <t>45.51</t>
  </si>
  <si>
    <t>PEUGEOT 206  98-06 front L/R (d=19mm)</t>
  </si>
  <si>
    <t>4611  Original Birth - Р’С‚СѓР»РєР° СЃС‚Р°Р±С–Р»С–Р·Р°С‚РѕСЂР°</t>
  </si>
  <si>
    <t>59.02</t>
  </si>
  <si>
    <t>MB W140, W210 front (d=26mm)</t>
  </si>
  <si>
    <t>4621  Original Birth - Р’С‚СѓР»РєР° СЃС‚Р°Р±С–Р»С–Р·Р°С‚РѕСЂР°</t>
  </si>
  <si>
    <t>BMW 3 (E46) front L/R (d=24.6)</t>
  </si>
  <si>
    <t>4627  Original Birth - Р’С‚СѓР»РєР° СЃС‚Р°Р±С–Р»С–Р·Р°С‚РѕСЂР°</t>
  </si>
  <si>
    <t>BMW 5 (E39)  96-04  (Front, L/R) (d=23mm)</t>
  </si>
  <si>
    <t>4628  Original Birth - Р’С‚СѓР»РєР° СЃС‚Р°Р±С–Р»С–Р·Р°С‚РѕСЂР°</t>
  </si>
  <si>
    <t>4629  Original Birth - Р’С‚СѓР»РєР° СЃС‚Р°Р±С–Р»С–Р·Р°С‚РѕСЂР°</t>
  </si>
  <si>
    <t>MB C-Class (W202) 1.8-3.2  93-02  (Rear, L/R)</t>
  </si>
  <si>
    <t>4631  Original Birth - Р’С‚СѓР»РєР° СЃС‚Р°Р±С–Р»С–Р·Р°С‚РѕСЂР°</t>
  </si>
  <si>
    <t>4632  Original Birth - Р’С‚СѓР»РєР° СЃС‚Р°Р±С–Р»С–Р·Р°С‚РѕСЂР°</t>
  </si>
  <si>
    <t>19.73</t>
  </si>
  <si>
    <t>4636  Original Birth - Р’С‚СѓР»РєР° СЃС‚Р°Р±С–Р»С–Р·Р°С‚РѕСЂР°</t>
  </si>
  <si>
    <t>28.27</t>
  </si>
  <si>
    <t>OPEL Zafira A 1.6CNG-2.2 16V  99-05 (Front, L/R)</t>
  </si>
  <si>
    <t>4643  Original Birth - Р’С‚СѓР»РєР° СЃС‚Р°Р±С–Р»С–Р·Р°С‚РѕСЂР°</t>
  </si>
  <si>
    <t>FORD Galaxy, VW Sharan  95-10 front L/R</t>
  </si>
  <si>
    <t>4645  Original Birth - Р’С‚СѓР»РєР° СЃС‚Р°Р±С–Р»С–Р·Р°С‚РѕСЂР°</t>
  </si>
  <si>
    <t>FORD Galaxy| SEAT Alhambra| VW Sharan 1.8T-2.8 VR6  95-10  (Rear, L/R)</t>
  </si>
  <si>
    <t>4655  Original Birth - Р’С‚СѓР»РєР° СЃС‚Р°Р±С–Р»С–Р·Р°С‚РѕСЂР°</t>
  </si>
  <si>
    <t>16.53</t>
  </si>
  <si>
    <t>FORD Fiesta, Ka 95 - 02 (d=17mm)</t>
  </si>
  <si>
    <t>4683  Original Birth - Р’С‚СѓР»РєР° Р°РјРѕСЂС‚РёР·Р°С‚РѕСЂР°</t>
  </si>
  <si>
    <t>97.60</t>
  </si>
  <si>
    <t>CITROEN Berlingo, Xsara, Picasso| PEUGEOT Partner, 405 88-</t>
  </si>
  <si>
    <t>4688  Original Birth - Р’С‚СѓР»РєР° СЃС‚Р°Р±С–Р»С–Р·Р°С‚РѕСЂР°</t>
  </si>
  <si>
    <t>FIAT Albea, Doblo, Palio, Strada 1.2-1.9DJTD  99-  (Front, L/R) (d=23mm)</t>
  </si>
  <si>
    <t>4689  Original Birth - Р’С‚СѓР»РєР° СЃС‚Р°Р±С–Р»С–Р·Р°С‚РѕСЂР°</t>
  </si>
  <si>
    <t>FIAT Doblo Cargo 03.01-  (d=22mm)</t>
  </si>
  <si>
    <t>4701  Original Birth - Р’С‚СѓР»РєР° СЃС‚Р°Р±С–Р»С–Р·Р°С‚РѕСЂР°</t>
  </si>
  <si>
    <t>AUDI A3| SEAT Cordoba, Ibiza II| VW Bora, Golf IV  1.0i-2.0i  93-03  (Rear, L/R)</t>
  </si>
  <si>
    <t>4710  Original Birth - Р’С‚СѓР»РєР° СЃС‚Р°Р±С–Р»С–Р·Р°С‚РѕСЂР°</t>
  </si>
  <si>
    <t>49.60</t>
  </si>
  <si>
    <t>PEUGEOT 206 09.2001- (d=20mm)</t>
  </si>
  <si>
    <t>4713  Original Birth - Р’С‚СѓР»РєР° СЃС‚Р°Р±С–Р»С–Р·Р°С‚РѕСЂР°</t>
  </si>
  <si>
    <t>25.24</t>
  </si>
  <si>
    <t>4716  Original Birth - Р’С‚СѓР»РєР° СЃС‚Р°Р±С–Р»С–Р·Р°С‚РѕСЂР°</t>
  </si>
  <si>
    <t>35.38</t>
  </si>
  <si>
    <t>RENAULT MASTER 97- (d=26mm)</t>
  </si>
  <si>
    <t>4769  Original Birth - Р’С‚СѓР»РєР° СЃС‚Р°Р±С–Р»С–Р·Р°С‚РѕСЂР°</t>
  </si>
  <si>
    <t>FORD Mondeo  93-00 rear L/R inner (d=18mm)</t>
  </si>
  <si>
    <t>4779  Original Birth - Р’С‚СѓР»РєР° СЃС‚Р°Р±С–Р»С–Р·Р°С‚РѕСЂР°</t>
  </si>
  <si>
    <t>4781  Original Birth - Р’С‚СѓР»РєР° СЃС‚Р°Р±С–Р»С–Р·Р°С‚РѕСЂР°</t>
  </si>
  <si>
    <t>OPEL  Vectra C| SAAB 9-3 1.8i-3.2 V6  02-  (Front, L/R)</t>
  </si>
  <si>
    <t>4830  Original Birth - Р’С‚СѓР»РєР° СЃС‚Р°Р±С–Р»С–Р·Р°С‚РѕСЂР°</t>
  </si>
  <si>
    <t>FORD Fiesta, Fusion  02- front L/R</t>
  </si>
  <si>
    <t>4837  Original Birth - Р’С‚СѓР»РєР° СЃС‚Р°Р±С–Р»С–Р·Р°С‚РѕСЂР°</t>
  </si>
  <si>
    <t>23.64</t>
  </si>
  <si>
    <t>4847  Original Birth - Р’С‚СѓР»РєР° СЃС‚Р°Р±С–Р»С–Р·Р°С‚РѕСЂР°</t>
  </si>
  <si>
    <t>SKODA Fabia (6Y) front L/R (d=20mm)</t>
  </si>
  <si>
    <t>4849  Original Birth - Р’С‚СѓР»РєР° СЃС‚Р°Р±С–Р»С–Р·Р°С‚РѕСЂР°</t>
  </si>
  <si>
    <t>44.80</t>
  </si>
  <si>
    <t>MB Sprinter HD  95-06  front L/R inner (d=33mm)</t>
  </si>
  <si>
    <t>4860  Original Birth - Р’С‚СѓР»РєР° СЃС‚Р°Р±С–Р»С–Р·Р°С‚РѕСЂР°</t>
  </si>
  <si>
    <t>4867  Original Birth - Р’С‚СѓР»РєР° СЃС‚Р°Р±С–Р»С–Р·Р°С‚РѕСЂР°</t>
  </si>
  <si>
    <t>33.07</t>
  </si>
  <si>
    <t>4888  Original Birth - Р’С‚СѓР»РєР° СЃС‚Р°Р±С–Р»С–Р·Р°С‚РѕСЂР°</t>
  </si>
  <si>
    <t>FORD Mondeo III 1.8-3.0 V6  00-07  (Rear, L/R)</t>
  </si>
  <si>
    <t>4921  Original Birth - Р’С‚СѓР»РєР° СЃС‚Р°Р±С–Р»С–Р·Р°С‚РѕСЂР°</t>
  </si>
  <si>
    <t>47.11</t>
  </si>
  <si>
    <t>4924  Original Birth - Р’С‚СѓР»РєР° СЃС‚Р°Р±С–Р»С–Р·Р°С‚РѕСЂР°</t>
  </si>
  <si>
    <t>RENAULT ESPACE IV 1.9dCi-3.5  02-  (Front, L/R) (d=23mm)</t>
  </si>
  <si>
    <t>4934  Original Birth - Р’С‚СѓР»РєР° СЃС‚Р°Р±С–Р»С–Р·Р°С‚РѕСЂР°</t>
  </si>
  <si>
    <t>FIAT Punto| OPEL Adam, Corsa C, D 1.2-1.7CDTI  05-  (Front, L/R)</t>
  </si>
  <si>
    <t>50129  Original Birth - РћРїРѕСЂР° СЃС‚С–Р№РєРё Р°РјРѕСЂС‚РёР·Р°С‚РѕСЂР°</t>
  </si>
  <si>
    <t>375.09</t>
  </si>
  <si>
    <t>BMW 1 (E81), 3 (E36), 5 (E39), Z4 (E85) 1.6-4.8  90-  (Front, L/R)</t>
  </si>
  <si>
    <t>50151  Original Birth - РћРїРѕСЂР° СЃС‚С–Р№РєРё Р°РјРѕСЂС‚РёР·Р°С‚РѕСЂР°</t>
  </si>
  <si>
    <t>318.39</t>
  </si>
  <si>
    <t>50201  Original Birth - РћРїРѕСЂР° СЃС‚С–Р№РєРё Р°РјРѕСЂС‚РёР·Р°С‚РѕСЂР°</t>
  </si>
  <si>
    <t>417.58</t>
  </si>
  <si>
    <t>RENAULT Kangoo 2  08- front L/R</t>
  </si>
  <si>
    <t>50224  Original Birth - РЎР°Р№Р»РµРЅС‚Р±Р»РѕРє Р±Р°Р»РєРё</t>
  </si>
  <si>
    <t>135.11</t>
  </si>
  <si>
    <t>AUDI 100/A6  91-97 front L/R front</t>
  </si>
  <si>
    <t>50290  Original Birth - Р’С–РґР±С–Р№РЅРёРє Р°РјРѕСЂС‚РёР·Р°С‚РѕСЂР°</t>
  </si>
  <si>
    <t>136.88</t>
  </si>
  <si>
    <t>AUDI A4, A6 , VW Passat  98-05 rear L/R (h=137mm)</t>
  </si>
  <si>
    <t>50309  Original Birth - РЎР°Р№Р»РµРЅС‚Р±Р»РѕРє Р±Р°Р»РєРё</t>
  </si>
  <si>
    <t>124.44</t>
  </si>
  <si>
    <t>OPEL Astra G, H, Zafira A, B  98- front L/R front/rear</t>
  </si>
  <si>
    <t>50316  Original Birth - РћРїРѕСЂР° СЃС‚С–Р№РєРё Р°РјРѕСЂС‚РёР·Р°С‚РѕСЂР°</t>
  </si>
  <si>
    <t>141.50</t>
  </si>
  <si>
    <t>MB Sprinter, VW LT  96- front L/R lower</t>
  </si>
  <si>
    <t>50326  Original Birth - Р’С–РґР±С–Р№РЅРёРє Р°РјРѕСЂС‚РёР·Р°С‚РѕСЂР°</t>
  </si>
  <si>
    <t>46.75</t>
  </si>
  <si>
    <t>SKODA Octavia (1U) HD front L/R</t>
  </si>
  <si>
    <t>50343  Original Birth - РћРїРѕСЂР° СЃС‚С–Р№РєРё Р°РјРѕСЂС‚РёР·Р°С‚РѕСЂР°</t>
  </si>
  <si>
    <t>CITROEN Berlingo, PEUGEOT Partner 2.0HDi 12.99- L/R</t>
  </si>
  <si>
    <t>50347  Original Birth - Р’С–РґР±С–Р№РЅРёРє Р°РјРѕСЂС‚РёР·Р°С‚РѕСЂР°</t>
  </si>
  <si>
    <t>CITROEN Jumper| FIAT Ducato| PEUGEOT Boxer 1.9-2.8HDi  94-  (Rear, L/R)</t>
  </si>
  <si>
    <t>50348  Original Birth - Р’С–РґР±С–Р№РЅРёРє Р°РјРѕСЂС‚РёР·Р°С‚РѕСЂР°</t>
  </si>
  <si>
    <t>306.65</t>
  </si>
  <si>
    <t>CITROEN Jumper| FIAT Ducato| PEUGEOT Boxer 94-  (Rear, L/R)\n</t>
  </si>
  <si>
    <t>50545  Original Birth - РћРїРѕСЂР° РґРІРёРіСѓРЅР°</t>
  </si>
  <si>
    <t>231.10</t>
  </si>
  <si>
    <t>PEUGEOT 206 1.6I 98-</t>
  </si>
  <si>
    <t>50546  Original Birth - РћРїРѕСЂР° РґРІРёРіСѓРЅР°</t>
  </si>
  <si>
    <t>CITROEN Berlingo 2.0HDI 98-, PEUGEOT 206 1.9D,  406 1.9D 2.0HDI 98-</t>
  </si>
  <si>
    <t>50550  Original Birth - РћРїРѕСЂР° РґРІРёРіСѓРЅР°</t>
  </si>
  <si>
    <t>353.76</t>
  </si>
  <si>
    <t>CITROEN C5 1.8 16v/2.0 HPi, C8 2.0 16v,Evasion/Jumpy 1.9D/2.0 16v</t>
  </si>
  <si>
    <t>50551  Original Birth - РћРїРѕСЂР° РґРІРёРіСѓРЅР°</t>
  </si>
  <si>
    <t>372.78</t>
  </si>
  <si>
    <t>CITROEN C5 2.0 HDi, C8 2.0/2.2 HDi ,Evasion/Jumpy 2.0 HDi</t>
  </si>
  <si>
    <t>50651  Original Birth - РћРїРѕСЂР° РґРІРёРіСѓРЅР°</t>
  </si>
  <si>
    <t>327.81</t>
  </si>
  <si>
    <t>CITROEN C5,C8,Jumpy| PEUGEOT 406,407,607,806,807 2.0 HDi 99-</t>
  </si>
  <si>
    <t>50697  Original Birth - РЎР°Р№Р»РµРЅС‚Р±Р»РѕРє Р±Р°Р»РєРё</t>
  </si>
  <si>
    <t>CITROEN Berlingo, PEUGEOT Partner  96-02 rear L/R rear</t>
  </si>
  <si>
    <t>50864  Original Birth - РћРїРѕСЂР° СЃС‚С–Р№РєРё Р°РјРѕСЂС‚РёР·Р°С‚РѕСЂР°</t>
  </si>
  <si>
    <t>431.63</t>
  </si>
  <si>
    <t>RENAULT Megane II, Scenic II 07/03- L/R</t>
  </si>
  <si>
    <t>51060  Original Birth - РћРїРѕСЂР° СЃС‚С–Р№РєРё Р°РјРѕСЂС‚РёР·Р°С‚РѕСЂР°</t>
  </si>
  <si>
    <t>CITROEN Jumper| FIAT Ducato| PEUGEOT Boxer 2.0-2.8HDi 04.02- FRONT RIGHT</t>
  </si>
  <si>
    <t>51061  Original Birth - РћРїРѕСЂР° СЃС‚С–Р№РєРё Р°РјРѕСЂС‚РёР·Р°С‚РѕСЂР°</t>
  </si>
  <si>
    <t>CITROEN Jumper| FIAT Ducato| PEUGEOT Boxer 2.0-2.8HDi 04.02- FRONT LEFT</t>
  </si>
  <si>
    <t>51136  Original Birth - РћРїРѕСЂР° СЃС‚С–Р№РєРё Р°РјРѕСЂС‚РёР·Р°С‚РѕСЂР°</t>
  </si>
  <si>
    <t>CITROEN C2, C3| PEUGEOT 1007| 1.1-1.6HDI| 02.02- FRONT L/R</t>
  </si>
  <si>
    <t>51298  Original Birth - РўСЏРіР° СЃС‚Р°Р±С–Р»С–Р·Р°С‚РѕСЂР°</t>
  </si>
  <si>
    <t>DACIA Logan 09.04-, Sandero</t>
  </si>
  <si>
    <t>51349  Original Birth - РЎР°Р№Р»РµРЅС‚Р±Р»РѕРє СЂРµСЃРѕСЂРё</t>
  </si>
  <si>
    <t>129.77</t>
  </si>
  <si>
    <t>CITROEN Jumper| FIAT Ducato| PEUGEOT Boxer  94-06 \n</t>
  </si>
  <si>
    <t>51421  Original Birth - РЎР°Р№Р»РµРЅС‚Р±Р»РѕРє Р±Р°Р»РєРё</t>
  </si>
  <si>
    <t>CITROEN C4 I Ex.W10ATED, PEUGEOT 307/SW Ex.Break/CC rear L/R</t>
  </si>
  <si>
    <t>51455  Original Birth - РћРїРѕСЂР° РґРІРёРіСѓРЅР°</t>
  </si>
  <si>
    <t>RENAULT Clio II 1.5 dCi, 1.6 16V 2001-| Kangoo1.6 16V 1.9 dTi 2000-</t>
  </si>
  <si>
    <t>51504  Original Birth - РћРїРѕСЂР° РґРІРёРіСѓРЅР°</t>
  </si>
  <si>
    <t>RENAULT Megane II| Scenic II 1,4 -1,6 16V, DACIA Logan 1.4MPi,1.5DCi, 1.6MPi</t>
  </si>
  <si>
    <t>51575  Original Birth - РўСЏРіР° СЃС‚Р°Р±С–Р»С–Р·Р°С‚РѕСЂР°</t>
  </si>
  <si>
    <t>259.54</t>
  </si>
  <si>
    <t>RENAULT Master 97- REAR L/R</t>
  </si>
  <si>
    <t>51587  Original Birth - РЎР°Р№Р»РµРЅС‚Р±Р»РѕРє СЂРµСЃРѕСЂРё</t>
  </si>
  <si>
    <t>FIAT Doblo 01-, Strada 97-, Fiorino 93-  (rear)</t>
  </si>
  <si>
    <t>51696  Original Birth - РЎР°Р№Р»РµРЅС‚Р±Р»РѕРє Р±Р°Р»РєРё</t>
  </si>
  <si>
    <t>RENAULT Espace II,III 1991-2002| Laguna I 1993-2001</t>
  </si>
  <si>
    <t>5197  Original Birth - РЎР°Р№Р»РµРЅС‚Р±Р»РѕРє</t>
  </si>
  <si>
    <t>41.95</t>
  </si>
  <si>
    <t>51975  Original Birth - РЎР°Р№Р»РµРЅС‚Р±Р»РѕРє Р±Р°Р»РєРё</t>
  </si>
  <si>
    <t>NISSAN Qashqai (J10)| RENAULT Koleos  08-  (Rear)</t>
  </si>
  <si>
    <t>51979  Original Birth - РћРїРѕСЂР° РґРІРёРіСѓРЅР°</t>
  </si>
  <si>
    <t>OPEL Vivaro 1.9 Di 01-06 1,9DTI 01-06</t>
  </si>
  <si>
    <t>52006  Original Birth - РћРїРѕСЂР° РґРІРёРіСѓРЅР°</t>
  </si>
  <si>
    <t>123.19</t>
  </si>
  <si>
    <t>CITROEN Berlingo II| Citroen Xsara, Xsara Picasso| PEUGEOT Partner 1996-</t>
  </si>
  <si>
    <t>52105  Original Birth - РћРїРѕСЂР° РґРІРёРіСѓРЅР°</t>
  </si>
  <si>
    <t>766.19</t>
  </si>
  <si>
    <t>RENAULT Traffic 2.0 dCi 90,115 KM 06-</t>
  </si>
  <si>
    <t>52316  Original Birth - РћРїРѕСЂР° РґРІРёРіСѓРЅР°</t>
  </si>
  <si>
    <t>684.06</t>
  </si>
  <si>
    <t>OPEL Vivaro 2.0 CDTi 2,5CDTi| RENAULT Trafic II 2,0 DCI 2006-</t>
  </si>
  <si>
    <t>5406  Original Birth - РўСЏРіР° СЃС‚Р°Р±С–Р»С–Р·Р°С‚РѕСЂР°</t>
  </si>
  <si>
    <t>OPEL Vectra A, Astra F  88- front L/R (d=22mm)</t>
  </si>
  <si>
    <t>5407  Original Birth - РўСЏРіР° СЃС‚Р°Р±С–Р»С–Р·Р°С‚РѕСЂР°</t>
  </si>
  <si>
    <t>5516  Original Birth - РўСЏРіР° СЃС‚Р°Р±С–Р»С–Р·Р°С‚РѕСЂР°</t>
  </si>
  <si>
    <t>CITROEN Jumper| FIAT Ducato| PEUGEOT Boxer 94- FRONT L/R</t>
  </si>
  <si>
    <t>5608  Original Birth - РћРїРѕСЂР° РґРІРёРіСѓРЅР°</t>
  </si>
  <si>
    <t>CITROEN Berlingo 1.9D, PEUGEOT 307 HDI, 97-</t>
  </si>
  <si>
    <t>5621  Original Birth - РћРїРѕСЂР° РґРІРёРіСѓРЅР°</t>
  </si>
  <si>
    <t>RENAULT Clio II, Kangoo, Megane, Scenic, Thalia, 19, 21 1987-</t>
  </si>
  <si>
    <t>5630  Original Birth - РћРїРѕСЂР° РґРІРёРіСѓРЅР°</t>
  </si>
  <si>
    <t>5642  Original Birth - РћРїРѕСЂР° СЃС‚С–Р№РєРё Р°РјРѕСЂС‚РёР·Р°С‚РѕСЂР°</t>
  </si>
  <si>
    <t>138.66</t>
  </si>
  <si>
    <t>5672  Original Birth - РћРїРѕСЂР° СЃС‚С–Р№РєРё Р°РјРѕСЂС‚РёР·Р°С‚РѕСЂР°</t>
  </si>
  <si>
    <t>5710  Original Birth - РћРїРѕСЂР° РґРІРёРіСѓРЅР°</t>
  </si>
  <si>
    <t>FIAT Ducato, PEUGEOT Boxer, CITROEN Jumper 1994-2002</t>
  </si>
  <si>
    <t>5712  Original Birth - РћРїРѕСЂР° СЃС‚С–Р№РєРё Р°РјРѕСЂС‚РёР·Р°С‚РѕСЂР°</t>
  </si>
  <si>
    <t>363.18</t>
  </si>
  <si>
    <t>CITROEN Jumper, PEUGEOT Boxer, FIAT Ducato 09.98- LEFT</t>
  </si>
  <si>
    <t>5713  Original Birth - РћРїРѕСЂР° СЃС‚С–Р№РєРё Р°РјРѕСЂС‚РёР·Р°С‚РѕСЂР°</t>
  </si>
  <si>
    <t>CITROEN Jumper, PEUGEOT Boxer, FIAT Ducato 09.98- RIGHT</t>
  </si>
  <si>
    <t>5770  Original Birth - РўСЏРіР° СЃС‚Р°Р±С–Р»С–Р·Р°С‚РѕСЂР°</t>
  </si>
  <si>
    <t>5830  Original Birth - РЎР°Р№Р»РµРЅС‚Р±Р»РѕРє Р±Р°Р»РєРё</t>
  </si>
  <si>
    <t>146.30</t>
  </si>
  <si>
    <t>5874  Original Birth - РћРїРѕСЂР° СЃС‚С–Р№РєРё Р°РјРѕСЂС‚РёР·Р°С‚РѕСЂР°</t>
  </si>
  <si>
    <t>467.00</t>
  </si>
  <si>
    <t>FIAT Doblo 03.01- FRONT RIGHT</t>
  </si>
  <si>
    <t>5905  Original Birth - РўСЏРіР° СЃС‚Р°Р±С–Р»С–Р·Р°С‚РѕСЂР°</t>
  </si>
  <si>
    <t>5906  Original Birth - РўСЏРіР° СЃС‚Р°Р±С–Р»С–Р·Р°С‚РѕСЂР°</t>
  </si>
  <si>
    <t>5909  Original Birth - РўСЏРіР° СЃС‚Р°Р±С–Р»С–Р·Р°С‚РѕСЂР°</t>
  </si>
  <si>
    <t>5922  Original Birth - РћРїРѕСЂР° РґРІРёРіСѓРЅР°</t>
  </si>
  <si>
    <t>92.44</t>
  </si>
  <si>
    <t>CITROEN Berlingo, Saxo, Xsara 1.4-1.6I, 1.5D 96.07-, PEUGEOT 106, 206, 306, Partner 1.1-1.6 92.09-</t>
  </si>
  <si>
    <t>6267  Original Birth - РџС–РґС€РёРїРЅРёРє РѕРїРѕСЂРё Р°РјРѕСЂС‚РёР·Р°С‚РѕСЂР°</t>
  </si>
  <si>
    <t>RENAULT Clio I, II, Kangoo, Logan front L/R</t>
  </si>
  <si>
    <t>6359  Original Birth - РџС–РґС€РёРїРЅРёРє РѕРїРѕСЂРё Р°РјРѕСЂС‚РёР·Р°С‚РѕСЂР°</t>
  </si>
  <si>
    <t>207.64</t>
  </si>
  <si>
    <t>6362  Original Birth - РљРѕРјРїР»РµРєС‚ РїС–РґС€РёРїРЅРёРєР° Р±Р°Р»РєРё</t>
  </si>
  <si>
    <t>CITROEN Berlingo| Peugeot 405 I,II 1988-1996| Partner 1996-2002 (1325605+1315485+1315495)</t>
  </si>
  <si>
    <t>6363  Original Birth - РљРѕРјРїР»РµРєС‚ РїС–РґС€РёРїРЅРёРєР° Р±Р°Р»РєРё</t>
  </si>
  <si>
    <t>PEUGEOT 206 1.1-2.0  98-  (Rear Axle)</t>
  </si>
  <si>
    <t>6364  Original Birth - РљРѕРјРїР»РµРєС‚ РїС–РґС€РёРїРЅРёРєР° Р±Р°Р»РєРё</t>
  </si>
  <si>
    <t>301.85</t>
  </si>
  <si>
    <t>PEUGEOT 206, 1998-</t>
  </si>
  <si>
    <t>6366  Original Birth - РљРѕРјРїР»РµРєС‚ РїС–РґС€РёРїРЅРёРєР° Р±Р°Р»РєРё</t>
  </si>
  <si>
    <t>PEUGEOT 206</t>
  </si>
  <si>
    <t>6369  Original Birth - РљРѕРјРїР»РµРєС‚ РїС–РґС€РёРїРЅРёРєР° Р±Р°Р»РєРё</t>
  </si>
  <si>
    <t>RENAULT Kangoo 97-  (Rear axle)</t>
  </si>
  <si>
    <t>AX0003</t>
  </si>
  <si>
    <t>AX0003  Original Birth - РўСЏРіР° РєРµСЂРјРѕРІР°</t>
  </si>
  <si>
    <t>165.15</t>
  </si>
  <si>
    <t>RENAULT Kangoo (+PS)  99-07 L/R (L=301mm)</t>
  </si>
  <si>
    <t>AX0007</t>
  </si>
  <si>
    <t>AX0007  Original Birth - РўСЏРіР° РєРµСЂРјРѕРІР°</t>
  </si>
  <si>
    <t>AX0010</t>
  </si>
  <si>
    <t>AX0010  Original Birth - РўСЏРіР° РєРµСЂРјРѕРІР°</t>
  </si>
  <si>
    <t>179.19</t>
  </si>
  <si>
    <t>RENAULT Megane II, Scenic II| 11.02- (211mm) L/R</t>
  </si>
  <si>
    <t>AX0038</t>
  </si>
  <si>
    <t>AX0038  Original Birth - РўСЏРіР° РєРµСЂРјРѕРІР°</t>
  </si>
  <si>
    <t>235.90</t>
  </si>
  <si>
    <t>FORD Transit  00-, left (M16)</t>
  </si>
  <si>
    <t>AX0039</t>
  </si>
  <si>
    <t>AX0039  Original Birth - РўСЏРіР° РєРµСЂРјРѕРІР°</t>
  </si>
  <si>
    <t>AX0040</t>
  </si>
  <si>
    <t>AX0040  Original Birth - РўСЏРіР° РєРµСЂРјРѕРІР°</t>
  </si>
  <si>
    <t>OPEL Corsa C  01-06 L/R (L=315mm)</t>
  </si>
  <si>
    <t>AX0044</t>
  </si>
  <si>
    <t>AX0044  Original Birth - РўСЏРіР° РєРµСЂРјРѕРІР°</t>
  </si>
  <si>
    <t>AX0079</t>
  </si>
  <si>
    <t>AX0079  Original Birth - РўСЏРіР° РєРµСЂРјРѕРІР°</t>
  </si>
  <si>
    <t>AUDI A3 -05.03 (320mm) L/R</t>
  </si>
  <si>
    <t>AX0091</t>
  </si>
  <si>
    <t>AX0091  Original Birth - РўСЏРіР° РєРµСЂРјРѕРІР°</t>
  </si>
  <si>
    <t>CITROEN Xsara Picasso 12/99-, PEUGEOT Partner (330mm) L/R</t>
  </si>
  <si>
    <t>AX0483</t>
  </si>
  <si>
    <t>AX0483  Original Birth - РўСЏРіР° РєРµСЂРјРѕРІР°</t>
  </si>
  <si>
    <t>155.73</t>
  </si>
  <si>
    <t>PEUGEOT 206, 206+  98- L/R (L=300mm)</t>
  </si>
  <si>
    <t>AX0639</t>
  </si>
  <si>
    <t>AX0639  Original Birth - РўСЏРіР° РєРµСЂРјРѕРІР°</t>
  </si>
  <si>
    <t>AX1055</t>
  </si>
  <si>
    <t>AX1055  Original Birth - РўСЏРіР° РєРµСЂРјРѕРІР°</t>
  </si>
  <si>
    <t>150.93</t>
  </si>
  <si>
    <t>AX1139</t>
  </si>
  <si>
    <t>AX1139  Original Birth - РўСЏРіР° РєРµСЂРјРѕРІР°</t>
  </si>
  <si>
    <t>AX1412</t>
  </si>
  <si>
    <t>AX1412  Original Birth - РўСЏРіР° РєРµСЂРјРѕРІР°</t>
  </si>
  <si>
    <t>VW T4 90-95 (298mm) +P/S (L/R)</t>
  </si>
  <si>
    <t>AX1745</t>
  </si>
  <si>
    <t>AX1745  Original Birth - РўСЏРіР° РєРµСЂРјРѕРІР°</t>
  </si>
  <si>
    <t>OPEL Astra G, Zafira A  99-05 L/R (Delphi) l=302mm</t>
  </si>
  <si>
    <t>AX1746</t>
  </si>
  <si>
    <t>AX1746  Original Birth - РўСЏРіР° РєРµСЂРјРѕРІР°</t>
  </si>
  <si>
    <t>OPEL Astra G, Zafira A  99-05 L/R (TRW) l=304mm</t>
  </si>
  <si>
    <t>AX2040</t>
  </si>
  <si>
    <t>AX2040  Original Birth - РўСЏРіР° РєРµСЂРјРѕРІР°</t>
  </si>
  <si>
    <t>198.21</t>
  </si>
  <si>
    <t>AX6943</t>
  </si>
  <si>
    <t>AX6943  Original Birth - РўСЏРіР° РєРµСЂРјРѕРІР°</t>
  </si>
  <si>
    <t>OPEL Vectra C Caravan  02- L/R 300mm</t>
  </si>
  <si>
    <t>AX6945</t>
  </si>
  <si>
    <t>AX6945  Original Birth - РўСЏРіР° РєРµСЂРјРѕРІР°</t>
  </si>
  <si>
    <t>222.21</t>
  </si>
  <si>
    <t>AX7004</t>
  </si>
  <si>
    <t>AX7004  Original Birth - РўСЏРіР° РєРµСЂРјРѕРІР°</t>
  </si>
  <si>
    <t>OPEL Astra H, Zafira A  99-05 L/R 293mm</t>
  </si>
  <si>
    <t>AX7010</t>
  </si>
  <si>
    <t>AX7010  Original Birth - РўСЏРіР° РєРµСЂРјРѕРІР°</t>
  </si>
  <si>
    <t>269.32</t>
  </si>
  <si>
    <t>RENAULT Clio Symbol  98- L/R (TRW Servo, L=240mm)</t>
  </si>
  <si>
    <t>AX7011</t>
  </si>
  <si>
    <t>AX7011  Original Birth - РўСЏРіР° РєРµСЂРјРѕРІР°</t>
  </si>
  <si>
    <t>250.12</t>
  </si>
  <si>
    <t>RENAULT Clio II 12/99-, Kangoo 2/99- L/R (303mm)</t>
  </si>
  <si>
    <t>AX7020</t>
  </si>
  <si>
    <t>AX7020  Original Birth - РўСЏРіР° РєРµСЂРјРѕРІР°</t>
  </si>
  <si>
    <t>AX7023</t>
  </si>
  <si>
    <t>AX7023  Original Birth - РўСЏРіР° РєРµСЂРјРѕРІР°</t>
  </si>
  <si>
    <t>276.08</t>
  </si>
  <si>
    <t>RENAULT Kangoo, Megane, Scenic  08- L/R (L=214mm)</t>
  </si>
  <si>
    <t>AX7029</t>
  </si>
  <si>
    <t>AX7029  Original Birth - РўСЏРіР° РєРµСЂРјРѕРІР°</t>
  </si>
  <si>
    <t>CITROEN Jumpy| FIAT Scudo| PEUGEOT  807 01/07- L/R</t>
  </si>
  <si>
    <t>BD0011</t>
  </si>
  <si>
    <t>BD0011  Original Birth - РўСЏРіР° СЃС‚Р°Р±С–Р»С–Р·Р°С‚РѕСЂР°</t>
  </si>
  <si>
    <t>PEUGEOT 407 front right</t>
  </si>
  <si>
    <t>BD0019</t>
  </si>
  <si>
    <t>BD0019  Original Birth - РўСЏРіР° СЃС‚Р°Р±С–Р»С–Р·Р°С‚РѕСЂР°</t>
  </si>
  <si>
    <t>RENAULT Master I/II  97- front right</t>
  </si>
  <si>
    <t>BD1902</t>
  </si>
  <si>
    <t>BD1902  Original Birth - РўСЏРіР° СЃС‚Р°Р±С–Р»С–Р·Р°С‚РѕСЂР°</t>
  </si>
  <si>
    <t>BR1299</t>
  </si>
  <si>
    <t>BR1299  Original Birth - Р’Р°Р¶С–Р»СЊ РїС–РґРІС–СЃРєРё</t>
  </si>
  <si>
    <t>902.18</t>
  </si>
  <si>
    <t>BR1300</t>
  </si>
  <si>
    <t>BR1300  Original Birth - Р’Р°Р¶С–Р»СЊ РїС–РґРІС–СЃРєРё</t>
  </si>
  <si>
    <t>BR1337</t>
  </si>
  <si>
    <t>BR1337  Original Birth - Р’Р°Р¶С–Р»СЊ РїС–РґРІС–СЃРєРё</t>
  </si>
  <si>
    <t>754.81</t>
  </si>
  <si>
    <t>BR1394</t>
  </si>
  <si>
    <t>BR1394  Original Birth - Р’Р°Р¶С–Р»СЊ РїС–РґРІС–СЃРєРё</t>
  </si>
  <si>
    <t>424.51</t>
  </si>
  <si>
    <t>BR1395</t>
  </si>
  <si>
    <t>BR1395  Original Birth - Р’Р°Р¶С–Р»СЊ РїС–РґРІС–СЃРєРё</t>
  </si>
  <si>
    <t>AUDI A4, A6, A8, VW Passat  96- front left upper rear</t>
  </si>
  <si>
    <t>BR1680</t>
  </si>
  <si>
    <t>BR1680  Original Birth - Р’Р°Р¶С–Р»СЊ РїС–РґРІС–СЃРєРё</t>
  </si>
  <si>
    <t>317.32</t>
  </si>
  <si>
    <t>BR1686</t>
  </si>
  <si>
    <t>BR1686  Original Birth - Р’Р°Р¶С–Р»СЊ РїС–РґРІС–СЃРєРё</t>
  </si>
  <si>
    <t>CITROEN Berlingo 2,0 HDI, Xsara Picasso 00-   FRONT RIGHT</t>
  </si>
  <si>
    <t>BR1687</t>
  </si>
  <si>
    <t>BR1687  Original Birth - Р’Р°Р¶С–Р»СЊ РїС–РґРІС–СЃРєРё</t>
  </si>
  <si>
    <t>CITROEN Berlingo 2,0 HDI, Xsara Picasso 00-   FRONT LEFT</t>
  </si>
  <si>
    <t>BS0011</t>
  </si>
  <si>
    <t>BS0011  Original Birth - РўСЏРіР° СЃС‚Р°Р±С–Р»С–Р·Р°С‚РѕСЂР°</t>
  </si>
  <si>
    <t>PEUGEOT 407 front left</t>
  </si>
  <si>
    <t>BS0019</t>
  </si>
  <si>
    <t>BS0019  Original Birth - РўСЏРіР° СЃС‚Р°Р±С–Р»С–Р·Р°С‚РѕСЂР°</t>
  </si>
  <si>
    <t>RENAULT Master I/II  97- front left</t>
  </si>
  <si>
    <t>BS1902</t>
  </si>
  <si>
    <t>BS1902  Original Birth - РўСЏРіР° СЃС‚Р°Р±С–Р»С–Р·Р°С‚РѕСЂР°</t>
  </si>
  <si>
    <t>BS1907</t>
  </si>
  <si>
    <t>BS1907  Original Birth - РўСЏРіР° СЃС‚Р°Р±С–Р»С–Р·Р°С‚РѕСЂР°</t>
  </si>
  <si>
    <t>MB Vito (W638) 2/96-7/03 FRONT LEFT</t>
  </si>
  <si>
    <t>BX0003</t>
  </si>
  <si>
    <t>BX0003  Original Birth - РўСЏРіР° СЃС‚Р°Р±С–Р»С–Р·Р°С‚РѕСЂР°</t>
  </si>
  <si>
    <t>FORD Mondeo Turnier  00-07 rear L/R 110mm</t>
  </si>
  <si>
    <t>BX0009</t>
  </si>
  <si>
    <t>BX0009  Original Birth - РўСЏРіР° СЃС‚Р°Р±С–Р»С–Р·Р°С‚РѕСЂР°</t>
  </si>
  <si>
    <t>BX0010</t>
  </si>
  <si>
    <t>BX0010  Original Birth - РўСЏРіР° СЃС‚Р°Р±С–Р»С–Р·Р°С‚РѕСЂР°</t>
  </si>
  <si>
    <t>BX0025</t>
  </si>
  <si>
    <t>BX0025  Original Birth - РўСЏРіР° СЃС‚Р°Р±С–Р»С–Р·Р°С‚РѕСЂР°</t>
  </si>
  <si>
    <t>PEUGEOT 308 07- FRONT L/R</t>
  </si>
  <si>
    <t>BX0045</t>
  </si>
  <si>
    <t>BX0045  Original Birth - РўСЏРіР° СЃС‚Р°Р±С–Р»С–Р·Р°С‚РѕСЂР°</t>
  </si>
  <si>
    <t>183.99</t>
  </si>
  <si>
    <t>BX0057</t>
  </si>
  <si>
    <t>BX0057  Original Birth - РўСЏРіР° СЃС‚Р°Р±С–Р»С–Р·Р°С‚РѕСЂР°</t>
  </si>
  <si>
    <t>BX0063</t>
  </si>
  <si>
    <t>BX0063  Original Birth - РўСЏРіР° СЃС‚Р°Р±С–Р»С–Р·Р°С‚РѕСЂР°</t>
  </si>
  <si>
    <t>BX0079</t>
  </si>
  <si>
    <t>BX0079  Original Birth - РўСЏРіР° СЃС‚Р°Р±С–Р»С–Р·Р°С‚РѕСЂР°</t>
  </si>
  <si>
    <t>160.35</t>
  </si>
  <si>
    <t>RENAULT Clio 3,4, Modus  04- front L/R</t>
  </si>
  <si>
    <t>BX0095</t>
  </si>
  <si>
    <t>BX0095  Original Birth - РўСЏРіР° СЃС‚Р°Р±С–Р»С–Р·Р°С‚РѕСЂР°</t>
  </si>
  <si>
    <t>BX0488</t>
  </si>
  <si>
    <t>BX0488  Original Birth - РўСЏРіР° СЃС‚Р°Р±С–Р»С–Р·Р°С‚РѕСЂР°</t>
  </si>
  <si>
    <t>PEUGEOT 206 98- , CITROEN C3 FRONT L/R</t>
  </si>
  <si>
    <t>BX1177</t>
  </si>
  <si>
    <t>BX1177  Original Birth - РўСЏРіР° СЃС‚Р°Р±С–Р»С–Р·Р°С‚РѕСЂР°</t>
  </si>
  <si>
    <t>PEUGEOT 306  94-02 front L/R (plastic)</t>
  </si>
  <si>
    <t>BX1548</t>
  </si>
  <si>
    <t>BX1548  Original Birth - РўСЏРіР° СЃС‚Р°Р±С–Р»С–Р·Р°С‚РѕСЂР°</t>
  </si>
  <si>
    <t>BX1690</t>
  </si>
  <si>
    <t>BX1690  Original Birth - РўСЏРіР° СЃС‚Р°Р±С–Р»С–Р·Р°С‚РѕСЂР°</t>
  </si>
  <si>
    <t>OPEL Vectra B, Combo, Corsa C  95- front L/R</t>
  </si>
  <si>
    <t>BX1744</t>
  </si>
  <si>
    <t>BX1744  Original Birth - РўСЏРіР° СЃС‚Р°Р±С–Р»С–Р·Р°С‚РѕСЂР°</t>
  </si>
  <si>
    <t>BX2884</t>
  </si>
  <si>
    <t>BX2884  Original Birth - РўСЏРіР° СЃС‚Р°Р±С–Р»С–Р·Р°С‚РѕСЂР°</t>
  </si>
  <si>
    <t>AUDI A3, SEAT Toledo, VW Golf  98-04 front L/R steel</t>
  </si>
  <si>
    <t>BX3905</t>
  </si>
  <si>
    <t>BX3905  Original Birth - РўСЏРіР° СЃС‚Р°Р±С–Р»С–Р·Р°С‚РѕСЂР°</t>
  </si>
  <si>
    <t>82.66</t>
  </si>
  <si>
    <t>BX5019</t>
  </si>
  <si>
    <t>BX5019  Original Birth - РўСЏРіР° СЃС‚Р°Р±С–Р»С–Р·Р°С‚РѕСЂР°</t>
  </si>
  <si>
    <t>BX5027</t>
  </si>
  <si>
    <t>BX5027  Original Birth - РўСЏРіР° СЃС‚Р°Р±С–Р»С–Р·Р°С‚РѕСЂР°</t>
  </si>
  <si>
    <t>OPEL Corsa D, FIAT Punto, Grande Punto  06- front L/R</t>
  </si>
  <si>
    <t>BX5064</t>
  </si>
  <si>
    <t>BX5064  Original Birth - РўСЏРіР° СЃС‚Р°Р±С–Р»С–Р·Р°С‚РѕСЂР°</t>
  </si>
  <si>
    <t>FORD Focus  04-10 front L/R</t>
  </si>
  <si>
    <t>BX5065</t>
  </si>
  <si>
    <t>BX5065  Original Birth - РўСЏРіР° СЃС‚Р°Р±С–Р»С–Р·Р°С‚РѕСЂР°</t>
  </si>
  <si>
    <t>FORD Focus  04-10 rear L/R</t>
  </si>
  <si>
    <t>BX5076</t>
  </si>
  <si>
    <t>BX5076  Original Birth - РўСЏРіР° СЃС‚Р°Р±С–Р»С–Р·Р°С‚РѕСЂР°</t>
  </si>
  <si>
    <t>267.54</t>
  </si>
  <si>
    <t>SKODA Octavia (1Z)  04- rear L/R</t>
  </si>
  <si>
    <t>BX5102</t>
  </si>
  <si>
    <t>BX5102  Original Birth - РўСЏРіР° СЃС‚Р°Р±С–Р»С–Р·Р°С‚РѕСЂР°</t>
  </si>
  <si>
    <t>CITROEN Nemo| FIAT Fiorino| PEUGEOT Bipper 02/08- FRONT L/R</t>
  </si>
  <si>
    <t>BX5105</t>
  </si>
  <si>
    <t>BX5105  Original Birth - РўСЏРіР° СЃС‚Р°Р±С–Р»С–Р·Р°С‚РѕСЂР°</t>
  </si>
  <si>
    <t>PEUGEOT 307 05/2001- FRONT L/R</t>
  </si>
  <si>
    <t>CD0013</t>
  </si>
  <si>
    <t>CD0013  Original Birth - РљСѓР»СЊРѕРІР° РѕРїРѕСЂР°</t>
  </si>
  <si>
    <t>AUDI A3| SKODA Octavia, SuperbB, VW Golf V, Touran, Caddy III, 03-  (Front, R)</t>
  </si>
  <si>
    <t>CS0013</t>
  </si>
  <si>
    <t>CS0013  Original Birth - РљСѓР»СЊРѕРІР° РѕРїРѕСЂР°</t>
  </si>
  <si>
    <t>AUDI A3| SKODA Octavia, SuperbB, VW Golf V, Touran, Caddy III, 03-  (Front, L)</t>
  </si>
  <si>
    <t>CX0002</t>
  </si>
  <si>
    <t>CX0002  Original Birth - РљСѓР»СЊРѕРІР° РѕРїРѕСЂР°</t>
  </si>
  <si>
    <t>CITROEN C3  02-09 L/R</t>
  </si>
  <si>
    <t>CX0015</t>
  </si>
  <si>
    <t>CX0015  Original Birth - РљСѓР»СЊРѕРІР° РѕРїРѕСЂР°</t>
  </si>
  <si>
    <t>199.99</t>
  </si>
  <si>
    <t>CX0019</t>
  </si>
  <si>
    <t>CX0019  Original Birth - РљСѓР»СЊРѕРІР° РѕРїРѕСЂР°</t>
  </si>
  <si>
    <t>CX0020</t>
  </si>
  <si>
    <t>CX0020  Original Birth - РљСѓР»СЊРѕРІР° РѕРїРѕСЂР°</t>
  </si>
  <si>
    <t>RENAULT Master II| OPEL Movano</t>
  </si>
  <si>
    <t>CX0047</t>
  </si>
  <si>
    <t>CX0047  Original Birth - РљСѓР»СЊРѕРІР° РѕРїРѕСЂР°</t>
  </si>
  <si>
    <t>260.43</t>
  </si>
  <si>
    <t>CX0048</t>
  </si>
  <si>
    <t>CX0048  Original Birth - РљСѓР»СЊРѕРІР° РѕРїРѕСЂР°</t>
  </si>
  <si>
    <t>272.88</t>
  </si>
  <si>
    <t>CITROEN Jumper II, FIAT Ducato, PEUGEOT Boxer II !!!1.8t  01-06 L/R (M18x1,5)</t>
  </si>
  <si>
    <t>CX0104</t>
  </si>
  <si>
    <t>CX0104  Original Birth - РљСѓР»СЊРѕРІР° РѕРїРѕСЂР°</t>
  </si>
  <si>
    <t>CX0105</t>
  </si>
  <si>
    <t>CX0105  Original Birth - РљСѓР»СЊРѕРІР° РѕРїРѕСЂР°</t>
  </si>
  <si>
    <t>RENAULT Megane II  02-03 L/R (16mm)</t>
  </si>
  <si>
    <t>CX0107</t>
  </si>
  <si>
    <t>CX0107  Original Birth - РљСѓР»СЊРѕРІР° РѕРїРѕСЂР°</t>
  </si>
  <si>
    <t>RENAULT 19 16V, Clio II, Kangoo, Megane, Scenic, Thalia</t>
  </si>
  <si>
    <t>CX0239</t>
  </si>
  <si>
    <t>CX0239  Original Birth - РљСѓР»СЊРѕРІР° РѕРїРѕСЂР°</t>
  </si>
  <si>
    <t>CX0641</t>
  </si>
  <si>
    <t>CX0641  Original Birth - РљСѓР»СЊРѕРІР° РѕРїРѕСЂР°</t>
  </si>
  <si>
    <t>174.57</t>
  </si>
  <si>
    <t>CX0642</t>
  </si>
  <si>
    <t>CX0642  Original Birth - РљСѓР»СЊРѕРІР° РѕРїРѕСЂР°</t>
  </si>
  <si>
    <t>CITROEN Berlingo 96-6/09/98, Xsara 7/97-8/00, ZX| PEUGEOT Partner -9/98</t>
  </si>
  <si>
    <t>CX0764</t>
  </si>
  <si>
    <t>CX0764  Original Birth - РљСѓР»СЊРѕРІР° РѕРїРѕСЂР°</t>
  </si>
  <si>
    <t>173.50</t>
  </si>
  <si>
    <t>CX0928</t>
  </si>
  <si>
    <t>CX0928  Original Birth - РљСѓР»СЊРѕРІР° РѕРїРѕСЂР°</t>
  </si>
  <si>
    <t>CX1124</t>
  </si>
  <si>
    <t>CX1124  Original Birth - РљСѓР»СЊРѕРІР° РѕРїРѕСЂР°</t>
  </si>
  <si>
    <t>CX1137</t>
  </si>
  <si>
    <t>CX1137  Original Birth - РљСѓР»СЊРѕРІР° РѕРїРѕСЂР°</t>
  </si>
  <si>
    <t>CX1138</t>
  </si>
  <si>
    <t>CX1138  Original Birth - РљСѓР»СЊРѕРІР° РѕРїРѕСЂР°</t>
  </si>
  <si>
    <t>FIAT Ducato, PEUGEOT Boxer 1800kg  94-01, (d=22mm, OE = 3640.33), L/R</t>
  </si>
  <si>
    <t>CX1409</t>
  </si>
  <si>
    <t>CX1409  Original Birth - РљСѓР»СЊРѕРІР° РѕРїРѕСЂР°</t>
  </si>
  <si>
    <t>202.84</t>
  </si>
  <si>
    <t>CX1410</t>
  </si>
  <si>
    <t>CX1410  Original Birth - РљСѓР»СЊРѕРІР° РѕРїРѕСЂР°</t>
  </si>
  <si>
    <t>193.41</t>
  </si>
  <si>
    <t>CX1420</t>
  </si>
  <si>
    <t>CX1420  Original Birth - РљСѓР»СЊРѕРІР° РѕРїРѕСЂР°</t>
  </si>
  <si>
    <t>181.33</t>
  </si>
  <si>
    <t>CX1906</t>
  </si>
  <si>
    <t>CX1906  Original Birth - РљСѓР»СЊРѕРІР° РѕРїРѕСЂР°</t>
  </si>
  <si>
    <t>274.65</t>
  </si>
  <si>
    <t>CX2157</t>
  </si>
  <si>
    <t>CX2157  Original Birth - РљСѓР»СЊРѕРІР° РѕРїРѕСЂР°</t>
  </si>
  <si>
    <t>CX3904</t>
  </si>
  <si>
    <t>CX3904  Original Birth - РљСѓР»СЊРѕРІР° РѕРїРѕСЂР°</t>
  </si>
  <si>
    <t>CX9202</t>
  </si>
  <si>
    <t>CX9202  Original Birth - РљСѓР»СЊРѕРІР° РѕРїРѕСЂР°</t>
  </si>
  <si>
    <t>CITROEN XM, Xantia, C5, PEUGEOT 405, 406, 605, 607  89-08 L/R (M14x1,5)</t>
  </si>
  <si>
    <t>CX9210</t>
  </si>
  <si>
    <t>CX9210  Original Birth - РљСѓР»СЊРѕРІР° РѕРїРѕСЂР°</t>
  </si>
  <si>
    <t>CX9242</t>
  </si>
  <si>
    <t>CX9242  Original Birth - РљСѓР»СЊРѕРІР° РѕРїРѕСЂР°</t>
  </si>
  <si>
    <t>271.28</t>
  </si>
  <si>
    <t>RD0003</t>
  </si>
  <si>
    <t>RD0003  Original Birth - РќР°РєС–РЅРµС‡РЅРёРє РєРµСЂРјРѕРІРѕС— С‚СЏРіРё</t>
  </si>
  <si>
    <t>176.88</t>
  </si>
  <si>
    <t>SKODA Fabia I+ II (6Y, 5J)  00-08 right</t>
  </si>
  <si>
    <t>RD0013</t>
  </si>
  <si>
    <t>RD0013  Original Birth - РќР°РєС–РЅРµС‡РЅРёРє РєРµСЂРјРѕРІРѕС— С‚СЏРіРё</t>
  </si>
  <si>
    <t>RD0016</t>
  </si>
  <si>
    <t>RD0016  Original Birth - РќР°РєС–РЅРµС‡РЅРёРє РєРµСЂРјРѕРІРѕС— С‚СЏРіРё</t>
  </si>
  <si>
    <t>277.32</t>
  </si>
  <si>
    <t>RENAULT Megane II, Scenic II  02-08 right</t>
  </si>
  <si>
    <t>RD0023</t>
  </si>
  <si>
    <t>RD0023  Original Birth - РќР°РєС–РЅРµС‡РЅРёРє РєРµСЂРјРѕРІРѕС— С‚СЏРіРё</t>
  </si>
  <si>
    <t>CITROEN Berlingo, C4| PEUGEOT 308, Partner 1.4 16V-2.0 Hdi 04.08-  (Right)</t>
  </si>
  <si>
    <t>RD0039</t>
  </si>
  <si>
    <t>RD0039  Original Birth - РќР°РєС–РЅРµС‡РЅРёРє РєРµСЂРјРѕРІРѕС— С‚СЏРіРё</t>
  </si>
  <si>
    <t>RD0040</t>
  </si>
  <si>
    <t>RD0040  Original Birth - РќР°РєС–РЅРµС‡РЅРёРє РєРµСЂРјРѕРІРѕС— С‚СЏРіРё</t>
  </si>
  <si>
    <t>OPEL Combo Corsa Tigra  94- L/R</t>
  </si>
  <si>
    <t>RD0041</t>
  </si>
  <si>
    <t>RD0041  Original Birth - РќР°РєС–РЅРµС‡РЅРёРє РєРµСЂРјРѕРІРѕС— С‚СЏРіРё</t>
  </si>
  <si>
    <t>RD0058</t>
  </si>
  <si>
    <t>RD0058  Original Birth - РќР°РєС–РЅРµС‡РЅРёРє РєРµСЂРјРѕРІРѕС— С‚СЏРіРё</t>
  </si>
  <si>
    <t>RD0225</t>
  </si>
  <si>
    <t>RD0225  Original Birth - РќР°РєС–РЅРµС‡РЅРёРє РєРµСЂРјРѕРІРѕС— С‚СЏРіРё</t>
  </si>
  <si>
    <t>RD0771</t>
  </si>
  <si>
    <t>RD0771  Original Birth - РќР°РєС–РЅРµС‡РЅРёРє РєРµСЂРјРѕРІРѕС— С‚СЏРіРё</t>
  </si>
  <si>
    <t>RD1054</t>
  </si>
  <si>
    <t>RD1054  Original Birth - РќР°РєС–РЅРµС‡РЅРёРє РєРµСЂРјРѕРІРѕС— С‚СЏРіРё</t>
  </si>
  <si>
    <t>FORD Focus  98-04 right</t>
  </si>
  <si>
    <t>RD1143</t>
  </si>
  <si>
    <t>RD1143  Original Birth - РќР°РєС–РЅРµС‡РЅРёРє РєРµСЂРјРѕРІРѕС— С‚СЏРіРё</t>
  </si>
  <si>
    <t>RD1693</t>
  </si>
  <si>
    <t>RD1693  Original Birth - РќР°РєС–РЅРµС‡РЅРёРє РєРµСЂРјРѕРІРѕС— С‚СЏРіРё</t>
  </si>
  <si>
    <t>OPEL Vectra B L/R</t>
  </si>
  <si>
    <t>RD1904</t>
  </si>
  <si>
    <t>RD1904  Original Birth - РќР°РєС–РЅРµС‡РЅРёРє РєРµСЂРјРѕРІРѕС— С‚СЏРіРё</t>
  </si>
  <si>
    <t>203.72</t>
  </si>
  <si>
    <t>RD2012</t>
  </si>
  <si>
    <t>RD2012  Original Birth - РќР°РєС–РЅРµС‡РЅРёРє РєРµСЂРјРѕРІРѕС— С‚СЏРіРё</t>
  </si>
  <si>
    <t>RD3086</t>
  </si>
  <si>
    <t>RD3086  Original Birth - РќР°РєС–РЅРµС‡РЅРёРє РєРµСЂРјРѕРІРѕС— С‚СЏРіРё</t>
  </si>
  <si>
    <t>127.46</t>
  </si>
  <si>
    <t>RD4635</t>
  </si>
  <si>
    <t>RD4635  Original Birth - РќР°РєС–РЅРµС‡РЅРёРє РєРµСЂРјРѕРІРѕС— С‚СЏРіРё</t>
  </si>
  <si>
    <t>CITROEN Jumper 2.2 HDi 16V FIAT Ducato 2.2 2.3 3.0 JTD 16v. 07/06- RIGHT</t>
  </si>
  <si>
    <t>RD4651</t>
  </si>
  <si>
    <t>RD4651  Original Birth - РќР°РєС–РЅРµС‡РЅРёРє РєРµСЂРјРѕРІРѕС— С‚СЏРіРё</t>
  </si>
  <si>
    <t>182.21</t>
  </si>
  <si>
    <t>OPEL Meriva A  03-10 L/R</t>
  </si>
  <si>
    <t>RD4653</t>
  </si>
  <si>
    <t>RD4653  Original Birth - РќР°РєС–РЅРµС‡РЅРёРє РєРµСЂРјРѕРІРѕС— С‚СЏРіРё</t>
  </si>
  <si>
    <t>OPEL Astra H 1.0, 1.6, 1.8, 2.0, 1.7CDTI  03.04- RIGHT</t>
  </si>
  <si>
    <t>RD4654</t>
  </si>
  <si>
    <t>RD4654  Original Birth - РќР°РєС–РЅРµС‡РЅРёРє РєРµСЂРјРѕРІРѕС— С‚СЏРіРё</t>
  </si>
  <si>
    <t>RD4676</t>
  </si>
  <si>
    <t>RD4676  Original Birth - РќР°РєС–РЅРµС‡РЅРёРє РєРµСЂРјРѕРІРѕС— С‚СЏРіРё</t>
  </si>
  <si>
    <t>268.43</t>
  </si>
  <si>
    <t>CITROEN Jumper, FIAT Ducato, PEUGEOT Boxer  02-06 L/R (M14x1,5)</t>
  </si>
  <si>
    <t>RS0013</t>
  </si>
  <si>
    <t>RS0013  Original Birth - РќР°РєС–РЅРµС‡РЅРёРє РєРµСЂРјРѕРІРѕС— С‚СЏРіРё</t>
  </si>
  <si>
    <t>RS0016</t>
  </si>
  <si>
    <t>RS0016  Original Birth - РќР°РєС–РЅРµС‡РЅРёРє РєРµСЂРјРѕРІРѕС— С‚СЏРіРё</t>
  </si>
  <si>
    <t>RENAULT Megane II, Scenic II  02-08 left</t>
  </si>
  <si>
    <t>RS0023</t>
  </si>
  <si>
    <t>RS0023  Original Birth - РќР°РєС–РЅРµС‡РЅРёРє РєРµСЂРјРѕРІРѕС— С‚СЏРіРё</t>
  </si>
  <si>
    <t>CITROEN Berlingo, C4| PEUGEOT 308, Partner 1.4 16V-2.0 Hdi 04.08-  (Left)</t>
  </si>
  <si>
    <t>RS0041</t>
  </si>
  <si>
    <t>RS0041  Original Birth - РќР°РєС–РЅРµС‡РЅРёРє РєРµСЂРјРѕРІРѕС— С‚СЏРіРё</t>
  </si>
  <si>
    <t>OPEL Vivaro, RENAULT Trafic  01- left</t>
  </si>
  <si>
    <t>RS0058</t>
  </si>
  <si>
    <t>RS0058  Original Birth - РќР°РєС–РЅРµС‡РЅРёРє РєРµСЂРјРѕРІРѕС— С‚СЏРіРё</t>
  </si>
  <si>
    <t>OPEL Vectra A, Astra F  88- left</t>
  </si>
  <si>
    <t>RS0771</t>
  </si>
  <si>
    <t>RS0771  Original Birth - РќР°РєС–РЅРµС‡РЅРёРє РєРµСЂРјРѕРІРѕС— С‚СЏРіРё</t>
  </si>
  <si>
    <t>RS1054</t>
  </si>
  <si>
    <t>RS1054  Original Birth - РќР°РєС–РЅРµС‡РЅРёРє РєРµСЂРјРѕРІРѕС— С‚СЏРіРё</t>
  </si>
  <si>
    <t>FORD Focus  98-04 left</t>
  </si>
  <si>
    <t>RS3086</t>
  </si>
  <si>
    <t>RS3086  Original Birth - РќР°РєС–РЅРµС‡РЅРёРє РєРµСЂРјРѕРІРѕС— С‚СЏРіРё</t>
  </si>
  <si>
    <t>RS4653</t>
  </si>
  <si>
    <t>RS4653  Original Birth - РќР°РєС–РЅРµС‡РЅРёРє РєРµСЂРјРѕРІРѕС— С‚СЏРіРё</t>
  </si>
  <si>
    <t>OPEL Astra H 1.0, 1.6, 1.8, 2.0, 1.7CDTI  03.04- LEFT</t>
  </si>
  <si>
    <t>RS4654</t>
  </si>
  <si>
    <t>RS4654  Original Birth - РќР°РєС–РЅРµС‡РЅРёРє РєРµСЂРјРѕРІРѕС— С‚СЏРіРё</t>
  </si>
  <si>
    <t>RS4678</t>
  </si>
  <si>
    <t>RS4678  Original Birth - РќР°РєС–РЅРµС‡РЅРёРє РєРµСЂРјРѕРІРѕС— С‚СЏРіРё</t>
  </si>
  <si>
    <t>CITROEN Nemo, FIAT Fiorino, Linea, Qubo, PEUGEOT Bipper  08-, left</t>
  </si>
  <si>
    <t>TD0557</t>
  </si>
  <si>
    <t>TD0557  Original Birth - РќР°РєС–РЅРµС‡РЅРёРє РєРµСЂРјРѕРІРѕС— С‚СЏРіРё</t>
  </si>
  <si>
    <t>PEUGEOT 605, 206, 307 left (M10x1,25)</t>
  </si>
  <si>
    <t>TD0950</t>
  </si>
  <si>
    <t>TD0950  Original Birth - РќР°РєС–РЅРµС‡РЅРёРє РєРµСЂРјРѕРІРѕС— С‚СЏРіРё</t>
  </si>
  <si>
    <t>TD2041</t>
  </si>
  <si>
    <t>TD2041  Original Birth - РќР°РєС–РЅРµС‡РЅРёРє РєРµСЂРјРѕРІРѕС— С‚СЏРіРё</t>
  </si>
  <si>
    <t>PRISTA</t>
  </si>
  <si>
    <t>PRISTA ANTIFREEZE LONG LIFE CONC. 20L</t>
  </si>
  <si>
    <t>1457.29</t>
  </si>
  <si>
    <t>PRISTA ULTRA 5W30 (API SL/CF) 12x1L</t>
  </si>
  <si>
    <t>71.56</t>
  </si>
  <si>
    <t>PRISTA ULTRA 5W40 (API SN/CF) 4x4L</t>
  </si>
  <si>
    <t>275.77</t>
  </si>
  <si>
    <t>PRISTA ULTRAGEAR SYNTHETIC 75W90 12x1L</t>
  </si>
  <si>
    <t>152.16</t>
  </si>
  <si>
    <t>PRISTA ULTRAGEAR SYNTHETIC 75W80 12x1L</t>
  </si>
  <si>
    <t>108.79</t>
  </si>
  <si>
    <t>PRISTA SUPER BENZIN 10W40 (API SL/CF) 12x1L</t>
  </si>
  <si>
    <t>64.70</t>
  </si>
  <si>
    <t>PRISTA SUPER BENZIN 10W40 (API SL/CF) 4x4L</t>
  </si>
  <si>
    <t>246.50</t>
  </si>
  <si>
    <t>PRISTA LEADER TD 10W40 (SL/CF) 12x1L</t>
  </si>
  <si>
    <t>69.40</t>
  </si>
  <si>
    <t>PRISTA LEADER TD 10W40 (SL/CF)  4x4L</t>
  </si>
  <si>
    <t>263.84</t>
  </si>
  <si>
    <t>PRISTA SHPD VDS-3 10W40 (API CI-4) 210L</t>
  </si>
  <si>
    <t>12386.98</t>
  </si>
  <si>
    <t>PRISTA SHPD VDS-3 15W40 (API CI-4) 210L</t>
  </si>
  <si>
    <t>11931.58</t>
  </si>
  <si>
    <t>PRISTA UHPD 10W40 20L</t>
  </si>
  <si>
    <t>1643.43</t>
  </si>
  <si>
    <t>PRISTA UHPD 10W40 210L</t>
  </si>
  <si>
    <t>16891.87</t>
  </si>
  <si>
    <t>PRISTA 2T MIX (API TC) 12x1L</t>
  </si>
  <si>
    <t>63.25</t>
  </si>
  <si>
    <t>PRISTA 4T 10W40 12x1L</t>
  </si>
  <si>
    <t>76.63</t>
  </si>
  <si>
    <t>PRISTA ULTRA PLUS 5W30 12x1L</t>
  </si>
  <si>
    <t>97.95</t>
  </si>
  <si>
    <t>PRISTA ULTRA PLUS 5W30 4x4L</t>
  </si>
  <si>
    <t>374.80</t>
  </si>
  <si>
    <t>PRISTA ATF DEXRON IID 12x1L</t>
  </si>
  <si>
    <t>71.92</t>
  </si>
  <si>
    <t>PRISTA ATF DEXRON III 12x1L</t>
  </si>
  <si>
    <t>93.97</t>
  </si>
  <si>
    <t>PRISTA EP 80W90 (API GL-5) 12x1L</t>
  </si>
  <si>
    <t>67.22</t>
  </si>
  <si>
    <t>PRISTA ANTIFREEZE CONCENTRATE 4x4L</t>
  </si>
  <si>
    <t>277.58</t>
  </si>
  <si>
    <t>PRISTA ANTIFREEZE CONCENTRATE 12x1L</t>
  </si>
  <si>
    <t>73.73</t>
  </si>
  <si>
    <t>PRISTA ANTIFREEZE CONCENTRATE 20L</t>
  </si>
  <si>
    <t>1379.22</t>
  </si>
  <si>
    <t>PRISTA WINTER SCREEN WASH (-60 degr.) 12x1L</t>
  </si>
  <si>
    <t>53.49</t>
  </si>
  <si>
    <t>PRISTA LITHIUM EP-2 (cartridge) 21x0,4KG</t>
  </si>
  <si>
    <t>47.35</t>
  </si>
  <si>
    <t>PRISTA LIX EP-2 (cartridge) 21x0,4KG</t>
  </si>
  <si>
    <t>57.83</t>
  </si>
  <si>
    <t>PURFLUX</t>
  </si>
  <si>
    <t>A1008</t>
  </si>
  <si>
    <t>A1008     (PURFLUX)</t>
  </si>
  <si>
    <t>A1029</t>
  </si>
  <si>
    <t>A1029     (PURFLUX)</t>
  </si>
  <si>
    <t>239.24</t>
  </si>
  <si>
    <t>MB SPRINTER all engines 95-00, Vito 108-112, VW LT II 28-46 , 96-06</t>
  </si>
  <si>
    <t>A1036</t>
  </si>
  <si>
    <t>A1036     (PURFLUX)</t>
  </si>
  <si>
    <t>107.96</t>
  </si>
  <si>
    <t>PEUGEOT 206 1.1i - 1.6i  98-, CITROEN Xsara 1.4i, 1.6i 00-</t>
  </si>
  <si>
    <t>A1043</t>
  </si>
  <si>
    <t>A1043     (PURFLUX)</t>
  </si>
  <si>
    <t>150.64</t>
  </si>
  <si>
    <t>OPEL-VAUXHALL  Astra G, Astra H, Zafira B, 1.6-2.0, 98-</t>
  </si>
  <si>
    <t>A1045</t>
  </si>
  <si>
    <t>A1045     (PURFLUX)</t>
  </si>
  <si>
    <t>148.47</t>
  </si>
  <si>
    <t>VW POLO, BORA 1.4 16V 96-, GOLF IV, SEAT TOLEDO 1.6 16V 00-</t>
  </si>
  <si>
    <t>A1050</t>
  </si>
  <si>
    <t>A1050     (PURFLUX)</t>
  </si>
  <si>
    <t>176.49</t>
  </si>
  <si>
    <t>A1052</t>
  </si>
  <si>
    <t>A1052     (PURFLUX)</t>
  </si>
  <si>
    <t>286.26</t>
  </si>
  <si>
    <t>BMW 520D (M47 - engines) 00-, 320TD 01-</t>
  </si>
  <si>
    <t>A1055</t>
  </si>
  <si>
    <t>A1055     (PURFLUX)</t>
  </si>
  <si>
    <t>166.91</t>
  </si>
  <si>
    <t>SMART City-Coupe 0.6-0.7   98-04,   Fortwo 0.7  04-, Cabrio 0.6-0.7,  00 -04</t>
  </si>
  <si>
    <t>A1056</t>
  </si>
  <si>
    <t>A1056     (PURFLUX)</t>
  </si>
  <si>
    <t>FORD Focus (all eng) 98-, Fiesta 1.8DI 00-</t>
  </si>
  <si>
    <t>A1075</t>
  </si>
  <si>
    <t>A1075     (PURFLUX)</t>
  </si>
  <si>
    <t>A1078</t>
  </si>
  <si>
    <t>A1078     (PURFLUX)</t>
  </si>
  <si>
    <t>419.72</t>
  </si>
  <si>
    <t>A1089</t>
  </si>
  <si>
    <t>A1089     (PURFLUX)</t>
  </si>
  <si>
    <t>A1100</t>
  </si>
  <si>
    <t>A1100     (PURFLUX)</t>
  </si>
  <si>
    <t>200.18</t>
  </si>
  <si>
    <t>FIAT Doblo 1.6, 1.9 D,  02-</t>
  </si>
  <si>
    <t>A1111</t>
  </si>
  <si>
    <t>A1111     (PURFLUX)</t>
  </si>
  <si>
    <t>PEUGEOT 307  1.6i, 2.0i 16v, 00-</t>
  </si>
  <si>
    <t>A1113</t>
  </si>
  <si>
    <t>A1113     (PURFLUX)</t>
  </si>
  <si>
    <t>184.63</t>
  </si>
  <si>
    <t>SKODA FABIA 1.2 12v -1.4  00-</t>
  </si>
  <si>
    <t>A1115</t>
  </si>
  <si>
    <t>A1115     (PURFLUX)</t>
  </si>
  <si>
    <t>FIAT Doblo 1.4, Punto 1.4, STILO 1.2,1.4  02-, Alfa MITO 1.4, 10-,</t>
  </si>
  <si>
    <t>A1119</t>
  </si>
  <si>
    <t>A1119     (PURFLUX)</t>
  </si>
  <si>
    <t>191.50</t>
  </si>
  <si>
    <t>AUDI A4 (all eng) 00-, SEAT EXEO 08 -</t>
  </si>
  <si>
    <t>A1125</t>
  </si>
  <si>
    <t>A1125     (PURFLUX)</t>
  </si>
  <si>
    <t>208.68</t>
  </si>
  <si>
    <t>A1128</t>
  </si>
  <si>
    <t>A1128     (PURFLUX)</t>
  </si>
  <si>
    <t>TOYOTA YARIS 1.0i 04/99-</t>
  </si>
  <si>
    <t>A1131</t>
  </si>
  <si>
    <t>A1131     (PURFLUX)</t>
  </si>
  <si>
    <t>147.20</t>
  </si>
  <si>
    <t>A1136</t>
  </si>
  <si>
    <t>A1136     (PURFLUX)</t>
  </si>
  <si>
    <t>142.68</t>
  </si>
  <si>
    <t>TOYOTA Avensis 2.0-2.4, 03-08, Corolla 1.4-1.8, 02-07</t>
  </si>
  <si>
    <t>A1141</t>
  </si>
  <si>
    <t>A1141     (PURFLUX)</t>
  </si>
  <si>
    <t>110.13</t>
  </si>
  <si>
    <t>CITROEN Berlingo/C2/C3 1,1-1,4   02-,   PEUGEOT Partner /1007</t>
  </si>
  <si>
    <t>A1145</t>
  </si>
  <si>
    <t>A1145     (PURFLUX)</t>
  </si>
  <si>
    <t>118.45</t>
  </si>
  <si>
    <t>A1154</t>
  </si>
  <si>
    <t>A1154     (PURFLUX)</t>
  </si>
  <si>
    <t>141.23</t>
  </si>
  <si>
    <t>Chrysler Sebring II 2.4-2.7,  06 - 10, VOYAGER III (RG),  99 - 08</t>
  </si>
  <si>
    <t>A1155</t>
  </si>
  <si>
    <t>A1155     (PURFLUX)</t>
  </si>
  <si>
    <t>373.06</t>
  </si>
  <si>
    <t>W203/W211/C209 Kompr</t>
  </si>
  <si>
    <t>A1157</t>
  </si>
  <si>
    <t>A1157     (PURFLUX)</t>
  </si>
  <si>
    <t>173.96</t>
  </si>
  <si>
    <t>MAZDA 626/Kombi [GF/GW] 2,0TD 10/97-| MPV  2,0/2,5 V6 DOHC 99-</t>
  </si>
  <si>
    <t>A1159</t>
  </si>
  <si>
    <t>A1159     (PURFLUX)</t>
  </si>
  <si>
    <t>A1160</t>
  </si>
  <si>
    <t>A1160     (PURFLUX)</t>
  </si>
  <si>
    <t>160.58</t>
  </si>
  <si>
    <t>A1161</t>
  </si>
  <si>
    <t>A1161     (PURFLUX)</t>
  </si>
  <si>
    <t>257.15</t>
  </si>
  <si>
    <t>Vivaro, Primastar,  Trafic 2.0-2.5dCi  01-</t>
  </si>
  <si>
    <t>A1168</t>
  </si>
  <si>
    <t>A1168     (PURFLUX)</t>
  </si>
  <si>
    <t>222.43</t>
  </si>
  <si>
    <t>AUDI A3 1,6-2,0FSI 5/03- ,SEAT Altea 1,6-2,0FSI 3/04- ,VW Caddy III 1,6-2,0SDI 04- ,Golf V 1,6</t>
  </si>
  <si>
    <t>A1169</t>
  </si>
  <si>
    <t>A1169     (PURFLUX)</t>
  </si>
  <si>
    <t>198.38</t>
  </si>
  <si>
    <t>A1189</t>
  </si>
  <si>
    <t>A1189     (PURFLUX)</t>
  </si>
  <si>
    <t>162.57</t>
  </si>
  <si>
    <t>FORD Focus C-Max/Focus 1,6-2,0 11/04-&gt;</t>
  </si>
  <si>
    <t>A1190</t>
  </si>
  <si>
    <t>A1190     (PURFLUX)</t>
  </si>
  <si>
    <t>219.71</t>
  </si>
  <si>
    <t>OPEL Movano 2.2CDTi/2.5CDTi 03-&gt;, RENAULT Master 2.2DCi/2.5DCi 03-</t>
  </si>
  <si>
    <t>A1195</t>
  </si>
  <si>
    <t>A1195     (PURFLUX)</t>
  </si>
  <si>
    <t>RENAULT Megan II 1,5dCi 11/02-&gt;,Scenik 1,5-2,0dCi6/03-</t>
  </si>
  <si>
    <t>A1207</t>
  </si>
  <si>
    <t>A1207     (PURFLUX)</t>
  </si>
  <si>
    <t>352.81</t>
  </si>
  <si>
    <t>MB W220 (S280, S320, S430, S500) 98-</t>
  </si>
  <si>
    <t>A1214</t>
  </si>
  <si>
    <t>A1214     (PURFLUX)</t>
  </si>
  <si>
    <t>MB W169 A-Class CDI</t>
  </si>
  <si>
    <t>A1217</t>
  </si>
  <si>
    <t>A1217     (PURFLUX)</t>
  </si>
  <si>
    <t>163.47</t>
  </si>
  <si>
    <t>AUDI A3 , Q3, TT  03-. SEAT Altea 1.8-2.0tdi 04- , Leon 2.0 TDI 05- SKODA Octavia 1.8-2.0TDI 04-&gt;.VW Caddy III 1.9-2.0TDI 04- /Golf V 1.4-1.9/2.0/TDI 03-</t>
  </si>
  <si>
    <t>A1221</t>
  </si>
  <si>
    <t>A1221     (PURFLUX)</t>
  </si>
  <si>
    <t>128.75</t>
  </si>
  <si>
    <t>A1223</t>
  </si>
  <si>
    <t>A1223     (PURFLUX)</t>
  </si>
  <si>
    <t>FIAT Grande Punto 1.9 D 10/05-&gt;/ Linea 1.4 T-Jet 09/07-&gt;</t>
  </si>
  <si>
    <t>A1227</t>
  </si>
  <si>
    <t>A1227     (PURFLUX)</t>
  </si>
  <si>
    <t>206.51</t>
  </si>
  <si>
    <t>FIAT 500 1.3 D 10/07-  Doblo 1.3 D 10/05- Grande Punto 1.3 D 10/05- Linea 1.3 D 06/07- LANCIA Ypsilon 1.3 Multijet 09/06-</t>
  </si>
  <si>
    <t>A1228</t>
  </si>
  <si>
    <t>A1228     (PURFLUX)</t>
  </si>
  <si>
    <t>OPEL Corsa C/ Tigra II 1, 3CDTI/ 1, 7DTI/ CDTI 09/ 00-</t>
  </si>
  <si>
    <t>A1229</t>
  </si>
  <si>
    <t>A1229     (PURFLUX)</t>
  </si>
  <si>
    <t>136.35</t>
  </si>
  <si>
    <t>Renault Kangoo 1.5DCI `01-|Renault Clio 1.5DCI , 01-</t>
  </si>
  <si>
    <t>A1230</t>
  </si>
  <si>
    <t>A1230     (PURFLUX)</t>
  </si>
  <si>
    <t>140.33</t>
  </si>
  <si>
    <t>RENAULT CLIO, Kangoo, MEGANE 1.9D 02/00-</t>
  </si>
  <si>
    <t>A1231</t>
  </si>
  <si>
    <t>A1231     (PURFLUX)</t>
  </si>
  <si>
    <t>RENAULT Symbol 1.4 16V, Duster, Logan I  1,6 16v 04 -,  OPEL Vivaro 2.0 16V</t>
  </si>
  <si>
    <t>A1232</t>
  </si>
  <si>
    <t>A1232     (PURFLUX)</t>
  </si>
  <si>
    <t>106.33</t>
  </si>
  <si>
    <t>OPEL Movano/Vivaro 1.9TD 8/01-</t>
  </si>
  <si>
    <t>A1235</t>
  </si>
  <si>
    <t>A1235     (PURFLUX)</t>
  </si>
  <si>
    <t>182.10</t>
  </si>
  <si>
    <t>Hyundai TUCSON  2.0-2.7i, 2.0D, 04 - 10,  Kia SPORTAGE II 2.0-2.7,  04 -   CERATO I 1.5D  04-</t>
  </si>
  <si>
    <t>A1238</t>
  </si>
  <si>
    <t>A1238     (PURFLUX)</t>
  </si>
  <si>
    <t>158.77</t>
  </si>
  <si>
    <t>OPEL Corsa D 1.0 12V-1.4 16V, 06-</t>
  </si>
  <si>
    <t>A1245</t>
  </si>
  <si>
    <t>A1245     (PURFLUX)</t>
  </si>
  <si>
    <t>213.39</t>
  </si>
  <si>
    <t>SUZUKI Grand Vitara 1.6-2.0 16V 05-</t>
  </si>
  <si>
    <t>A1248</t>
  </si>
  <si>
    <t>A1248     (PURFLUX)</t>
  </si>
  <si>
    <t>E-CLASS III (W211) 03/02 - 03/09</t>
  </si>
  <si>
    <t>A1250</t>
  </si>
  <si>
    <t>A1250     (PURFLUX)</t>
  </si>
  <si>
    <t>290.06</t>
  </si>
  <si>
    <t>OPEL Movano 3.0DTi 10/03-, RENAULT Master III 3.0 DCi 10/03-, Mascott 05/04-</t>
  </si>
  <si>
    <t>A1255</t>
  </si>
  <si>
    <t>A1255     (PURFLUX)</t>
  </si>
  <si>
    <t>193.67</t>
  </si>
  <si>
    <t>VW TOUAREG 3.2i  02-,  5.0TDI (РїРѕ 2 С€С‚.) 02-</t>
  </si>
  <si>
    <t>A1257</t>
  </si>
  <si>
    <t>A1257     (PURFLUX)</t>
  </si>
  <si>
    <t>268.54</t>
  </si>
  <si>
    <t>Citroen C8, Jumpy II| Fiat Scudo II, Ulysse II| Peugeot Expert II, 807</t>
  </si>
  <si>
    <t>A1262</t>
  </si>
  <si>
    <t>A1262     (PURFLUX)</t>
  </si>
  <si>
    <t>143.22</t>
  </si>
  <si>
    <t>Toyota Auris 07-  Avensis 09-  Corolla Yaris 07-  /WA9627/</t>
  </si>
  <si>
    <t>A1266</t>
  </si>
  <si>
    <t>A1266     (PURFLUX)</t>
  </si>
  <si>
    <t>268.18</t>
  </si>
  <si>
    <t>MERCEDES Sprinter 06.06- VW Crafter 04.0-</t>
  </si>
  <si>
    <t>A1267</t>
  </si>
  <si>
    <t>A1267     (PURFLUX)</t>
  </si>
  <si>
    <t>258.59</t>
  </si>
  <si>
    <t>MITSUBISHI L200 2.5 Di-D 05-</t>
  </si>
  <si>
    <t>A1274</t>
  </si>
  <si>
    <t>A1274     (PURFLUX)</t>
  </si>
  <si>
    <t>173.42</t>
  </si>
  <si>
    <t>CITROEN C4 1.6 THP 16V, PEUGEOT 308 1.6 THP 16V, 308 SW 1.6 THP 16V, 407 SW HDi 3.0 V6</t>
  </si>
  <si>
    <t>A1276</t>
  </si>
  <si>
    <t>A1276     (PURFLUX)</t>
  </si>
  <si>
    <t>296.21</t>
  </si>
  <si>
    <t>Citroen Jumper III  2.2-3.0HDI | Fiat Ducato| Peugeot Boxer III 7/06-</t>
  </si>
  <si>
    <t>A1278</t>
  </si>
  <si>
    <t>A1278     (PURFLUX)</t>
  </si>
  <si>
    <t>RENAULT CLIO, KANGOO, MEGANE 1.4 07/96-  /1457433311/</t>
  </si>
  <si>
    <t>A1279</t>
  </si>
  <si>
    <t>A1279     (PURFLUX)</t>
  </si>
  <si>
    <t>183.37</t>
  </si>
  <si>
    <t>Renault Laguna III 1.6-2.0i 07-</t>
  </si>
  <si>
    <t>A1280</t>
  </si>
  <si>
    <t>A1280     (PURFLUX)</t>
  </si>
  <si>
    <t>188.07</t>
  </si>
  <si>
    <t>A1282</t>
  </si>
  <si>
    <t>A1282     (PURFLUX)</t>
  </si>
  <si>
    <t>269.26</t>
  </si>
  <si>
    <t>Logan, Clio II, Kangoo I 1.5 dCi (Р· РїСЂРµС„С–Р»СЊС‚СЂРѕРј),   08-</t>
  </si>
  <si>
    <t>A1285</t>
  </si>
  <si>
    <t>A1285     (PURFLUX)</t>
  </si>
  <si>
    <t>177.40</t>
  </si>
  <si>
    <t>A1291</t>
  </si>
  <si>
    <t>A1291     (PURFLUX)</t>
  </si>
  <si>
    <t>250.09</t>
  </si>
  <si>
    <t>AUDI A6 2.0TDi  05/04 - 03/11</t>
  </si>
  <si>
    <t>A1292</t>
  </si>
  <si>
    <t>A1292     (PURFLUX)</t>
  </si>
  <si>
    <t>Audi A4 II 1.8, 2.0TFSI, 2.0TDI 11/07-, A5, Q5 2.0- 1.8TFSI  10/07-</t>
  </si>
  <si>
    <t>A1294</t>
  </si>
  <si>
    <t>A1294     (PURFLUX)</t>
  </si>
  <si>
    <t>264.74</t>
  </si>
  <si>
    <t>CITROГ‹N Aircross, MITSUBISHI  ASX,LANCER X, PEUGEOT 4007 1.6-2.4  07-</t>
  </si>
  <si>
    <t>A1297</t>
  </si>
  <si>
    <t>A1297     (PURFLUX)</t>
  </si>
  <si>
    <t>FORD FocusII, III, C-Max 1.0-1.6, VOLVO S40,V40 1.6-2.0</t>
  </si>
  <si>
    <t>A1301</t>
  </si>
  <si>
    <t>A1301     (PURFLUX)</t>
  </si>
  <si>
    <t>221.70</t>
  </si>
  <si>
    <t>A1302</t>
  </si>
  <si>
    <t>A1302     (PURFLUX)</t>
  </si>
  <si>
    <t>225.14</t>
  </si>
  <si>
    <t>KIA CEE'D All  06-</t>
  </si>
  <si>
    <t>A1303</t>
  </si>
  <si>
    <t>A1303     (PURFLUX)</t>
  </si>
  <si>
    <t>340.87</t>
  </si>
  <si>
    <t>Chevrolet Captiva All, OPEL Antara All   06-</t>
  </si>
  <si>
    <t>A1304</t>
  </si>
  <si>
    <t>A1304     (PURFLUX)</t>
  </si>
  <si>
    <t>174.32</t>
  </si>
  <si>
    <t>Rav 4 III 2.0-2.4 VVT-I, 11/05 -</t>
  </si>
  <si>
    <t>A1314</t>
  </si>
  <si>
    <t>A1314     (PURFLUX)</t>
  </si>
  <si>
    <t>246.66</t>
  </si>
  <si>
    <t>A1315</t>
  </si>
  <si>
    <t>A1315     (PURFLUX)</t>
  </si>
  <si>
    <t>Ford B-Max 1.0 EcoBoost, B-Max 1.6 TDCi, Fiesta VI 1.25, Fiesta VI 1.6 TDCi  08-</t>
  </si>
  <si>
    <t>A1317</t>
  </si>
  <si>
    <t>A1317     (PURFLUX)</t>
  </si>
  <si>
    <t>137.62</t>
  </si>
  <si>
    <t>Nissan Qashqai 1.6 , X-Trail 2.0 16V</t>
  </si>
  <si>
    <t>A1323</t>
  </si>
  <si>
    <t>A1323     (PURFLUX)</t>
  </si>
  <si>
    <t>180.84</t>
  </si>
  <si>
    <t>TOYOTA Land Cruiser 150 3.0 D-4D, Land Cruiser 4.7 V8</t>
  </si>
  <si>
    <t>A1331</t>
  </si>
  <si>
    <t>A1331     (PURFLUX)</t>
  </si>
  <si>
    <t>130.38</t>
  </si>
  <si>
    <t>HYUNDAI Accent III 1.4-1.6i 16V, KIA Rio II 1.5 CRDi, 1.4-1.6i</t>
  </si>
  <si>
    <t>A1335</t>
  </si>
  <si>
    <t>A1335     (PURFLUX)</t>
  </si>
  <si>
    <t>CITROEN C5 1.6HDi 09/04-&gt;, PEUGEOT 407 1.6HDi 05/04-</t>
  </si>
  <si>
    <t>A1336</t>
  </si>
  <si>
    <t>A1336     (PURFLUX)</t>
  </si>
  <si>
    <t>CITROEN C4 , PEUGEOT 206/307 1,6 16V 00-</t>
  </si>
  <si>
    <t>A1339</t>
  </si>
  <si>
    <t>A1339     (PURFLUX)</t>
  </si>
  <si>
    <t>181.92</t>
  </si>
  <si>
    <t>CITROEN C3 1,4/1,6-16v 02/02-&gt;,XSARA Picasso 1,6 05/04-</t>
  </si>
  <si>
    <t>A1342</t>
  </si>
  <si>
    <t>A1342     (PURFLUX) !!Р·Р°РјС–РЅР° РґР»СЏ A753</t>
  </si>
  <si>
    <t>163.84</t>
  </si>
  <si>
    <t>CITROEN C5 I 2.0-2.2 Hdi, C8 2.0 16V,  Jumpy 2.0 HDi , FIAT Scudo I 2.0 JTD Ulysse II 2.0 , Ulysse II 2.2 JTD 16V</t>
  </si>
  <si>
    <t>A1344</t>
  </si>
  <si>
    <t>A1344     (PURFLUX)</t>
  </si>
  <si>
    <t>172.15</t>
  </si>
  <si>
    <t>Skoda Fabia II, Roomster 1.2TSI, 1.2TDI, 1.6TDI| Volkswagen Polo 1.2TDI, 1.6TDI</t>
  </si>
  <si>
    <t>A1349</t>
  </si>
  <si>
    <t>A1349     (PURFLUX)</t>
  </si>
  <si>
    <t>A1380</t>
  </si>
  <si>
    <t>A1380     (PURFLUX)</t>
  </si>
  <si>
    <t>A1406</t>
  </si>
  <si>
    <t>A1406     (PURFLUX)</t>
  </si>
  <si>
    <t>226.04</t>
  </si>
  <si>
    <t>Citroen Berlingo III, C3 II, C4, C5 II, DS3| Peugeot 207, 308, 3008,5008,Partner III  1.6HDI</t>
  </si>
  <si>
    <t>A1407</t>
  </si>
  <si>
    <t>A1407     (PURFLUX)</t>
  </si>
  <si>
    <t>407.06</t>
  </si>
  <si>
    <t>A1414</t>
  </si>
  <si>
    <t>A1414     (PURFLUX)</t>
  </si>
  <si>
    <t>187.16</t>
  </si>
  <si>
    <t>SUBARU Forester 2.0 16V, 2.5 XT, Impreza III 1.5 16V-2.5 STI, Legacy IV 2.0-2,5</t>
  </si>
  <si>
    <t>A1453</t>
  </si>
  <si>
    <t>A1453     (PURFLUX)</t>
  </si>
  <si>
    <t>172.52</t>
  </si>
  <si>
    <t>HYUNDAI Santa Fe II 2.0 CRDi 10-, Sorento 2.2CRDi</t>
  </si>
  <si>
    <t>A1454</t>
  </si>
  <si>
    <t>A1454     (PURFLUX)</t>
  </si>
  <si>
    <t>SSANGYONG Actyon 2.0 Xdi,  2.3i,  Kyron 2.7 Xdi</t>
  </si>
  <si>
    <t>A1455</t>
  </si>
  <si>
    <t>A1455     (PURFLUX)</t>
  </si>
  <si>
    <t>ALFA  MiTo 1.3 JTD M-jet, FIAT Doblo 1.3 JTD Mjet, Fiorino II 1.3 JTD,</t>
  </si>
  <si>
    <t>A1471</t>
  </si>
  <si>
    <t>A1471     (PURFLUX)</t>
  </si>
  <si>
    <t>204.52</t>
  </si>
  <si>
    <t>A1487</t>
  </si>
  <si>
    <t>A1487     (PURFLUX)</t>
  </si>
  <si>
    <t>A1543</t>
  </si>
  <si>
    <t>A1543     (PURFLUX)</t>
  </si>
  <si>
    <t>151.00</t>
  </si>
  <si>
    <t>Hyundai, Kia Cerato 1.5 -2.0 CRDi (Р°РЅР°Р»РѕРі A1235)</t>
  </si>
  <si>
    <t>A1548</t>
  </si>
  <si>
    <t>A1548     (PURFLUX)</t>
  </si>
  <si>
    <t>227.31</t>
  </si>
  <si>
    <t>HYUNDAI Accent IV 1.4-1.6 CVVT, KIA Soul 1.6 Gdi, Rio III 1.1 CRDi</t>
  </si>
  <si>
    <t>A1739</t>
  </si>
  <si>
    <t>A1739     (PURFLUX)</t>
  </si>
  <si>
    <t>337.08</t>
  </si>
  <si>
    <t>BMW 518 d (F10/F11), 520 d xDrive (F10/F11), X4 20 d xDrive (F26) 14- /LX4084/</t>
  </si>
  <si>
    <t>A211</t>
  </si>
  <si>
    <t>A211     (PURFLUX)</t>
  </si>
  <si>
    <t>138.52</t>
  </si>
  <si>
    <t>A214</t>
  </si>
  <si>
    <t>A214     (PURFLUX)</t>
  </si>
  <si>
    <t>92.95</t>
  </si>
  <si>
    <t>A236</t>
  </si>
  <si>
    <t>A236     (PURFLUX)</t>
  </si>
  <si>
    <t>207.96</t>
  </si>
  <si>
    <t>A302</t>
  </si>
  <si>
    <t>A302     (PURFLUX)</t>
  </si>
  <si>
    <t>120.44</t>
  </si>
  <si>
    <t>MAZDA 626 1.8i 91-99, 2.0 91-, MX 6 92-, MX 5 98-</t>
  </si>
  <si>
    <t>A310</t>
  </si>
  <si>
    <t>A310     (PURFLUX)</t>
  </si>
  <si>
    <t>183.73</t>
  </si>
  <si>
    <t>A313</t>
  </si>
  <si>
    <t>A313     (PURFLUX)</t>
  </si>
  <si>
    <t>92.59</t>
  </si>
  <si>
    <t>NISSAN MICRA MICRA II, III 1.0-1.4 16v,  92 -10,  NOTE I (E11) 06 -</t>
  </si>
  <si>
    <t>A325</t>
  </si>
  <si>
    <t>A325     (PURFLUX)</t>
  </si>
  <si>
    <t>BMW 535i, 540i, 735i,96-, AUDI A4, VW PASSAT 1.6, 1.8, 1.8T, 2.3, 1.9TDI 96-</t>
  </si>
  <si>
    <t>A379</t>
  </si>
  <si>
    <t>A379     (PURFLUX)</t>
  </si>
  <si>
    <t>154.43</t>
  </si>
  <si>
    <t>VW GOLF, AUDI A3, SKODA OCTAVIA 1.8, 1.8T, 1.9TDI/SDI 96-</t>
  </si>
  <si>
    <t>A460</t>
  </si>
  <si>
    <t>A460     (PURFLUX)</t>
  </si>
  <si>
    <t>A521</t>
  </si>
  <si>
    <t>A521     (PURFLUX)</t>
  </si>
  <si>
    <t>102.35</t>
  </si>
  <si>
    <t>OPEL ASCONA, KADETT, REKORD 1.4-1.9  72-94</t>
  </si>
  <si>
    <t>A838</t>
  </si>
  <si>
    <t>A838     (PURFLUX)</t>
  </si>
  <si>
    <t>90.78</t>
  </si>
  <si>
    <t>A944</t>
  </si>
  <si>
    <t>A944     (PURFLUX)</t>
  </si>
  <si>
    <t>133.46</t>
  </si>
  <si>
    <t>AUDI 100 2.0, 2.3, 2.8 91-94, A6 1.8-2.8 94-97</t>
  </si>
  <si>
    <t>AH104</t>
  </si>
  <si>
    <t>AH104     (PURFLUX)</t>
  </si>
  <si>
    <t>78.30</t>
  </si>
  <si>
    <t>AH137-2</t>
  </si>
  <si>
    <t>AH137-2     (PURFLUX)</t>
  </si>
  <si>
    <t>159.32</t>
  </si>
  <si>
    <t>MB W210/W220</t>
  </si>
  <si>
    <t>AH138</t>
  </si>
  <si>
    <t>AH138     (PURFLUX)</t>
  </si>
  <si>
    <t>190.24</t>
  </si>
  <si>
    <t>MB W202 94-00, W210 95-02</t>
  </si>
  <si>
    <t>AH143</t>
  </si>
  <si>
    <t>AH143     (PURFLUX)</t>
  </si>
  <si>
    <t>75.77</t>
  </si>
  <si>
    <t>AH147</t>
  </si>
  <si>
    <t>AH147     (PURFLUX)</t>
  </si>
  <si>
    <t>AH158</t>
  </si>
  <si>
    <t>AH158     (PURFLUX)</t>
  </si>
  <si>
    <t>202.35</t>
  </si>
  <si>
    <t>AH159</t>
  </si>
  <si>
    <t>AH159     (PURFLUX)</t>
  </si>
  <si>
    <t>337.62</t>
  </si>
  <si>
    <t>MB VITO 96-</t>
  </si>
  <si>
    <t>AH160</t>
  </si>
  <si>
    <t>AH160     (PURFLUX)</t>
  </si>
  <si>
    <t>132.55</t>
  </si>
  <si>
    <t>SUBARU Outback/Tribeca  TOYOTA Rav 4 II, III / Yaris I, II</t>
  </si>
  <si>
    <t>AH170</t>
  </si>
  <si>
    <t>AH170     (PURFLUX)</t>
  </si>
  <si>
    <t>118.27</t>
  </si>
  <si>
    <t>OPEL ASTRA 02/98-, ZAFIRA 04/99-, CHEVI NIVA (DELPHI-HOUSING)  (СѓРіРѕР»СЊРЅС‹Р№)</t>
  </si>
  <si>
    <t>AH182</t>
  </si>
  <si>
    <t>AH182     (PURFLUX)</t>
  </si>
  <si>
    <t>AH184</t>
  </si>
  <si>
    <t>AH184     (PURFLUX)</t>
  </si>
  <si>
    <t>138.16</t>
  </si>
  <si>
    <t>AUDI A4 (8E2, B6), A6(4B, C5) All eng.  97 -08</t>
  </si>
  <si>
    <t>AH186</t>
  </si>
  <si>
    <t>AH186     (PURFLUX)</t>
  </si>
  <si>
    <t>237.07</t>
  </si>
  <si>
    <t>AH189</t>
  </si>
  <si>
    <t>AH189     (PURFLUX)</t>
  </si>
  <si>
    <t>119.17</t>
  </si>
  <si>
    <t>TOYOTA Avensis II 1.8 -2.4 16V VVT-I, Corolla IX1.6- 1.8 16V, Corolla Verso 2.2 D-4D</t>
  </si>
  <si>
    <t>AH191</t>
  </si>
  <si>
    <t>AH191     (PURFLUX)</t>
  </si>
  <si>
    <t>AUDI A2 00-, SKODA FABIA 99-</t>
  </si>
  <si>
    <t>AH195</t>
  </si>
  <si>
    <t>AH195     (PURFLUX)</t>
  </si>
  <si>
    <t>141.96</t>
  </si>
  <si>
    <t>AH199</t>
  </si>
  <si>
    <t>AH199     (PURFLUX)</t>
  </si>
  <si>
    <t>245.75</t>
  </si>
  <si>
    <t>AH201</t>
  </si>
  <si>
    <t>AH201     (PURFLUX)</t>
  </si>
  <si>
    <t>AH207</t>
  </si>
  <si>
    <t>AH207     (PURFLUX)</t>
  </si>
  <si>
    <t>155.52</t>
  </si>
  <si>
    <t>MICRA/NOTE/MODUS 03-</t>
  </si>
  <si>
    <t>AH209</t>
  </si>
  <si>
    <t>AH209     (PURFLUX)</t>
  </si>
  <si>
    <t>AUDI Q7, Porsche, VW Toureg , T5, Amarok  2.0-3.0 TDI , 3.6-4.2V6</t>
  </si>
  <si>
    <t>AH221</t>
  </si>
  <si>
    <t>AH221     (PURFLUX)</t>
  </si>
  <si>
    <t>HONDA Accord VIII 2.0/2.4 2/03-&gt;, TOYOTA Avensis T25 1.8 4/03-</t>
  </si>
  <si>
    <t>AH223</t>
  </si>
  <si>
    <t>AH223     (PURFLUX)</t>
  </si>
  <si>
    <t>184.99</t>
  </si>
  <si>
    <t>CITROEN C1 1.0/1.4/HDI 06/05-&gt;.PEUGEOT 107 1.0/1.4/HDI 06/05-&gt;.TOYOTA Aygo 1.0/1.4/HDI 07/05-</t>
  </si>
  <si>
    <t>AH234</t>
  </si>
  <si>
    <t>AH234     (PURFLUX)</t>
  </si>
  <si>
    <t>RENAULT Grand Scenic 04-&gt;,Megane Scenic II 03-</t>
  </si>
  <si>
    <t>AH238</t>
  </si>
  <si>
    <t>AH238     (PURFLUX)</t>
  </si>
  <si>
    <t>169.08</t>
  </si>
  <si>
    <t>Ford Focus II, Volvo S40 II, V50  04-</t>
  </si>
  <si>
    <t>AH248</t>
  </si>
  <si>
    <t>AH248     (PURFLUX)</t>
  </si>
  <si>
    <t>KIA i40, Rio II,III, Sportage 06-, Tucson -10</t>
  </si>
  <si>
    <t>AH256</t>
  </si>
  <si>
    <t>AH256     (PURFLUX)</t>
  </si>
  <si>
    <t>114.11</t>
  </si>
  <si>
    <t>AH263</t>
  </si>
  <si>
    <t>AH263     (PURFLUX)</t>
  </si>
  <si>
    <t>AH280</t>
  </si>
  <si>
    <t>AH280     (PURFLUX)</t>
  </si>
  <si>
    <t>228.03</t>
  </si>
  <si>
    <t>MB Viano, VITO II (639) 09/03 -</t>
  </si>
  <si>
    <t>AH286</t>
  </si>
  <si>
    <t>AH286     (PURFLUX)</t>
  </si>
  <si>
    <t>Chevrolet Orlando,Aveo, Cruze 11-,  OPEL Insignia, Astra 08-</t>
  </si>
  <si>
    <t>AH307</t>
  </si>
  <si>
    <t>AH307     (PURFLUX)</t>
  </si>
  <si>
    <t>ANTARA/CAPTIVA 2.0-2.4,  05/06 -</t>
  </si>
  <si>
    <t>AH319</t>
  </si>
  <si>
    <t>AH319     (PURFLUX)</t>
  </si>
  <si>
    <t>Citroen C2,C3,C4  1.1-1.6, Peugeot 307,308  02-</t>
  </si>
  <si>
    <t>AH378</t>
  </si>
  <si>
    <t>AH378     (PURFLUX)</t>
  </si>
  <si>
    <t>AH385-2</t>
  </si>
  <si>
    <t>AH385-2     (PURFLUX)</t>
  </si>
  <si>
    <t>BMW X3 xDrive (F25), X4 xDrive (F26)</t>
  </si>
  <si>
    <t>AH405</t>
  </si>
  <si>
    <t>AH405     (PURFLUX)</t>
  </si>
  <si>
    <t>86.98</t>
  </si>
  <si>
    <t>DACIA Logan II , Sandero II , RENAULT Clio IV  /E3914LI/</t>
  </si>
  <si>
    <t>AHC128</t>
  </si>
  <si>
    <t>AHC128     (PURFLUX)</t>
  </si>
  <si>
    <t>OPEL OMEGA B 94- 03</t>
  </si>
  <si>
    <t>AHC129</t>
  </si>
  <si>
    <t>AHC129     (PURFLUX)</t>
  </si>
  <si>
    <t>FORD Galaxy I 1.9 Tdi-2.8 V6, SEAT Alhambra I, VW Sharan I</t>
  </si>
  <si>
    <t>AHC187</t>
  </si>
  <si>
    <t>AHC187     (PURFLUX)</t>
  </si>
  <si>
    <t>BMW E46  02/98- (СѓРіРѕР»СЊРЅС‹Р№)</t>
  </si>
  <si>
    <t>AHC191</t>
  </si>
  <si>
    <t>AHC191     (PURFLUX)</t>
  </si>
  <si>
    <t>192.77</t>
  </si>
  <si>
    <t>AUDI A2 1.2-1.6/TDI 02/00-08/05.MERCEDES W463 2.7-5.0/CDI 09/94-&gt;.SEAT Cordoba 1.2-2.0/TDI/12V/16V 09/02-&gt;/ Ibiza IV 1.2-1.9/TDI/16V/12V 02/02-&gt;.SKODA Fabia 1.2-2.0/TDI/16V 12/99-</t>
  </si>
  <si>
    <t>AHC193</t>
  </si>
  <si>
    <t>AHC193     (PURFLUX)</t>
  </si>
  <si>
    <t>CITROEN Berlingo 1.1-2.0/HDI 07/96-&gt;/Xsara 1.4-2.0/D/HDI/16V 07/98-03/05.PEUGEOT Partner 1.1-2.0/D/HDI/16V 06/96-</t>
  </si>
  <si>
    <t>AHC195</t>
  </si>
  <si>
    <t>AHC195     (PURFLUX)</t>
  </si>
  <si>
    <t>AHC208</t>
  </si>
  <si>
    <t>AHC208     (PURFLUX)</t>
  </si>
  <si>
    <t>MAZDA 6  02- СѓРіРѕР»СЊРЅС‹Р№</t>
  </si>
  <si>
    <t>AHC210</t>
  </si>
  <si>
    <t>AHC210     (PURFLUX)</t>
  </si>
  <si>
    <t>TOYOTA AVENSIS,LAND CRUISER,PREVIA,YARIS 1,0-4,0 00- (РІСѓРіС–Р»СЊРЅРёР№)</t>
  </si>
  <si>
    <t>AHC213</t>
  </si>
  <si>
    <t>AHC213     (PURFLUX)</t>
  </si>
  <si>
    <t>CITROEN C5 04-, PEUGEOT 407 04-</t>
  </si>
  <si>
    <t>AHC258</t>
  </si>
  <si>
    <t>AHC258     (PURFLUX)</t>
  </si>
  <si>
    <t>226.22</t>
  </si>
  <si>
    <t>FIAT Scudo II  07-</t>
  </si>
  <si>
    <t>AHC261-2</t>
  </si>
  <si>
    <t>AHC261-2     (PURFLUX)</t>
  </si>
  <si>
    <t>293.86</t>
  </si>
  <si>
    <t>CITROEN Berlingo II 1.6 16V, C4 II Picasso 1.6 Vti, DS5 1.6 Hdi, PEUGEOT 3008, 5008 1.6-2.0 HDi 16V, Partner II , Partner Tepee 1.6 , 1.6 Hdi</t>
  </si>
  <si>
    <t>AHC268</t>
  </si>
  <si>
    <t>AHC268     (PURFLUX)</t>
  </si>
  <si>
    <t>Sprinter II (906) 210 CDi, 310 CDi, 410 CDi, 510 Cdi 06-</t>
  </si>
  <si>
    <t>AHC299</t>
  </si>
  <si>
    <t>AHC299     (PURFLUX)</t>
  </si>
  <si>
    <t>268.90</t>
  </si>
  <si>
    <t>AHC319</t>
  </si>
  <si>
    <t>AHC319     (PURFLUX)</t>
  </si>
  <si>
    <t>243.40</t>
  </si>
  <si>
    <t>Citr. C2,C3,C4, Peug 307,308</t>
  </si>
  <si>
    <t>AHC391</t>
  </si>
  <si>
    <t>AHC391     (PURFLUX)</t>
  </si>
  <si>
    <t>258.23</t>
  </si>
  <si>
    <t>FORD C-Max II, Focus III, Kuga II</t>
  </si>
  <si>
    <t>C422</t>
  </si>
  <si>
    <t>C422     (PURFLUX)</t>
  </si>
  <si>
    <t>107.60</t>
  </si>
  <si>
    <t>C443</t>
  </si>
  <si>
    <t>C443     (PURFLUX)</t>
  </si>
  <si>
    <t>C446</t>
  </si>
  <si>
    <t>C446     (PURFLUX)</t>
  </si>
  <si>
    <t>C481</t>
  </si>
  <si>
    <t>C481     (PURFLUX)</t>
  </si>
  <si>
    <t>RENAULT Clio II,Kangoo I, Laguna, Megane I 1.9D,  95 -03</t>
  </si>
  <si>
    <t>C482</t>
  </si>
  <si>
    <t>C482     (PURFLUX)</t>
  </si>
  <si>
    <t>C485</t>
  </si>
  <si>
    <t>C485     (PURFLUX)</t>
  </si>
  <si>
    <t>120.07</t>
  </si>
  <si>
    <t>MB C, E, ML, S-classe  -  CDi</t>
  </si>
  <si>
    <t>C488</t>
  </si>
  <si>
    <t>C488     (PURFLUX)</t>
  </si>
  <si>
    <t>356.43</t>
  </si>
  <si>
    <t>LT 2.8 TDi 28, 35, 46,  03-09</t>
  </si>
  <si>
    <t>C489</t>
  </si>
  <si>
    <t>C489     (PURFLUX)</t>
  </si>
  <si>
    <t>235.81</t>
  </si>
  <si>
    <t>CITROГ‹N C4, C5, C8  08/04 - FIAT, FORD 10/03 -</t>
  </si>
  <si>
    <t>C491</t>
  </si>
  <si>
    <t>C491     (PURFLUX)</t>
  </si>
  <si>
    <t>190.60</t>
  </si>
  <si>
    <t>C492</t>
  </si>
  <si>
    <t>C492     (PURFLUX)</t>
  </si>
  <si>
    <t>241.05</t>
  </si>
  <si>
    <t>C493E</t>
  </si>
  <si>
    <t>C493E     (PURFLUX)</t>
  </si>
  <si>
    <t>RENAULT, NISSAN 1.9-2.5dCi 97-</t>
  </si>
  <si>
    <t>C495E</t>
  </si>
  <si>
    <t>C495E     (PURFLUX)</t>
  </si>
  <si>
    <t>231.11</t>
  </si>
  <si>
    <t>SCUDO I  -12/06, ULYSSE I,  II  - 06/11, JUMPY I 94 -, C5 2.0-2.2 Hdi 04 -</t>
  </si>
  <si>
    <t>C496</t>
  </si>
  <si>
    <t>C496     (PURFLUX)</t>
  </si>
  <si>
    <t>184.27</t>
  </si>
  <si>
    <t>TRAFIC II 03/01 -, VIVARO 08/01 -</t>
  </si>
  <si>
    <t>C505</t>
  </si>
  <si>
    <t>C505     (PURFLUX)</t>
  </si>
  <si>
    <t>383.01</t>
  </si>
  <si>
    <t>KX178DEco , Audi A3 1.9-2.0Tdi, 03 - 12, Skoda OCTAVIA II (1Z3) 04 -10,  VW Caddy/GolfV/Touran 1.9-2.0TDi 03-</t>
  </si>
  <si>
    <t>C507A</t>
  </si>
  <si>
    <t>C507A     (PURFLUX)</t>
  </si>
  <si>
    <t>348.65</t>
  </si>
  <si>
    <t>Chevrolet Captiva I 2.0 CDTi,  FIAT Doblo 1.3 JTD Multijet 16V, Ducato 2.0-3.0 JTD Multijet , Astra H</t>
  </si>
  <si>
    <t>C511</t>
  </si>
  <si>
    <t>C511     (PURFLUX)</t>
  </si>
  <si>
    <t>OPEL OMEGA, VECTRA, ZAFIRA  2.0DTI, 2.2DTI 96-</t>
  </si>
  <si>
    <t>C514</t>
  </si>
  <si>
    <t>C514     (PURFLUX)</t>
  </si>
  <si>
    <t>FORD Focus II, Mondeo IV, C-Max I 1.8 TDCi</t>
  </si>
  <si>
    <t>C515</t>
  </si>
  <si>
    <t>C515     (PURFLUX)</t>
  </si>
  <si>
    <t>355.16</t>
  </si>
  <si>
    <t>C518</t>
  </si>
  <si>
    <t>C518     (PURFLUX)</t>
  </si>
  <si>
    <t>294.76</t>
  </si>
  <si>
    <t>VAG A3/ EOS/ GolF V/ JETTA III/ TOURAN/ Octavia 1.9TDI/ 2.0TDI 02/ 03-</t>
  </si>
  <si>
    <t>C529</t>
  </si>
  <si>
    <t>C529     (PURFLUX)</t>
  </si>
  <si>
    <t>705.80</t>
  </si>
  <si>
    <t>VW Touareg 3.0 V6 TDI 11/04-, AUDI Q7 3.0TDI quattro 03/06-</t>
  </si>
  <si>
    <t>CS157A</t>
  </si>
  <si>
    <t>CS157A     (PURFLUX)</t>
  </si>
  <si>
    <t>65.82</t>
  </si>
  <si>
    <t>FIAT DUCATO 2.5TD -94, CITROEN/PEUGEOT 1.9D/TD, 2.5D/TD 94-</t>
  </si>
  <si>
    <t>CS178A</t>
  </si>
  <si>
    <t>CS178A     (PURFLUX)</t>
  </si>
  <si>
    <t>CITROГ‹N BX, CX 83-94,  FORD Sierra, Scorpio -94  1.8-2.5D</t>
  </si>
  <si>
    <t>CS264</t>
  </si>
  <si>
    <t>CS264     (PURFLUX)</t>
  </si>
  <si>
    <t>182.46</t>
  </si>
  <si>
    <t>ALFA ROMEO/FIAT BRAVA,BRAVO,MAREA,PUNTO 1.9D/JTD 97-</t>
  </si>
  <si>
    <t>CS435A</t>
  </si>
  <si>
    <t>CS435A     (PURFLUX)</t>
  </si>
  <si>
    <t>MB W201,W124,W202,W210,T1,T2,SPRINTER,VITO</t>
  </si>
  <si>
    <t>CS438</t>
  </si>
  <si>
    <t>CS438     (PURFLUX)</t>
  </si>
  <si>
    <t>183.01</t>
  </si>
  <si>
    <t>MITSUBISHI L 200  96 -07, PAJERO III 2.5-3.0TD  02 -, KIA BESTA  2.2D 93- 03,  ISUZU TROOPER 2.8TD 88-92, 3.1TD 91-</t>
  </si>
  <si>
    <t>CS456</t>
  </si>
  <si>
    <t>CS456     (PURFLUX)</t>
  </si>
  <si>
    <t>295.67</t>
  </si>
  <si>
    <t>KC69  AUDI 80,100,A4,A6  1.6-2.5 D eng. 91-</t>
  </si>
  <si>
    <t>CS465</t>
  </si>
  <si>
    <t>CS465     (PURFLUX)</t>
  </si>
  <si>
    <t>CS484</t>
  </si>
  <si>
    <t>CS484     (PURFLUX)</t>
  </si>
  <si>
    <t>254.25</t>
  </si>
  <si>
    <t>CS490</t>
  </si>
  <si>
    <t>CS490     (PURFLUX)</t>
  </si>
  <si>
    <t>BOXER/DUCATO 1.9-2.8 JTD</t>
  </si>
  <si>
    <t>CS499</t>
  </si>
  <si>
    <t>CS499     (PURFLUX)</t>
  </si>
  <si>
    <t>262.93</t>
  </si>
  <si>
    <t>CS700</t>
  </si>
  <si>
    <t>CS700     (PURFLUX)</t>
  </si>
  <si>
    <t>MB W203 (C200CDI-C270CDI) 00-, W463 (G270CDI) 01-</t>
  </si>
  <si>
    <t>CS701</t>
  </si>
  <si>
    <t>CS701     (PURFLUX)</t>
  </si>
  <si>
    <t>A4 (8D, B5) 1.9 Tdi, Ducato 1.9 Turbo Diesel</t>
  </si>
  <si>
    <t>CS702</t>
  </si>
  <si>
    <t>CS702     (PURFLUX)</t>
  </si>
  <si>
    <t>281.02</t>
  </si>
  <si>
    <t>CS707</t>
  </si>
  <si>
    <t>CS707     (PURFLUX)</t>
  </si>
  <si>
    <t>370.17</t>
  </si>
  <si>
    <t>MB VITO 108CDI-112CDI 99-, SPRINTER CDI 00- (Р· РґР°С‚С‡РёРєРѕРј)</t>
  </si>
  <si>
    <t>CS717</t>
  </si>
  <si>
    <t>CS717     (PURFLUX)</t>
  </si>
  <si>
    <t>417.91</t>
  </si>
  <si>
    <t>KC195, ALFA ROMEO 147, 156, 166 1.9-2.4 JTD -07,  FIAT Doblo, Ducato, Stilo 1.9-2.8JTD  02-</t>
  </si>
  <si>
    <t>CS736</t>
  </si>
  <si>
    <t>CS736     (PURFLUX)</t>
  </si>
  <si>
    <t>466.92</t>
  </si>
  <si>
    <t>CS739</t>
  </si>
  <si>
    <t>CS739     (PURFLUX)</t>
  </si>
  <si>
    <t>214.29</t>
  </si>
  <si>
    <t>SPORTAGE/TUCSON 2.0 CRDI, i20, i30,  1.4-1.6CRDi 08-</t>
  </si>
  <si>
    <t>CS762</t>
  </si>
  <si>
    <t>CS762     (PURFLUX)</t>
  </si>
  <si>
    <t>376.68</t>
  </si>
  <si>
    <t>Citroen  Berlingo II, C3, C4 1.6 HDi 16V, Peugeot 206, 308 1,4-1,6 HDI, Partner II 1.6 HDi</t>
  </si>
  <si>
    <t>CS764</t>
  </si>
  <si>
    <t>CS764     (PURFLUX)</t>
  </si>
  <si>
    <t>731.48</t>
  </si>
  <si>
    <t>FORD B-Max 1.5 TDCi, Fiesta VI 1.4 TDCi, Mondeo IV 1.6 TDCi, Tourneo Connect II 1.6 TDCi</t>
  </si>
  <si>
    <t>CS767</t>
  </si>
  <si>
    <t>CS767     (PURFLUX)</t>
  </si>
  <si>
    <t>331.47</t>
  </si>
  <si>
    <t>Hyundai, KIA CRDI -eng. 06-</t>
  </si>
  <si>
    <t>CS773</t>
  </si>
  <si>
    <t>CS773     (PURFLUX)</t>
  </si>
  <si>
    <t>566.01</t>
  </si>
  <si>
    <t>TRANSIT 06-  2.4 TDCI (РєСЂС–РїР»РµРЅРЅСЏ / H305WK)</t>
  </si>
  <si>
    <t>EP139</t>
  </si>
  <si>
    <t>EP139     (PURFLUX)</t>
  </si>
  <si>
    <t>CITROEN/PEUGEOT 1.3-2.0, OPEL 1.2-3.0 -98, Tavria/Slavuta 1.2i, 1.3i</t>
  </si>
  <si>
    <t>EP153</t>
  </si>
  <si>
    <t>EP153     (PURFLUX)</t>
  </si>
  <si>
    <t>177.76</t>
  </si>
  <si>
    <t>EP163</t>
  </si>
  <si>
    <t>EP163     (PURFLUX)</t>
  </si>
  <si>
    <t>129.12</t>
  </si>
  <si>
    <t>Lanos 1.5, Lacetti 1.6, 1.8,  OPEL Corsa 1.2-1.6  93-, Omega B 2.0-3.2 94-, VECTRA 1.6-2.6 95-</t>
  </si>
  <si>
    <t>EP165</t>
  </si>
  <si>
    <t>EP165     (PURFLUX)</t>
  </si>
  <si>
    <t>240.51</t>
  </si>
  <si>
    <t>BMW 3,5,7,8 - series 2.0-4.0 Р±РµРЅР·РёРЅ 92-</t>
  </si>
  <si>
    <t>EP189</t>
  </si>
  <si>
    <t>EP189     (PURFLUX)</t>
  </si>
  <si>
    <t>574.51</t>
  </si>
  <si>
    <t>MB W210 (E280-E430) 96-, W220 (S280-S600) (M112., M113., M137. - engines) 96-</t>
  </si>
  <si>
    <t>EP192</t>
  </si>
  <si>
    <t>EP192     (PURFLUX)</t>
  </si>
  <si>
    <t>EP196</t>
  </si>
  <si>
    <t>EP196     (PURFLUX)</t>
  </si>
  <si>
    <t>FORD FOCUS 1.4i 16V - 2.0i 16V  98-</t>
  </si>
  <si>
    <t>EP199</t>
  </si>
  <si>
    <t>EP199     (PURFLUX)</t>
  </si>
  <si>
    <t>175.23</t>
  </si>
  <si>
    <t>FORD FIESTA 1.25-1.6  01-, FUSION 02-</t>
  </si>
  <si>
    <t>EP202</t>
  </si>
  <si>
    <t>EP202     (PURFLUX)</t>
  </si>
  <si>
    <t>CitroГ«n| Dacia| Fiat| Lancia, Peugeot 06-</t>
  </si>
  <si>
    <t>EP207</t>
  </si>
  <si>
    <t>EP207     (PURFLUX)</t>
  </si>
  <si>
    <t>372.34</t>
  </si>
  <si>
    <t>VAG FCI/TFCI  05-</t>
  </si>
  <si>
    <t>EP210</t>
  </si>
  <si>
    <t>EP210     (PURFLUX)</t>
  </si>
  <si>
    <t>108.86</t>
  </si>
  <si>
    <t>Kangoo, Laguna, Megane I,II,III, Scenic, Dacia Logan 99-</t>
  </si>
  <si>
    <t>EP215</t>
  </si>
  <si>
    <t>EP215     (PURFLUX)</t>
  </si>
  <si>
    <t>333.64</t>
  </si>
  <si>
    <t>VOLVO S40,S60,S80,V40,V70 1.8-2.9 Р±РµРЅР·РёРЅ 07/00-</t>
  </si>
  <si>
    <t>EP220</t>
  </si>
  <si>
    <t>EP220     (PURFLUX)</t>
  </si>
  <si>
    <t>VAZ 1.5i 8v/16v  (2109, 2110-12), ROVER 216,218,414,416  95-00,  25, 45 all petrol eng. 99-</t>
  </si>
  <si>
    <t>EP90C</t>
  </si>
  <si>
    <t>EP90C     (PURFLUX)</t>
  </si>
  <si>
    <t>BMW 3 (E36) 87-98, 5 (E34) 87 - 95 (M10,M20,M40,M43)</t>
  </si>
  <si>
    <t>EP91</t>
  </si>
  <si>
    <t>EP91     (PURFLUX)</t>
  </si>
  <si>
    <t>181.20</t>
  </si>
  <si>
    <t>FC500E</t>
  </si>
  <si>
    <t>FC500E     (PURFLUX)</t>
  </si>
  <si>
    <t>587.35</t>
  </si>
  <si>
    <t>KL 414,  RENAULT Espace III 2.2 dCi 16V, Laguna II 1.9 dCi, Megane I 1.9 dCi</t>
  </si>
  <si>
    <t>FCS412BV</t>
  </si>
  <si>
    <t>FCS412BV     (PURFLUX)</t>
  </si>
  <si>
    <t>207.06</t>
  </si>
  <si>
    <t>VW GOLF III, IV 1.6-1.9td -02, JETTA II -92, LT 28-35  2.4d 75 - 96</t>
  </si>
  <si>
    <t>FCS472</t>
  </si>
  <si>
    <t>FCS472     (PURFLUX)</t>
  </si>
  <si>
    <t>380.48</t>
  </si>
  <si>
    <t>FORD FOCUS 1.8TD/DI/TDSI 10/98-, FIESTA 1.4TDSI 01-</t>
  </si>
  <si>
    <t>FCS473</t>
  </si>
  <si>
    <t>FCS473     (PURFLUX)</t>
  </si>
  <si>
    <t>296.57</t>
  </si>
  <si>
    <t>VW/SEAT/SKODA 1.9 diesel engines 96- (СЃ РїРѕРґРѕРіСЂРµРІРѕРј)</t>
  </si>
  <si>
    <t>FCS479</t>
  </si>
  <si>
    <t>FCS479     (PURFLUX)</t>
  </si>
  <si>
    <t>468.18</t>
  </si>
  <si>
    <t>BMW (E39, E46)2.5-3.0D  - 05, X5 3.0D 00-</t>
  </si>
  <si>
    <t>FCS704</t>
  </si>
  <si>
    <t>FCS704     (PURFLUX)</t>
  </si>
  <si>
    <t>751.01</t>
  </si>
  <si>
    <t>CITROEN C2/C3 1.4HDi/1.6HDi 02/02-&gt;, PEUGEOT 206/307 1.4HDi 09/01-&gt; FORD FiestaV 1.4TDi 11/01-&gt;</t>
  </si>
  <si>
    <t>FCS706</t>
  </si>
  <si>
    <t>FCS706     (PURFLUX)</t>
  </si>
  <si>
    <t>408.87</t>
  </si>
  <si>
    <t>VW/AUDI/SKODA  2.5TDI 97-</t>
  </si>
  <si>
    <t>FCS709</t>
  </si>
  <si>
    <t>FCS709     (PURFLUX)</t>
  </si>
  <si>
    <t>886.63</t>
  </si>
  <si>
    <t>FCS710</t>
  </si>
  <si>
    <t>FCS710     (PURFLUX)</t>
  </si>
  <si>
    <t>552.09</t>
  </si>
  <si>
    <t>FORD Focus II/C-Max 1.6 TDCi 03-, PEUGEOT 206/307/407 04-, CITROEN C4/C5 04-</t>
  </si>
  <si>
    <t>FCS716</t>
  </si>
  <si>
    <t>FCS716     (PURFLUX)</t>
  </si>
  <si>
    <t>456.61</t>
  </si>
  <si>
    <t>BMW 318D/TD, 320D/CD (E46) 8/01-</t>
  </si>
  <si>
    <t>FCS723</t>
  </si>
  <si>
    <t>FCS723     (PURFLUX)</t>
  </si>
  <si>
    <t>694.23</t>
  </si>
  <si>
    <t>Fiat Doblo 1.9JTD 8V (100HP), Punto II 1.3MJTD 16V (75HP) 9/05-</t>
  </si>
  <si>
    <t>FCS724</t>
  </si>
  <si>
    <t>FCS724     (PURFLUX)</t>
  </si>
  <si>
    <t>BMW 118 d (E81/E82/E87/E88),  -08, 320 d (E90/E91/E92/E93) -10, 530 d (E60/E61)</t>
  </si>
  <si>
    <t>FCS727</t>
  </si>
  <si>
    <t>FCS727     (PURFLUX)</t>
  </si>
  <si>
    <t>537.08</t>
  </si>
  <si>
    <t>RENAULT Kangoo II 1.5 dCi  -09/09, Twingo II 1.5 dCi, Laguna III 2.0-3.0 dCi   -09</t>
  </si>
  <si>
    <t>FCS738</t>
  </si>
  <si>
    <t>FCS738     (PURFLUX)</t>
  </si>
  <si>
    <t>557.15</t>
  </si>
  <si>
    <t>KANGOO II 1.5 dCi 08 -, LAGUNA III 1.5-2.0dCi  07 -</t>
  </si>
  <si>
    <t>FCS748</t>
  </si>
  <si>
    <t>FCS748     (PURFLUX)</t>
  </si>
  <si>
    <t>KL 430 NISSAN  Almera, Note,Micra 1.5 dCi, RENAULT Clio II, Kangoo I, Symbol I 1.5 dCi,  01-</t>
  </si>
  <si>
    <t>FCS752</t>
  </si>
  <si>
    <t>FCS752     (PURFLUX)</t>
  </si>
  <si>
    <t>619.72</t>
  </si>
  <si>
    <t>RENAULT Kangoo II 1.5 dCi, Laguna III 1.5-3.0 dCi,  05/09-</t>
  </si>
  <si>
    <t>FCS759</t>
  </si>
  <si>
    <t>FCS759     (PURFLUX)</t>
  </si>
  <si>
    <t>423.88</t>
  </si>
  <si>
    <t>Nissan Qashqai 1.5-2.0 dCi, X-Trail 2.0 dCi</t>
  </si>
  <si>
    <t>FCS770</t>
  </si>
  <si>
    <t>FCS770     (PURFLUX)</t>
  </si>
  <si>
    <t>765.29</t>
  </si>
  <si>
    <t>Renault FLUENCE 10 -, MEGANE III 08 - 1,5-1,9dCi</t>
  </si>
  <si>
    <t>FCS771</t>
  </si>
  <si>
    <t>FCS771     (PURFLUX)</t>
  </si>
  <si>
    <t>314.11</t>
  </si>
  <si>
    <t>Ford Torneo Connect I, Transit  Connect I  1.8 TDI 02 -,</t>
  </si>
  <si>
    <t>FCS772A</t>
  </si>
  <si>
    <t>FCS772A     (PURFLUX)</t>
  </si>
  <si>
    <t>509.95</t>
  </si>
  <si>
    <t>RENAULT/DACIA  Duster  1.5DCi  10-</t>
  </si>
  <si>
    <t>FCS783</t>
  </si>
  <si>
    <t>FCS783     (PURFLUX)</t>
  </si>
  <si>
    <t>375.78</t>
  </si>
  <si>
    <t>BMW 1(Р•81, Р•87, Р•88), 5(Р•60, Р•61), РҐ3, РҐ5  04-</t>
  </si>
  <si>
    <t>FCS784</t>
  </si>
  <si>
    <t>FCS784     (PURFLUX)</t>
  </si>
  <si>
    <t>532.38</t>
  </si>
  <si>
    <t>MB 3 / 3,5-Serie Sprinter 09- / W204 / W212 08-</t>
  </si>
  <si>
    <t>L212</t>
  </si>
  <si>
    <t>L212     (PURFLUX)</t>
  </si>
  <si>
    <t>116.28</t>
  </si>
  <si>
    <t>L237</t>
  </si>
  <si>
    <t>L237     (PURFLUX)</t>
  </si>
  <si>
    <t>L244</t>
  </si>
  <si>
    <t>L244     (PURFLUX)</t>
  </si>
  <si>
    <t>BMW 325 TDS 91-99, 525TDS 91-95</t>
  </si>
  <si>
    <t>L264A</t>
  </si>
  <si>
    <t>L264A     (PURFLUX)</t>
  </si>
  <si>
    <t>103.26</t>
  </si>
  <si>
    <t>L267D</t>
  </si>
  <si>
    <t>L267D     (PURFLUX)</t>
  </si>
  <si>
    <t>98.92</t>
  </si>
  <si>
    <t>L270</t>
  </si>
  <si>
    <t>L270     (PURFLUX)</t>
  </si>
  <si>
    <t>L290</t>
  </si>
  <si>
    <t>L290     (PURFLUX)</t>
  </si>
  <si>
    <t>L291</t>
  </si>
  <si>
    <t>L291     (PURFLUX)</t>
  </si>
  <si>
    <t>117.54</t>
  </si>
  <si>
    <t>L292</t>
  </si>
  <si>
    <t>L292     (PURFLUX)</t>
  </si>
  <si>
    <t>126.04</t>
  </si>
  <si>
    <t>L293</t>
  </si>
  <si>
    <t>L293     (PURFLUX)</t>
  </si>
  <si>
    <t>BMW 530i, 540i, 730i, 740i(M60, M62 - engines) 92- (РїР»Р°СЃС‚РёРєРѕРІР°СЏ РєСЂС‹С€РєР°)</t>
  </si>
  <si>
    <t>L310A</t>
  </si>
  <si>
    <t>L310A     (PURFLUX)</t>
  </si>
  <si>
    <t>CITROEN BERLINGO, PEUGEOT PARTNER 1.1i, 1.4i, 1.6i  00-04</t>
  </si>
  <si>
    <t>L311</t>
  </si>
  <si>
    <t>L311     (PURFLUX)</t>
  </si>
  <si>
    <t>L312</t>
  </si>
  <si>
    <t>L312     (PURFLUX)</t>
  </si>
  <si>
    <t>MB W202 (C200D-C250D) -00, W210 (E200D-E300D/TD) -99, VITO I 96 - 03</t>
  </si>
  <si>
    <t>L313</t>
  </si>
  <si>
    <t>L313     (PURFLUX)</t>
  </si>
  <si>
    <t>115.01</t>
  </si>
  <si>
    <t>OX133DEco  MB W202 (C180-C280) -00, W124,W210 (E200-E320) 92-97, SPRINTER,VITO Р±РµРЅР·РёРЅ 95-</t>
  </si>
  <si>
    <t>L317</t>
  </si>
  <si>
    <t>L317     (PURFLUX)</t>
  </si>
  <si>
    <t>136.89</t>
  </si>
  <si>
    <t>L321</t>
  </si>
  <si>
    <t>L321     (PURFLUX)</t>
  </si>
  <si>
    <t>146.84</t>
  </si>
  <si>
    <t>L330</t>
  </si>
  <si>
    <t>L330     (PURFLUX)</t>
  </si>
  <si>
    <t>FIAT Grande Punto/Idea/Punto, OPEL Astra/Corsa/Agila 1,3JTD 03 -&gt;</t>
  </si>
  <si>
    <t>L332</t>
  </si>
  <si>
    <t>L332     (PURFLUX)</t>
  </si>
  <si>
    <t>L339</t>
  </si>
  <si>
    <t>L339     (PURFLUX)</t>
  </si>
  <si>
    <t>OX360DEco  SKODA Fabia 03-&gt; SEAT Cordoba/Ibiza 02-&gt; VW Polo 02-&gt;</t>
  </si>
  <si>
    <t>L340</t>
  </si>
  <si>
    <t>L340     (PURFLUX)</t>
  </si>
  <si>
    <t>FORD S-MAX 05/06 -, GALAXY II 2.3 06-, MONDEO III 1.8-2.0 16v 00-07,  MAZDA 3, 6 1.8-2.3, 2.3 MPS  00-07-</t>
  </si>
  <si>
    <t>L343C</t>
  </si>
  <si>
    <t>L343C     (PURFLUX)</t>
  </si>
  <si>
    <t>L353</t>
  </si>
  <si>
    <t>L353     (PURFLUX)</t>
  </si>
  <si>
    <t>151.54</t>
  </si>
  <si>
    <t>AUDI/VW/SKODA  1.4TFSI -1.6FSI 03-</t>
  </si>
  <si>
    <t>L358A</t>
  </si>
  <si>
    <t>L358A     (PURFLUX)</t>
  </si>
  <si>
    <t>OX339/2DEco  Citroen Berlingo, C3, C4, C5 1.4-1.6, Ford Kuga, Mondeo IV, S-Max  2.0TDCi</t>
  </si>
  <si>
    <t>L362</t>
  </si>
  <si>
    <t>L362     (PURFLUX)</t>
  </si>
  <si>
    <t>166.55</t>
  </si>
  <si>
    <t>AUDI A3/A4 /A6 03-, VW Golf V/Passat/Touran  2.0/FSI 10/03- SKODA AQ1236</t>
  </si>
  <si>
    <t>L364</t>
  </si>
  <si>
    <t>L364     (PURFLUX)</t>
  </si>
  <si>
    <t>OX415DEco  Nissan Patrol, Terrano II 3.0DI, Opel Movano II 3.0, Renault Master III 3.0dCI</t>
  </si>
  <si>
    <t>L366</t>
  </si>
  <si>
    <t>L366     (PURFLUX)</t>
  </si>
  <si>
    <t>MB W211 (E200CDI), W203 (C180 KOMPRESSOR, C200 KOMPRESSOR) 02-</t>
  </si>
  <si>
    <t>L369</t>
  </si>
  <si>
    <t>L369     (PURFLUX)</t>
  </si>
  <si>
    <t>L376</t>
  </si>
  <si>
    <t>L376     (PURFLUX)</t>
  </si>
  <si>
    <t>BMW 1 (E81, E87) 03 -12, BMW3 (E90)05 -11, 5 (E60) 03 -10  2.5-3.0i</t>
  </si>
  <si>
    <t>L377</t>
  </si>
  <si>
    <t>L377     (PURFLUX)</t>
  </si>
  <si>
    <t>L387</t>
  </si>
  <si>
    <t>L387     (PURFLUX)</t>
  </si>
  <si>
    <t>Cruze 09 -, Orlando 12/10 -, Aveo II(T300) 03/11 -  1.4-1.8 /OX1058D Eco/</t>
  </si>
  <si>
    <t>L390</t>
  </si>
  <si>
    <t>L390     (PURFLUX)</t>
  </si>
  <si>
    <t>AUDI A4, A5, A6, A8, Q7 2,8-3,2 FSI, 05- (РІРёСЃРѕС‚Р° 62mm !!)</t>
  </si>
  <si>
    <t>L398A</t>
  </si>
  <si>
    <t>L398A     (PURFLUX)</t>
  </si>
  <si>
    <t>L400</t>
  </si>
  <si>
    <t>L400     (PURFLUX)</t>
  </si>
  <si>
    <t>OX553DEco  FIAT, OPEL 1.3DJTD/CDTi  06-</t>
  </si>
  <si>
    <t>L411</t>
  </si>
  <si>
    <t>L411     (PURFLUX)</t>
  </si>
  <si>
    <t>129.48</t>
  </si>
  <si>
    <t>L418</t>
  </si>
  <si>
    <t>L418     (PURFLUX)</t>
  </si>
  <si>
    <t>121.88</t>
  </si>
  <si>
    <t>Audi, Seat, VW 1.6, 2,0 TDi,  07-</t>
  </si>
  <si>
    <t>L419</t>
  </si>
  <si>
    <t>L419     (PURFLUX)</t>
  </si>
  <si>
    <t>59.86</t>
  </si>
  <si>
    <t>L439</t>
  </si>
  <si>
    <t>L439     (PURFLUX)</t>
  </si>
  <si>
    <t>OPEL Astra H,J, Meriva, Zafira, CHEVROLET CRUZE  1.7 CDTi</t>
  </si>
  <si>
    <t>L470</t>
  </si>
  <si>
    <t>L470     (PURFLUX)</t>
  </si>
  <si>
    <t>L509</t>
  </si>
  <si>
    <t>L509     (PURFLUX)</t>
  </si>
  <si>
    <t>CHRYSLER Compass 2.2 CRD, MB  A, B, C, E Class, Vito, Sprinter II,  09-</t>
  </si>
  <si>
    <t>L974</t>
  </si>
  <si>
    <t>L974     (PURFLUX)</t>
  </si>
  <si>
    <t>472.34</t>
  </si>
  <si>
    <t>CHEVROLET Captiva II 2.2 CDTi, Cruze 2.0 CDI, OPEL Antara 2.2 CDTi</t>
  </si>
  <si>
    <t>L991</t>
  </si>
  <si>
    <t>L991     (PURFLUX)</t>
  </si>
  <si>
    <t>AUDI A1, A3 , A5  1.6-2.0 TDi, VW Golf VII 1.6-2.0TDI, SEAT Leon 1.6-2.0</t>
  </si>
  <si>
    <t>LS188B</t>
  </si>
  <si>
    <t>LS188B     (PURFLUX)</t>
  </si>
  <si>
    <t>79.57</t>
  </si>
  <si>
    <t>CHRYSLER NEON  1.8, 2.0i  94-, PT CRUISER 2.0, 2.4 00-</t>
  </si>
  <si>
    <t>LS214</t>
  </si>
  <si>
    <t>LS214     (PURFLUX)</t>
  </si>
  <si>
    <t>148.10</t>
  </si>
  <si>
    <t>VW PASSAT,T4,SHARAN,VENTO 1.9TD/TDI 96-</t>
  </si>
  <si>
    <t>LS218</t>
  </si>
  <si>
    <t>LS218     (PURFLUX)</t>
  </si>
  <si>
    <t>RENAULT Kangoo II 1.6 16V,Symbol II 1.4-1.6,  98- ,Megane I-II 1,4-2.0, DACIA Logan 1.4-1.6</t>
  </si>
  <si>
    <t>LS235</t>
  </si>
  <si>
    <t>LS235     (PURFLUX)</t>
  </si>
  <si>
    <t>RENAULT/IVECO/FIAT DUCATO 2.5, 2.8 diesel eng. 82-</t>
  </si>
  <si>
    <t>LS275</t>
  </si>
  <si>
    <t>LS275     (PURFLUX)</t>
  </si>
  <si>
    <t>87.34</t>
  </si>
  <si>
    <t>LS324</t>
  </si>
  <si>
    <t>LS324     (PURFLUX)</t>
  </si>
  <si>
    <t>VW/AUDI 1.6-2.8 Р±РµРЅР·РёРЅ 91-, 00-</t>
  </si>
  <si>
    <t>LS346</t>
  </si>
  <si>
    <t>LS346     (PURFLUX)</t>
  </si>
  <si>
    <t>ALFA ROMEO/FIAT 1.9, 2.4 D,  97 -09/05</t>
  </si>
  <si>
    <t>LS348</t>
  </si>
  <si>
    <t>LS348     (PURFLUX)</t>
  </si>
  <si>
    <t>FIAT CROMA 2.0iT -96, LANCIA THEMA,DEDRA 2.0i 88-96</t>
  </si>
  <si>
    <t>LS357</t>
  </si>
  <si>
    <t>LS357     (PURFLUX)</t>
  </si>
  <si>
    <t>98.56</t>
  </si>
  <si>
    <t>FORD Mondeo III,IV, 00-, FocusII  03-, MAZDA 3, 6, CX-7 10.03-</t>
  </si>
  <si>
    <t>LS359</t>
  </si>
  <si>
    <t>LS359     (PURFLUX)</t>
  </si>
  <si>
    <t>84.81</t>
  </si>
  <si>
    <t>TOYOTA 4Runner 4,0/4,7 8/02-&gt;/Land Cruiser 4,0-4,7/Lexus/Tundra</t>
  </si>
  <si>
    <t>LS370</t>
  </si>
  <si>
    <t>LS370     (PURFLUX)</t>
  </si>
  <si>
    <t>66.73</t>
  </si>
  <si>
    <t>LS384</t>
  </si>
  <si>
    <t>LS384     (PURFLUX)</t>
  </si>
  <si>
    <t>120.98</t>
  </si>
  <si>
    <t>FORD Focus II 1.8TDCi 11/04- Focus C-Max 1.8TDCi 01/05-03/07Galaxy 1.8TDCi 05/06-/S-Max 1.8TDCi 05/06-</t>
  </si>
  <si>
    <t>LS386</t>
  </si>
  <si>
    <t>LS386     (PURFLUX)</t>
  </si>
  <si>
    <t>LS391</t>
  </si>
  <si>
    <t>LS391     (PURFLUX)</t>
  </si>
  <si>
    <t>198.01</t>
  </si>
  <si>
    <t>LS489A</t>
  </si>
  <si>
    <t>LS489A     (PURFLUX)</t>
  </si>
  <si>
    <t>95.48</t>
  </si>
  <si>
    <t>KIA SEED, CERATO I, MAGENTIS II 11/05 -  ISUZU MIDI 2.2D 89-, HYUNDAI 1.5-2.5 90-</t>
  </si>
  <si>
    <t>LS553D</t>
  </si>
  <si>
    <t>LS553D     (PURFLUX)</t>
  </si>
  <si>
    <t>VW/AUDI/SEAT/SKODA 1.4-1.9TD diesel engines</t>
  </si>
  <si>
    <t>LS592A</t>
  </si>
  <si>
    <t>LS592A     (PURFLUX)</t>
  </si>
  <si>
    <t>RENAULT 1.7-3.0 Р±РµРЅР·РёРЅ 87-</t>
  </si>
  <si>
    <t>LS702</t>
  </si>
  <si>
    <t>LS702     (PURFLUX)</t>
  </si>
  <si>
    <t>85.72</t>
  </si>
  <si>
    <t>VW/AUDI -97 (Р°РЅР°Р»РѕРі W719/5)</t>
  </si>
  <si>
    <t>LS715</t>
  </si>
  <si>
    <t>LS715     (PURFLUX)</t>
  </si>
  <si>
    <t>LS716</t>
  </si>
  <si>
    <t>LS716     (PURFLUX)</t>
  </si>
  <si>
    <t>Nissan NAVARA 2.4i  92-97,  SUNNYII, III 1.7-2.0D  90 -95, ALMERA I 2.0D 95 -00</t>
  </si>
  <si>
    <t>LS740A</t>
  </si>
  <si>
    <t>LS740A     (PURFLUX)</t>
  </si>
  <si>
    <t>LS743</t>
  </si>
  <si>
    <t>LS743     (PURFLUX)</t>
  </si>
  <si>
    <t>TOYOTA CARINA 2.0D 12/87-96, COROLLA 1.8D 07/87-93</t>
  </si>
  <si>
    <t>LS785A</t>
  </si>
  <si>
    <t>LS785A     (PURFLUX)</t>
  </si>
  <si>
    <t>LS867B</t>
  </si>
  <si>
    <t>LS867B     (PURFLUX)</t>
  </si>
  <si>
    <t>94.58</t>
  </si>
  <si>
    <t>OC100,  CITROEN Jamper 2.5TD 94-02 XM 3.0 V6/C5/C8, PEUGEOT 406 -04, 407  3.0i 05-, 605 -99, J5 2.5D -94</t>
  </si>
  <si>
    <t>LS892</t>
  </si>
  <si>
    <t>LS892     (PURFLUX)</t>
  </si>
  <si>
    <t>MAZDA 323 1.6 85-93, 1.5i 94-01</t>
  </si>
  <si>
    <t>LS896</t>
  </si>
  <si>
    <t>LS896     (PURFLUX)</t>
  </si>
  <si>
    <t>SUZUKI Swift II,IV 89-01,10-,DAIHATSU Charade III,IV 1.0-1.5, 87-00, TERIOS I,II 97-05 -, DAEWOO MATIZ 0.8-1.0 98-04-</t>
  </si>
  <si>
    <t>LS900</t>
  </si>
  <si>
    <t>LS900     (PURFLUX)</t>
  </si>
  <si>
    <t>FORD 1.6-2.9 Р±РµРЅ. -93, LADA 2101-2107 (MANN: W916/1)</t>
  </si>
  <si>
    <t>LS911</t>
  </si>
  <si>
    <t>LS911     (PURFLUX)</t>
  </si>
  <si>
    <t>MITSUBISHI PAJERO 2.8TD 94-00</t>
  </si>
  <si>
    <t>LS918</t>
  </si>
  <si>
    <t>LS918     (PURFLUX)</t>
  </si>
  <si>
    <t>113.56</t>
  </si>
  <si>
    <t>MB W201 (E2.0-E2.6) 85-93, W124 (200E-300E) 86-93</t>
  </si>
  <si>
    <t>LS919</t>
  </si>
  <si>
    <t>LS919     (PURFLUX)</t>
  </si>
  <si>
    <t>113.20</t>
  </si>
  <si>
    <t>FIAT Doblo, Stilo, Bravo 1.9 JTD 01 - 10</t>
  </si>
  <si>
    <t>LS923</t>
  </si>
  <si>
    <t>LS923     (PURFLUX)</t>
  </si>
  <si>
    <t>OC 976,CITROГ‹N  BERLINGO I 96 -, C4, C5 I,II, 04-, PEUGEOT 208, 307 1.2-2.0, 02-</t>
  </si>
  <si>
    <t>LS932</t>
  </si>
  <si>
    <t>LS932     (PURFLUX)</t>
  </si>
  <si>
    <t>94.76</t>
  </si>
  <si>
    <t>LS933</t>
  </si>
  <si>
    <t>LS933     (PURFLUX)</t>
  </si>
  <si>
    <t>129.66</t>
  </si>
  <si>
    <t>RENAULT Clio II,III/Kangoo/Megane II,III 1.5DCi/1.9DCi, DACIA Logan, DUSTER 1.5 dci 10 -</t>
  </si>
  <si>
    <t>LS934</t>
  </si>
  <si>
    <t>LS934     (PURFLUX)</t>
  </si>
  <si>
    <t>Mazda, Volvo, Ford  1.4- 1.6  04-</t>
  </si>
  <si>
    <t>LS936</t>
  </si>
  <si>
    <t>LS936     (PURFLUX)</t>
  </si>
  <si>
    <t>127.85</t>
  </si>
  <si>
    <t>Hyundai, Kia SORENTO 2.5 CRDI</t>
  </si>
  <si>
    <t>LS937</t>
  </si>
  <si>
    <t>LS937     (PURFLUX)</t>
  </si>
  <si>
    <t>LS946</t>
  </si>
  <si>
    <t>LS946     (PURFLUX)</t>
  </si>
  <si>
    <t>236.71</t>
  </si>
  <si>
    <t>DACIA Dokker 1.5 dCi, Logan II 1.5 dCi, Sandero II 1.5 dCi, NISSAN Qashqai II 1.5 dCi</t>
  </si>
  <si>
    <t>REMSA</t>
  </si>
  <si>
    <t>Remsa</t>
  </si>
  <si>
    <t>Opel Vectra A/Nexia</t>
  </si>
  <si>
    <t>301.74</t>
  </si>
  <si>
    <t>Renault R19/ClioII/MeganeI</t>
  </si>
  <si>
    <t>368.51</t>
  </si>
  <si>
    <t>Renault Megane I/R19</t>
  </si>
  <si>
    <t>401.64</t>
  </si>
  <si>
    <t>DAF 400 ,Ford Transit 86-91 ,LDV 400, CONVOY 2,5D/3,5  83-09  front</t>
  </si>
  <si>
    <t>VW Golf II -92/Polo -94</t>
  </si>
  <si>
    <t>VW Golf I-III/Passat B3</t>
  </si>
  <si>
    <t>VW Golf II/Polo</t>
  </si>
  <si>
    <t>248.71</t>
  </si>
  <si>
    <t>CITROEN AX, SAXO, ZX| DALLAS FUN| PEUGEOT 106 I, II, 205 I, II, 305 II, 309 I, II| RENAULT CLIO I, ESPACE I, FUEGO, RAPID, 11, 18, 19 I, II, 20 1,0-1,9D   -04   front</t>
  </si>
  <si>
    <t>223.48</t>
  </si>
  <si>
    <t>326.12</t>
  </si>
  <si>
    <t>Audi A4/A6/Citroen C3/C4/VW Golf  rear</t>
  </si>
  <si>
    <t>257.46</t>
  </si>
  <si>
    <t>Golf III/IV/Passat B3/B4/Octavia</t>
  </si>
  <si>
    <t>329.55</t>
  </si>
  <si>
    <t>Sebring/Eclipse 95-/Galant -97</t>
  </si>
  <si>
    <t>457.76</t>
  </si>
  <si>
    <t>Nissan Altima/Maxima QX -97</t>
  </si>
  <si>
    <t>KIA CERATO 1.5 D/1.6 D/2.0 D  04-  rear</t>
  </si>
  <si>
    <t>253.17</t>
  </si>
  <si>
    <t>Peugeot 406, 605  89-99  rear</t>
  </si>
  <si>
    <t>414.17</t>
  </si>
  <si>
    <t>Honda Accord 90-98/Civic 01-05  rear</t>
  </si>
  <si>
    <t>668.71</t>
  </si>
  <si>
    <t>BMW E38/E46/X5</t>
  </si>
  <si>
    <t>611.90</t>
  </si>
  <si>
    <t>BMW  X5 (E70) 02/07- , X6 (E71) 05/08-</t>
  </si>
  <si>
    <t>684.67</t>
  </si>
  <si>
    <t>Audi A4/A6/VW Passat B5</t>
  </si>
  <si>
    <t>Ford /Mondeo/ Scorpio</t>
  </si>
  <si>
    <t>589.76</t>
  </si>
  <si>
    <t>VW Transporter T4 90-03 (15")  rear</t>
  </si>
  <si>
    <t>658.41</t>
  </si>
  <si>
    <t>MB Sprinter/VW Transporter -06</t>
  </si>
  <si>
    <t>478.36</t>
  </si>
  <si>
    <t>VW T4  1,9D/2,0/2,4D/2,5TDi  90-03-  rear</t>
  </si>
  <si>
    <t>Skoda Favorit/Felicia/VW Caddy</t>
  </si>
  <si>
    <t>454.33</t>
  </si>
  <si>
    <t>AudiI A2, A3| VW Bora, Caddy, Golf IV/V/VI, Jetta III/IV, Polo/  Skoda Skoda Fabia, Octavia, Roomster, Yeti|   Seat  Altea/XL, Ibiza IV/V, Leon, Toledo II/III|  1,0-2,5  96-    front</t>
  </si>
  <si>
    <t>548.90</t>
  </si>
  <si>
    <t>SUBARU FORESTER, IMPREZA, LEGACY III/IV/OUTBACK, OUTBACK 1,5-3,0   94-  front</t>
  </si>
  <si>
    <t>326.80</t>
  </si>
  <si>
    <t>MB W210/202/203</t>
  </si>
  <si>
    <t>MB Sprinter/Vito 95-</t>
  </si>
  <si>
    <t>278.06</t>
  </si>
  <si>
    <t>Toyota LandCruiser 96-</t>
  </si>
  <si>
    <t>423.09</t>
  </si>
  <si>
    <t>Volvo S60/S80/V70/V70/XC70 98-</t>
  </si>
  <si>
    <t>311.70</t>
  </si>
  <si>
    <t>MB Vito 98-</t>
  </si>
  <si>
    <t>465.32</t>
  </si>
  <si>
    <t>VW LT/MB Sprinter 95-</t>
  </si>
  <si>
    <t>420.00</t>
  </si>
  <si>
    <t>Getz (ABS)/Tucson/Sonata</t>
  </si>
  <si>
    <t>445.06</t>
  </si>
  <si>
    <t>Mitsubishi Pajero II/III</t>
  </si>
  <si>
    <t>717.11</t>
  </si>
  <si>
    <t>Ford Transit 00-</t>
  </si>
  <si>
    <t>689.31</t>
  </si>
  <si>
    <t>MITSUBISHI OUTLANDER 2,0 12- , ASX 1,8 10- |  JEEP COMPASS, PATRIOT 1.8-2.7i  06-  front</t>
  </si>
  <si>
    <t>508.05</t>
  </si>
  <si>
    <t>Ford Focus II/Mazda 3/Volvo S40/Opel Vectra РЎ  03-   rear</t>
  </si>
  <si>
    <t>467.20</t>
  </si>
  <si>
    <t>456.91</t>
  </si>
  <si>
    <t>FORD FOCUS C-MAX, II, III, KUGA II 1.0-2,0CDTI  2010-|  VOLVO C30, S40 II, V50, C70 II 1.0-2,5CDTI  03-12</t>
  </si>
  <si>
    <t>543.07</t>
  </si>
  <si>
    <t>Opel Corsa D</t>
  </si>
  <si>
    <t>Nissan X-Trail 01-</t>
  </si>
  <si>
    <t>534.66</t>
  </si>
  <si>
    <t>Toyota Camry 01-</t>
  </si>
  <si>
    <t>654.81</t>
  </si>
  <si>
    <t>BMW E60/X5</t>
  </si>
  <si>
    <t>541.70</t>
  </si>
  <si>
    <t>VW Transporter T5</t>
  </si>
  <si>
    <t>Opel Astra G/H/Meriva/Zafira</t>
  </si>
  <si>
    <t>Renault Megane II 05-</t>
  </si>
  <si>
    <t>815.80</t>
  </si>
  <si>
    <t>AUDI A4/A6/A8/S4 02-</t>
  </si>
  <si>
    <t>475.96</t>
  </si>
  <si>
    <t>Clio I/II/Micra/Note</t>
  </si>
  <si>
    <t>675.40</t>
  </si>
  <si>
    <t>TOYOTA Land Cruiser (J12) 3.0 D-4D, 4.0 01/03-</t>
  </si>
  <si>
    <t>604.52</t>
  </si>
  <si>
    <t>MB S211/W211</t>
  </si>
  <si>
    <t>679.35</t>
  </si>
  <si>
    <t>MB class-M (W164), class-R (W251), class-G (W463) 3.0-6.0  2006-</t>
  </si>
  <si>
    <t>912.44</t>
  </si>
  <si>
    <t>Cayenne/Touareg</t>
  </si>
  <si>
    <t>950.54</t>
  </si>
  <si>
    <t>VW Touareg/ Porsche Cayenne/Audi Q7  3,0-6,0D   02-15   front</t>
  </si>
  <si>
    <t>562.29</t>
  </si>
  <si>
    <t>1030.01</t>
  </si>
  <si>
    <t>1030.01  REMSA - Р“Р°Р»СЊРјС–РІРЅС– РєРѕР»РѕРґРєРё РґРѕ РґРёСЃРєС–РІ</t>
  </si>
  <si>
    <t>699.60</t>
  </si>
  <si>
    <t>VW Golf V/PassatB6/Skoda Octavia</t>
  </si>
  <si>
    <t>1031.00</t>
  </si>
  <si>
    <t>1031.00  REMSA - Р“Р°Р»СЊРјС–РІРЅС– РєРѕР»РѕРґРєРё РґРѕ РґРёСЃРєС–РІ</t>
  </si>
  <si>
    <t>463.77</t>
  </si>
  <si>
    <t>Audi A3/A4/A6/Skoda Octavia/VW Tiguan 1,4TSI-2,0TDI   07-</t>
  </si>
  <si>
    <t>1045.11</t>
  </si>
  <si>
    <t>1045.11  REMSA - Р“Р°Р»СЊРјС–РІРЅС– РєРѕР»РѕРґРєРё РґРѕ РґРёСЃРєС–РІ</t>
  </si>
  <si>
    <t>872.79</t>
  </si>
  <si>
    <t>1046.02</t>
  </si>
  <si>
    <t>1046.02  REMSA - Р“Р°Р»СЊРјС–РІРЅС– РєРѕР»РѕРґРєРё РґРѕ РґРёСЃРєС–РІ</t>
  </si>
  <si>
    <t>682.27</t>
  </si>
  <si>
    <t>Toyota Avensis (T25_) 03-08| Corolla Verso 04-09  front</t>
  </si>
  <si>
    <t>1051.02</t>
  </si>
  <si>
    <t>1051.02  REMSA - Р“Р°Р»СЊРјС–РІРЅС– РєРѕР»РѕРґРєРё РґРѕ РґРёСЃРєС–РІ</t>
  </si>
  <si>
    <t>418.12</t>
  </si>
  <si>
    <t>Lancer 03-/Outlander</t>
  </si>
  <si>
    <t>1082.00</t>
  </si>
  <si>
    <t>1082.00  REMSA - Р“Р°Р»СЊРјС–РІРЅС– РєРѕР»РѕРґРєРё РґРѕ РґРёСЃРєС–РІ</t>
  </si>
  <si>
    <t>Ford Focus 05-</t>
  </si>
  <si>
    <t>1100.11</t>
  </si>
  <si>
    <t>1100.11  REMSA - Р“Р°Р»СЊРјС–РІРЅС– РєРѕР»РѕРґРєРё РґРѕ РґРёСЃРєС–РІ</t>
  </si>
  <si>
    <t>504.96</t>
  </si>
  <si>
    <t>1136.01</t>
  </si>
  <si>
    <t>1136.01  REMSA - Р“Р°Р»СЊРјС–РІРЅС– РєРѕР»РѕРґРєРё РґРѕ РґРёСЃРєС–РІ</t>
  </si>
  <si>
    <t>518.35</t>
  </si>
  <si>
    <t>SUBARU   Forester 01/08-, Impreza 01/08-, Legacy 09/03-, Outback 09/03-</t>
  </si>
  <si>
    <t>1183.01</t>
  </si>
  <si>
    <t>1183.01  REMSA - Р“Р°Р»СЊРјС–РІРЅС– РєРѕР»РѕРґРєРё РґРѕ РґРёСЃРєС–РІ</t>
  </si>
  <si>
    <t>665.96</t>
  </si>
  <si>
    <t># FIAT DOBLO (119) (1.2-1.9L)  10-</t>
  </si>
  <si>
    <t>1187.02</t>
  </si>
  <si>
    <t>1187.02  REMSA - Р“Р°Р»СЊРјС–РІРЅС– РєРѕР»РѕРґРєРё РґРѕ РґРёСЃРєС–РІ</t>
  </si>
  <si>
    <t>687.76</t>
  </si>
  <si>
    <t>VW Touareg 02- Porshe Cayenne 02-  rear</t>
  </si>
  <si>
    <t>1204.02</t>
  </si>
  <si>
    <t>1204.02  REMSA - Р“Р°Р»СЊРјС–РІРЅС– РєРѕР»РѕРґРєРё РґРѕ РґРёСЃРєС–РІ</t>
  </si>
  <si>
    <t>644.16</t>
  </si>
  <si>
    <t>HYUNDAI  SONATA IV 2001 - 2004, SONATA V 2005-|              \nGRANDEUR 2005-</t>
  </si>
  <si>
    <t>1215.01</t>
  </si>
  <si>
    <t>1215.01  REMSA - Р“Р°Р»СЊРјС–РІРЅС– РєРѕР»РѕРґРєРё РґРѕ РґРёСЃРєС–РІ</t>
  </si>
  <si>
    <t>583.58</t>
  </si>
  <si>
    <t>FIAT Sedici 1.6 16V, 1.9D 06/06-, SUZUKI SX4 06/06-</t>
  </si>
  <si>
    <t>1219.00</t>
  </si>
  <si>
    <t>1219.00  REMSA - Р“Р°Р»СЊРјС–РІРЅС– РєРѕР»РѕРґРєРё РґРѕ РґРёСЃРєС–РІ</t>
  </si>
  <si>
    <t>771.69</t>
  </si>
  <si>
    <t>S-Max/Mondeo IV/Freelander</t>
  </si>
  <si>
    <t>1219.21</t>
  </si>
  <si>
    <t>1219.21  REMSA - Р“Р°Р»СЊРјС–РІРЅС– РєРѕР»РѕРґРєРё РґРѕ РґРёСЃРєС–РІ</t>
  </si>
  <si>
    <t>788.86</t>
  </si>
  <si>
    <t>Audi Q3| Seat Alhambra| VW Sharan, Tiguan 1,4TSI-2,0TDI  07-   front</t>
  </si>
  <si>
    <t>1231.00</t>
  </si>
  <si>
    <t>1231.00  REMSA - Р“Р°Р»СЊРјС–РІРЅС– РєРѕР»РѕРґРєРё РґРѕ РґРёСЃРєС–РІ</t>
  </si>
  <si>
    <t>Toyota Camry/Rav4 III 06-</t>
  </si>
  <si>
    <t>1232.00</t>
  </si>
  <si>
    <t>1232.00  REMSA - Р“Р°Р»СЊРјС–РІРЅС– РєРѕР»РѕРґРєРё РґРѕ РґРёСЃРєС–РІ</t>
  </si>
  <si>
    <t>576.71</t>
  </si>
  <si>
    <t>Toyota Rav-4/Corolla 07-</t>
  </si>
  <si>
    <t>1233.00</t>
  </si>
  <si>
    <t>1233.00  REMSA - Р“Р°Р»СЊРјС–РІРЅС– РєРѕР»РѕРґРєРё РґРѕ РґРёСЃРєС–РІ</t>
  </si>
  <si>
    <t>585.46</t>
  </si>
  <si>
    <t>Toyota Camry 06-  front</t>
  </si>
  <si>
    <t>1237.01</t>
  </si>
  <si>
    <t>1237.01  REMSA - Р“Р°Р»СЊРјС–РІРЅС– РєРѕР»РѕРґРєРё РґРѕ РґРёСЃРєС–РІ</t>
  </si>
  <si>
    <t>747.15</t>
  </si>
  <si>
    <t>Jumper/Boxer/Ducato 06-</t>
  </si>
  <si>
    <t>1238.00</t>
  </si>
  <si>
    <t>1238.00  REMSA - Р“Р°Р»СЊРјС–РІРЅС– РєРѕР»РѕРґРєРё РґРѕ РґРёСЃРєС–РІ</t>
  </si>
  <si>
    <t>CITROГ‹N Jumper (06-) 2.2 HDI, 3.0 HDI 04/06-, FIAT Ducato 06-, PEUGEOT Boxer (06-) 2.2 HDI, 3.0 HDI</t>
  </si>
  <si>
    <t>1242.01</t>
  </si>
  <si>
    <t>1242.01  REMSA - Р“Р°Р»СЊРјС–РІРЅС– РєРѕР»РѕРґРєРё РґРѕ РґРёСЃРєС–РІ</t>
  </si>
  <si>
    <t>569.16</t>
  </si>
  <si>
    <t>Mitsubishi L200 06-  front</t>
  </si>
  <si>
    <t>1245.00</t>
  </si>
  <si>
    <t>1245.00  REMSA - Р“Р°Р»СЊРјС–РІРЅС– РєРѕР»РѕРґРєРё РґРѕ РґРёСЃРєС–РІ</t>
  </si>
  <si>
    <t>692.57</t>
  </si>
  <si>
    <t>MB Vito (W639, Brembo), Sprinter/VW Crafter 06-</t>
  </si>
  <si>
    <t>1246.00</t>
  </si>
  <si>
    <t>1246.00  REMSA - Р“Р°Р»СЊРјС–РІРЅС– РєРѕР»РѕРґРєРё РґРѕ РґРёСЃРєС–РІ</t>
  </si>
  <si>
    <t>538.95</t>
  </si>
  <si>
    <t>MB Sprinter/VW Crafter 06-</t>
  </si>
  <si>
    <t>1248.00</t>
  </si>
  <si>
    <t>1248.00  REMSA - Р“Р°Р»СЊРјС–РІРЅС– РєРѕР»РѕРґРєРё РґРѕ РґРёСЃРєС–РІ</t>
  </si>
  <si>
    <t>676.60</t>
  </si>
  <si>
    <t>CITROГ‹N Berlingo/C4, PEUGEOT Partner 08-</t>
  </si>
  <si>
    <t>1248.10</t>
  </si>
  <si>
    <t>1248.10  REMSA - Р“Р°Р»СЊРјС–РІРЅС– РєРѕР»РѕРґРєРё РґРѕ РґРёСЃРєС–РІ</t>
  </si>
  <si>
    <t>591.13</t>
  </si>
  <si>
    <t>RENAULT Duster, Fluence, Megane III, Scenic III 1,2-2,0   05-</t>
  </si>
  <si>
    <t>1250.02</t>
  </si>
  <si>
    <t>1250.02  REMSA - Р“Р°Р»СЊРјС–РІРЅС– РєРѕР»РѕРґРєРё РґРѕ РґРёСЃРєС–РІ</t>
  </si>
  <si>
    <t>Ford Transit RWD 06-    front</t>
  </si>
  <si>
    <t>1251.02</t>
  </si>
  <si>
    <t>1251.02  REMSA - Р“Р°Р»СЊРјС–РІРЅС– РєРѕР»РѕРґРєРё РґРѕ РґРёСЃРєС–РІ</t>
  </si>
  <si>
    <t>692.22</t>
  </si>
  <si>
    <t>Ford Transit 06-</t>
  </si>
  <si>
    <t>1260.12</t>
  </si>
  <si>
    <t>1260.12  REMSA - Р“Р°Р»СЊРјС–РІРЅС– РєРѕР»РѕРґРєРё РґРѕ РґРёСЃРєС–РІ</t>
  </si>
  <si>
    <t>CHEVROLET Captiva 2.0 D, 2.4, 3.2 06/06-, OPEL Antara 2.0 CDTI, 2.4, 3.2 V6 05/06-</t>
  </si>
  <si>
    <t>1275.01</t>
  </si>
  <si>
    <t>1275.01  REMSA - Р“Р°Р»СЊРјС–РІРЅС– РєРѕР»РѕРґРєРё РґРѕ РґРёСЃРєС–РІ</t>
  </si>
  <si>
    <t>702.87</t>
  </si>
  <si>
    <t>1286.02</t>
  </si>
  <si>
    <t>1286.02  REMSA - Р“Р°Р»СЊРјС–РІРЅС– РєРѕР»РѕРґРєРё РґРѕ РґРёСЃРєС–РІ</t>
  </si>
  <si>
    <t>397.00</t>
  </si>
  <si>
    <t>Corolla/Auris/Yaris 06-</t>
  </si>
  <si>
    <t>1289.02</t>
  </si>
  <si>
    <t>1289.02  REMSA - Р“Р°Р»СЊРјС–РІРЅС– РєРѕР»РѕРґРєРё РґРѕ РґРёСЃРєС–РІ</t>
  </si>
  <si>
    <t>711.45</t>
  </si>
  <si>
    <t>Honda CR-V 07-   front</t>
  </si>
  <si>
    <t>1290.02</t>
  </si>
  <si>
    <t>1290.02  REMSA - Р“Р°Р»СЊРјС–РІРЅС– РєРѕР»РѕРґРєРё РґРѕ РґРёСЃРєС–РІ</t>
  </si>
  <si>
    <t>Honda CR-V 07-  rear</t>
  </si>
  <si>
    <t>1292.01</t>
  </si>
  <si>
    <t>1292.01  REMSA - Р“Р°Р»СЊРјС–РІРЅС– РєРѕР»РѕРґРєРё РґРѕ РґРёСЃРєС–РІ</t>
  </si>
  <si>
    <t>718.31</t>
  </si>
  <si>
    <t>CITROГ‹N Jumpy (07-), FIAT Scudo (07-), PEUGEOT Expert (07-)       3 pads without WI + 1 pads with WI 203mm (162x67,3 th=17,3)  WVA: 24595 24596 24608,</t>
  </si>
  <si>
    <t>1297.00</t>
  </si>
  <si>
    <t>1297.00  REMSA - Р“Р°Р»СЊРјС–РІРЅС– РєРѕР»РѕРґРєРё РґРѕ РґРёСЃРєС–РІ</t>
  </si>
  <si>
    <t>826.10</t>
  </si>
  <si>
    <t>BMW X5 (E70) 07-</t>
  </si>
  <si>
    <t>1299.00</t>
  </si>
  <si>
    <t>1299.00  REMSA - Р“Р°Р»СЊРјС–РІРЅС– РєРѕР»РѕРґРєРё РґРѕ РґРёСЃРєС–РІ</t>
  </si>
  <si>
    <t>571.39</t>
  </si>
  <si>
    <t>CITROГ‹N Jumpy (07-), FIAT Scudo (07-)</t>
  </si>
  <si>
    <t>1318.00</t>
  </si>
  <si>
    <t>1318.00  REMSA - Р“Р°Р»СЊРјС–РІРЅС– РєРѕР»РѕРґРєРё РґРѕ РґРёСЃРєС–РІ</t>
  </si>
  <si>
    <t>Nissan Qashqai/X-Trail 07-</t>
  </si>
  <si>
    <t>1323.00</t>
  </si>
  <si>
    <t>1323.00  REMSA - Р“Р°Р»СЊРјС–РІРЅС– РєРѕР»РѕРґРєРё РґРѕ РґРёСЃРєС–РІ</t>
  </si>
  <si>
    <t>603.49</t>
  </si>
  <si>
    <t>Peugeot 308 07-</t>
  </si>
  <si>
    <t>1341.02</t>
  </si>
  <si>
    <t>1341.02  REMSA - Р“Р°Р»СЊРјС–РІРЅС– РєРѕР»РѕРґРєРё РґРѕ РґРёСЃРєС–РІ</t>
  </si>
  <si>
    <t>620.99</t>
  </si>
  <si>
    <t>Toyota Auris 2007-, Avensis 2009-, CorollaA 2004-, Verso 2009-   front</t>
  </si>
  <si>
    <t>1342.00</t>
  </si>
  <si>
    <t>1342.00  REMSA - Р“Р°Р»СЊРјС–РІРЅС– РєРѕР»РѕРґРєРё РґРѕ РґРёСЃРєС–РІ</t>
  </si>
  <si>
    <t>531.74</t>
  </si>
  <si>
    <t>VW PASSAT CC 1.8 TSI, 2.0 TDI ,2.0 TSI 05- / Tiguan 07-| SEAT ALHAMBRA 10-  rear</t>
  </si>
  <si>
    <t>1351.00</t>
  </si>
  <si>
    <t>1351.00  REMSA - Р“Р°Р»СЊРјС–РІРЅС– РєРѕР»РѕРґРєРё РґРѕ РґРёСЃРєС–РІ</t>
  </si>
  <si>
    <t>566.41</t>
  </si>
  <si>
    <t>RENAULT Kangoo 1.5dCi/1.6 16V 08-  front</t>
  </si>
  <si>
    <t>1352.00</t>
  </si>
  <si>
    <t>1352.00  REMSA - Р“Р°Р»СЊРјС–РІРЅС– РєРѕР»РѕРґРєРё РґРѕ РґРёСЃРєС–РІ</t>
  </si>
  <si>
    <t>366.45</t>
  </si>
  <si>
    <t># RENAULT KANGOO (1.5L| 1.6L) |RENAULT KANGOO (KC0/1_) (1.5L) |RENAULT KANGOO BE BOP (1.5L| 1.6L) |RENAULT KANGOO Express (1.5L| 1.6L)</t>
  </si>
  <si>
    <t>1356.02</t>
  </si>
  <si>
    <t>1356.02  REMSA - Р“Р°Р»СЊРјС–РІРЅС– РєРѕР»РѕРґРєРё РґРѕ РґРёСЃРєС–РІ</t>
  </si>
  <si>
    <t>469.09</t>
  </si>
  <si>
    <t>Toyota Auris 07-</t>
  </si>
  <si>
    <t>1379.10</t>
  </si>
  <si>
    <t>1379.10  REMSA - Р“Р°Р»СЊРјС–РІРЅС– РєРѕР»РѕРґРєРё РґРѕ РґРёСЃРєС–РІ</t>
  </si>
  <si>
    <t>764.31</t>
  </si>
  <si>
    <t># VW TOUAREG 2010 -PORSCHE CAYENNE 2010 -  rear</t>
  </si>
  <si>
    <t>1540.00</t>
  </si>
  <si>
    <t>1540.00  REMSA - Р“Р°Р»СЊРјС–РІРЅС– РєРѕР»РѕРґРєРё РґРѕ РґРёСЃРєС–РІ</t>
  </si>
  <si>
    <t>404.21</t>
  </si>
  <si>
    <t>4015.01</t>
  </si>
  <si>
    <t>4015.01  REMSA - Р“Р°Р»СЊРјС–РІРЅС– РєРѕР»РѕРґРєРё РґРѕ Р±Р°СЂР°Р±Р°РЅС–РІ</t>
  </si>
  <si>
    <t>183.14</t>
  </si>
  <si>
    <t>4074.00</t>
  </si>
  <si>
    <t>4074.00  REMSA - Р“Р°Р»СЊРјС–РІРЅС– РєРѕР»РѕРґРєРё РґРѕ Р±Р°СЂР°Р±Р°РЅС–РІ</t>
  </si>
  <si>
    <t>4137.00</t>
  </si>
  <si>
    <t>4137.00  REMSA - Р“Р°Р»СЊРјС–РІРЅС– РєРѕР»РѕРґРєРё РґРѕ Р±Р°СЂР°Р±Р°РЅС–РІ</t>
  </si>
  <si>
    <t>4199.01</t>
  </si>
  <si>
    <t>4199.01  REMSA - Р“Р°Р»СЊРјС–РІРЅС– РєРѕР»РѕРґРєРё РґРѕ Р±Р°СЂР°Р±Р°РЅС–РІ</t>
  </si>
  <si>
    <t>394.09</t>
  </si>
  <si>
    <t>4419.00</t>
  </si>
  <si>
    <t>4419.00  REMSA - Р“Р°Р»СЊРјС–РІРЅС– РєРѕР»РѕРґРєРё РґРѕ Р±Р°СЂР°Р±Р°РЅС–РІ</t>
  </si>
  <si>
    <t>PSA Berlingo 97-/Partner   228X40</t>
  </si>
  <si>
    <t>6061.10</t>
  </si>
  <si>
    <t>6061.10  REMSA - Р“Р°Р»СЊРјС–РІРЅРёР№ РґРёСЃРє</t>
  </si>
  <si>
    <t>302.77</t>
  </si>
  <si>
    <t>Chevrolet Aveo, Daewoo Lanos 13", Nexia/Astra F/VectraA (236X20)</t>
  </si>
  <si>
    <t>6080.10</t>
  </si>
  <si>
    <t>6080.10  REMSA - Р“Р°Р»СЊРјС–РІРЅРёР№ РґРёСЃРє</t>
  </si>
  <si>
    <t>305.52</t>
  </si>
  <si>
    <t>Renault Megane I/Kangoo</t>
  </si>
  <si>
    <t>6123.00</t>
  </si>
  <si>
    <t>6123.00  REMSA - Р“Р°Р»СЊРјС–РІРЅРёР№ РґРёСЃРє</t>
  </si>
  <si>
    <t>367.65</t>
  </si>
  <si>
    <t>Audi 100/A6/VW Passat 97-</t>
  </si>
  <si>
    <t>61358.10</t>
  </si>
  <si>
    <t>61358.10  REMSA - Р“Р°Р»СЊРјС–РІРЅРёР№ РґРёСЃРє</t>
  </si>
  <si>
    <t>1074.81</t>
  </si>
  <si>
    <t>6203.10</t>
  </si>
  <si>
    <t>6203.10  REMSA - Р“Р°Р»СЊРјС–РІРЅРёР№ РґРёСЃРє</t>
  </si>
  <si>
    <t>460.85</t>
  </si>
  <si>
    <t>MAZDA 626 GE, GF All  92-02 /258X24/</t>
  </si>
  <si>
    <t>6206.00</t>
  </si>
  <si>
    <t>6206.00  REMSA - Р“Р°Р»СЊРјС–РІРЅРёР№ РґРёСЃРє</t>
  </si>
  <si>
    <t>Mazda 626 91-02/Xedos 6/Ford Probe 91-05   rear</t>
  </si>
  <si>
    <t>6442.11</t>
  </si>
  <si>
    <t>6442.11  REMSA - Р“Р°Р»СЊРјС–РІРЅРёР№ РґРёСЃРє</t>
  </si>
  <si>
    <t>426.35</t>
  </si>
  <si>
    <t>FIAT Scudo, Citroen Jumpy| Peugeot 806, Expert 1,6-2,0HDi  96-02   front</t>
  </si>
  <si>
    <t>6461.10</t>
  </si>
  <si>
    <t>6461.10  REMSA - Р“Р°Р»СЊРјС–РІРЅРёР№ РґРёСЃРє</t>
  </si>
  <si>
    <t>493.64</t>
  </si>
  <si>
    <t>MB Sprinter/VW LT 95-</t>
  </si>
  <si>
    <t>6545.10</t>
  </si>
  <si>
    <t>6545.10  REMSA - Р“Р°Р»СЊРјС–РІРЅРёР№ РґРёСЃРє</t>
  </si>
  <si>
    <t>400.44</t>
  </si>
  <si>
    <t>VW Golf IV/Fabia/Octavia/Audi A3</t>
  </si>
  <si>
    <t>6604.10</t>
  </si>
  <si>
    <t>6604.10  REMSA - Р“Р°Р»СЊРјС–РІРЅРёР№ РґРёСЃРє</t>
  </si>
  <si>
    <t>701.15</t>
  </si>
  <si>
    <t>Citroen C3/C4/C5/Peugeot 206/207/307</t>
  </si>
  <si>
    <t>6647.10</t>
  </si>
  <si>
    <t>6647.10  REMSA - Р“Р°Р»СЊРјС–РІРЅРёР№ РґРёСЃРє</t>
  </si>
  <si>
    <t>VW Golf V/Caddy/Skoda Octavia 04-</t>
  </si>
  <si>
    <t>6682.10</t>
  </si>
  <si>
    <t>6682.10  REMSA - Р“Р°Р»СЊРјС–РІРЅРёР№ РґРёСЃРє</t>
  </si>
  <si>
    <t>918.10</t>
  </si>
  <si>
    <t>Vivaro/Traffic 01-</t>
  </si>
  <si>
    <t>6683.10</t>
  </si>
  <si>
    <t>6683.10  REMSA - Р“Р°Р»СЊРјС–РІРЅРёР№ РґРёСЃРє</t>
  </si>
  <si>
    <t>560.40</t>
  </si>
  <si>
    <t>Renault Clio 1.2-2.0 05-  260X22</t>
  </si>
  <si>
    <t>6709.10</t>
  </si>
  <si>
    <t>6709.10  REMSA - Р“Р°Р»СЊРјС–РІРЅРёР№ РґРёСЃРє</t>
  </si>
  <si>
    <t>SKODA/VOLKSWAGEN Fabia/Fox/Polo 1999-</t>
  </si>
  <si>
    <t>6809.00</t>
  </si>
  <si>
    <t>6809.00  REMSA - Р“Р°Р»СЊРјС–РІРЅРёР№ РґРёСЃРє</t>
  </si>
  <si>
    <t>432.53</t>
  </si>
  <si>
    <t>6842.10</t>
  </si>
  <si>
    <t>6842.10  REMSA - Р“Р°Р»СЊРјС–РІРЅРёР№ РґРёСЃРє</t>
  </si>
  <si>
    <t>723.46</t>
  </si>
  <si>
    <t>TOYOTA Camry V20 - 2.2i (MTM), 3.0All, V30 - 2.4VVT-i  91-09       (275X28)</t>
  </si>
  <si>
    <t>REPSOL</t>
  </si>
  <si>
    <t>RP024C51</t>
  </si>
  <si>
    <t>RP CARTAGO TRACCION INTEGRAL 75W90 CP-1 (12С…1Р›)</t>
  </si>
  <si>
    <t>328.26</t>
  </si>
  <si>
    <t>С‚СЂР°РЅСЃРјС–СЃСЃС–СЏ, СЃРёРЅС‚РµС‚РёРєР°, API GL-5, LSD</t>
  </si>
  <si>
    <t>RP024J55</t>
  </si>
  <si>
    <t>RP CARTAGO EP 90 CP-5 (5x5Р›)</t>
  </si>
  <si>
    <t>664.19</t>
  </si>
  <si>
    <t>С‚СЂР°РЅСЃРјС–СЃС–СЏ API GL-5 |MB 235.0|MAN 342 M1|VW 727|VOLVO 97310|ZF TE ML-05A/07A/08/16B/16C/17B/19B/21A \n</t>
  </si>
  <si>
    <t>RP024L51</t>
  </si>
  <si>
    <t>RP CARTAGO CAJAS EP 75W-90 CP-1 (12С…1Р›)</t>
  </si>
  <si>
    <t>234.17</t>
  </si>
  <si>
    <t>С‚СЂР°РЅСЃРјС–СЃС–СЏ, СЃРёРЅС‚РµС‚РёРєР°, API GL-4|  MIL-L-2105| DAF Transmissions| IVECO Transmissions| ZF TE-ML 08</t>
  </si>
  <si>
    <t>RP024R51</t>
  </si>
  <si>
    <t>RP CARTAGO EP MULTIGRADO 80W90 CP-1 (12С…1Р›)</t>
  </si>
  <si>
    <t>167.35</t>
  </si>
  <si>
    <t>С‚СЂР°РЅСЃРјС–СЃС–СЏ, API GL-5,  MB 235.0|  MAN 342 M1| RENAULT Axles| ZF TE-ML 07A/08/16B/16C/17B/19B/21A | VOITH TURBO 132.00374400 (ex 3.325-339)| DAF API GL-5 | MIL-L-2105 D</t>
  </si>
  <si>
    <t>RP024R55</t>
  </si>
  <si>
    <t>RP CARTAGO EP MULTIGRADO 80W90 CP-5 (5С…5Р›)</t>
  </si>
  <si>
    <t>724.87</t>
  </si>
  <si>
    <t>RP024S55</t>
  </si>
  <si>
    <t>RP CARTAGO EP MULTIGRADO 85W140 CP-5 (5С…5Р›)</t>
  </si>
  <si>
    <t>670.93</t>
  </si>
  <si>
    <t>С‚СЂР°РЅСЃРјС–СЃС–СЏ, API GL-5 | VOLVO 97310 | ZF TE-ML 07A/08/16C/16D/21A | DAF API GL-5 | MIL-L-2105 D</t>
  </si>
  <si>
    <t>RP024U51</t>
  </si>
  <si>
    <t>RP CARTAGO EPM 90 CP-1 (12С…1Р›)</t>
  </si>
  <si>
    <t>139.15</t>
  </si>
  <si>
    <t>С‚СЂР°РЅСЃРјС–СЃС–СЏ, API GL-4, MB 235.1, ZF TE-ML 02A/16A/17A/19A, DAF Transmissions , RENAULT Transmissions, MAN 341 Z1/ 341 E1 ,  VW 726 , IVECO Transmissions</t>
  </si>
  <si>
    <t>RP024U54</t>
  </si>
  <si>
    <t>RP CARTAGO EPM 90 CP-4  (5С…4Р›)</t>
  </si>
  <si>
    <t>519.82</t>
  </si>
  <si>
    <t>RP026V51</t>
  </si>
  <si>
    <t>RP MATIC III  CP-1  (12С…1Р›)</t>
  </si>
  <si>
    <t>С‚СЂР°РЅСЃРјС–СЃСЃС–СЏ,ATF, GM DEXRON III H, п‚· MAN 339 V-2 / 339 Z-2, MB 236.9, ZF TE-ML 03D/04D/14B/16L/17C/20B, ALLISON C-4, FORD MERCON V, VOITH 55.6336, ALLISON TES 295, TES 389</t>
  </si>
  <si>
    <t>RP026V55</t>
  </si>
  <si>
    <t>RP MATIC III  CP-5  (5С…5Р›)</t>
  </si>
  <si>
    <t>952.91</t>
  </si>
  <si>
    <t>RP026W51</t>
  </si>
  <si>
    <t>RP MATIC ATF CP-1  (12С…1Р›)</t>
  </si>
  <si>
    <t>С‚СЂР°РЅСЃРјС–СЃСЃС–СЏ, ATF,GM DEXRON II D, вЂў MB 236.9, вЂў MAN 339 V-1/339 Z-1, вЂў VOITH H55.6335вЂў ZF TE-ML 03D/04D/11A/14A/17CвЂў ALLISON C-4вЂў FORD MERCON</t>
  </si>
  <si>
    <t>RP026W55</t>
  </si>
  <si>
    <t>RP MATIC ATF CP-5   (5С…5Р›)</t>
  </si>
  <si>
    <t>772.69</t>
  </si>
  <si>
    <t>RP033J51</t>
  </si>
  <si>
    <t>RP AUTO GAS 5W40 CP-1 (12x1Р›)</t>
  </si>
  <si>
    <t>178.08</t>
  </si>
  <si>
    <t>РјРѕС‚РѕСЂРЅРµ СЃРёРЅС‚РµС‚РёС‡РЅРµ, ACEA C3, API SN/CF, LPG - РіР°Р·РѕРІС– СѓСЃС‚Р°РЅРѕРІРєРё\n\n</t>
  </si>
  <si>
    <t>RP033J54</t>
  </si>
  <si>
    <t>RP AUTO GAS 5W40 CP-4  (5x4Р›)</t>
  </si>
  <si>
    <t>RP033J55</t>
  </si>
  <si>
    <t>RP AUTO GAS 5W40 CP-5  (5x5Р›)</t>
  </si>
  <si>
    <t>814.68</t>
  </si>
  <si>
    <t>RP033L51</t>
  </si>
  <si>
    <t>RP AUTO GAS 5W30 CP-1 (12x1Р›)</t>
  </si>
  <si>
    <t>224.05</t>
  </si>
  <si>
    <t>РјРѕС‚РѕСЂРЅРµ СЃРёРЅС‚РµС‚РёС‡РЅРµ, ACEA C3, LPG - РіР°Р·РѕРІС– СѓСЃС‚Р°РЅРѕРІРєРё\n</t>
  </si>
  <si>
    <t>RP033L55</t>
  </si>
  <si>
    <t>RP AUTO GAS 5W30 CP-5  (5x5Р›)</t>
  </si>
  <si>
    <t>1044.86</t>
  </si>
  <si>
    <t>RP037K55</t>
  </si>
  <si>
    <t>RP DIESEL TURBO UHPD MID SAPS 10W40 CP-5 (5С…5Р›)</t>
  </si>
  <si>
    <t>921.65</t>
  </si>
  <si>
    <t>РІР°РЅС‚Р°Р¶РЅРµ, СЃРёРЅС‚РµС‚РёРєР°, ACEA E4/E6/E7/E9-12, API CJ-4, MB 228.51/235.28, MAN 3477/3575/3271-1, MTU Type 3.1, VOLVO VDS-4, SCANIA LOW ASH, RENAULT RLD-3, MACK EO-O Premium plus, CUMMINS CES 20081, CATERPILLAR CAT ECF-3, DETROIT DIESEL 93K218, JASO DH-2, VOITH Retarder Oil Class B</t>
  </si>
  <si>
    <t>RP037M16</t>
  </si>
  <si>
    <t>RP DIESEL TURBO THPD 15W40   B-20  (20Р›)</t>
  </si>
  <si>
    <t>2360.66</t>
  </si>
  <si>
    <t>РІР°РЅС‚Р°Р¶РЅРµ, РјС–РЅРµСЂР°Р»СЊРЅРµ, API CI-4/CH-4/SL, ACEA E7/E5, MB 228.3, MAN 3275-1, VOLVO VDS-3, RENAULT RLD-2/RLD, MACK EO-N, CUMMINS CES, 20076/20077/20078, CAT ECF-2/ECF-1-a, DEUTZ DQC II-10, DETROIT DIESEL DDC, 93K215</t>
  </si>
  <si>
    <t>RP037M55</t>
  </si>
  <si>
    <t>RP DIESEL TURBO THPD 15W40 CP-5  (5С…5Р›)</t>
  </si>
  <si>
    <t>646.72</t>
  </si>
  <si>
    <t>RP037N16</t>
  </si>
  <si>
    <t>RP DIESEL TURBO UHPD 10W40     B-20  (20Р›)</t>
  </si>
  <si>
    <t>3223.77</t>
  </si>
  <si>
    <t>РІР°РЅС‚Р°Р¶РЅРµ, СЃРёРЅС‚РµС‚РёРєР°, API CF, ACEA E4/E, MB 228.5, MAN 3277, VOLVO VDS-3, SCANIA LDF-3,RENAULT RLD-2/RXD, MACK EO-N, DAF Extended Drain, MTU Type 3, CUMMINS CES 20072</t>
  </si>
  <si>
    <t>RP037N55</t>
  </si>
  <si>
    <t>RP DIESEL TURBO UHPD 10W40  CP-5  (5С…5Р›)</t>
  </si>
  <si>
    <t>876.90</t>
  </si>
  <si>
    <t>RP037X16</t>
  </si>
  <si>
    <t>RP DIESEL TURBO THPD 10W40 B-20 (20Р›)</t>
  </si>
  <si>
    <t>2631.61</t>
  </si>
  <si>
    <t>РІР°РЅС‚Р°Р¶РЅРµ, РЅР°РїС–РІСЃРёРЅС‚РµС‚РёРєР°, API CI-4/SL, ACEA E7, MB 228.3, MAN 3275-1, VOLVO VDS-3, RENAULT RLD-2/RLD, MACK EO-N, CUMMINS CES 20076/20077, MTU Type 2, CAT ECF-2/ECF-1-a, DEUTZ DQC III-10, DETROIT DIESEL DDC 93K215</t>
  </si>
  <si>
    <t>RP037X55</t>
  </si>
  <si>
    <t>RP DIESEL TURBO THPD 10W40 CP-5 (5С…5Р›)</t>
  </si>
  <si>
    <t>718.44</t>
  </si>
  <si>
    <t>RP050G51</t>
  </si>
  <si>
    <t>RP CARRERA 10W60 CP-1 (12С…1Р›)</t>
  </si>
  <si>
    <t>406.73</t>
  </si>
  <si>
    <t>РјРѕС‚РѕСЂРЅРµ СЃРёРЅС‚РµС‚РёС‡РЅРµ РµСЃС‚РµСЂРѕРІРµ, API SN, РґР»СЏ СЃРїРѕСЂС‚РёРІРЅРёС… Р°РІС‚Рѕ, Maserati, Jaguar, Lotus С– Aston Martin.</t>
  </si>
  <si>
    <t>RP050G54</t>
  </si>
  <si>
    <t>RP CARRERA 10W60 CP-4 (5С…4Р›)</t>
  </si>
  <si>
    <t>1509.82</t>
  </si>
  <si>
    <t>RP050H51</t>
  </si>
  <si>
    <t>RP CARRERA 5W50 CP-1 (12С…1Р›)</t>
  </si>
  <si>
    <t>369.95</t>
  </si>
  <si>
    <t>РјРѕС‚РѕСЂРЅРµ СЃРёРЅС‚РµС‚РёС‡РЅРµ РµСЃС‚РµСЂРѕРІРµ, API SN, РґР»СЏ СЃРїРѕСЂС‚РёРІРЅРёС… Р°РІС‚Рѕ</t>
  </si>
  <si>
    <t>RP050H54</t>
  </si>
  <si>
    <t>RP CARRERA 5W50 CP-4 (5С…4Р›)</t>
  </si>
  <si>
    <t>1368.22</t>
  </si>
  <si>
    <t>RP080X08</t>
  </si>
  <si>
    <t>RP PREMIUM GTI/TDI 10W40 B-208  (208Р›)</t>
  </si>
  <si>
    <t>22836.09</t>
  </si>
  <si>
    <t>РјРѕС‚РѕСЂРЅРµ РЅР°РїС–РІСЃРёРЅС‚РµС‚РёС‡РЅРµ, API SL/CF, ACEA A3/B4, A3/B3</t>
  </si>
  <si>
    <t>RP080X11</t>
  </si>
  <si>
    <t>RP PREMIUM GTI/TDI 10W40 B-60  (60Р›)</t>
  </si>
  <si>
    <t>7245.97</t>
  </si>
  <si>
    <t>RP080X51</t>
  </si>
  <si>
    <t>RP PREMIUM GTI/TDI 10W40 CP-1  (12С…1Р›)</t>
  </si>
  <si>
    <t>143.44</t>
  </si>
  <si>
    <t>RP080X54</t>
  </si>
  <si>
    <t>RP PREMIUM GTI/TDI 10W40 CP-4  (5С…4Р›)</t>
  </si>
  <si>
    <t>500.21</t>
  </si>
  <si>
    <t>RP080X55</t>
  </si>
  <si>
    <t>RP PREMIUM GTI/TDI 10W40 CP-5  (5С…5Р›)</t>
  </si>
  <si>
    <t>619.13</t>
  </si>
  <si>
    <t>RP080Y55</t>
  </si>
  <si>
    <t>RP PREMIUM GTI/TDI 15W40 CP-5  (5С…5Р›)</t>
  </si>
  <si>
    <t>598.59</t>
  </si>
  <si>
    <t>РјРѕС‚РѕСЂРЅРµ РјС–РЅРµСЂР°Р»СЊРЅРµ, API SL/CF, ACEA A3/B4</t>
  </si>
  <si>
    <t>RP081J51</t>
  </si>
  <si>
    <t>RP PREMIUM TECH 5W40 CP-1  (12С…1Р›)</t>
  </si>
  <si>
    <t>212.10</t>
  </si>
  <si>
    <t>РјРѕС‚РѕСЂРЅРµ СЃРёРЅС‚РµС‚РёС‡РЅРµ, API SN/CF, ACEA C3, DPF, Mid SAPS</t>
  </si>
  <si>
    <t>RP081J54</t>
  </si>
  <si>
    <t>RP PREMIUM TECH 5W40 CP-4  (5С…4Р›)</t>
  </si>
  <si>
    <t>787.09</t>
  </si>
  <si>
    <t>RP081J55</t>
  </si>
  <si>
    <t>RP PREMIUM TECH 5W40 CP-5  (5С…5Р›)</t>
  </si>
  <si>
    <t>969.15</t>
  </si>
  <si>
    <t>RP081L51</t>
  </si>
  <si>
    <t>RP PREMIUM TECH 5W30 CP-1  (12С…1Р›)</t>
  </si>
  <si>
    <t>222.83</t>
  </si>
  <si>
    <t>RP081L55</t>
  </si>
  <si>
    <t>RP PREMIUM TECH 5W30 CP-5  (5С…5Р›)</t>
  </si>
  <si>
    <t>1039.04</t>
  </si>
  <si>
    <t>RP129Y51</t>
  </si>
  <si>
    <t>RP NAUTICO  Outboard &amp; Jet Ski 2T   CP-1 (12РҐ1Р›)</t>
  </si>
  <si>
    <t>261.75</t>
  </si>
  <si>
    <t>2-С… С‚Р°РєС‚РЅРµ Р»РѕРґРѕС‡РЅРµ РјР°СЃС‚РёР»Рѕ, NMMA TC-W3\n\n</t>
  </si>
  <si>
    <t>RP129Y54</t>
  </si>
  <si>
    <t>RP NAUTICO  Outboard &amp; Jet Ski 2T   CP-4 (5РҐ4Р›)</t>
  </si>
  <si>
    <t>978.04</t>
  </si>
  <si>
    <t>RP131Y54</t>
  </si>
  <si>
    <t>RP NAUTICO Diesel Board 4T 15W40 CP-4  (5РҐ4Р›)</t>
  </si>
  <si>
    <t>1055.89</t>
  </si>
  <si>
    <t>4-С… С‚Р°РєС‚РЅРµ Р»РѕРґРѕС‡РЅРµ РјР°СЃС‚РёР»Рѕ, API CI-4/CH-4/SL вЂў ACEA E7/E5 вЂў VOLVO VDS-3вЂўMAN 3275 вЂў CUMMINS 20076/20077/20078\n\n\n</t>
  </si>
  <si>
    <t>RP135U11</t>
  </si>
  <si>
    <t>RP ELITE LONG LIFE 50700/50400 5W30 B-60  (60Р›)</t>
  </si>
  <si>
    <t>14892.53</t>
  </si>
  <si>
    <t>РјРѕС‚РѕСЂРЅРµ СЃРёРЅС‚РµС‚РёС‡РЅРµ, ACEA C3, VW 507.00/504.00, MB 229.51, PORSCHE C30, VW-Audi-Seat-Skoda group</t>
  </si>
  <si>
    <t>RP135U51</t>
  </si>
  <si>
    <t>RP ELITE LONG LIFE 50700/50400 5W30 CP-1  (12С…1Р›)</t>
  </si>
  <si>
    <t>289.34</t>
  </si>
  <si>
    <t>RP135U54</t>
  </si>
  <si>
    <t>RP ELITE LONG LIFE 50700/50400 5W30 CP-4  (5С…4Р›)</t>
  </si>
  <si>
    <t>1095.43</t>
  </si>
  <si>
    <t>RP135U55</t>
  </si>
  <si>
    <t>RP ELITE LONG LIFE 50700/50400 5W30 CP-5  (5С…5Р›)</t>
  </si>
  <si>
    <t>1317.64</t>
  </si>
  <si>
    <t>RP135V51</t>
  </si>
  <si>
    <t>RP ELITE TURBO LIFE 50601 0W30 CP-1  (12С…1Р›)</t>
  </si>
  <si>
    <t>414.69</t>
  </si>
  <si>
    <t>РјРѕС‚РѕСЂРЅРµ СЃРёРЅС‚РµС‚РёС‡РЅРµ, ACEA A5/B5-04, VW 506.01/503.00/506.00, РїСЂСЏРјРµ РІРїРѕСЂСЃРєСѓРІР°РЅРЅСЏ VW-Audi-Seat-Skoda group</t>
  </si>
  <si>
    <t>RP135V55</t>
  </si>
  <si>
    <t>RP ELITE TURBO LIFE 50601 0W30 CP-5  (5С…5Р›)</t>
  </si>
  <si>
    <t>1951.79</t>
  </si>
  <si>
    <t>RP135X51</t>
  </si>
  <si>
    <t>RP ELITE 50501 TDI 5W40 CP-1  (12С…1Р›)</t>
  </si>
  <si>
    <t>215.16</t>
  </si>
  <si>
    <t>РјРѕС‚РѕСЂРЅРµ СЃРёРЅС‚РµС‚РёС‡РЅРµ, ACEA C3, VW 502.00/505.00/505.01, VW-Audi-Seat-Skoda group TDI (С‚СѓСЂР±Рѕ РґРёР·РµР»СЊРЅС– РјРѕС‚РѕСЂРё), LPG С‚Р° CNG (РіР°Р·) РґРІРёРіСѓРЅРё</t>
  </si>
  <si>
    <t>RP135X55</t>
  </si>
  <si>
    <t>RP ELITE 50501 TDI 5W40 CP-5  (5С…5Р›)</t>
  </si>
  <si>
    <t>RP137E54</t>
  </si>
  <si>
    <t>RP ELITE NEO 5W20 CP-4 (5С…4Р›)</t>
  </si>
  <si>
    <t>894.98</t>
  </si>
  <si>
    <t>API SN-RC| ILSAC GF-5|Р°РјРµСЂРёРєР°РЅСЃСЊРєС–,Р°Р·С–Р°С‚СЃСЊРєС– Р°РІС‚Рѕ \n</t>
  </si>
  <si>
    <t>RP137L51</t>
  </si>
  <si>
    <t>RP ELITE NEO 5W30 CP-1  (12С…1Р›)</t>
  </si>
  <si>
    <t>209.34</t>
  </si>
  <si>
    <t>RP139X16</t>
  </si>
  <si>
    <t>RP ELITE INJECTION 10W40 B-20  (20Р›)</t>
  </si>
  <si>
    <t>2640.80</t>
  </si>
  <si>
    <t>РјРѕС‚РѕСЂРЅРµ РЅР°РїС–РІСЃРёРЅС‚РµС‚РёРєР°, API SL/CF, ACEA A3/B3, A3/B4, VW 502.00/505.00, (Suitable for 501.01), MB 229.1</t>
  </si>
  <si>
    <t>RP139X51</t>
  </si>
  <si>
    <t>RP ELITE INJECTION 10W40 CP-1  (12С…1Р›)</t>
  </si>
  <si>
    <t>152.33</t>
  </si>
  <si>
    <t>RP139X54</t>
  </si>
  <si>
    <t>RP ELITE INJECTION 10W40 CP-4   (5С…4Р›)</t>
  </si>
  <si>
    <t>548.64</t>
  </si>
  <si>
    <t>RP139Y51</t>
  </si>
  <si>
    <t>RP ELITE INYECCION 15W40 CP-1  (12С…1Р›)</t>
  </si>
  <si>
    <t>146.20</t>
  </si>
  <si>
    <t>РјРѕС‚РѕСЂРЅРµ РјС–РЅРµСЂР°Р»СЊРЅРµ, API SL/CF, ACEA A3/B3, VW 501.01/505.00, MB 229.1, LPG С‚Р° CNG РіР°Р·РѕРІС– СѓСЃС‚Р°РЅРѕРІРєРё</t>
  </si>
  <si>
    <t>RP139Y54</t>
  </si>
  <si>
    <t>RP ELITE INYECCION 15W40 CP-4  (5С…4Р›)</t>
  </si>
  <si>
    <t>517.99</t>
  </si>
  <si>
    <t>RP139Y55</t>
  </si>
  <si>
    <t>RP ELITE INYECCION 15W40 CP-5  (5С…5Р›)</t>
  </si>
  <si>
    <t>630.47</t>
  </si>
  <si>
    <t>RP141C51</t>
  </si>
  <si>
    <t>RP ELITE EVOLUTION POWER 1 5W30 CP-1  (12x1Р›)</t>
  </si>
  <si>
    <t>324.28</t>
  </si>
  <si>
    <t>РјРѕС‚РѕСЂРЅРµ СЃРёРЅС‚РµС‚РёС‡РЅРµ, ACEA C1, FORD WSS-M2C934-B, РґР»СЏ Mazda, Ford, Mitsubishi, Jaguar, Land Rover\n\n</t>
  </si>
  <si>
    <t>RP141C55</t>
  </si>
  <si>
    <t>RP ELITE EVOLUTION POWER 1 5W30 CP-5  (5x5Р›)</t>
  </si>
  <si>
    <t>1544.15</t>
  </si>
  <si>
    <t>RP141F51</t>
  </si>
  <si>
    <t>RP ELITE COSMOS F FUEL ECONO. 5W30 CP-1  (12С…1Р›)</t>
  </si>
  <si>
    <t>239.07</t>
  </si>
  <si>
    <t>РјРѕС‚РѕСЂРЅРµ СЃРёРЅС‚РµС‚РёС‡РЅРµ, API SL/CF, ACEA A5/B5, RENAULT RN0700, FORD WSS-M2C913-D, СЃРїРµС†С–Р°Р»СЊРЅРѕ РґР»СЏ Ford</t>
  </si>
  <si>
    <t>RP141F54</t>
  </si>
  <si>
    <t>RP ELITE COSMOS F FUEL ECONO. 5W30 CP-4  (5С…4Р›)</t>
  </si>
  <si>
    <t>889.46</t>
  </si>
  <si>
    <t>RP141G51</t>
  </si>
  <si>
    <t>RP ELITE COSMOS HIGH PERFORMAN 0W40 CP-1  (12С…1Р›)</t>
  </si>
  <si>
    <t>324.58</t>
  </si>
  <si>
    <t>РјРѕС‚РѕСЂРЅРµ СЃРёРЅС‚РµС‚РёС‡РЅРµ, API SN, ACEA A3/B4, VW 502.00/505.00, BMW LL-01, MB 229.5, PORSCHE A40, RENAULT RN0700/RN0710</t>
  </si>
  <si>
    <t>RP141G55</t>
  </si>
  <si>
    <t>RP ELITE COSMOS HIGH PERFORMAN 0W40 CP-5  (5С…5Р›)</t>
  </si>
  <si>
    <t>1596.25</t>
  </si>
  <si>
    <t>RP141J51</t>
  </si>
  <si>
    <t>RP ELITE EVOLUTION 5W40 CP-1  (12С…1Р›)</t>
  </si>
  <si>
    <t>274.01</t>
  </si>
  <si>
    <t>РјРѕС‚РѕСЂРЅРµ СЃРёРЅС‚РµС‚РёС‡РЅРµ, API SN/CF, ACEA C3, MB 229.31, BMW LL-04, VW 502.00/505.00/505.01, PORSCHE A40, FORD WSS-M2C917-A</t>
  </si>
  <si>
    <t>RP141J55</t>
  </si>
  <si>
    <t>RP ELITE EVOLUTION 5W40 CP-5  (5С…5Р›)</t>
  </si>
  <si>
    <t>1256.04</t>
  </si>
  <si>
    <t>RP141L11</t>
  </si>
  <si>
    <t>RP ELITE COMPETICION 5W40 B-60  (60Р›)</t>
  </si>
  <si>
    <t>11319.66</t>
  </si>
  <si>
    <t>РјРѕС‚РѕСЂРЅРµ СЃРёРЅС‚РµС‚РёС‡РЅРµ, API SN/CF, ACEA A3/B3, A3/B4, VW 502.00/505.00, MB 229.3, BMW LL-01</t>
  </si>
  <si>
    <t>RP141L16</t>
  </si>
  <si>
    <t>RP ELITE COMPETICION 5W40 B-20  (20Р›)</t>
  </si>
  <si>
    <t>3891.02</t>
  </si>
  <si>
    <t>RP141L51</t>
  </si>
  <si>
    <t>RP ELITE COMPETICION 5W40 CP-1  (12С…1Р›)</t>
  </si>
  <si>
    <t>220.99</t>
  </si>
  <si>
    <t>RP141L54</t>
  </si>
  <si>
    <t>RP ELITE COMPETICION 5W40 CP-4  (5С…4Р›)</t>
  </si>
  <si>
    <t>819.27</t>
  </si>
  <si>
    <t>RP141L55</t>
  </si>
  <si>
    <t>RP ELITE COMPETICION 5W40 CP-5  (5С…5Р›)</t>
  </si>
  <si>
    <t>1000.42</t>
  </si>
  <si>
    <t>RP141M51</t>
  </si>
  <si>
    <t>RP ELITE COMMON RAIL 5W30 CP-1  (12С…1Р›)</t>
  </si>
  <si>
    <t>306.81</t>
  </si>
  <si>
    <t>РјРѕС‚РѕСЂРЅРµ СЃРёРЅС‚РµС‚РёС‡РЅРµ, API SL/CF, ACEA A3/B4, BMW LL-01, VW 502.00/505.00, GM LL-B-025, MB 229.5, RENAULT RN0700/RN0710, Common Rail РІРїРѕСЂСЃРєСѓРІР°РЅРЅСЏ, DPF</t>
  </si>
  <si>
    <t>RP141M55</t>
  </si>
  <si>
    <t>RP ELITE COMMON RAIL 5W30 CP-5  (5С…5Р›)</t>
  </si>
  <si>
    <t>1424.00</t>
  </si>
  <si>
    <t>RP141N51</t>
  </si>
  <si>
    <t>RP ELITE MULTIVALVULAS 10W40 CP-1  (12С…1Р›)</t>
  </si>
  <si>
    <t>РјРѕС‚РѕСЂРЅРµ СЃРёРЅС‚РµС‚РёС‡РЅРµ, API SN/CF, ACEA A3/B4, VW 502.00/505.00, MB 229.3, RENAULT RN0700/RN0710, С…РѕР»РѕРґРЅРёР№ СЃС‚Р°СЂС‚</t>
  </si>
  <si>
    <t>RP141N55</t>
  </si>
  <si>
    <t>RP ELITE MULTIVALVULAS 10W40 CP-5  (5С…5Р›)</t>
  </si>
  <si>
    <t>719.36</t>
  </si>
  <si>
    <t>RP141P51</t>
  </si>
  <si>
    <t>RP ELITE EVOLUTION F. ECONOMY 5W30 CP-1  (12С…1Р›)</t>
  </si>
  <si>
    <t>270.03</t>
  </si>
  <si>
    <t>РјРѕС‚РѕСЂРЅРµ СЃРёРЅС‚РµС‚РёС‡РЅРµ, ACEA C2, PSA B71 2290, Mid SAPS, РµРєРѕРЅРѕРјС–СЏ РїР°Р»РёРІР°</t>
  </si>
  <si>
    <t>RP141P54</t>
  </si>
  <si>
    <t>RP ELITE EVOLUTION F. ECONOMY 5W30 CP-4  (5С…4Р›)</t>
  </si>
  <si>
    <t>1020.03</t>
  </si>
  <si>
    <t>RP141P55</t>
  </si>
  <si>
    <t>RP ELITE EVOLUTION F. ECONOMY 5W30 CP-5  (5С…5Р›)</t>
  </si>
  <si>
    <t>1247.76</t>
  </si>
  <si>
    <t>RP141Q51</t>
  </si>
  <si>
    <t>RP ELITE EVOLUTION LONG LIFE 5W30 CP-1  (12С…1Р›)</t>
  </si>
  <si>
    <t>284.74</t>
  </si>
  <si>
    <t>РјРѕС‚РѕСЂРЅРµ СЃРёРЅС‚РµС‚РёС‡РЅРµ, API SN/CF, ACEA C3, BMW LL-04, MB 229.51/229.52, VW 502.00/505.00/505.01, Dexos2TM (GB2D1011102), GM-LL-A-025, GM-LL-B-025, Mid SAPS, РґРѕРІРіС– С–РЅС‚РµСЂРІР°Р»Рё Р·Р°РјС–РЅРё РјР°СЃС‚РёР»Р°</t>
  </si>
  <si>
    <t>RP141Q55</t>
  </si>
  <si>
    <t>RP ELITE EVOLUTION LONG LIFE 5W30 CP-5  (5С…5Р›)</t>
  </si>
  <si>
    <t>1296.50</t>
  </si>
  <si>
    <t>RP141R55</t>
  </si>
  <si>
    <t>RP ELITE EVOLUTION POWER 4 5W30 CP-5  (5С…5Р›)</t>
  </si>
  <si>
    <t>1429.82</t>
  </si>
  <si>
    <t>РјРѕС‚РѕСЂРЅРµ СЃРёРЅС‚РµС‚РёС‡РЅРµ, ACEA C4, RENAULT RN0720, РґР»СЏ Renault diesel, РґРѕРІРіС– С–РЅС‚РµСЂРІР°Р»Рё Р·Р°РјС–РЅРё РјР°СЃС‚РёР»Р°</t>
  </si>
  <si>
    <t>RP141V55</t>
  </si>
  <si>
    <t>RP ELITE EVOLUTION POWER 2 0W30 CP-5 (5x5Р›)</t>
  </si>
  <si>
    <t>1724.37</t>
  </si>
  <si>
    <t>РјРѕС‚РѕСЂРЅРµ СЃРёРЅС‚РµС‚РёС‡РЅРµ, ACEA C2, PSA B71 2312, РґР»СЏ Suzuki, CitroГ«n, Peugeot, Mitsubishi, Honda\n</t>
  </si>
  <si>
    <t>RP145P51</t>
  </si>
  <si>
    <t>RP MOTO RACING  2T    CP-1  (12С…1Р›)</t>
  </si>
  <si>
    <t>697.59</t>
  </si>
  <si>
    <t>2-С… С‚Р°РєС‚РЅРѕРµ, Р·РјР°РіР°РЅРЅСЏ, Р·РјС–С€СѓРІР°РЅРЅСЏ, РЅРµ РјРѕР¶РЅР° РІ С–РЅР¶РµРєС‚РѕСЂРЅС– РјРѕС‚РѕСЂРё,РµСЃС‚РµСЂРѕРІРµ</t>
  </si>
  <si>
    <t>RP146Z51</t>
  </si>
  <si>
    <t>RP MOTO COMPETICION 2T  CP-1  (12С…1Р›)</t>
  </si>
  <si>
    <t>296.39</t>
  </si>
  <si>
    <t>2-С… С‚Р°РєС‚РЅРѕРµ, API TC JASO M 345 FD,Р·РјР°РіР°РЅРЅСЏ, Р·РјС–С€СѓРІР°РЅРЅСЏ, РјРѕР¶РЅР° РІ С–РЅР¶РµРєС‚РѕСЂРЅС– РјРѕС‚РѕСЂРё</t>
  </si>
  <si>
    <t>RP147Z51</t>
  </si>
  <si>
    <t>RP MOTO OFF ROAD  2T  CP-1  (12С…1Р›)</t>
  </si>
  <si>
    <t>479.06</t>
  </si>
  <si>
    <t>2-С… С‚Р°РєС‚РЅРѕРµ, API TC JASO M 345 FD, РїРѕР·Р°С€Р»СЏС…РѕРІС–, РєРІР°РґСЂРѕС†РёРєР»Рё, Р·РјС–С€СѓРІР°РЅРЅСЏ, РјРѕР¶РЅР° РІ С–РЅР¶РµРєС‚РѕСЂРЅС– РјРѕС‚РѕСЂРё</t>
  </si>
  <si>
    <t>RP148V51</t>
  </si>
  <si>
    <t>RP MOTO SNOW 4T 0W30 CP-1 (12С…1Р›)</t>
  </si>
  <si>
    <t>556.60</t>
  </si>
  <si>
    <t>4-С… С‚Р°РєС‚РЅРµ,  СЃРЅС–РіРѕС…РѕРґРё, СЃРёРЅС‚РµС‚РёРєР°\n</t>
  </si>
  <si>
    <t>RP149Y51</t>
  </si>
  <si>
    <t>RP MOTO SCOOTER 2T  CP-1  (12С…1Р›)</t>
  </si>
  <si>
    <t>2-С… С‚Р°РєС‚РЅРѕРµ, API TC JASO M 345 FD, СЃРёРЅС‚РµС‚РёРєР°, СЃРєСѓС‚РµСЂРё, СЃС‚Р°СЂС‚-СЃС‚РѕРї , Р·РјС–С€СѓРІР°РЅРЅСЏ, РјРѕР¶РЅР° РІ С–РЅР¶РµРєС‚РѕСЂРЅС– РјРѕС‚РѕСЂРё</t>
  </si>
  <si>
    <t>RP149Y53</t>
  </si>
  <si>
    <t>RP MOTO SCOOTER 2T T-125 (25С…125РјР»)</t>
  </si>
  <si>
    <t>45.98</t>
  </si>
  <si>
    <t>RP150W51</t>
  </si>
  <si>
    <t>RP MOTO SINTETICO 2T  CP-1  (12С…1Р›)</t>
  </si>
  <si>
    <t>240.60</t>
  </si>
  <si>
    <t>2-С… С‚Р°РєС‚РЅРѕРµ, API TC JASO M 345 FD,СЃРёРЅС‚РµС‚РёРєР°, СѓРЅС–РІРµСЂСЃР°Р»СЊРЅРµ,  Р·РјС–С€СѓРІР°РЅРЅСЏ, РјРѕР¶РЅР° РІ С–РЅР¶РµРєС‚РѕСЂРЅС– РјРѕС‚РѕСЂРё</t>
  </si>
  <si>
    <t>RP150W53</t>
  </si>
  <si>
    <t>RP MOTO SINTETICO 2T    T-125  (25С…125РјР»)</t>
  </si>
  <si>
    <t>48.43</t>
  </si>
  <si>
    <t>RP151X51</t>
  </si>
  <si>
    <t>RP MOTO TOWN 2T  CP-1  (12С…1Р›)</t>
  </si>
  <si>
    <t>189.11</t>
  </si>
  <si>
    <t>2-С… С‚Р°РєС‚РЅРѕРµ, API TC JASO M 345 FB, РјС–РЅРµСЂР°Р»СЊРЅРµ, РґР»СЏ РјС–СЃС‚Р° С‚Р° СѓРЅРёРІРµСЂСЃР°Р»СЊРЅРµ, РґР»СЏ СЃРєСѓС‚РµСЂС–РІ Рё РјРѕС‚РѕС†РёРєР»С–РІ</t>
  </si>
  <si>
    <t>RP151X53</t>
  </si>
  <si>
    <t>RP MOTO TOWN 2T    T-125  (25С…125РјР»)</t>
  </si>
  <si>
    <t>43.52</t>
  </si>
  <si>
    <t>RP152D51</t>
  </si>
  <si>
    <t>RP MOTO SNOW 2T CP-1  (12С…1Р›)</t>
  </si>
  <si>
    <t>416.53</t>
  </si>
  <si>
    <t>2-С… С‚Р°РєС‚РЅРѕРµ, API TC, СЃРЅС–РіРѕС…РѕРґРё, СЃРёРЅС‚РµС‚РёРєР°, Р·РјС–С€СѓРІР°РЅРЅСЏ</t>
  </si>
  <si>
    <t>RP160L51</t>
  </si>
  <si>
    <t>RP MOTO RACING 4T 5W40 CP-1  (12С…1Р›)</t>
  </si>
  <si>
    <t>445.04</t>
  </si>
  <si>
    <t>4-С… С‚Р°РєС‚РЅРѕРµ, API SN JASO T903:2011 MA2,  СЃРёРЅС‚РµС‚РёРєР°, РєС–Р»СЊС†РµРІС– РіРѕРЅРєРё С– СѓРЅРёРІРµСЂСЃР°Р»СЊРЅРµ</t>
  </si>
  <si>
    <t>RP160L54</t>
  </si>
  <si>
    <t>RP MOTO RACING 4T 5W40 CP-4  (5С…4Р›)</t>
  </si>
  <si>
    <t>1524.22</t>
  </si>
  <si>
    <t>RP160N51</t>
  </si>
  <si>
    <t>RP MOTO RACING 4T 10W40 CP-1  (12С…1Р›)</t>
  </si>
  <si>
    <t>328.87</t>
  </si>
  <si>
    <t>4-С… С‚Р°РєС‚РЅРѕРµ, API SN JASO T903:2011 MA2, СЃРёРЅС‚РµС‚РёРєР°, РєС–Р»СЊС†РµРІС– РіРѕРЅРєРё С– СѓРЅРёРІРµСЂСЃР°Р»СЊРЅРµ</t>
  </si>
  <si>
    <t>RP160P51</t>
  </si>
  <si>
    <t>RP MOTO RACING 4T 10W50 CP-1  (12С…1Р›)</t>
  </si>
  <si>
    <t>RP162N51</t>
  </si>
  <si>
    <t>RP MOTO OFF ROAD  4T 10W40 CP-1  (12С…1Р›)</t>
  </si>
  <si>
    <t>422.05</t>
  </si>
  <si>
    <t>4-С… С‚Р°РєС‚РЅРѕРµ, API SN JASO T903:2011 MA2,  СЃРёРЅС‚РµС‚РёРєР°, РїРѕР·Р°С€Р»СЏС…РѕРІРёРєРё</t>
  </si>
  <si>
    <t>RP163N51</t>
  </si>
  <si>
    <t>RP MOTO SINTETICO 4T 10W40   CP-1  (12С…1Р›)</t>
  </si>
  <si>
    <t>279.22</t>
  </si>
  <si>
    <t>4-С… С‚Р°РєС‚РЅРѕРµ, API SN JASO T903:2011 MA2, СЃРёРЅС‚РµС‚РёРєР°, РґР»СЏ СЃРµСЂРµРґРЅС” С– РІРёСЃРѕРєРѕРїРѕС‚СѓР¶РЅРёС… РґРІРёРіСѓРЅС–РІ</t>
  </si>
  <si>
    <t>RP163N54</t>
  </si>
  <si>
    <t>RP MOTO SINTETICO 4T 10W40   CP-4  (5С…4Р›)</t>
  </si>
  <si>
    <t>982.33</t>
  </si>
  <si>
    <t>RP164L51</t>
  </si>
  <si>
    <t>RP MOTO SCOOTER 4T 5W40 CP-1  (12С…1Р›)</t>
  </si>
  <si>
    <t>299.14</t>
  </si>
  <si>
    <t>4-С… С‚Р°РєС‚РЅРѕРµ, API SL JASO T903:2011 MA2,СЃРёРЅС‚РµС‚РёРєР°, СЃС‚Р°СЂС‚-СЃС‚РѕРї СЂСѓС… С– РјС–СЃС‚Рѕ</t>
  </si>
  <si>
    <t>RP165M51</t>
  </si>
  <si>
    <t>RP MOTO RIDER 4T 15W50    CP-1  (12С…1Р›)</t>
  </si>
  <si>
    <t>265.43</t>
  </si>
  <si>
    <t>4-С… С‚Р°РєС‚РЅРѕРµ, API SL JASO T903:2011 MA2, РјС–РЅРµСЂР°Р»СЊРЅРµ,  РґРѕРІРіС– РїРѕС—Р·РґРєРё</t>
  </si>
  <si>
    <t>RP165N51</t>
  </si>
  <si>
    <t>RP MOTO RIDER 4T 10W40 CP-1  (12С…1Р›)</t>
  </si>
  <si>
    <t>223.75</t>
  </si>
  <si>
    <t>RP165Q51</t>
  </si>
  <si>
    <t>RP MOTO RIDER 4T 20W50 CP-1 (12С…1Р›)</t>
  </si>
  <si>
    <t>RP167N51</t>
  </si>
  <si>
    <t>RP MOTO ATV 4T 10W40 CP-1  (12С…1Р›)</t>
  </si>
  <si>
    <t>321.21</t>
  </si>
  <si>
    <t>4-С… С‚Р°РєС‚РЅРѕРµ, API SN JASO T903:2011 MA2, СЃРёРЅС‚РµС‚РёРєР°, РєРІР°РґСЂРѕС†РёРєР»Рё</t>
  </si>
  <si>
    <t>RP168Q51</t>
  </si>
  <si>
    <t>RP MOTO V-TWIN 4T 20W50 CP-1  (12С…1Р›)</t>
  </si>
  <si>
    <t>213.94</t>
  </si>
  <si>
    <t>4-С… С‚Р°РєС‚РЅРѕРµ, API SL JASO T903:2011 MA2, РјС–РЅРµСЂР°Р»СЊРЅРµ, V - РґРІРёРіСѓРЅ, РґРѕРІРіС– РїРѕС—Р·РґРєРё, Harley Davidson</t>
  </si>
  <si>
    <t>RP172L51</t>
  </si>
  <si>
    <t>RP MOTO FORK OIL  5W CP-1  (12С…1Р›)</t>
  </si>
  <si>
    <t>199.23</t>
  </si>
  <si>
    <t>Р’РёР»РѕС‡РЅРµ РјР°СЃС‚РёР»Рѕ 5W, DIN 51524 Part 2 HLP</t>
  </si>
  <si>
    <t>RP173X51</t>
  </si>
  <si>
    <t>RP MOTO TRANSMISIONES 10W40 CP-1  (12С…1Р›)</t>
  </si>
  <si>
    <t>272.79</t>
  </si>
  <si>
    <t>РњРѕС‚Рѕ С‚СЂР°РЅСЃРјС–СЃС–Р№РЅРµ РјР°СЃС‚РёР»Рѕ, JASO T903:2006 MA2</t>
  </si>
  <si>
    <t>RP173Y51</t>
  </si>
  <si>
    <t>RP MOTO TRANSMISIONES 80W90    CP-1  (12С…1Р›)</t>
  </si>
  <si>
    <t>361.36</t>
  </si>
  <si>
    <t>RP180N51</t>
  </si>
  <si>
    <t>RP MOTO SPORT 4T 10W40 CP-1  (12С…1Р›)</t>
  </si>
  <si>
    <t>213.63</t>
  </si>
  <si>
    <t>4-С… С‚Р°РєС‚РЅРѕРµ, API SL JASO T903:2011 MA2, РЅР°РїС–РІСЃРёРЅС‚РµС‚РёРєР°, РµРєСЃРїР»СѓР°С‚Р°С†С–СЏ РїСЂРё РЅРёР·СЊРєС–Р№ С‚РµРјРїРµСЂР°С‚СѓСЂС– С– СЏРєС‰Рѕ РјРѕС‚Рѕ РЅРѕС‡СѓС” РЅР° РІСѓР»РёС†С–</t>
  </si>
  <si>
    <t>RP180N54</t>
  </si>
  <si>
    <t>RP MOTO SPORT 4T 10W40 CP-4  (5С…4Р›)</t>
  </si>
  <si>
    <t>766.25</t>
  </si>
  <si>
    <t>RP653Q48</t>
  </si>
  <si>
    <t>RP GRASA MOLIBGRAS EP-2      CTG-400  (24С…0,4РљР“)</t>
  </si>
  <si>
    <t>148.96</t>
  </si>
  <si>
    <t>РњРѕР»С–Р±РґРµРЅРѕРІР° Р·РјР°Р·РєР°</t>
  </si>
  <si>
    <t>RP673Q48</t>
  </si>
  <si>
    <t>RP GRASA LITICA EP-2 CTG-400  (24С…0,4РљР“)</t>
  </si>
  <si>
    <t>118.92</t>
  </si>
  <si>
    <t>Р·РјР°Р·РєР° Р»С–С‚С–Р№РЅР° DIN 51815 KP2K - 20</t>
  </si>
  <si>
    <t>RP700R34</t>
  </si>
  <si>
    <t>RP ANTICONGELANTE PURO BOTE (15С…1Р›).</t>
  </si>
  <si>
    <t>189.42</t>
  </si>
  <si>
    <t>РђРЅС‚РёС„СЂРёР· РєРѕРЅС†РµРЅС‚СЂР°С‚ СЃРёРЅС–Р№</t>
  </si>
  <si>
    <t>RP700R39</t>
  </si>
  <si>
    <t>RP ANTICONGELANTE PURO BOTE (4С…5Р›).</t>
  </si>
  <si>
    <t>859.12</t>
  </si>
  <si>
    <t>RP701A96</t>
  </si>
  <si>
    <t xml:space="preserve">RP LIQUIDO FRENOS DOT-4 (25С…500 ml)  </t>
  </si>
  <si>
    <t>140.68</t>
  </si>
  <si>
    <t>РіР°Р»СЊРјС–РІРЅР° СЂС–РґРёРЅР° UNE 26-109-88вЂў INTA 1571-13-DвЂў FMVSS 116-DOT 4вЂў SAE J-1703вЂў ISO 4925</t>
  </si>
  <si>
    <t>RP701B96</t>
  </si>
  <si>
    <t>RP LIQUIDO FRENOS DOT-5.1 (25С…500 ml)</t>
  </si>
  <si>
    <t>157.85</t>
  </si>
  <si>
    <t>РіР°Р»СЊРјС–РІРЅР° СЂС–РґРёРЅР°, FMVSS 116 DOT 5.1, DOT 4.0 вЂў SAE J-1703, J-1704вЂў ISO 4925</t>
  </si>
  <si>
    <t>RP703R39</t>
  </si>
  <si>
    <t>RP ANTICONGELANTE REFRIGE. ORG. PURO (4С…5Р›)</t>
  </si>
  <si>
    <t>931.76</t>
  </si>
  <si>
    <t>РђРЅС‚РёС„СЂРёР· РєРѕРЅС†РµРЅС‚СЂР°С‚ С‡РµСЂРІРѕРЅРёР№</t>
  </si>
  <si>
    <t>RP713A56</t>
  </si>
  <si>
    <t>RP MOTO DOT 4 BRAKE FLUID CP-1/2  (24С…500 ml)</t>
  </si>
  <si>
    <t>241.52</t>
  </si>
  <si>
    <t>РњРѕС‚Рѕ РіР°Р»СЊРјС–РІРЅР° СЂС–РґРёРЅР° DOT4, E 26-109-88, SAE J1703, J1704, ISO 4925</t>
  </si>
  <si>
    <t>RP713B56</t>
  </si>
  <si>
    <t>RP MOTO DOT 5.1 BRAKE FLUID CP-1/2  (24С…500 ml)</t>
  </si>
  <si>
    <t>283.21</t>
  </si>
  <si>
    <t>РњРѕС‚Рѕ РіР°Р»СЊРјС–РІРЅР° СЂС–РґРёРЅР° DOT 5.1</t>
  </si>
  <si>
    <t>RP714W51</t>
  </si>
  <si>
    <t>RP MOTO COOLANT &amp; ANTIFREEZE 50% CP-1 (12С…1Р›)</t>
  </si>
  <si>
    <t>245.81</t>
  </si>
  <si>
    <t>РњРѕС‚Рѕ Р°РЅС‚РёС„СЂС–Р· 50% (-40) , UNE 26-361, BS 6580, ASTM D 3306\n</t>
  </si>
  <si>
    <t>RP715W98</t>
  </si>
  <si>
    <t>RP MOTO CHAIN 12С…400 ml</t>
  </si>
  <si>
    <t>РћР»РёРІР° Сѓ С„РѕСЂРјС– Р°РµСЂРѕР·РѕР»СЋ РґР»СЏ Р»Р°РЅС†СЋРіС–РІ РјРѕС‚РѕС‚РµС…РЅС–РєРё</t>
  </si>
  <si>
    <t>RPP141L55</t>
  </si>
  <si>
    <t>RP ELITE COMPETICION 5W40 CP-5  (5С…5Р›) !!! РђРєС†С–СЏ 5Р» РїРѕ С†С–РЅС– 4Р»</t>
  </si>
  <si>
    <t>RPP141N55</t>
  </si>
  <si>
    <t>RP ELITE MULTIVALVULAS 10W40 CP-5  (5С…5Р›) !!! РђРєС†С–СЏ 5Р» РїРѕ С†С–РЅС– 4Р»</t>
  </si>
  <si>
    <t>585.42</t>
  </si>
  <si>
    <t>SACHS</t>
  </si>
  <si>
    <t>100 338   SACHS  -  РђРјРѕСЂС‚РёР·Р°С‚РѕСЂ,  "SuperTouring" (Twin Tube Oil)</t>
  </si>
  <si>
    <t>668.37</t>
  </si>
  <si>
    <t>105 740   SACHS  -  РђРјРѕСЂС‚РёР·Р°С‚РѕСЂ,  "SuperTouring" (Twin Tube Oil)</t>
  </si>
  <si>
    <t>648.11</t>
  </si>
  <si>
    <t>105 790   SACHS  -  РђРјРѕСЂС‚РёР·Р°С‚РѕСЂ,  "SuperTouring" (Twin Tube Oil)</t>
  </si>
  <si>
    <t>DAEWOO Lanos 97-| OPEL Kadett E 88-| Vectra 89-| Astra 91-  (Rear, L/R)</t>
  </si>
  <si>
    <t>105 791   SACHS  -  РђРјРѕСЂС‚РёР·Р°С‚РѕСЂ,  "SuperTouring" (Twin Tube Gas)</t>
  </si>
  <si>
    <t>DAEWOO Espero, Lanos, Nexia| OPEL Astra F, Kadett D, E, Vectra A  1.2-2.0  79-  (Rear, L/R)</t>
  </si>
  <si>
    <t>115 007   SACHS  -  РђРјРѕСЂС‚РёР·Р°С‚РѕСЂ,  "SuperTouring" (Twin Tube Oil)</t>
  </si>
  <si>
    <t>706.30</t>
  </si>
  <si>
    <t>115 069   SACHS  -  РђРјРѕСЂС‚РёР·Р°С‚РѕСЂ,  "SuperTouring" (Twin Tube Gas)</t>
  </si>
  <si>
    <t>1385.99</t>
  </si>
  <si>
    <t>115 904   SACHS  -  РђРјРѕСЂС‚РёР·Р°С‚РѕСЂ,  "SuperTouring" (Twin Tube Gas)</t>
  </si>
  <si>
    <t>1488.63</t>
  </si>
  <si>
    <t>115 905   SACHS  -  РђРјРѕСЂС‚РёР·Р°С‚РѕСЂ,  "SuperTouring" (Twin Tube Gas)</t>
  </si>
  <si>
    <t>1540.98</t>
  </si>
  <si>
    <t>MB Sprinter (904) 4-t 96-06 (Front, L/R) HD!!!</t>
  </si>
  <si>
    <t>115 906   SACHS  -  РђРјРѕСЂС‚РёР·Р°С‚РѕСЂ,  "SuperTouring" (Twin Tube Gas)</t>
  </si>
  <si>
    <t>1444.52</t>
  </si>
  <si>
    <t>115 907   SACHS  -  РђРјРѕСЂС‚РёР·Р°С‚РѕСЂ,  "SuperTouring" (Twin Tube Gas)</t>
  </si>
  <si>
    <t>1496.01</t>
  </si>
  <si>
    <t>MB Sprinter (901-903) 2t/3t 96-06 (Front, L/R) HD!!!</t>
  </si>
  <si>
    <t>200 654   SACHS  -  РђРјРѕСЂС‚РёР·Р°С‚РѕСЂ,  "SuperTouring" (Twin Tube Oil)</t>
  </si>
  <si>
    <t>865.92</t>
  </si>
  <si>
    <t>230 574   SACHS  -  РђРјРѕСЂС‚РёР·Р°С‚РѕСЂ,  "SuperTouring" (Twin Tube Gas)</t>
  </si>
  <si>
    <t>1110.68</t>
  </si>
  <si>
    <t>OPEL Astra G 98-03 (Front, R)</t>
  </si>
  <si>
    <t>230 777   SACHS  -  РђРјРѕСЂС‚РёР·Р°С‚РѕСЂ,  "SuperTouring" (Twin Tube Gas)</t>
  </si>
  <si>
    <t>1254.52</t>
  </si>
  <si>
    <t>FORD Transit 91-00 (Front, L/R)</t>
  </si>
  <si>
    <t>230 965   SACHS  -  РђРјРѕСЂС‚РёР·Р°С‚РѕСЂ,  "SuperTouring" (Twin Tube Gas)</t>
  </si>
  <si>
    <t>1453.79</t>
  </si>
  <si>
    <t>FORD Transit Ex.2.3i-16v 00-06 (Front, L/R)</t>
  </si>
  <si>
    <t>290 378   SACHS  -  РђРјРѕСЂС‚РёР·Р°С‚РѕСЂ,  "SuperTouring" (Twin Tube Oil)</t>
  </si>
  <si>
    <t>MB Sprinter (901-903) 2t/3t 96-06 (Rear, L/R) HD!!!</t>
  </si>
  <si>
    <t>300 064   SACHS  -  РђРјРѕСЂС‚РёР·Р°С‚РѕСЂ,  "SuperTouring" (Mono Tube Gas)</t>
  </si>
  <si>
    <t>1053.01</t>
  </si>
  <si>
    <t>310 016   SACHS  -  РђРјРѕСЂС‚РёР·Р°С‚РѕСЂ,  "SuperTouring" (Twin Tube Gas)</t>
  </si>
  <si>
    <t>1719.15</t>
  </si>
  <si>
    <t>310 764   SACHS  -  РђРјРѕСЂС‚РёР·Р°С‚РѕСЂ,  "SuperTouring" (Twin Tube Gas)</t>
  </si>
  <si>
    <t>1560.38</t>
  </si>
  <si>
    <t>CITROEN Jumpy, PEUGEOT Expert, FIAT Scudo 95- front right</t>
  </si>
  <si>
    <t>310 765   SACHS  -  РђРјРѕСЂС‚РёР·Р°С‚РѕСЂ,  "SuperTouring" (Twin Tube Gas)</t>
  </si>
  <si>
    <t>CITROEN Jumpy, PEUGEOT Expert, FIAT Scudo 95- front left</t>
  </si>
  <si>
    <t>311 346   SACHS  -  РђРјРѕСЂС‚РёР·Р°С‚РѕСЂ,  "SuperTouring" (Twin Tube Gas)</t>
  </si>
  <si>
    <t>1170.07</t>
  </si>
  <si>
    <t>SKODA Superb (3T4) 08- (Rear, L/R)</t>
  </si>
  <si>
    <t>311 646   SACHS  -  РђРјРѕСЂС‚РёР·Р°С‚РѕСЂ,  "SuperTouring" (Mono Tube Gas)</t>
  </si>
  <si>
    <t>1055.24</t>
  </si>
  <si>
    <t>MB Vito/Viano (W639) 03- /40mm/ (Rear, L/R)</t>
  </si>
  <si>
    <t>311 929   SACHS  -  РђРјРѕСЂС‚РёР·Р°С‚РѕСЂ,  "SuperTouring" (Twin Tube Gas)</t>
  </si>
  <si>
    <t>1346.52</t>
  </si>
  <si>
    <t>FIAT Doblo 05- (Front, L/R)</t>
  </si>
  <si>
    <t>311 930   SACHS  -  РђРјРѕСЂС‚РёР·Р°С‚РѕСЂ,  "SuperTouring" (Twin Tube Gas)</t>
  </si>
  <si>
    <t>1443.32</t>
  </si>
  <si>
    <t>FIAT Doblo 05- (Front, L/R) *HD\n</t>
  </si>
  <si>
    <t>311 932   SACHS  -  РђРјРѕСЂС‚РёР·Р°С‚РѕСЂ,  "SuperTouring" (Twin Tube Gas)</t>
  </si>
  <si>
    <t>928.40</t>
  </si>
  <si>
    <t>FIAT DOBLO 1.3D/1.4i/1.9D 10.05-  (Rear, L/R)</t>
  </si>
  <si>
    <t>311 995   SACHS  -  РђРјРѕСЂС‚РёР·Р°С‚РѕСЂ,  "SuperTouring" (Twin Tube Gas)</t>
  </si>
  <si>
    <t>2160.09</t>
  </si>
  <si>
    <t>MB ML (W163) 02.98-06.05  (Rear, L/R)</t>
  </si>
  <si>
    <t>312 267   SACHS  -  РђРјРѕСЂС‚РёР·Р°С‚РѕСЂ,  "SuperTouring" (Twin Tube Gas)</t>
  </si>
  <si>
    <t>1284.04</t>
  </si>
  <si>
    <t>312 294   SACHS  -  РђРјРѕСЂС‚РёР·Р°С‚РѕСЂ,  "SuperTouring" (Twin Tube Gas)</t>
  </si>
  <si>
    <t>1650.49</t>
  </si>
  <si>
    <t>313 031   SACHS  -  РђРјРѕСЂС‚РёР·Р°С‚РѕСЂ,  "SuperTouring" (Twin Tube Gas)</t>
  </si>
  <si>
    <t>1067.09</t>
  </si>
  <si>
    <t>313 287   SACHS  -  РђРјРѕСЂС‚РёР·Р°С‚РѕСЂ,  "SuperTouring" (Twin Tube Gas)</t>
  </si>
  <si>
    <t>1282.67</t>
  </si>
  <si>
    <t>FORD Focus II 1.4, 1.6, C-Max 1.6 03- (Front, R)</t>
  </si>
  <si>
    <t>313 320   SACHS  -  РђРјРѕСЂС‚РёР·Р°С‚РѕСЂ,  "SuperTouring" (Twin Tube Gas)</t>
  </si>
  <si>
    <t>1210.92</t>
  </si>
  <si>
    <t>313 327   SACHS  -  РђРјРѕСЂС‚РёР·Р°С‚РѕСЂ,  "SuperTouring" (Twin Tube Gas)</t>
  </si>
  <si>
    <t>1957.73</t>
  </si>
  <si>
    <t>VW Transporter T5 03- (Front, L/R)</t>
  </si>
  <si>
    <t>313 378   SACHS  -  РђРјРѕСЂС‚РёР·Р°С‚РѕСЂ,  "SuperTouring" (Twin Tube Gas)</t>
  </si>
  <si>
    <t>1067.43</t>
  </si>
  <si>
    <t>313 387   SACHS  -  РђРјРѕСЂС‚РёР·Р°С‚РѕСЂ,  "SuperTouring" (Twin Tube Gas)</t>
  </si>
  <si>
    <t>1087.34</t>
  </si>
  <si>
    <t>313 472   SACHS  -  РђРјРѕСЂС‚РёР·Р°С‚РѕСЂ,  "SuperTouring" (Twin Tube Gas)</t>
  </si>
  <si>
    <t>1299.83</t>
  </si>
  <si>
    <t>313 482   SACHS  -  РђРјРѕСЂС‚РёР·Р°С‚РѕСЂ,  "SuperTouring" (Twin Tube Gas)</t>
  </si>
  <si>
    <t>894.93</t>
  </si>
  <si>
    <t>OPEL Astra H, Zafira B 05-, (Rear, L/R)</t>
  </si>
  <si>
    <t>313 500   SACHS  -  РђРјРѕСЂС‚РёР·Р°С‚РѕСЂ,  "SuperTouring" (Twin Tube Gas)</t>
  </si>
  <si>
    <t>1707.30</t>
  </si>
  <si>
    <t>FORD Transit| 2.2D, 2.3, 2.4D  06-  (Front, L/R)</t>
  </si>
  <si>
    <t>313 501   SACHS  -  РђРјРѕСЂС‚РёР·Р°С‚РѕСЂ,  "SuperTouring" (Twin Tube Gas)</t>
  </si>
  <si>
    <t>FORD Transit 2.2D-3.2D  06-14  (Front, L/R)</t>
  </si>
  <si>
    <t>313 519   SACHS  -  РђРјРѕСЂС‚РёР·Р°С‚РѕСЂ,  "SuperTouring" (Twin Tube Gas)</t>
  </si>
  <si>
    <t>313 529   SACHS  -  РђРјРѕСЂС‚РёР·Р°С‚РѕСЂ,  "SuperTouring" (Twin Tube Gas)</t>
  </si>
  <si>
    <t>1461.34</t>
  </si>
  <si>
    <t>313 530   SACHS  -  РђРјРѕСЂС‚РёР·Р°С‚РѕСЂ,  "SuperTouring" (Twin Tube Gas)</t>
  </si>
  <si>
    <t>313 531   SACHS  -  РђРјРѕСЂС‚РёР·Р°С‚РѕСЂ,  "SuperTouring" (Twin Tube Gas)</t>
  </si>
  <si>
    <t>1542.70</t>
  </si>
  <si>
    <t>313 532   SACHS  -  РђРјРѕСЂС‚РёР·Р°С‚РѕСЂ,  "SuperTouring" (Twin Tube Gas)</t>
  </si>
  <si>
    <t>313 748   SACHS  -  РђРјРѕСЂС‚РёР·Р°С‚РѕСЂ,  "SuperTouring" (Twin Tube Gas)</t>
  </si>
  <si>
    <t>1765.32</t>
  </si>
  <si>
    <t>FORD Mondeo  07- (Front, L)</t>
  </si>
  <si>
    <t>313 749   SACHS  -  РђРјРѕСЂС‚РёР·Р°С‚РѕСЂ,  "SuperTouring" (Twin Tube Gas)</t>
  </si>
  <si>
    <t>FORD Mondeo  07- (Front, R)</t>
  </si>
  <si>
    <t>314 009   SACHS  -  РђРјРѕСЂС‚РёР·Р°С‚РѕСЂ,  "SuperTouring" (Twin Tube Gas)</t>
  </si>
  <si>
    <t>1716.91</t>
  </si>
  <si>
    <t>314 011   SACHS  -  РђРјРѕСЂС‚РёР·Р°С‚РѕСЂ,  "SuperTouring" (Twin Tube Gas)</t>
  </si>
  <si>
    <t>1537.38</t>
  </si>
  <si>
    <t>VW Caddy III 1.2-2.0LPG  04-  (Front, L/R)</t>
  </si>
  <si>
    <t>314 032   SACHS  -  РђРјРѕСЂС‚РёР·Р°С‚РѕСЂ,  "SuperTouring" (Twin Tube Gas)</t>
  </si>
  <si>
    <t>1724.47</t>
  </si>
  <si>
    <t>CITROEN Jumpy| 2.0/1.6HDI/2.0HDI| 01.07- front left</t>
  </si>
  <si>
    <t>314 033   SACHS  -  РђРјРѕСЂС‚РёР·Р°С‚РѕСЂ,  "SuperTouring" (Twin Tube Gas)</t>
  </si>
  <si>
    <t>CITROEN Jumpy| 2.0/1.6HDI/2.0HDI| 01.07- front right</t>
  </si>
  <si>
    <t>314 039   SACHS  -  РђРјРѕСЂС‚РёР·Р°С‚РѕСЂ,  "SuperTouring" (Twin Tube Gas)</t>
  </si>
  <si>
    <t>1089.06</t>
  </si>
  <si>
    <t>314 455   SACHS  -  РђРјРѕСЂС‚РёР·Р°С‚РѕСЂ,  "SuperTouring" (Twin Tube Gas)</t>
  </si>
  <si>
    <t>2684.11</t>
  </si>
  <si>
    <t>AUDI  Q7 3.0 TFSI, 3.6 FSI, 4.2 FSI, 3.0 TDI, 4.2 TDI 06-, (Front, L)</t>
  </si>
  <si>
    <t>314 456   SACHS  -  РђРјРѕСЂС‚РёР·Р°С‚РѕСЂ,  "SuperTouring" (Twin Tube Gas)</t>
  </si>
  <si>
    <t>AUDI  Q7 3.0 TFSI, 3.6 FSI, 4.2 FSI, 3.0 TDI, 4.2 TDI 06-, (Front, R)</t>
  </si>
  <si>
    <t>314 608   SACHS  -  РђРјРѕСЂС‚РёР·Р°С‚РѕСЂ,  "SuperTouring" (Twin Tube Gas)</t>
  </si>
  <si>
    <t>1225.85</t>
  </si>
  <si>
    <t>MB Sprinter, VW Crafter 06-  (Rear, L/R)</t>
  </si>
  <si>
    <t>314 740   SACHS  -  РђРјРѕСЂС‚РёР·Р°С‚РѕСЂ,  "SuperTouring" (Twin Tube Gas)</t>
  </si>
  <si>
    <t>1440.23</t>
  </si>
  <si>
    <t>NISSAN Note 06- (Front, L)</t>
  </si>
  <si>
    <t>314 741   SACHS  -  РђРјРѕСЂС‚РёР·Р°С‚РѕСЂ,  "SuperTouring" (Twin Tube Gas)</t>
  </si>
  <si>
    <t>NISSAN Note 06- (Front, R)</t>
  </si>
  <si>
    <t>314 766   SACHS  -  РђРјРѕСЂС‚РёР·Р°С‚РѕСЂ,  "SuperTouring" (Twin Tube Gas)</t>
  </si>
  <si>
    <t>1188.09</t>
  </si>
  <si>
    <t>314 767   SACHS  -  РђРјРѕСЂС‚РёР·Р°С‚РѕСЂ,  "SuperTouring" (Twin Tube Gas)</t>
  </si>
  <si>
    <t>314 887   SACHS  -  РђРјРѕСЂС‚РёР·Р°С‚РѕСЂ,  "SuperTouring" (Twin Tube Gas)</t>
  </si>
  <si>
    <t>1556.43</t>
  </si>
  <si>
    <t>CITROEN Berlingo| PEUGEOT Partner 1.6/1.6HDI 08-, (Front, L)</t>
  </si>
  <si>
    <t>314 888   SACHS  -  РђРјРѕСЂС‚РёР·Р°С‚РѕСЂ,  "SuperTouring" (Twin Tube Gas)</t>
  </si>
  <si>
    <t>CITROEN Berlingo 1.6, 1.6 HDi 08-, (Front, R)</t>
  </si>
  <si>
    <t>314 996   SACHS  -  РђРјРѕСЂС‚РёР·Р°С‚РѕСЂ,  "SuperTouring" (Twin Tube Gas)</t>
  </si>
  <si>
    <t>1548.02</t>
  </si>
  <si>
    <t>314 997   SACHS  -  РђРјРѕСЂС‚РёР·Р°С‚РѕСЂ,  "SuperTouring" (Twin Tube Gas)</t>
  </si>
  <si>
    <t>315 012   SACHS  -  РђРјРѕСЂС‚РёР·Р°С‚РѕСЂ,  "SuperTouring" (Twin Tube Gas)</t>
  </si>
  <si>
    <t>1610.84</t>
  </si>
  <si>
    <t>TOYOTA Auris 07-  (Front, L)</t>
  </si>
  <si>
    <t>315 013   SACHS  -  РђРјРѕСЂС‚РёР·Р°С‚РѕСЂ,  "SuperTouring" (Twin Tube Gas)</t>
  </si>
  <si>
    <t>315 087   SACHS  -  РђРјРѕСЂС‚РёР·Р°С‚РѕСЂ,  "SuperTouring" (Twin Tube Oil)</t>
  </si>
  <si>
    <t>1011.99</t>
  </si>
  <si>
    <t>315 171   SACHS  -  РђРјРѕСЂС‚РёР·Р°С‚РѕСЂ,  "SuperTouring" (Twin Tube Gas)</t>
  </si>
  <si>
    <t>KIA CERATO 1.5CRDi-2.0CRDi 04.04-  (Rear, L)</t>
  </si>
  <si>
    <t>315 172   SACHS  -  РђРјРѕСЂС‚РёР·Р°С‚РѕСЂ,  "SuperTouring" (Twin Tube Gas)</t>
  </si>
  <si>
    <t>KIA CERATO 1.5CRDi-2.0CRDi 04.04-  (Rear, R)</t>
  </si>
  <si>
    <t>315 291   SACHS  -  РђРјРѕСЂС‚РёР·Р°С‚РѕСЂ,  "SuperTouring" (Twin Tube Gas)</t>
  </si>
  <si>
    <t>1177.11</t>
  </si>
  <si>
    <t>RENAULT Fluence 1.5dCi, 1.6, 2.0  10-   (Rear, L/R)</t>
  </si>
  <si>
    <t>315 297   SACHS  -  РђРјРѕСЂС‚РёР·Р°С‚РѕСЂ, "SuperTouring" (Twin Tube Gas)</t>
  </si>
  <si>
    <t>MB Citan (W415)| RENAULT Kangoo 1.6, 1.5dCi  08-,   (Front, L/R)</t>
  </si>
  <si>
    <t>315 299   SACHS  -  РђРјРѕСЂС‚РёР·Р°С‚РѕСЂ, "SuperTouring" (Twin Tube Gas)</t>
  </si>
  <si>
    <t>900.25</t>
  </si>
  <si>
    <t>RENAULT Kangoo 08-,  (Rear, L/R) РґРѕРІРіР° Р±Р°Р·Р°</t>
  </si>
  <si>
    <t>315 332  SACHS  -  РђРјРѕСЂС‚РёР·Р°С‚РѕСЂ,  "SuperTouring"</t>
  </si>
  <si>
    <t>1015.94</t>
  </si>
  <si>
    <t>315 525   SACHS  -  РђРјРѕСЂС‚РёР·Р°С‚РѕСЂ, "Super Touring" (Twin Tube Gas)</t>
  </si>
  <si>
    <t>813.23</t>
  </si>
  <si>
    <t>CHEVROLET Aveo| DAEWOO Kalos 1.2, 1.4  03-  (Rear, L/R)</t>
  </si>
  <si>
    <t>315 527   SACHS  -  РђРјРѕСЂС‚РёР·Р°С‚РѕСЂ,  "SuperTouring" (Twin Tube Gas)  !!!Р—Р°РјС–РЅР° РґР»СЏ 312 827</t>
  </si>
  <si>
    <t>1398.35</t>
  </si>
  <si>
    <t>315 528   SACHS  -  РђРјРѕСЂС‚РёР·Р°С‚РѕСЂ,  "SuperTouring" (Twin Tube Gas)</t>
  </si>
  <si>
    <t>937.67</t>
  </si>
  <si>
    <t>315 529   SACHS  -  РђРјРѕСЂС‚РёР·Р°С‚РѕСЂ,  "SuperTouring" (Twin Tube Gas)</t>
  </si>
  <si>
    <t>DACIA Logan 1.4, 1.5D, 1.6  07-  (Rear, LR)</t>
  </si>
  <si>
    <t>315 689   SACHS  -  РђРјРѕСЂС‚РёР·Р°С‚РѕСЂ, "Super Touring" (Twin Tube Gas)</t>
  </si>
  <si>
    <t>942.48</t>
  </si>
  <si>
    <t>CHEVROLET Epica (KL1_) 2.0, 2.0D, 2.5,  05-  (Rear, L)</t>
  </si>
  <si>
    <t>315 690   SACHS  -  РђРјРѕСЂС‚РёР·Р°С‚РѕСЂ, "Super Touring" (Twin Tube Gas)</t>
  </si>
  <si>
    <t>CHEVROLET Epica (KL1_) 2.0, 2.0D, 2.5,  05-  (Rear, R)</t>
  </si>
  <si>
    <t>315 867   SACHS  -  РђРјРѕСЂС‚РёР·Р°С‚РѕСЂ</t>
  </si>
  <si>
    <t>1555.40</t>
  </si>
  <si>
    <t>FORD FIESTA VI 1.0-1.6D 06.08-  (Front, R)</t>
  </si>
  <si>
    <t>316 290   SACHS  -  РђРјРѕСЂС‚РёР·Р°С‚РѕСЂ</t>
  </si>
  <si>
    <t>1339.48</t>
  </si>
  <si>
    <t>316 591   SACHS  -  РђРјРѕСЂС‚РёР·Р°С‚РѕСЂ</t>
  </si>
  <si>
    <t>1310.47</t>
  </si>
  <si>
    <t>316 927   SACHS  -  РђРјРѕСЂС‚РёР·Р°С‚РѕСЂ</t>
  </si>
  <si>
    <t>840.86</t>
  </si>
  <si>
    <t>OPEL Agila| SUZUKI Swift III, IV 1.0-1.5  05-  (Rear, L/R)</t>
  </si>
  <si>
    <t>316 950   SACHS  -  РђРјРѕСЂС‚РёР·Р°С‚РѕСЂ</t>
  </si>
  <si>
    <t>1759.65</t>
  </si>
  <si>
    <t>MB E-Class (W211) 1.8-6.2  02-09  (Front, L/R)</t>
  </si>
  <si>
    <t>316 999   SACHS  -  РђРјРѕСЂС‚РёР·Р°С‚РѕСЂ</t>
  </si>
  <si>
    <t>1812.52</t>
  </si>
  <si>
    <t>VW Touareg 2.5D-6.0  02-10  (Rear, L/R)</t>
  </si>
  <si>
    <t>317 139   SACHS  -  РђРјРѕСЂС‚РёР·Р°С‚РѕСЂ</t>
  </si>
  <si>
    <t>847.04</t>
  </si>
  <si>
    <t>CHEVROLET Lacetti| DAEWOO Nubira  1.4, 1.6, 1.8  04-  (Rear, L)</t>
  </si>
  <si>
    <t>317 140   SACHS  -  РђРјРѕСЂС‚РёР·Р°С‚РѕСЂ</t>
  </si>
  <si>
    <t>CHEVROLET Lacetti| DAEWOO Nubira  1.4, 1.6, 1.8  04-  (Rear, R)</t>
  </si>
  <si>
    <t>317 157   SACHS  -  РђРјРѕСЂС‚РёР·Р°С‚РѕСЂ</t>
  </si>
  <si>
    <t>1031.90</t>
  </si>
  <si>
    <t>317 158   SACHS  -  РђРјРѕСЂС‚РёР·Р°С‚РѕСЂ</t>
  </si>
  <si>
    <t>556 832   SACHS  -  РђРјРѕСЂС‚РёР·Р°С‚РѕСЂ,  "SuperTouring" (Twin Tube Gas)</t>
  </si>
  <si>
    <t>2322.46</t>
  </si>
  <si>
    <t>BMW 5 (E39) 95-04 (Front, L/R)  (KYB335811 / KYB335812)</t>
  </si>
  <si>
    <t>556 834   SACHS  -  РђРјРѕСЂС‚РёР·Р°С‚РѕСЂ,  "Advantage" (Twin Tube Gas)</t>
  </si>
  <si>
    <t>2531.52</t>
  </si>
  <si>
    <t>BMW 5 (E39) 2.0D-3.0D 11.95-05.04   (Front, L/R)</t>
  </si>
  <si>
    <t>556 882   SACHS  -  РђРјРѕСЂС‚РёР·Р°С‚РѕСЂ,  "SuperTouring" (Twin Tube Gas)</t>
  </si>
  <si>
    <t>992.77</t>
  </si>
  <si>
    <t>BMW 3 Convertible (E46) 2000- | 3 Touring (E46) 1999-</t>
  </si>
  <si>
    <t>557 837   SACHS  -  РђРјРѕСЂС‚РёР·Р°С‚РѕСЂ,  "SuperTouring" (Twin Tube Gas)</t>
  </si>
  <si>
    <t>1303.78</t>
  </si>
  <si>
    <t>802 229   SACHS  -  РћРїРѕСЂР° СЃС‚С–Р№РєРё Р°РјРѕСЂС‚РёР·Р°С‚РѕСЂР° Р· РїС–РґС€РёРїРЅРёРєРѕРј</t>
  </si>
  <si>
    <t>365.59</t>
  </si>
  <si>
    <t>802 268   SACHS  -  РћРїРѕСЂР° СЃС‚С–Р№РєРё Р°РјРѕСЂС‚РёР·Р°С‚РѕСЂР° Р· РїС–РґС€РёРїРЅРёРєРѕРј</t>
  </si>
  <si>
    <t>734.79</t>
  </si>
  <si>
    <t>MB Vito (W638) 2.0-2.8  96-03  (Front, L/R)</t>
  </si>
  <si>
    <t>802 270   SACHS  -  РћРїРѕСЂР° СЃС‚С–Р№РєРё Р°РјРѕСЂС‚РёР·Р°С‚РѕСЂР° Р· РїС–РґС€РёРїРЅРёРєРѕРј</t>
  </si>
  <si>
    <t>#Audi A3, Seat Toledo, Leon, Skoda Octavia, VW Golf IV, Bora, New Bettle - F</t>
  </si>
  <si>
    <t>802 399   SACHS  -  РћРїРѕСЂР° СЃС‚С–Р№РєРё Р°РјРѕСЂС‚РёР·Р°С‚РѕСЂР° Р· РїС–РґС€РёРїРЅРёРєРѕРј</t>
  </si>
  <si>
    <t>CHEVROLET Aveo| DAEWOO Kalos 05- (Front, L/R)</t>
  </si>
  <si>
    <t>803 002   SACHS  -  РћРїРѕСЂР° СЃС‚С–Р№РєРё Р°РјРѕСЂС‚РёР·Р°С‚РѕСЂР° Р· РїС–РґС€РёРїРЅРёРєРѕРј</t>
  </si>
  <si>
    <t>242.53</t>
  </si>
  <si>
    <t>CHEVROLET Lacetti 1.4-2.0D  05-  (Front, L/R)</t>
  </si>
  <si>
    <t>803 118   SACHS  -  РћРїРѕСЂР° СЃС‚С–Р№РєРё Р°РјРѕСЂС‚РёР·Р°С‚РѕСЂР°</t>
  </si>
  <si>
    <t>363.53</t>
  </si>
  <si>
    <t>900 002   SACHS  -  Р—Р°С…РёСЃРЅРёР№ РєРѕРјРїР»РµРєС‚ Р°РјРѕСЂС‚РёР·Р°С‚РѕСЂР°</t>
  </si>
  <si>
    <t>MAZDA 323 94-98 (Front)</t>
  </si>
  <si>
    <t>900 003   SACHS  -  Р—Р°С…РёСЃРЅРёР№ РєРѕРјРїР»РµРєС‚ Р°РјРѕСЂС‚РёР·Р°С‚РѕСЂР°</t>
  </si>
  <si>
    <t>DAEWOO Espero, Lanos| OPEL Astra F, Vectra A| SUZUKI Swift II  1.0-2.0  88- (Front)</t>
  </si>
  <si>
    <t>900 004   SACHS  -  Р—Р°С…РёСЃРЅРёР№ РєРѕРјРїР»РµРєС‚ Р°РјРѕСЂС‚РёР·Р°С‚РѕСЂР°</t>
  </si>
  <si>
    <t>243.73</t>
  </si>
  <si>
    <t>ALFA ROMEO 33| BMW 3 (E21, E30, E36, E46, E12), 5 (E12, E28, E34), 6 (E24), 7 (E23, E32, E38), Z1, 2000 (E9), 2500 (E3) 1.2-5.4 05.71-  (Front)</t>
  </si>
  <si>
    <t>900 009   SACHS  -  Р—Р°С…РёСЃРЅРёР№ РєРѕРјРїР»РµРєС‚ Р°РјРѕСЂС‚РёР·Р°С‚РѕСЂР°</t>
  </si>
  <si>
    <t>355.98</t>
  </si>
  <si>
    <t>900 012   SACHS  -  Р—Р°С…РёСЃРЅРёР№ РєРѕРјРїР»РµРєС‚ Р°РјРѕСЂС‚РёР·Р°С‚РѕСЂР°</t>
  </si>
  <si>
    <t>375.38</t>
  </si>
  <si>
    <t>900 042   SACHS  -  Р—Р°С…РёСЃРЅРёР№ РєРѕРјРїР»РµРєС‚ Р°РјРѕСЂС‚РёР·Р°С‚РѕСЂР°</t>
  </si>
  <si>
    <t>900 046   SACHS  -  Р—Р°С…РёСЃРЅРёР№ РєРѕРјРїР»РµРєС‚ Р°РјРѕСЂС‚РёР·Р°С‚РѕСЂР°</t>
  </si>
  <si>
    <t>308.95</t>
  </si>
  <si>
    <t>900 058   SACHS  -  Р—Р°С…РёСЃРЅРёР№ РєРѕРјРїР»РµРєС‚ Р°РјРѕСЂС‚РёР·Р°С‚РѕСЂР°</t>
  </si>
  <si>
    <t>153.62</t>
  </si>
  <si>
    <t>RENAULT Clio I, II, Kangoo I  1.2-1.9dTi  90-  (Front, L/R)</t>
  </si>
  <si>
    <t>900 064   SACHS  -  Р—Р°С…РёСЃРЅРёР№ РєРѕРјРїР»РµРєС‚ Р°РјРѕСЂС‚РёР·Р°С‚РѕСЂР°</t>
  </si>
  <si>
    <t>301.91</t>
  </si>
  <si>
    <t>900 091   SACHS  -  Р—Р°С…РёСЃРЅРёР№ РєРѕРјРїР»РµРєС‚ Р°РјРѕСЂС‚РёР·Р°С‚РѕСЂР°</t>
  </si>
  <si>
    <t>493.29</t>
  </si>
  <si>
    <t>BMW X5 (E53) 3.0, 4.4, 4.6  00-  (Front)</t>
  </si>
  <si>
    <t>900 092   SACHS  -  Р—Р°С…РёСЃРЅРёР№ РєРѕРјРїР»РµРєС‚ Р°РјРѕСЂС‚РёР·Р°С‚РѕСЂР°</t>
  </si>
  <si>
    <t>444.89</t>
  </si>
  <si>
    <t>BMW X5 (E53) 3.0, 4.4, 4.6  00-  (Rear)</t>
  </si>
  <si>
    <t>900 103   SACHS  -  Р—Р°С…РёСЃРЅРёР№ РєРѕРјРїР»РµРєС‚ Р°РјРѕСЂС‚РёР·Р°С‚РѕСЂР°</t>
  </si>
  <si>
    <t>319.08</t>
  </si>
  <si>
    <t>900 105   SACHS  -  Р—Р°С…РёСЃРЅРёР№ РєРѕРјРїР»РµРєС‚ Р°РјРѕСЂС‚РёР·Р°С‚РѕСЂР°</t>
  </si>
  <si>
    <t>267.07</t>
  </si>
  <si>
    <t>SEAT Altea, Leon II, Toledo III 04- (Front)</t>
  </si>
  <si>
    <t>900 119   SACHS  -  Р—Р°С…РёСЃРЅРёР№ РєРѕРјРїР»РµРєС‚ Р°РјРѕСЂС‚РёР·Р°С‚РѕСЂР°</t>
  </si>
  <si>
    <t>VW Passat (3C2, 3C5) 05- (Rear)</t>
  </si>
  <si>
    <t>900 139   SACHS  -  Р—Р°С…РёСЃРЅРёР№ РєРѕРјРїР»РµРєС‚ Р°РјРѕСЂС‚РёР·Р°С‚РѕСЂР°</t>
  </si>
  <si>
    <t>384.65</t>
  </si>
  <si>
    <t>900 143   SACHS  -  Р—Р°С…РёСЃРЅРёР№ РєРѕРјРїР»РµРєС‚ Р°РјРѕСЂС‚РёР·Р°С‚РѕСЂР°</t>
  </si>
  <si>
    <t>900 146   SACHS  -  Р—Р°С…РёСЃРЅРёР№ РєРѕРјРїР»РµРєС‚ Р°РјРѕСЂС‚РёР·Р°С‚РѕСЂР°</t>
  </si>
  <si>
    <t>900 151   SACHS  -  Р—Р°С…РёСЃРЅРёР№ РєРѕРјРїР»РµРєС‚ Р°РјРѕСЂС‚РёР·Р°С‚РѕСЂР°</t>
  </si>
  <si>
    <t>900 157   SACHS  -  Р—Р°С…РёСЃРЅРёР№ РєРѕРјРїР»РµРєС‚ Р°РјРѕСЂС‚РёР·Р°С‚РѕСЂР°</t>
  </si>
  <si>
    <t>900 159   SACHS  -  Р—Р°С…РёСЃРЅРёР№ РєРѕРјРїР»РµРєС‚ Р°РјРѕСЂС‚РёР·Р°С‚РѕСЂР°</t>
  </si>
  <si>
    <t>NISSAN Almera (N16/E), Primera (P12/WP12) 00- (Rear)</t>
  </si>
  <si>
    <t>900 172   SACHS  -  Р—Р°С…РёСЃРЅРёР№ РєРѕРјРїР»РµРєС‚ Р°РјРѕСЂС‚РёР·Р°С‚РѕСЂР°</t>
  </si>
  <si>
    <t>900 181   SACHS  -  Р—Р°С…РёСЃРЅРёР№ РєРѕРјРїР»РµРєС‚ Р°РјРѕСЂС‚РёР·Р°С‚РѕСЂР°</t>
  </si>
  <si>
    <t>371.43</t>
  </si>
  <si>
    <t>CITROEN C8, Jumpy| FIAT Scudo| PEUGEOT 806, 807, Expert  1.6-3.0  94-  (Front)</t>
  </si>
  <si>
    <t>900 182   SACHS  -  Р—Р°С…РёСЃРЅРёР№ РєРѕРјРїР»РµРєС‚ Р°РјРѕСЂС‚РёР·Р°С‚РѕСЂР°</t>
  </si>
  <si>
    <t>257.80</t>
  </si>
  <si>
    <t>900 184   SACHS  -  Р—Р°С…РёСЃРЅРёР№ РєРѕРјРїР»РµРєС‚ Р°РјРѕСЂС‚РёР·Р°С‚РѕСЂР°</t>
  </si>
  <si>
    <t>397.86</t>
  </si>
  <si>
    <t>900 189   SACHS  -  Р—Р°С…РёСЃРЅРёР№ РєРѕРјРїР»РµРєС‚ Р°РјРѕСЂС‚РёР·Р°С‚РѕСЂР°</t>
  </si>
  <si>
    <t>349.80</t>
  </si>
  <si>
    <t>VW T5 1.9-3.2  03-  (Front)</t>
  </si>
  <si>
    <t>900 199   SACHS  -  Р—Р°С…РёСЃРЅРёР№ РєРѕРјРїР»РµРєС‚ Р°РјРѕСЂС‚РёР·Р°С‚РѕСЂР°</t>
  </si>
  <si>
    <t>242.87</t>
  </si>
  <si>
    <t>KIA Sportage (K00) 2.0i, 2.0TD  94-03  (Front)</t>
  </si>
  <si>
    <t>900 201   SACHS  -  Р—Р°С…РёСЃРЅРёР№ РєРѕРјРїР»РµРєС‚ Р°РјРѕСЂС‚РёР·Р°С‚РѕСЂР°</t>
  </si>
  <si>
    <t>FORD Focus II, C-Max, Kuga I 1.6-2.5  03-  (Rear, L/R)</t>
  </si>
  <si>
    <t>900 221   SACHS  -  Р—Р°С…РёСЃРЅРёР№ РєРѕРјРїР»РµРєС‚ Р°РјРѕСЂС‚РёР·Р°С‚РѕСЂР°</t>
  </si>
  <si>
    <t>HONDA CR-V II 2.0, 2.2CTDi  02-06  (Rear, L/R)</t>
  </si>
  <si>
    <t>900 232   SACHS  -  Р—Р°С…РёСЃРЅРёР№ РєРѕРјРїР»РµРєС‚ Р°РјРѕСЂС‚РёР·Р°С‚РѕСЂР°</t>
  </si>
  <si>
    <t>384.13</t>
  </si>
  <si>
    <t>KIA Rio II (JB) 1.4, 1.5CRDI, 1.6  05- (Rear)</t>
  </si>
  <si>
    <t>900 233   SACHS  -  Р—Р°С…РёСЃРЅРёР№ РєРѕРјРїР»РµРєС‚ Р°РјРѕСЂС‚РёР·Р°С‚РѕСЂР°</t>
  </si>
  <si>
    <t>320.28</t>
  </si>
  <si>
    <t>RENAULT Clio II, Thalia I  1.1-1.9D  98-  (Rear)</t>
  </si>
  <si>
    <t>900 247   SACHS  -  Р—Р°С…РёСЃРЅРёР№ РєРѕРјРїР»РµРєС‚ Р°РјРѕСЂС‚РёР·Р°С‚РѕСЂР°</t>
  </si>
  <si>
    <t>300.54</t>
  </si>
  <si>
    <t>MB Vito (W638), PEUGEOT, 106, 205, 305, 306, 309, 405, Partner (Front)</t>
  </si>
  <si>
    <t>SASIC</t>
  </si>
  <si>
    <t>SAS0064094</t>
  </si>
  <si>
    <t>20.25</t>
  </si>
  <si>
    <t>PEUGEOT 205, 305, CITROEN Ax| 83-96</t>
  </si>
  <si>
    <t>SAS0184E04</t>
  </si>
  <si>
    <t>CITROEN Jumper| FIAT Ducato| PEUGEOT Boxer  02-06  (L/R)</t>
  </si>
  <si>
    <t>SAS0184H44</t>
  </si>
  <si>
    <t>309.64</t>
  </si>
  <si>
    <t>CITROEN Jumper| FIAT Ducato| PEUGEOT Boxer  94-02  (L/R)</t>
  </si>
  <si>
    <t>SAS0335405</t>
  </si>
  <si>
    <t>PEUGEOT 406| 95-04</t>
  </si>
  <si>
    <t>SAS0335415</t>
  </si>
  <si>
    <t>178.51</t>
  </si>
  <si>
    <t>PEUGEOT Boxer, CITROEN Jumper (1000kg,1400kg)| 94-02</t>
  </si>
  <si>
    <t>SAS0355275</t>
  </si>
  <si>
    <t>105.04</t>
  </si>
  <si>
    <t>CITROEN Berlingo, C2, C3, C15| PEUGEOT 106, 206, 208, 306, 307, Partner| RENAULT Laguna</t>
  </si>
  <si>
    <t>SAS0355505</t>
  </si>
  <si>
    <t>30.72</t>
  </si>
  <si>
    <t>CITROEN Jumper II| PEUGEOT Boxer 02/02-</t>
  </si>
  <si>
    <t>SAS0385165</t>
  </si>
  <si>
    <t>CITROEN Jumpy, PEUGEOT 806, Expert 1994- FRONT LEFT</t>
  </si>
  <si>
    <t>SAS0385175</t>
  </si>
  <si>
    <t>451.41</t>
  </si>
  <si>
    <t>CITROEN Jumpy, PEUGEOT 806, Expert 1994- FRONT RIGHT</t>
  </si>
  <si>
    <t>SAS0385185</t>
  </si>
  <si>
    <t>338.99</t>
  </si>
  <si>
    <t>SAS0385195</t>
  </si>
  <si>
    <t>SAS0385205</t>
  </si>
  <si>
    <t>581.17</t>
  </si>
  <si>
    <t>PEUGEOT 605, 607 FRONT L/R</t>
  </si>
  <si>
    <t>SAS0385235</t>
  </si>
  <si>
    <t>371.94</t>
  </si>
  <si>
    <t>CITROEN Berlingo 96-05, Xsara 97-04| PEUGEOT 306 93-, Partner 96-05, Front L/R</t>
  </si>
  <si>
    <t>SAS0385245</t>
  </si>
  <si>
    <t>SAS0385255</t>
  </si>
  <si>
    <t>482.48</t>
  </si>
  <si>
    <t>PEUGEOT 406 10.95- FRONT L/R</t>
  </si>
  <si>
    <t>SAS0385365</t>
  </si>
  <si>
    <t>356.67</t>
  </si>
  <si>
    <t>PEUGEOT 206 1998- FRONT LEFT</t>
  </si>
  <si>
    <t>SAS0385855</t>
  </si>
  <si>
    <t>112.94</t>
  </si>
  <si>
    <t>PEUGEOT 307 03.02- FRONT L/R</t>
  </si>
  <si>
    <t>SAS0385875</t>
  </si>
  <si>
    <t>SAS0385895</t>
  </si>
  <si>
    <t>SAS0404144</t>
  </si>
  <si>
    <t>PEUGEOT 204,304,404,504| Citroen C15</t>
  </si>
  <si>
    <t>SAS0594094</t>
  </si>
  <si>
    <t>PEUGEOT Expert| CITROEN Jumpy| FIAT Scudo 95-  (L/R)</t>
  </si>
  <si>
    <t>SAS0594104</t>
  </si>
  <si>
    <t>35.87</t>
  </si>
  <si>
    <t>CITROEN SAXO, Berlingo| PEUGEOT 106 I,106 II</t>
  </si>
  <si>
    <t>SAS0594124</t>
  </si>
  <si>
    <t>182.45</t>
  </si>
  <si>
    <t>CITROEN C8 7/02-| FIAT Scudo 2/96-| PEUGEOT 807 6/02-  L/R</t>
  </si>
  <si>
    <t>SAS0624144</t>
  </si>
  <si>
    <t>CITROEN Zx| PEUGEOT 104, 205, 309| 83-93</t>
  </si>
  <si>
    <t>SAS0664214</t>
  </si>
  <si>
    <t>23.86</t>
  </si>
  <si>
    <t>PEUGEOT 405, CITROEN Xsara</t>
  </si>
  <si>
    <t>SAS0664224</t>
  </si>
  <si>
    <t>54.41</t>
  </si>
  <si>
    <t>PEUGEOT 205, 309 88-, Citroen Xsara, ZX, Berlingo, C15</t>
  </si>
  <si>
    <t>SAS0664294</t>
  </si>
  <si>
    <t>PEUGEOT 605 (L=204,O1=11,O2=44) RIGHT</t>
  </si>
  <si>
    <t>SAS0664414</t>
  </si>
  <si>
    <t>PEUGEOT 306 98-, Expert 96-, CITROEN Jumpy 95-</t>
  </si>
  <si>
    <t>SAS0664424</t>
  </si>
  <si>
    <t>60.59</t>
  </si>
  <si>
    <t>PEUGEOT 405 II 2.0T, 406, 605| (L=203,O1=16,5,O2=43)</t>
  </si>
  <si>
    <t>SAS0664434</t>
  </si>
  <si>
    <t>64.37</t>
  </si>
  <si>
    <t>CITROEN C15, BERLINGO, ZX, Xsara/Picasso, PEUGEOT 306, Partner</t>
  </si>
  <si>
    <t>SAS0664604</t>
  </si>
  <si>
    <t>PEUGEOT 406  99- (L=170,D1=21,D2=58)</t>
  </si>
  <si>
    <t>SAS0875275</t>
  </si>
  <si>
    <t>PEUGEOT 405 REAR L/R</t>
  </si>
  <si>
    <t>SAS0875375</t>
  </si>
  <si>
    <t>136.11</t>
  </si>
  <si>
    <t>CITROEN Jumper| FIAT Ducato| PEUGEOT Boxer 94-  (Front, L/R)  (!!!Р±РµР· РІС‚СѓР»РѕРє, SAS0935155)</t>
  </si>
  <si>
    <t>SAS0875395</t>
  </si>
  <si>
    <t>CITROEN Berlingo 7/96-| PEUGEOT Partner 4/96- FRONT L/R</t>
  </si>
  <si>
    <t>SAS0875405</t>
  </si>
  <si>
    <t>237.38</t>
  </si>
  <si>
    <t>CITROEN Saxo,Xantia 03.93-| Peugeot 106 II,406 09.91-  FRONT L/R</t>
  </si>
  <si>
    <t>SAS0875415</t>
  </si>
  <si>
    <t>243.39</t>
  </si>
  <si>
    <t>PEUGEOT 605, 806, Expert FRONT L/R</t>
  </si>
  <si>
    <t>SAS0875455</t>
  </si>
  <si>
    <t>177.65</t>
  </si>
  <si>
    <t>SAS0875485</t>
  </si>
  <si>
    <t>CITROEN C5 03/01-, PEUGEOT 607 FRONT L/R</t>
  </si>
  <si>
    <t>SAS0935155</t>
  </si>
  <si>
    <t>CITROEN Jumper| FIAT Ducato| PEUGEOT 806, Boxer all  94-</t>
  </si>
  <si>
    <t>SAS0945345UN</t>
  </si>
  <si>
    <t>PEUGEOT 405  (d=22mm)</t>
  </si>
  <si>
    <t>SAS0945355UN</t>
  </si>
  <si>
    <t>PEUGEOT 405 II (4B) 1.4,1.6,1.8,1.9 D,2.0,2.0 (d=20mm)</t>
  </si>
  <si>
    <t>SAS0945365</t>
  </si>
  <si>
    <t>21.63</t>
  </si>
  <si>
    <t>PEUGEOT 205 (d=20mm)</t>
  </si>
  <si>
    <t>SAS0945375</t>
  </si>
  <si>
    <t>19.91</t>
  </si>
  <si>
    <t>PEUGEOT 205,309| Citroen AX,C 15,Visa (d=22mm)</t>
  </si>
  <si>
    <t>SAS0945425</t>
  </si>
  <si>
    <t>24.72</t>
  </si>
  <si>
    <t>PEUGEOT 205, 309 GTI/TD 83.02-98.09 (d=17mm) LEFT</t>
  </si>
  <si>
    <t>SAS0945435</t>
  </si>
  <si>
    <t>PEUGEOT 205, 309 GTI/TD 83.02-98.09 (d=17mm) RIGHT</t>
  </si>
  <si>
    <t>SAS0945635</t>
  </si>
  <si>
    <t>71.75</t>
  </si>
  <si>
    <t>PEUGEOT 306 ALL 93.05-00.10 (d=17mm)</t>
  </si>
  <si>
    <t>SAS0945645</t>
  </si>
  <si>
    <t>63.51</t>
  </si>
  <si>
    <t>PEUGEOT 306 ALL 93.05-00.10  (d=18mm)</t>
  </si>
  <si>
    <t>SAS0945655</t>
  </si>
  <si>
    <t>43.60</t>
  </si>
  <si>
    <t>PEUGEOT 306 96-, PARTNER 96- | CITROEN ZX, BERLINGO (21mm)</t>
  </si>
  <si>
    <t>SAS0945695</t>
  </si>
  <si>
    <t>58.01</t>
  </si>
  <si>
    <t>FIAT Scudo| Lancia Zeta| PEUGEOT 806,Expert (d=24mm)</t>
  </si>
  <si>
    <t>SAS0945705</t>
  </si>
  <si>
    <t>60.07</t>
  </si>
  <si>
    <t>PEUGEOT 605 ALL 89.06-99.09 (d=22mm)</t>
  </si>
  <si>
    <t>SAS0945745</t>
  </si>
  <si>
    <t>62.65</t>
  </si>
  <si>
    <t>PEUGEOT 406 1995- (d=23mm)</t>
  </si>
  <si>
    <t>SAS0945775</t>
  </si>
  <si>
    <t>65.74</t>
  </si>
  <si>
    <t>CITROEN Berlingo, PEUGEOT Partner 1998- (d=22mm)</t>
  </si>
  <si>
    <t>SAS0945815</t>
  </si>
  <si>
    <t>75.69</t>
  </si>
  <si>
    <t>PEUGEOT 206 1.1,1.4, 14 HDI, 1.9D 1998- (d=18mm)</t>
  </si>
  <si>
    <t>SAS0945835</t>
  </si>
  <si>
    <t>56.30</t>
  </si>
  <si>
    <t>CITROEN C5 1.8,2.0 01-04  (d=23,5mm)</t>
  </si>
  <si>
    <t>SAS0945875</t>
  </si>
  <si>
    <t>PEUGEOT 307 1.4-1.6 (d=21mm)</t>
  </si>
  <si>
    <t>SAS0945885</t>
  </si>
  <si>
    <t>72.26</t>
  </si>
  <si>
    <t>PEUGEOT 307 2.0 16v/2.0HDi (d=22mm)</t>
  </si>
  <si>
    <t>SAS0945895</t>
  </si>
  <si>
    <t>CITROEN Berlingo,C4 PEUGEOT 307,308,3008, Partner 2005- (d=23mm)</t>
  </si>
  <si>
    <t>SAS1213093</t>
  </si>
  <si>
    <t>1213093   SASIC - РЎР°Р»СЊРЅРёРє</t>
  </si>
  <si>
    <t>22.48</t>
  </si>
  <si>
    <t>CITROEN| PEUGEOT  (40x58x10) (LEFT)</t>
  </si>
  <si>
    <t>SAS1213243</t>
  </si>
  <si>
    <t>1213243   SASIC - РЎР°Р»СЊРЅРёРє</t>
  </si>
  <si>
    <t>93.03</t>
  </si>
  <si>
    <t>CITROEN| PEUGEOT (32x50x10) (RIGHT)</t>
  </si>
  <si>
    <t>SAS1213273</t>
  </si>
  <si>
    <t>1213273   SASIC - РЎР°Р»СЊРЅРёРє</t>
  </si>
  <si>
    <t>45.48</t>
  </si>
  <si>
    <t>CITROEN| PEUGEOT  (40x58x11,3) (LEFT)</t>
  </si>
  <si>
    <t>SAS1213443</t>
  </si>
  <si>
    <t>1213443   SASIC - РЎР°Р»СЊРЅРёРє</t>
  </si>
  <si>
    <t>86.51</t>
  </si>
  <si>
    <t>CITROEN| PEUGEOT (40X58X10) (LEFT)</t>
  </si>
  <si>
    <t>SAS1213463</t>
  </si>
  <si>
    <t>1213463   SASIC - РЎР°Р»СЊРЅРёРє</t>
  </si>
  <si>
    <t>61.45</t>
  </si>
  <si>
    <t>CITROEN| PEUGEOT (29,8x48x11,3 ) (RIGHT)</t>
  </si>
  <si>
    <t>SAS1315475</t>
  </si>
  <si>
    <t>1315475   SASIC - РЎР°Р№Р»РµРЅС‚Р±Р»РѕРє</t>
  </si>
  <si>
    <t>CITROEN Berlingo| PEUGEOT 405, Partner 1987-</t>
  </si>
  <si>
    <t>SAS1315495</t>
  </si>
  <si>
    <t>1315495   SASIC - РџС–РґС€РёРїРЅРёРє</t>
  </si>
  <si>
    <t>272.39</t>
  </si>
  <si>
    <t>CITROEN Xsara, Picasso, Berlingo| PEUGEOT 405, Partner</t>
  </si>
  <si>
    <t>SAS1315525</t>
  </si>
  <si>
    <t>1315525   SASIC - РЎР°Р№Р»РµРЅС‚Р±Р»РѕРє</t>
  </si>
  <si>
    <t>169.58</t>
  </si>
  <si>
    <t>PEUGEOT 605, 607</t>
  </si>
  <si>
    <t>SAS1315565</t>
  </si>
  <si>
    <t>1315565   SASIC - РЎР°Р№Р»РµРЅС‚Р±Р»РѕРє</t>
  </si>
  <si>
    <t>108.13</t>
  </si>
  <si>
    <t>PEUGEOT 605, 607 (12mm)</t>
  </si>
  <si>
    <t>SAS1315725</t>
  </si>
  <si>
    <t>1315725   SASIC - РЎР°Р№Р»РµРЅС‚Р±Р»РѕРє</t>
  </si>
  <si>
    <t>76.55</t>
  </si>
  <si>
    <t>CITROEN Jumper, FIAT Ducato, PEUGEOT Boxer| 03.94- L/R</t>
  </si>
  <si>
    <t>SAS1315935</t>
  </si>
  <si>
    <t>1315935   SASIC - РЎР°Р№Р»РµРЅС‚Р±Р»РѕРє</t>
  </si>
  <si>
    <t>118.95</t>
  </si>
  <si>
    <t>PEUGEOT 206 (17mm)</t>
  </si>
  <si>
    <t>SAS1315945</t>
  </si>
  <si>
    <t>1315945   SASIC - РЎР°Р№Р»РµРЅС‚Р±Р»РѕРє</t>
  </si>
  <si>
    <t>121.52</t>
  </si>
  <si>
    <t>SAS1315955</t>
  </si>
  <si>
    <t>1315955   SASIC - РџС–РґС€РёРїРЅРёРє</t>
  </si>
  <si>
    <t>321.65</t>
  </si>
  <si>
    <t>SAS1315965</t>
  </si>
  <si>
    <t>1315965   SASIC - РџС–РґС€РёРїРЅРёРє</t>
  </si>
  <si>
    <t>CITROEN Berlingo 00- | PEUGEOT Partner 97- | 206 00-, REAR</t>
  </si>
  <si>
    <t>SAS1325605</t>
  </si>
  <si>
    <t>1325605   SASIC - Р’С‚СѓР»РєР° РїС–РґС€РёРїРЅРёРєР° Р±Р°Р»РєРё</t>
  </si>
  <si>
    <t>17.34</t>
  </si>
  <si>
    <t>PEUGEOT 405, Partner| CITROEN Berlingo, 96-</t>
  </si>
  <si>
    <t>SAS1325725</t>
  </si>
  <si>
    <t>1325725   SASIC - РџС–РґС€РёРїРЅРёРє</t>
  </si>
  <si>
    <t>SAS1325735</t>
  </si>
  <si>
    <t>1325735   SASIC - РџС–РґС€РёРїРЅРёРє</t>
  </si>
  <si>
    <t>CITROEN Berlingo| PEUGEOT Partner 96-, REAR</t>
  </si>
  <si>
    <t>SAS1425325</t>
  </si>
  <si>
    <t>1425325   SASIC - РћРїРѕСЂР° СЃС‚С–Р№РєРё Р°РјРѕСЂС‚РёР·Р°С‚РѕСЂР°</t>
  </si>
  <si>
    <t>142.29</t>
  </si>
  <si>
    <t>PEUGEOT 307 03.02- REAR L/R</t>
  </si>
  <si>
    <t>SAS1525615</t>
  </si>
  <si>
    <t>1525615   SASIC - РЎР°Р№Р»РµРЅС‚Р±Р»РѕРє</t>
  </si>
  <si>
    <t>77.41</t>
  </si>
  <si>
    <t>PEUGEOT Expert, CITROEN Jumpy 06.94-  L/R</t>
  </si>
  <si>
    <t>SAS1525625</t>
  </si>
  <si>
    <t>1525625   SASIC - РЎР°Р№Р»РµРЅС‚Р±Р»РѕРє</t>
  </si>
  <si>
    <t>354.95</t>
  </si>
  <si>
    <t>CITROEN Berlingo, PEUGEOT Partner, 1.1-2.0 1996-</t>
  </si>
  <si>
    <t>SAS1615205</t>
  </si>
  <si>
    <t>1615205   SASIC - РћРїРѕСЂР° СЃС‚С–Р№РєРё Р°РјРѕСЂС‚РёР·Р°С‚РѕСЂР°</t>
  </si>
  <si>
    <t>PEUGEOT 406 10.95- REAR L/R</t>
  </si>
  <si>
    <t>SAS1630210</t>
  </si>
  <si>
    <t>1630210   SASIC - РљРѕСЂРѕРє РјР°СЃР»СЏРЅРѕРіРѕ РїС–РґРґРѕРЅР°</t>
  </si>
  <si>
    <t>CITROEN Berlingo, XM V6, C25| PEUGEOT Partner, 104,205,304,305,309,405,505,604,605 (M16x1,5 d=12mm)\n</t>
  </si>
  <si>
    <t>SAS1640020</t>
  </si>
  <si>
    <t>1640020   SASIC - РџСЂРѕРєР»Р°РґРєР°</t>
  </si>
  <si>
    <t>РЅРѕСЂРјР° РІС–РґРіСЂСѓР·РєРё - 10 С€С‚!!! PEUGEOT| RENAULT| CITROEN  (16x22x2)</t>
  </si>
  <si>
    <t>SAS1640540</t>
  </si>
  <si>
    <t>1640540   SASIC - РџСЂРѕРєР»Р°РґРєР°</t>
  </si>
  <si>
    <t>РЅРѕСЂРјР° РІС–РґРіСЂСѓР·РєРё - 10 С€С‚!!! CITROEN| PEUGEOT  (16,7x24x1,5)</t>
  </si>
  <si>
    <t>SAS1645345</t>
  </si>
  <si>
    <t>1645345   SASIC - РћРїРѕСЂР° СЃС‚С–Р№РєРё Р°РјРѕСЂС‚РёР·Р°С‚РѕСЂР°</t>
  </si>
  <si>
    <t>CITROEN C8| PEUGEOT 607, 807, Expert 07.02- REAR L/R</t>
  </si>
  <si>
    <t>SAS1665635</t>
  </si>
  <si>
    <t>1665635   SASIC - Р’С–РґР±С–Р№РЅРёРє Р°РјРѕСЂС‚РёР·Р°С‚РѕСЂР°</t>
  </si>
  <si>
    <t>59.73</t>
  </si>
  <si>
    <t>CITROEN Xsara Picasso, Berlingo| PEUGEOT Partner (h=82mm)</t>
  </si>
  <si>
    <t>SAS1665675</t>
  </si>
  <si>
    <t>1665675   SASIC - Р’С–РґР±С–Р№РЅРёРє Р°РјРѕСЂС‚РёР·Р°С‚РѕСЂР°</t>
  </si>
  <si>
    <t>118.43</t>
  </si>
  <si>
    <t>CITROEN C2, C3 1.1-1.6 16V 02.02-</t>
  </si>
  <si>
    <t>SAS1715095</t>
  </si>
  <si>
    <t>1715095   SASIC - РЎР°Р№Р»РµРЅС‚Р±Р»РѕРє</t>
  </si>
  <si>
    <t>60.93</t>
  </si>
  <si>
    <t>CITROEN Xsara| PEUGEOT 106,205,306,309 II 1987-2005</t>
  </si>
  <si>
    <t>SAS1715105</t>
  </si>
  <si>
    <t>1715105   SASIC - РЎР°Р№Р»РµРЅС‚Р±Р»РѕРє</t>
  </si>
  <si>
    <t>44.45</t>
  </si>
  <si>
    <t>PEUGEOT 106,205,306,309, 1989- | Ciroen Xsara 1.4-2.0, 1997-2005</t>
  </si>
  <si>
    <t>SAS1715115</t>
  </si>
  <si>
    <t>1715115   SASIC - РЎР°Р№Р»РµРЅС‚Р±Р»РѕРє</t>
  </si>
  <si>
    <t>SAS1725425</t>
  </si>
  <si>
    <t>1725425   SASIC - Р’С‚СѓР»РєР° СЃС‚Р°Р±С–Р»С–Р·Р°С‚РѕСЂР°</t>
  </si>
  <si>
    <t>73.12</t>
  </si>
  <si>
    <t>PEUGEOT 406 1.6,1.8 96-04 REAR</t>
  </si>
  <si>
    <t>SAS1725435</t>
  </si>
  <si>
    <t>1725435   SASIC - Р’С‚СѓР»РєР° СЃС‚Р°Р±С–Р»С–Р·Р°С‚РѕСЂР°</t>
  </si>
  <si>
    <t>PEUGEOT 406 REAR (d=22mm)</t>
  </si>
  <si>
    <t>SAS1785385</t>
  </si>
  <si>
    <t>1785385   SASIC - РўСЏРіР° СЃС‚Р°Р±С–Р»С–Р·Р°С‚РѕСЂР°</t>
  </si>
  <si>
    <t>186.40</t>
  </si>
  <si>
    <t>PEUGEOT 406 REAR L/R</t>
  </si>
  <si>
    <t>SAS1785395</t>
  </si>
  <si>
    <t>1785395   SASIC - РўСЏРіР° СЃС‚Р°Р±С–Р»С–Р·Р°С‚РѕСЂР°</t>
  </si>
  <si>
    <t>SAS1900002</t>
  </si>
  <si>
    <t>1900002   SASIC - РџРёР»СЊРѕРІРёРє РїСЂРёРІС–РґРЅРѕРіРѕ РІР°Р»Сѓ</t>
  </si>
  <si>
    <t>209.23</t>
  </si>
  <si>
    <t>CITROEN C4| PEUGEOT 307, 407, 607  02- (INNER)</t>
  </si>
  <si>
    <t>SAS1900004</t>
  </si>
  <si>
    <t>1900004   SASIC - РџРёР»СЊРѕРІРёРє РїСЂРёРІС–РґРЅРѕРіРѕ РІР°Р»Сѓ</t>
  </si>
  <si>
    <t>241.33</t>
  </si>
  <si>
    <t>PEUGEOT Boxer, FiIAT Ducato, CITROEN Jumper (OUTER)</t>
  </si>
  <si>
    <t>SAS1900009</t>
  </si>
  <si>
    <t>1900009   SASIC - РџРёР»СЊРѕРІРёРє РїСЂРёРІС–РґРЅРѕРіРѕ РІР°Р»Сѓ</t>
  </si>
  <si>
    <t>208.03</t>
  </si>
  <si>
    <t>CITROEN C2| C3 (OUTER)</t>
  </si>
  <si>
    <t>SAS1900012</t>
  </si>
  <si>
    <t>1900012   SASIC - РџРёР»СЊРѕРІРёРє РїСЂРёРІС–РґРЅРѕРіРѕ РІР°Р»Сѓ</t>
  </si>
  <si>
    <t>204.94</t>
  </si>
  <si>
    <t>CITROEN C5 03.01-08.04 (INNER)</t>
  </si>
  <si>
    <t>SAS1900016</t>
  </si>
  <si>
    <t>1900016   SASIC - РџРёР»СЊРѕРІРёРє РїСЂРёРІС–РґРЅРѕРіРѕ РІР°Р»Сѓ</t>
  </si>
  <si>
    <t>214.89</t>
  </si>
  <si>
    <t>CITROEN C8 02-, PEUGEOT 807/Expert 02- (L=110,D1=26,D2=84) (OUTER)</t>
  </si>
  <si>
    <t>SAS1904003</t>
  </si>
  <si>
    <t>1904003   SASIC - РџРёР»СЊРѕРІРёРє РїСЂРёРІС–РґРЅРѕРіРѕ РІР°Р»Сѓ</t>
  </si>
  <si>
    <t>199.62</t>
  </si>
  <si>
    <t>RENAULT Trafic II 03.01- (OUTER)</t>
  </si>
  <si>
    <t>SAS1904006</t>
  </si>
  <si>
    <t>1904006   SASIC - РџРёР»СЊРѕРІРёРє РїСЂРёРІС–РґРЅРѕРіРѕ РІР°Р»Сѓ</t>
  </si>
  <si>
    <t>284.06</t>
  </si>
  <si>
    <t>RENAULT Espace III 2.2 dCi 00-  (L=190,D1=23,D2=81.5) (INNER)</t>
  </si>
  <si>
    <t>SAS1904008</t>
  </si>
  <si>
    <t>1904008   SASIC - РџРёР»СЊРѕРІРёРє РїСЂРёРІС–РґРЅРѕРіРѕ РІР°Р»Сѓ</t>
  </si>
  <si>
    <t>164.77</t>
  </si>
  <si>
    <t>DACIA Duster| RENAULT Clio III 1.2-1.6 09-  (outer L/R)</t>
  </si>
  <si>
    <t>SAS1904013</t>
  </si>
  <si>
    <t>1904013   SASIC - РџРёР»СЊРѕРІРёРє РїСЂРёРІС–РґРЅРѕРіРѕ РІР°Р»Сѓ</t>
  </si>
  <si>
    <t>208.89</t>
  </si>
  <si>
    <t>RENAULT Clio 2.0I  06-, Kangoo 1.5DCI  05-  (OUTER)</t>
  </si>
  <si>
    <t>SAS1904017</t>
  </si>
  <si>
    <t>1904017   SASIC - РџРёР»СЊРѕРІРёРє РїСЂРёРІС–РґРЅРѕРіРѕ РІР°Р»Сѓ</t>
  </si>
  <si>
    <t>RENAULT Megane 1.4, 1.5DCI 09- (INNER) С‚РµСЂРјРѕРїР»Р°СЃС‚</t>
  </si>
  <si>
    <t>SAS1904020</t>
  </si>
  <si>
    <t>1904020   SASIC - РџРёР»СЊРѕРІРёРє РїСЂРёРІС–РґРЅРѕРіРѕ РІР°Р»Сѓ</t>
  </si>
  <si>
    <t>184.17</t>
  </si>
  <si>
    <t xml:space="preserve">RENAULT Laguna 07-, Duster 1.6I, 1.5DCI  10- </t>
  </si>
  <si>
    <t>SAS1904023</t>
  </si>
  <si>
    <t>1904023   SASIC - РџРёР»СЊРѕРІРёРє РїСЂРёРІС–РґРЅРѕРіРѕ РІР°Р»Сѓ</t>
  </si>
  <si>
    <t>RENAULT Megane II 03-09| DACIA Logan 04- (INNER)</t>
  </si>
  <si>
    <t>SAS1904035</t>
  </si>
  <si>
    <t>1904035   SASIC - РџРёР»СЊРѕРІРёРє РїСЂРёРІС–РґРЅРѕРіРѕ РІР°Р»Сѓ</t>
  </si>
  <si>
    <t>154.82</t>
  </si>
  <si>
    <t>DACIA Logan 04-| RENAULT Clio 98-</t>
  </si>
  <si>
    <t>SAS1904037</t>
  </si>
  <si>
    <t>1904037   SASIC - РџРёР»СЊРѕРІРёРє РїСЂРёРІС–РґРЅРѕРіРѕ РІР°Р»Сѓ</t>
  </si>
  <si>
    <t>144.86</t>
  </si>
  <si>
    <t>RENAULT LAGUNA 1.6, 1.5DCI 07-  (L/R) inner</t>
  </si>
  <si>
    <t>SAS1904038</t>
  </si>
  <si>
    <t>1904038   SASIC - РџРёР»СЊРѕРІРёРє РїСЂРёРІС–РґРЅРѕРіРѕ РІР°Р»Сѓ</t>
  </si>
  <si>
    <t>201.51</t>
  </si>
  <si>
    <t>RENAULT Kangoo 08-, (L/R) (OUTER)</t>
  </si>
  <si>
    <t>SAS1904039</t>
  </si>
  <si>
    <t>1904039   SASIC - РџРёР»СЊРѕРІРёРє РїСЂРёРІС–РґРЅРѕРіРѕ РІР°Р»Сѓ</t>
  </si>
  <si>
    <t>202.36</t>
  </si>
  <si>
    <t>RENAULT Master II 2.5 dCi  06-  (INNER)</t>
  </si>
  <si>
    <t>SAS1904040</t>
  </si>
  <si>
    <t>1904040   SASIC - РџРёР»СЊРѕРІРёРє РїСЂРёРІС–РґРЅРѕРіРѕ РІР°Р»Сѓ</t>
  </si>
  <si>
    <t>DACIA Duster| RENAULT Megane, Scenic 1.2-1.9DCI  09-  (outer)</t>
  </si>
  <si>
    <t>SAS1906005</t>
  </si>
  <si>
    <t>1906005   SASIC - РџРёР»СЊРѕРІРёРє РїСЂРёРІС–РґРЅРѕРіРѕ РІР°Р»Сѓ</t>
  </si>
  <si>
    <t>FIAT Doblo, Punto II, Grande Punto: LANCIA Musa, Ypsilon 03- (L=120, d1=24,5, d2=83)</t>
  </si>
  <si>
    <t>SAS1906024</t>
  </si>
  <si>
    <t>1906024   SASIC - РџРёР»СЊРѕРІРёРє РїСЂРёРІС–РґРЅРѕРіРѕ РІР°Р»Сѓ</t>
  </si>
  <si>
    <t>163.06</t>
  </si>
  <si>
    <t>VW Golf V 1.4FSI 03-, SKODA Octavia 1.4 04-(L=85,D1=23,D2=69)</t>
  </si>
  <si>
    <t>SAS1906025</t>
  </si>
  <si>
    <t>1906025   SASIC - РџРёР»СЊРѕРІРёРє РїСЂРёРІС–РґРЅРѕРіРѕ РІР°Р»Сѓ</t>
  </si>
  <si>
    <t>133.54</t>
  </si>
  <si>
    <t>VW Bora,Caddy III, Passat, 1.9 Tdi/2.0TDi, 05.00- (INNER)</t>
  </si>
  <si>
    <t>SAS1906041</t>
  </si>
  <si>
    <t>1906041   SASIC - РџРёР»СЊРѕРІРёРє РїСЂРёРІС–РґРЅРѕРіРѕ РІР°Р»Сѓ</t>
  </si>
  <si>
    <t>216.61</t>
  </si>
  <si>
    <t>AUDI A4 2.0 00-, Passat 1.9TDI/2.8V6  96-00| (L=112,D1=26,D2=86) (thermoplast)</t>
  </si>
  <si>
    <t>SAS1954001</t>
  </si>
  <si>
    <t>1954001   SASIC - РЎР°Р»СЊРЅРёРє</t>
  </si>
  <si>
    <t>DACIA Duster, Logan, Sandero| RENAULT Clio, Kangoo, Laguna (80X100X8)</t>
  </si>
  <si>
    <t>SAS1964003</t>
  </si>
  <si>
    <t>1964003   SASIC - Р—Р°РіР»СѓС€РєР°</t>
  </si>
  <si>
    <t>138.86</t>
  </si>
  <si>
    <t xml:space="preserve">OPEL Movano, Vivaro| RENAULT Kangoo, Laguna, Megane I, II, Trafic II 1.4-2.5D  97- </t>
  </si>
  <si>
    <t>SAS2001026</t>
  </si>
  <si>
    <t>2001026   SASIC - Р’С–РґР±С–Р№РЅРёРє Р°РјРѕСЂС‚РёР·Р°С‚РѕСЂР°</t>
  </si>
  <si>
    <t>116.37</t>
  </si>
  <si>
    <t>CITROEN Berlingo| PEUGEOT Partner 06.96- (h=74mm)</t>
  </si>
  <si>
    <t>SAS2005250</t>
  </si>
  <si>
    <t>2005250   SASIC - РЎР°Р№Р»РµРЅС‚Р±Р»РѕРє</t>
  </si>
  <si>
    <t>36.39</t>
  </si>
  <si>
    <t>PEUGEOT 306, Partner| CITROEN Berlingo, ZX</t>
  </si>
  <si>
    <t>SAS2005256</t>
  </si>
  <si>
    <t>2005256   SASIC - РЎР°Р№Р»РµРЅС‚Р±Р»РѕРє</t>
  </si>
  <si>
    <t>CITROEN Bx, 88-93 front L/R</t>
  </si>
  <si>
    <t>SAS2006021</t>
  </si>
  <si>
    <t>2006021   SASIC - РўСЏРіР° РєРµСЂРјРѕРІР°</t>
  </si>
  <si>
    <t>CITROEN ZX 91-97, Xsara 97- L/R</t>
  </si>
  <si>
    <t>SAS2006170</t>
  </si>
  <si>
    <t>2006170   SASIC - РџРёР»СЊРѕРІРёРє РєРµСЂРјРѕРІРѕС— С‚СЏРіРё</t>
  </si>
  <si>
    <t>105.90</t>
  </si>
  <si>
    <t>CITROEN Jumper 02.94-, FIAT Ducato 03.94-, PEUGEOT Boxer 03.94- RIGHT</t>
  </si>
  <si>
    <t>SAS2105205</t>
  </si>
  <si>
    <t>2105205   SASIC - РћРїРѕСЂР° СЃС‚С–Р№РєРё Р°РјРѕСЂС‚РёР·Р°С‚РѕСЂР°</t>
  </si>
  <si>
    <t>CITROEN C25, FIAT Ducato, PEUGEOT J5 82.07-94.03</t>
  </si>
  <si>
    <t>SAS2250002</t>
  </si>
  <si>
    <t>2250002   SASIC - РЎР°Р№Р»РµРЅС‚Р±Р»РѕРє</t>
  </si>
  <si>
    <t>CITROEN C5 2008-, C6 2005-| PEUGEOT 407 2004-</t>
  </si>
  <si>
    <t>SAS2250004</t>
  </si>
  <si>
    <t>2250004   SASIC - РЎР°Р№Р»РµРЅС‚Р±Р»РѕРє</t>
  </si>
  <si>
    <t>124.95</t>
  </si>
  <si>
    <t>CITROEN Jumper, PEUGEOT Boxer III| 2.2HDI/3.0HDI| 07.06-</t>
  </si>
  <si>
    <t>SAS2250005</t>
  </si>
  <si>
    <t>2250005   SASIC - РЎР°Р№Р»РµРЅС‚Р±Р»РѕРє</t>
  </si>
  <si>
    <t>CITROEN Jumper, FIAT Ducato, PEUGEOT Boxer 2006-</t>
  </si>
  <si>
    <t>SAS2250008</t>
  </si>
  <si>
    <t>2250008   SASIC - РЎР°Р№Р»РµРЅС‚Р±Р»РѕРє</t>
  </si>
  <si>
    <t>232.23</t>
  </si>
  <si>
    <t>PEUGEOT 407  04-, 508  10-, 508 SW  10-</t>
  </si>
  <si>
    <t>SAS2250011</t>
  </si>
  <si>
    <t>2250011   SASIC - РЎР°Р№Р»РµРЅС‚Р±Р»РѕРє</t>
  </si>
  <si>
    <t>CITROEN C5,C6| all| 03.08-</t>
  </si>
  <si>
    <t>SAS2250012</t>
  </si>
  <si>
    <t>2250012   SASIC - РЎР°Р№Р»РµРЅС‚Р±Р»РѕРє</t>
  </si>
  <si>
    <t>99.04</t>
  </si>
  <si>
    <t>CITROEN C3, PEUGEOT 207, 208| 1.4/1.6/1.6HDI| 11.07-</t>
  </si>
  <si>
    <t>SAS2250013</t>
  </si>
  <si>
    <t>2250013   SASIC - РЎР°Р№Р»РµРЅС‚Р±Р»РѕРє</t>
  </si>
  <si>
    <t>CITROEN C5/C6, PEUGEOT 407, 508</t>
  </si>
  <si>
    <t>SAS2254002</t>
  </si>
  <si>
    <t>2254002   SASIC - РЎР°Р№Р»РµРЅС‚Р±Р»РѕРє</t>
  </si>
  <si>
    <t>115.86</t>
  </si>
  <si>
    <t>SAS2254003</t>
  </si>
  <si>
    <t>2254003   SASIC - РЎР°Р№Р»РµРЅС‚Р±Р»РѕРє</t>
  </si>
  <si>
    <t>115.00</t>
  </si>
  <si>
    <t>SAS2254008</t>
  </si>
  <si>
    <t>2254008   SASIC - РЎР°Р№Р»РµРЅС‚Р±Р»РѕРє</t>
  </si>
  <si>
    <t>OPEL Vivaro, RENAULT Espace, Trafic II| 1.9D-3.5| 05.01- (rear)</t>
  </si>
  <si>
    <t>SAS2254010</t>
  </si>
  <si>
    <t>2254010   SASIC - РЎР°Р№Р»РµРЅС‚Р±Р»РѕРє</t>
  </si>
  <si>
    <t>253.34</t>
  </si>
  <si>
    <t>RENAULT Megane III, Fluence, Scenic  08-  (front L/R rear)</t>
  </si>
  <si>
    <t>SAS2254015</t>
  </si>
  <si>
    <t>2254015   SASIC - РЎР°Р№Р»РµРЅС‚Р±Р»РѕРє</t>
  </si>
  <si>
    <t>127.19</t>
  </si>
  <si>
    <t>DACIA Duster 1.6, 1.5dCi  04.10-  (F/R, L/R)</t>
  </si>
  <si>
    <t>SAS2254018</t>
  </si>
  <si>
    <t>2254018   SASIC - РЎР°Р№Р»РµРЅС‚Р±Р»РѕРє</t>
  </si>
  <si>
    <t>147.10</t>
  </si>
  <si>
    <t>RENAULT Kangoo 1.2, 1.5DCI, 1.6  08- (front arm rear L/R)</t>
  </si>
  <si>
    <t>SAS2256009</t>
  </si>
  <si>
    <t>2256009   SASIC - РЎР°Р№Р»РµРЅС‚Р±Р»РѕРє</t>
  </si>
  <si>
    <t>CITROEN Nemo, FIAT Qubo, Grande Punto, PEUGEOT Bipper| 1.4D/1.6|  05-</t>
  </si>
  <si>
    <t>SAS2256015</t>
  </si>
  <si>
    <t>2256015   SASIC - РЎР°Р№Р»РµРЅС‚Р±Р»РѕРє</t>
  </si>
  <si>
    <t>SAS2256017</t>
  </si>
  <si>
    <t>2256017   SASIC - РЎР°Р№Р»РµРЅС‚Р±Р»РѕРє</t>
  </si>
  <si>
    <t>SAS2256028</t>
  </si>
  <si>
    <t>2256028   SASIC - РЎР°Р№Р»РµРЅС‚Р±Р»РѕРє</t>
  </si>
  <si>
    <t>MB Vito 1996-, Viano 2003-|  FRONT L/R</t>
  </si>
  <si>
    <t>SAS2256032</t>
  </si>
  <si>
    <t>2256032   SASIC - РЎР°Р№Р»РµРЅС‚Р±Р»РѕРє</t>
  </si>
  <si>
    <t>90.80</t>
  </si>
  <si>
    <t>FIAT Grande Punto, OPEL Corsa D 1.0-1.9D 10.05- FRONT L/R</t>
  </si>
  <si>
    <t>SAS2256038</t>
  </si>
  <si>
    <t>2256038   SASIC - РЎР°Р№Р»РµРЅС‚Р±Р»РѕРє</t>
  </si>
  <si>
    <t>SEAT Cordoba, SKODA Fabia, VW Polo| 1.2-1.9TDI| 04.00- FRONT L/R</t>
  </si>
  <si>
    <t>SAS2256049</t>
  </si>
  <si>
    <t>2256049   SASIC - РЎР°Р№Р»РµРЅС‚Р±Р»РѕРє</t>
  </si>
  <si>
    <t>180.74</t>
  </si>
  <si>
    <t>FORD Transit  00-, front L/R rear</t>
  </si>
  <si>
    <t>SAS2256050</t>
  </si>
  <si>
    <t>2256050   SASIC - РЎР°Р№Р»РµРЅС‚Р±Р»РѕРє</t>
  </si>
  <si>
    <t>118.09</t>
  </si>
  <si>
    <t>AUDI Q7, VW Touareg| PORCHE Cayenne 02-, front arm front  (L/R)</t>
  </si>
  <si>
    <t>SAS2300001</t>
  </si>
  <si>
    <t>2300001   SASIC - Р’С‚СѓР»РєР° СЃС‚Р°Р±С–Р»С–Р·Р°С‚РѕСЂР°</t>
  </si>
  <si>
    <t>66.94</t>
  </si>
  <si>
    <t>CITROEN C2| 1.1/1.4/1.4HDI| 05.04- (d=18mm) FRONT</t>
  </si>
  <si>
    <t>SAS2300005</t>
  </si>
  <si>
    <t>2300005   SASIC - Р’С‚СѓР»РєР° СЃС‚Р°Р±С–Р»С–Р·Р°С‚РѕСЂР°</t>
  </si>
  <si>
    <t>79.64</t>
  </si>
  <si>
    <t>SAS2300006</t>
  </si>
  <si>
    <t>2300006   SASIC - Р’С‚СѓР»РєР° СЃС‚Р°Р±С–Р»С–Р·Р°С‚РѕСЂР°</t>
  </si>
  <si>
    <t>CITROEN C2, PEUGEOT 206| all| 09.98- (d=21mm)</t>
  </si>
  <si>
    <t>SAS2300011</t>
  </si>
  <si>
    <t>2300011   SASIC - РўСЏРіР° СЃС‚Р°Р±С–Р»С–Р·Р°С‚РѕСЂР°</t>
  </si>
  <si>
    <t>CITROEN C5 09/04-, C6 09/05-| PEUGEOT 407 05/04- FRONT LEFT</t>
  </si>
  <si>
    <t>SAS2300026</t>
  </si>
  <si>
    <t>2300026   SASIC - Р’С‚СѓР»РєР° СЃС‚Р°Р±С–Р»С–Р·Р°С‚РѕСЂР°</t>
  </si>
  <si>
    <t>160.83</t>
  </si>
  <si>
    <t>CITROEN C2, C3 1.4-1.6 05.2002- (d=19mm)</t>
  </si>
  <si>
    <t>SAS2300027</t>
  </si>
  <si>
    <t>2300027   SASIC - Р’С‚СѓР»РєР° СЃС‚Р°Р±С–Р»С–Р·Р°С‚РѕСЂР°</t>
  </si>
  <si>
    <t>57.16</t>
  </si>
  <si>
    <t>CITROEN C4, PEUGEOT 308, RCZ| 1.6-2.0HDI| 09.07- (d=22,5mm)</t>
  </si>
  <si>
    <t>SAS2300029</t>
  </si>
  <si>
    <t>2300029   SASIC - РўСЏРіР° СЃС‚Р°Р±С–Р»С–Р·Р°С‚РѕСЂР°</t>
  </si>
  <si>
    <t>223.99</t>
  </si>
  <si>
    <t>SAS2300033</t>
  </si>
  <si>
    <t>2300033   SASIC - Р’С‚СѓР»РєР° СЃС‚Р°Р±С–Р»С–Р·Р°С‚РѕСЂР°</t>
  </si>
  <si>
    <t>296.25</t>
  </si>
  <si>
    <t>PEUGEOT 407 2004- REAR</t>
  </si>
  <si>
    <t>SAS2300034</t>
  </si>
  <si>
    <t>2300034   SASIC - Р’С‚СѓР»РєР° СЃС‚Р°Р±С–Р»С–Р·Р°С‚РѕСЂР°</t>
  </si>
  <si>
    <t>CITROEN Berlingo, PEUGEOT Partner 1.6, 1.6HDI 08- (d=22,5mm)</t>
  </si>
  <si>
    <t>SAS2300035</t>
  </si>
  <si>
    <t>2300035   SASIC - Р’С‚СѓР»РєР° СЃС‚Р°Р±С–Р»С–Р·Р°С‚РѕСЂР°</t>
  </si>
  <si>
    <t>57.50</t>
  </si>
  <si>
    <t>CITROEN C4, DS4, Berlingo| Peugeot Partner 1.4,1.6,1.6HDI 2000- (d=24,5mm) FRONT</t>
  </si>
  <si>
    <t>SAS2300038</t>
  </si>
  <si>
    <t>2300038   SASIC - Р’С‚СѓР»РєР° СЃС‚Р°Р±С–Р»С–Р·Р°С‚РѕСЂР°</t>
  </si>
  <si>
    <t>CITROEN Jumper| FIAT Ducato| PEUGEOT Boxer  2.2HDi-3.0Hdi 04.02-  (Front, L/R)</t>
  </si>
  <si>
    <t>SAS2300041</t>
  </si>
  <si>
    <t>2300041   SASIC - Р’С‚СѓР»РєР° СЃС‚Р°Р±С–Р»С–Р·Р°С‚РѕСЂР°</t>
  </si>
  <si>
    <t>CITROEN Nemo| PEUGEOT Bipper| FIAT Qubo, Fiorino 1.3D, 1.4|  08-  FRONT (d=21mm)</t>
  </si>
  <si>
    <t>SAS2300043</t>
  </si>
  <si>
    <t>2300043   SASIC - Р’С‚СѓР»РєР° СЃС‚Р°Р±С–Р»С–Р·Р°С‚РѕСЂР°</t>
  </si>
  <si>
    <t>CITROEN Nemo| PEUGEOT Bipper 1.3HDi, 1.4, 1.4HDi  08-  (Front, L/R) d=20mm</t>
  </si>
  <si>
    <t>SAS2300044</t>
  </si>
  <si>
    <t>2300044   SASIC - Р’С‚СѓР»РєР° СЃС‚Р°Р±С–Р»С–Р·Р°С‚РѕСЂР°</t>
  </si>
  <si>
    <t>CITROEN C1| PEUGEOT 107| TOYOTA Aygo, 1.0, 1.4HDI  05-  (Front)</t>
  </si>
  <si>
    <t>SAS2300045</t>
  </si>
  <si>
    <t>2300045   SASIC - Р’С‚СѓР»РєР° СЃС‚Р°Р±С–Р»С–Р·Р°С‚РѕСЂР°</t>
  </si>
  <si>
    <t>CITROEN Jumpy| FIAT Scudo| PEUGEOT Expert 1.6D, 2.0D 07- (d=25mm ) (FRONT)</t>
  </si>
  <si>
    <t>SAS2300046</t>
  </si>
  <si>
    <t>2300046   SASIC - Р’С‚СѓР»РєР° СЃС‚Р°Р±С–Р»С–Р·Р°С‚РѕСЂР°</t>
  </si>
  <si>
    <t>32.27</t>
  </si>
  <si>
    <t>MITSUBISHI Outlander II 2.0DI-D, 2.2DI-D, 3.0 4WD 06-  (Rear, L/R)</t>
  </si>
  <si>
    <t>SAS2300051</t>
  </si>
  <si>
    <t>2300051   SASIC - Р’С‚СѓР»РєР° СЃС‚Р°Р±С–Р»С–Р·Р°С‚РѕСЂР°</t>
  </si>
  <si>
    <t>50.98</t>
  </si>
  <si>
    <t>CITROEN C-Elysee 1.2, 1.6, 1.6D  12-  (Front, L/R)  18mm</t>
  </si>
  <si>
    <t>SAS2304005</t>
  </si>
  <si>
    <t>2304005   SASIC - Р’С‚СѓР»РєР° СЃС‚Р°Р±С–Р»С–Р·Р°С‚РѕСЂР°</t>
  </si>
  <si>
    <t>RENAULT Clio II, Megane| 05.98- FRONT</t>
  </si>
  <si>
    <t>SAS2304006</t>
  </si>
  <si>
    <t>2304006   SASIC - Р’С‚СѓР»РєР° СЃС‚Р°Р±С–Р»С–Р·Р°С‚РѕСЂР°</t>
  </si>
  <si>
    <t>RENAULT Megane II| 1.4-2.0| 11.02- (d=18,5mm) FRONT</t>
  </si>
  <si>
    <t>SAS2304007</t>
  </si>
  <si>
    <t>2304007   SASIC - Р’С‚СѓР»РєР° СЃС‚Р°Р±С–Р»С–Р·Р°С‚РѕСЂР°</t>
  </si>
  <si>
    <t>19.40</t>
  </si>
  <si>
    <t>OPEL Movano, RENAULT Master II 1.9D-3.0D 07.98- (d=22,4mm) FRONT</t>
  </si>
  <si>
    <t>SAS2304015</t>
  </si>
  <si>
    <t>2304015   SASIC - Р’С‚СѓР»РєР° СЃС‚Р°Р±С–Р»С–Р·Р°С‚РѕСЂР°</t>
  </si>
  <si>
    <t>31.58</t>
  </si>
  <si>
    <t>RENAULT Clio III all  05-  (d=20mm)  (Front, L/R)</t>
  </si>
  <si>
    <t>SAS2304016</t>
  </si>
  <si>
    <t>2304016   SASIC - Р’С‚СѓР»РєР° СЃС‚Р°Р±С–Р»С–Р·Р°С‚РѕСЂР°</t>
  </si>
  <si>
    <t>RENAULT Scenic II 04-  (d=21mm)  (Front, L/R)</t>
  </si>
  <si>
    <t>SAS2304019</t>
  </si>
  <si>
    <t>2304019   SASIC - РўСЏРіР° СЃС‚Р°Р±С–Р»С–Р·Р°С‚РѕСЂР°</t>
  </si>
  <si>
    <t>RENAULT Megane III| 1.4-2.0| 11.08-  FRONT L/R</t>
  </si>
  <si>
    <t>SAS2304020</t>
  </si>
  <si>
    <t>2304020   SASIC - Р’С‚СѓР»РєР° СЃС‚Р°Р±С–Р»С–Р·Р°С‚РѕСЂР°</t>
  </si>
  <si>
    <t>RENAULT Kangoo II 1.5dCi, 1.6 2008- FRONT</t>
  </si>
  <si>
    <t>SAS2304022</t>
  </si>
  <si>
    <t>2304022   SASIC - Р’С‚СѓР»РєР° СЃС‚Р°Р±С–Р»С–Р·Р°С‚РѕСЂР°</t>
  </si>
  <si>
    <t>44.97</t>
  </si>
  <si>
    <t>RENAULT Kangoo II 1.5dCi, 1.6 2008-  FRONT</t>
  </si>
  <si>
    <t>SAS2304025</t>
  </si>
  <si>
    <t>2304025   SASIC - Р’С‚СѓР»РєР° СЃС‚Р°Р±С–Р»С–Р·Р°С‚РѕСЂР°</t>
  </si>
  <si>
    <t>133.19</t>
  </si>
  <si>
    <t>RENAULT Laguna III 10.07- (Front, L/R)</t>
  </si>
  <si>
    <t>SAS2304026</t>
  </si>
  <si>
    <t>2304026   SASIC - Р’С‚СѓР»РєР° СЃС‚Р°Р±С–Р»С–Р·Р°С‚РѕСЂР°</t>
  </si>
  <si>
    <t>35.19</t>
  </si>
  <si>
    <t>DACIA Duster 1.5dCi, 1.6 16V 04.10-  FRONT</t>
  </si>
  <si>
    <t>SAS2304028</t>
  </si>
  <si>
    <t>2304028   SASIC - Р’С‚СѓР»РєР° СЃС‚Р°Р±С–Р»С–Р·Р°С‚РѕСЂР°</t>
  </si>
  <si>
    <t>33.81</t>
  </si>
  <si>
    <t>RENAULT Clio III, Clio Grandtour 1.2-2.0 2005-  FRONT (d=20mm)</t>
  </si>
  <si>
    <t>SAS2304030</t>
  </si>
  <si>
    <t>2304030   SASIC - РўСЏРіР° СЃС‚Р°Р±С–Р»С–Р·Р°С‚РѕСЂР°</t>
  </si>
  <si>
    <t>200.65</t>
  </si>
  <si>
    <t>OPEL Movano 10-| RENAULT Master 10-  (Front, L/R)</t>
  </si>
  <si>
    <t>SAS2304032</t>
  </si>
  <si>
    <t>2304032   SASIC - Р’С‚СѓР»РєР° СЃС‚Р°Р±С–Р»С–Р·Р°С‚РѕСЂР°</t>
  </si>
  <si>
    <t>RENAULT Megane III 1.2-2.0 08-  (Front)</t>
  </si>
  <si>
    <t>SAS2304035</t>
  </si>
  <si>
    <t>2304035   SASIC - Р’С‚СѓР»РєР° СЃС‚Р°Р±С–Р»С–Р·Р°С‚РѕСЂР°</t>
  </si>
  <si>
    <t>32.78</t>
  </si>
  <si>
    <t>OPEL Movano B| RENAULT Master III 2.3D 02.10-   (Front, L/R) RWD</t>
  </si>
  <si>
    <t>SAS2304040</t>
  </si>
  <si>
    <t>2304040   SASIC - РўСЏРіР° СЃС‚Р°Р±С–Р»С–Р·Р°С‚РѕСЂР°</t>
  </si>
  <si>
    <t>261.58</t>
  </si>
  <si>
    <t>OPEL Movano B| RENAULT Master III 2.3D  10-  (Rear, L/R)</t>
  </si>
  <si>
    <t>SAS2304042</t>
  </si>
  <si>
    <t>2304042   SASIC - Р’С‚СѓР»РєР° СЃС‚Р°Р±С–Р»С–Р·Р°С‚РѕСЂР°</t>
  </si>
  <si>
    <t>OPEL Movano B| RENAULT Master III 2.3D  10-  (Rear, L/R) d=29mm</t>
  </si>
  <si>
    <t>SAS2306014</t>
  </si>
  <si>
    <t>2306014   SASIC - Р’С‚СѓР»РєР° СЃС‚Р°Р±С–Р»С–Р·Р°С‚РѕСЂР°</t>
  </si>
  <si>
    <t>VW Golf V 1.4-3.2| SKODA Octavia| SEAT Altea 11.03-  (d=21,7mm) REAR</t>
  </si>
  <si>
    <t>SAS2306018</t>
  </si>
  <si>
    <t>2306018   SASIC - Р’С‚СѓР»РєР° СЃС‚Р°Р±С–Р»С–Р·Р°С‚РѕСЂР°</t>
  </si>
  <si>
    <t>18.19</t>
  </si>
  <si>
    <t>SKODA Fabia, VW Polo| 1.2-1.9TDI  02- (d=19mm) FRONT</t>
  </si>
  <si>
    <t>SAS2306029</t>
  </si>
  <si>
    <t>2306029   SASIC - РўСЏРіР° СЃС‚Р°Р±С–Р»С–Р·Р°С‚РѕСЂР°</t>
  </si>
  <si>
    <t>FORD Focus 1.4-2.0 16V  98-04  (Rear, L/R)</t>
  </si>
  <si>
    <t>SAS2306033</t>
  </si>
  <si>
    <t>2306033   SASIC - Р’С‚СѓР»РєР° СЃС‚Р°Р±С–Р»С–Р·Р°С‚РѕСЂР°</t>
  </si>
  <si>
    <t>FORD Mondeo 1.8, 2.0 93-00  (Front)</t>
  </si>
  <si>
    <t>SAS2306041</t>
  </si>
  <si>
    <t>2306041   SASIC - РўСЏРіР° СЃС‚Р°Р±С–Р»С–Р·Р°С‚РѕСЂР°</t>
  </si>
  <si>
    <t>201.85</t>
  </si>
  <si>
    <t>MB Vito| 2.0-2.8| 09.96- FRONT RIGHT</t>
  </si>
  <si>
    <t>SAS2306042</t>
  </si>
  <si>
    <t>2306042   SASIC - РўСЏРіР° СЃС‚Р°Р±С–Р»С–Р·Р°С‚РѕСЂР°</t>
  </si>
  <si>
    <t>MB Vito| 2.0-2.8| 09.96- FRONT LEFT</t>
  </si>
  <si>
    <t>SAS2306043</t>
  </si>
  <si>
    <t>2306043   SASIC - РўСЏРіР° СЃС‚Р°Р±С–Р»С–Р·Р°С‚РѕСЂР°</t>
  </si>
  <si>
    <t>284.92</t>
  </si>
  <si>
    <t>MB Vito| 2.2CDI-3.7| 10.03- FRONT RIGHT</t>
  </si>
  <si>
    <t>SAS2306044</t>
  </si>
  <si>
    <t>2306044   SASIC - РўСЏРіР° СЃС‚Р°Р±С–Р»С–Р·Р°С‚РѕСЂР°</t>
  </si>
  <si>
    <t>281.15</t>
  </si>
  <si>
    <t>MB Vito| 2.2CDI-3.7| 10.03- FRONT LEFT</t>
  </si>
  <si>
    <t>SAS2306052</t>
  </si>
  <si>
    <t>2306052   SASIC - РўСЏРіР° СЃС‚Р°Р±С–Р»С–Р·Р°С‚РѕСЂР°</t>
  </si>
  <si>
    <t>OPEL Vectra C 1.8-3.0D  02-  (Front, L/R)</t>
  </si>
  <si>
    <t>SAS2306089</t>
  </si>
  <si>
    <t>2306089   SASIC - Р’С‚СѓР»РєР° СЃС‚Р°Р±С–Р»С–Р·Р°С‚РѕСЂР°</t>
  </si>
  <si>
    <t>38.45</t>
  </si>
  <si>
    <t>OPEL Astra H, Meriva B, Vectra C, Zafira B 1.3CDTI-3.2 V6  02-  (Front, L/R) РЅРёР¶РЅСЏ (24mm)</t>
  </si>
  <si>
    <t>SAS2306100</t>
  </si>
  <si>
    <t>2306100   SASIC - Р’С‚СѓР»РєР° СЃС‚Р°Р±С–Р»С–Р·Р°С‚РѕСЂР°</t>
  </si>
  <si>
    <t>24.20</t>
  </si>
  <si>
    <t>MB 601 77-96, 611 82-95, Sprinter 96-|  VW LT28, LT35 97-, (Rear, L/R)</t>
  </si>
  <si>
    <t>SAS2306102</t>
  </si>
  <si>
    <t>2306102   SASIC - Р’С‚СѓР»РєР° СЃС‚Р°Р±С–Р»С–Р·Р°С‚РѕСЂР°</t>
  </si>
  <si>
    <t>MB Sprinter, VW LT II  95-06 (d=13,5mm)  (Front, L/R)</t>
  </si>
  <si>
    <t>SAS2306104</t>
  </si>
  <si>
    <t>2306104   SASIC - Р’С‚СѓР»РєР° СЃС‚Р°Р±С–Р»С–Р·Р°С‚РѕСЂР°</t>
  </si>
  <si>
    <t>16.82</t>
  </si>
  <si>
    <t>AUDI A4| SEAT Exeo 1.6-4.2  08-  (Rear, L/R) (d=17.5mm)</t>
  </si>
  <si>
    <t>SAS2306105</t>
  </si>
  <si>
    <t>2306105   SASIC - Р’С‚СѓР»РєР° СЃС‚Р°Р±С–Р»С–Р·Р°С‚РѕСЂР°</t>
  </si>
  <si>
    <t>AUDI A4 01-, A6 02-05 REAR (d=16mm)</t>
  </si>
  <si>
    <t>SAS2306129</t>
  </si>
  <si>
    <t>2306129   SASIC - Р’С‚СѓР»РєР° СЃС‚Р°Р±С–Р»С–Р·Р°С‚РѕСЂР°</t>
  </si>
  <si>
    <t>23.00</t>
  </si>
  <si>
    <t>SAS2306131</t>
  </si>
  <si>
    <t>2306131   SASIC - Р’С‚СѓР»РєР° СЃС‚Р°Р±С–Р»С–Р·Р°С‚РѕСЂР°</t>
  </si>
  <si>
    <t>18.54</t>
  </si>
  <si>
    <t>MB Sprinter, VW LT| 01.95- (Front) (d=23mm)</t>
  </si>
  <si>
    <t>SAS2306132</t>
  </si>
  <si>
    <t>2306132   SASIC - Р’С‚СѓР»РєР° СЃС‚Р°Р±С–Р»С–Р·Р°С‚РѕСЂР°</t>
  </si>
  <si>
    <t>FORD Tourneo Connect 1.8  02-  (Front, L/R)</t>
  </si>
  <si>
    <t>SAS2306165</t>
  </si>
  <si>
    <t>2306165   SASIC - РўСЏРіР° СЃС‚Р°Р±С–Р»С–Р·Р°С‚РѕСЂР°</t>
  </si>
  <si>
    <t>AUDI A4, A5, A6, A7, A8, Q5 1.8-6.3 06.07- (Rear, L/R)</t>
  </si>
  <si>
    <t>SAS2545135</t>
  </si>
  <si>
    <t>2545135   SASIC - РџРёР»СЊРѕРІРёРє Р°РјРѕСЂС‚РёР·Р°С‚РѕСЂР°</t>
  </si>
  <si>
    <t>54.92</t>
  </si>
  <si>
    <t>CITROEN Berlingo, Xsara 96-| PEUGEOT 306, 405, Partner</t>
  </si>
  <si>
    <t>SAS2545195</t>
  </si>
  <si>
    <t>2545195   SASIC - РџРёР»СЊРѕРІРёРє Р°РјРѕСЂС‚РёР·Р°С‚РѕСЂР°</t>
  </si>
  <si>
    <t>CITROEN C8 07.02-| PEUGEOT 806, 807, Expert, 02.96-</t>
  </si>
  <si>
    <t>SAS2600001</t>
  </si>
  <si>
    <t>2600001   SASIC - РЎР°Р№Р»РµРЅС‚Р±Р»РѕРє</t>
  </si>
  <si>
    <t>245.96</t>
  </si>
  <si>
    <t>CITROEN C4 2004-| PEUGEOT 307 2000-</t>
  </si>
  <si>
    <t>SAS2600006</t>
  </si>
  <si>
    <t>2600006   SASIC - РЎР°Р№Р»РµРЅС‚Р±Р»РѕРє</t>
  </si>
  <si>
    <t>CITROEN C3 1.6,1.6HDI 2009-, PEUGEOT 207 1.4-1.6 2006-</t>
  </si>
  <si>
    <t>SAS2604002</t>
  </si>
  <si>
    <t>2604002   SASIC - РЎР°Р№Р»РµРЅС‚Р±Р»РѕРє</t>
  </si>
  <si>
    <t>184.68</t>
  </si>
  <si>
    <t>SAS2606001</t>
  </si>
  <si>
    <t>2606001   SASIC - РЎР°Р№Р»РµРЅС‚Р±Р»РѕРє</t>
  </si>
  <si>
    <t>AUDI A3, SKODA Fabia, VW Golf IV| 1.2-2.3| 09.96</t>
  </si>
  <si>
    <t>SAS2650014</t>
  </si>
  <si>
    <t>2650014   SASIC - РћРїРѕСЂР° СЃС‚С–Р№РєРё Р°РјРѕСЂС‚РёР·Р°С‚РѕСЂР°</t>
  </si>
  <si>
    <t>PEUGEOT 207 1.4-1.6HDi 02.06-</t>
  </si>
  <si>
    <t>SAS2650015</t>
  </si>
  <si>
    <t>2650015   SASIC - РћРїРѕСЂР° СЃС‚С–Р№РєРё Р°РјРѕСЂС‚РёР·Р°С‚РѕСЂР°</t>
  </si>
  <si>
    <t>173.01</t>
  </si>
  <si>
    <t>SAS2650016</t>
  </si>
  <si>
    <t>2650016   SASIC - РћРїРѕСЂР° СЃС‚С–Р№РєРё Р°РјРѕСЂС‚РёР·Р°С‚РѕСЂР°</t>
  </si>
  <si>
    <t>PEUGEOT 3008, 5008 06.09- FRONT L/R</t>
  </si>
  <si>
    <t>SAS2650019</t>
  </si>
  <si>
    <t>2650019   SASIC - Р’С–РґР±С–Р№РЅРёРє Р°РјРѕСЂС‚РёР·Р°С‚РѕСЂР°</t>
  </si>
  <si>
    <t>CITROEN Jumper| FIAT Ducato|  PEUGEOT Boxer  2.2HDi-3.0HDi  04-  (Front, L/R)</t>
  </si>
  <si>
    <t>SAS2650021</t>
  </si>
  <si>
    <t>2650021   SASIC - РћРїРѕСЂР° СЃС‚С–Р№РєРё Р°РјРѕСЂС‚РёР·Р°С‚РѕСЂР°</t>
  </si>
  <si>
    <t>CITROEN C-elysse, C3 I, II| PEUGEOT 208, 301 1.0-1.6D  09-  (Front, L/R)</t>
  </si>
  <si>
    <t>SAS2650023</t>
  </si>
  <si>
    <t>2650023   SASIC - РџРёР»СЊРѕРІРёРє РєРµСЂРјРѕРІРѕС— С‚СЏРіРё</t>
  </si>
  <si>
    <t>67.45</t>
  </si>
  <si>
    <t>CITROEN Jumper 06-, FIAT Ducato 06-, PEUGEOT Boxer 06- (Front)</t>
  </si>
  <si>
    <t>SAS2650031</t>
  </si>
  <si>
    <t>2650031   SASIC - РћРїРѕСЂР° СЃС‚С–Р№РєРё Р°РјРѕСЂС‚РёР·Р°С‚РѕСЂР°</t>
  </si>
  <si>
    <t>476.47</t>
  </si>
  <si>
    <t>CITROEN Nemo, FIAT Fiorino, PEUGEOT Bipper 1.3HDi-1.4HDi 08-, Front, L</t>
  </si>
  <si>
    <t>SAS2650032</t>
  </si>
  <si>
    <t>2650032   SASIC - РћРїРѕСЂР° СЃС‚С–Р№РєРё Р°РјРѕСЂС‚РёР·Р°С‚РѕСЂР°</t>
  </si>
  <si>
    <t>455.70</t>
  </si>
  <si>
    <t>CITROEN Nemo, FIAT Fiorino, PEUGEOT Bipper 1.3HDi-1.4HDi 08-, Front, R</t>
  </si>
  <si>
    <t>SAS2650035</t>
  </si>
  <si>
    <t>2650035   SASIC - РћРїРѕСЂР° РїСЂСѓР¶РёРЅРё</t>
  </si>
  <si>
    <t>97.32</t>
  </si>
  <si>
    <t>CITROEN Berlingo, C4 I, II, DS4, DS5| PEUGEOT 307, 308, 3008, 5008, RCZ, Partner 1.4-2.0D  00-  (L/R)</t>
  </si>
  <si>
    <t>SAS2650038</t>
  </si>
  <si>
    <t>2650038   SASIC - РћРїРѕСЂР° СЃС‚С–Р№РєРё Р°РјРѕСЂС‚РёР·Р°С‚РѕСЂР°</t>
  </si>
  <si>
    <t>PEUGEOT 307, 207| CITROEN C3, C4  02-</t>
  </si>
  <si>
    <t>SAS2650041</t>
  </si>
  <si>
    <t>2650041   SASIC - РџРёР»СЊРѕРІРёРє Р°РјРѕСЂС‚РёР·Р°С‚РѕСЂР°</t>
  </si>
  <si>
    <t>80.84</t>
  </si>
  <si>
    <t>PEUGEOT 307, 308| CITROEN C4 02 - (Rear, L/R)</t>
  </si>
  <si>
    <t>SAS2654002</t>
  </si>
  <si>
    <t>2654002   SASIC - Р’С–РґР±С–Р№РЅРёРє Р°РјРѕСЂС‚РёР·Р°С‚РѕСЂР°</t>
  </si>
  <si>
    <t>122.38</t>
  </si>
  <si>
    <t>DACIA Logan 04-, Sandero 08-, Duster 10-</t>
  </si>
  <si>
    <t>SAS2654003</t>
  </si>
  <si>
    <t>2654003   SASIC - РћРїРѕСЂР° РїСЂСѓР¶РёРЅРё</t>
  </si>
  <si>
    <t>RENAULT Trafic II 1.9 DCi 05/01-  (Rear, L/R)</t>
  </si>
  <si>
    <t>SAS2654011</t>
  </si>
  <si>
    <t>2654011   SASIC - РћРїРѕСЂР° СЃС‚С–Р№РєРё Р°РјРѕСЂС‚РёР·Р°С‚РѕСЂР°</t>
  </si>
  <si>
    <t>506.34</t>
  </si>
  <si>
    <t>RENAULT Kangoo 08-</t>
  </si>
  <si>
    <t>SAS2654020</t>
  </si>
  <si>
    <t>2654020   SASIC - Р’С–РґР±С–Р№РЅРёРє Р°РјРѕСЂС‚РёР·Р°С‚РѕСЂР°</t>
  </si>
  <si>
    <t>143.15</t>
  </si>
  <si>
    <t>DACIA Duster  10-  (Rear, L/R)</t>
  </si>
  <si>
    <t>SAS2654028</t>
  </si>
  <si>
    <t>2654028   SASIC - РћРїРѕСЂР° РїСЂСѓР¶РёРЅРё</t>
  </si>
  <si>
    <t>83.07</t>
  </si>
  <si>
    <t>DACIA Logan (LS) 04-,  Duster 10- (Front, L/R)</t>
  </si>
  <si>
    <t>SAS2656012</t>
  </si>
  <si>
    <t>2656012   SASIC - РћРїРѕСЂР° СЃС‚С–Р№РєРё Р°РјРѕСЂС‚РёР·Р°С‚РѕСЂР°</t>
  </si>
  <si>
    <t>153.96</t>
  </si>
  <si>
    <t>OPEL Astra F, G, Corsa C, TIGRA, Vectra B, Zafira A 1.0-2.2  95-  (Front, L/R)</t>
  </si>
  <si>
    <t>SAS2656021</t>
  </si>
  <si>
    <t>2656021   SASIC - РћРїРѕСЂР° СЃС‚С–Р№РєРё Р°РјРѕСЂС‚РёР·Р°С‚РѕСЂР°</t>
  </si>
  <si>
    <t>266.39</t>
  </si>
  <si>
    <t>OPEL Astra H, Zafira| 1.3CDTI-2.2| 04.04-</t>
  </si>
  <si>
    <t>SAS2656038</t>
  </si>
  <si>
    <t>2656038   SASIC - РџС–РґС€РёРїРЅРёРє РѕРїРѕСЂРё СЃС‚С–Р№РєРё Р°РјРѕСЂС‚РёР·Р°С‚РѕСЂР°</t>
  </si>
  <si>
    <t>305.69</t>
  </si>
  <si>
    <t>MB Vito (W639) 03-, Front L/R</t>
  </si>
  <si>
    <t>SAS2656049</t>
  </si>
  <si>
    <t>2656049   SASIC - Р’С–РґР±С–Р№РЅРёРє Р°РјРѕСЂС‚РёР·Р°С‚РѕСЂР°</t>
  </si>
  <si>
    <t>71.40</t>
  </si>
  <si>
    <t>AUDI A3| VW EOS 08-, Golf V, Golf VI, Jetta III 1.2TFSI-3.6V6  03-   (Rear, L/R)  (l=133mm)</t>
  </si>
  <si>
    <t>SAS2700007</t>
  </si>
  <si>
    <t>2700007   SASIC - РћРїРѕСЂР° РґРІРёРіСѓРЅР°</t>
  </si>
  <si>
    <t>792.98</t>
  </si>
  <si>
    <t>CITROEN C4, PEUGEOT 307 1.6 16V 2000-</t>
  </si>
  <si>
    <t>SAS2704002</t>
  </si>
  <si>
    <t>2704002   SASIC - РћРїРѕСЂР° РґРІРёРіСѓРЅР°</t>
  </si>
  <si>
    <t>410.73</t>
  </si>
  <si>
    <t>RENAULT Megane II, Scenic II, Grand Scenic II 1.5dCi,2.0dCi 2005-</t>
  </si>
  <si>
    <t>SAS2704016</t>
  </si>
  <si>
    <t>2704016   SASIC - РћРїРѕСЂР° РґРІРёРіСѓРЅР°</t>
  </si>
  <si>
    <t>1089.57</t>
  </si>
  <si>
    <t>OPEL Vivaro, RENAULT Trafic II 2.5CDTI 03.01-</t>
  </si>
  <si>
    <t>SAS2704018</t>
  </si>
  <si>
    <t>2704018   SASIC - РћРїРѕСЂР° РґРІРёРіСѓРЅР°</t>
  </si>
  <si>
    <t>716.43</t>
  </si>
  <si>
    <t>OPEL Vivaro 1.9DTI,DI 2001-| RENAULT Trafic 1.9dCi,2.0 2001-</t>
  </si>
  <si>
    <t>SAS2704065</t>
  </si>
  <si>
    <t>2704065   SASIC - РљСЂРѕРЅС€С‚РµР№РЅ РѕРїРѕСЂРё РґРІРёРіСѓРЅР°</t>
  </si>
  <si>
    <t>550.45</t>
  </si>
  <si>
    <t>DACIA Sandero, Logan 1.5dCi 09-</t>
  </si>
  <si>
    <t>SAS2704085</t>
  </si>
  <si>
    <t>2704085   SASIC - РћРїРѕСЂР° РґРІРёРіСѓРЅР°  !!! Р—Р°РјС–РЅР° РґР»СЏ 2704017</t>
  </si>
  <si>
    <t>718.66</t>
  </si>
  <si>
    <t>SAS2704086</t>
  </si>
  <si>
    <t>2704086   SASIC - РћРїРѕСЂР° РґРІРёРіСѓРЅР°</t>
  </si>
  <si>
    <t>453.99</t>
  </si>
  <si>
    <t>DACIA Dokker, Logan II, Sandero II| RENAULT Captur, Clio IV  0.9-1.6  10-</t>
  </si>
  <si>
    <t>SAS2750002</t>
  </si>
  <si>
    <t>2750002   SASIC - РџРёР»СЊРѕРІРёРє РєРµСЂРјРѕРІРѕС— С‚СЏРіРё</t>
  </si>
  <si>
    <t>CITROEN C6 2,7 Hdi 05-| PEUGEOT 407 2,0 04-  (Right)</t>
  </si>
  <si>
    <t>SAS2750007</t>
  </si>
  <si>
    <t>2750007   SASIC - РџРёР»СЊРѕРІРёРє РєРµСЂРјРѕРІРѕС— С‚СЏРіРё</t>
  </si>
  <si>
    <t>CITROEN Jumper| FIAT Ducato| PEUGEOT Boxer 02- (L/R)</t>
  </si>
  <si>
    <t>SAS2754001</t>
  </si>
  <si>
    <t>2754001   SASIC - РџРёР»СЊРѕРІРёРє РєРµСЂРјРѕРІРѕС— С‚СЏРіРё</t>
  </si>
  <si>
    <t>RENAULT Laguna II| 1.6-3.0| 03.01-</t>
  </si>
  <si>
    <t>SAS2873493</t>
  </si>
  <si>
    <t>2873493   SASIC - РџРёР»СЊРѕРІРёРє РїСЂРёРІС–РґРЅРѕРіРѕ РІР°Р»Сѓ</t>
  </si>
  <si>
    <t>141.43</t>
  </si>
  <si>
    <t>PEUGEOT J5, FIAT Ducato -94| (L=103,D1=24,D2=94)</t>
  </si>
  <si>
    <t>SAS2873773</t>
  </si>
  <si>
    <t>2873773   SASIC - РџРёР»СЊРѕРІРёРє РїСЂРёРІС–РґРЅРѕРіРѕ РІР°Р»Сѓ</t>
  </si>
  <si>
    <t>CITROEN Jumper 94-02| FIAT Ducato 94-02| PEUGEOT Boxer 94-02</t>
  </si>
  <si>
    <t>SAS2873813</t>
  </si>
  <si>
    <t>2873813   SASIC - РџРёР»СЊРѕРІРёРє РїСЂРёРІС–РґРЅРѕРіРѕ РІР°Р»Сѓ</t>
  </si>
  <si>
    <t>135.42</t>
  </si>
  <si>
    <t>PEUGEOT Partner 2.0HDI 00-, CITROEN Berlingo 2.0 HDI 99- /22015FE/</t>
  </si>
  <si>
    <t>SAS2873883</t>
  </si>
  <si>
    <t>2873883   SASIC - РџРёР»СЊРѕРІРёРє РїСЂРёРІС–РґРЅРѕРіРѕ РІР°Р»Сѓ</t>
  </si>
  <si>
    <t>146.58</t>
  </si>
  <si>
    <t>CITROEN Berlingo, PEUGEOT 208| 1.4/Xsara 1.4/1.6</t>
  </si>
  <si>
    <t>SAS2933003</t>
  </si>
  <si>
    <t>2933003   SASIC - РџРёР»СЊРѕРІРёРє РїСЂРёРІС–РґРЅРѕРіРѕ РІР°Р»Сѓ</t>
  </si>
  <si>
    <t>141.77</t>
  </si>
  <si>
    <t>CITROEN Jumpy 1.9TD/2.0HDi 95-| PEUGEOT Expert 1.9TD/2.0HDi 95- (L=83,D1=29,D2=95)</t>
  </si>
  <si>
    <t>SAS2933013</t>
  </si>
  <si>
    <t>2933013   SASIC - РџРёР»СЊРѕРІРёРє РїСЂРёРІС–РґРЅРѕРіРѕ РІР°Р»Сѓ</t>
  </si>
  <si>
    <t>PEUGEOT 806 1.8i/2.0i 94-, Expert 95-|CITROEN Jumpy 98- (L=99,D1=24,D2=78)</t>
  </si>
  <si>
    <t>SAS2933033</t>
  </si>
  <si>
    <t>2933033   SASIC - РџРёР»СЊРѕРІРёРє РїСЂРёРІС–РґРЅРѕРіРѕ РІР°Р»Сѓ</t>
  </si>
  <si>
    <t>205.80</t>
  </si>
  <si>
    <t>PEUGEOT Partner 2.0HDI 00-, CITROEN Berlingo 2.0HDI 00- (L=110,D1=38,D2=83)</t>
  </si>
  <si>
    <t>SAS2933063</t>
  </si>
  <si>
    <t>2933063   SASIC - РџРёР»СЊРѕРІРёРє РїСЂРёРІС–РґРЅРѕРіРѕ РІР°Р»Сѓ</t>
  </si>
  <si>
    <t>CITROEN C8, PEUGEOT 806, 807, FIAT Ulysse| 1.9D-3.0| 09.96-</t>
  </si>
  <si>
    <t>SAS2933203</t>
  </si>
  <si>
    <t>2933203   SASIC - РџРёР»СЊРѕРІРёРє РїСЂРёРІС–РґРЅРѕРіРѕ РІР°Р»Сѓ</t>
  </si>
  <si>
    <t>198.07</t>
  </si>
  <si>
    <t>PEUGEOT 206 1.1/1.4/1.6/1.6 16V  98-, CITROEN Xsara 1.4/1.5D/1.6  97-</t>
  </si>
  <si>
    <t>SAS2933743</t>
  </si>
  <si>
    <t>2933743   SASIC - РџРёР»СЊРѕРІРёРє РїСЂРёРІС–РґРЅРѕРіРѕ РІР°Р»Сѓ</t>
  </si>
  <si>
    <t>CITROEN C15 84-00, PEUGEOT 304, 305, 309 86-93 (L=116,D1=20,D2=78)</t>
  </si>
  <si>
    <t>SAS2933773</t>
  </si>
  <si>
    <t>2933773   SASIC - РџРёР»СЊРѕРІРёРє РїСЂРёРІС–РґРЅРѕРіРѕ РІР°Р»Сѓ</t>
  </si>
  <si>
    <t>113.28</t>
  </si>
  <si>
    <t>PEUGEOT 106,205,305,306,309,AX,ZX (L=91,D1=20,D2=80)</t>
  </si>
  <si>
    <t>SAS2933803</t>
  </si>
  <si>
    <t>2933803   SASIC - РџРёР»СЊРѕРІРёРє РїСЂРёРІС–РґРЅРѕРіРѕ РІР°Р»Сѓ</t>
  </si>
  <si>
    <t>169.07</t>
  </si>
  <si>
    <t>PEUGEOT 205,306,309,405,605,BX,Xantia,XM,ZX (L=103,D1=23,D2=88)</t>
  </si>
  <si>
    <t>SAS2933833</t>
  </si>
  <si>
    <t>2933833   SASIC - РџРёР»СЊРѕРІРёРє РїСЂРёРІС–РґРЅРѕРіРѕ РІР°Р»Сѓ</t>
  </si>
  <si>
    <t>104.19</t>
  </si>
  <si>
    <t>PEUGEOT 306 93-, 405 87-96, Partner 96-  (L=108,D1=20,D2=82)</t>
  </si>
  <si>
    <t>SAS2933983</t>
  </si>
  <si>
    <t>2933983   SASIC - РџРёР»СЊРѕРІРёРє РїСЂРёРІС–РґРЅРѕРіРѕ РІР°Р»Сѓ</t>
  </si>
  <si>
    <t>193.27</t>
  </si>
  <si>
    <t>CITROEN Jumper 10,14,FIAT Ducato 94- (L=145,D1=30,D2=100)</t>
  </si>
  <si>
    <t>SAS2933993</t>
  </si>
  <si>
    <t>2933993   SASIC - РџРёР»СЊРѕРІРёРє РїСЂРёРІС–РґРЅРѕРіРѕ РІР°Р»Сѓ</t>
  </si>
  <si>
    <t>PEUGEOT Boxer| FIAT Ducato| CITROEN Jumper 2.0-2.4TDI 94-02</t>
  </si>
  <si>
    <t>SAS2954007</t>
  </si>
  <si>
    <t>2954007   SASIC - РљСЂРѕРЅС€С‚РµР№РЅ РіР»СѓС€РЅРёРєР°</t>
  </si>
  <si>
    <t>OPEL Movano B 2.3 CDTI 10-| RENAULT Master III 10-</t>
  </si>
  <si>
    <t>SAS3008035</t>
  </si>
  <si>
    <t>3008035   SASIC - РўСЏРіР° РєРµСЂРјРѕРІР°</t>
  </si>
  <si>
    <t>335.90</t>
  </si>
  <si>
    <t>SAS3008040</t>
  </si>
  <si>
    <t>3008040   SASIC - РўСЏРіР° РєРµСЂРјРѕРІР°</t>
  </si>
  <si>
    <t>RENAULT Clio II 00- , Kangoo 99- L/R (317mm)</t>
  </si>
  <si>
    <t>SAS3008154</t>
  </si>
  <si>
    <t>3008154   SASIC - РўСЏРіР° РєРµСЂРјРѕРІР°</t>
  </si>
  <si>
    <t>PEUGEOT 406 L/R</t>
  </si>
  <si>
    <t>SAS3008242</t>
  </si>
  <si>
    <t>3008242   SASIC - РўСЏРіР° РєРµСЂРјРѕРІР°</t>
  </si>
  <si>
    <t>227.42</t>
  </si>
  <si>
    <t>SAS3008247</t>
  </si>
  <si>
    <t>3008247   SASIC - РўСЏРіР° РєРµСЂРјРѕРІР°</t>
  </si>
  <si>
    <t>OPEL Vivaro, RENAULT Trafic II, NISSAN Primastar 03.01- (263mm) L/R</t>
  </si>
  <si>
    <t>SAS3130270</t>
  </si>
  <si>
    <t>3130270   SASIC - РџСЂРѕРєР»Р°РґРєР°</t>
  </si>
  <si>
    <t>РЅРѕСЂРјР° РІС–РґРіСЂСѓР·РєРё - 10 С€С‚!!! PEUGEOT  (14x20x2)\n</t>
  </si>
  <si>
    <t>SAS4001322</t>
  </si>
  <si>
    <t>4001322   SASIC - РћРїРѕСЂР° РґРІРёРіСѓРЅР°</t>
  </si>
  <si>
    <t>294.53</t>
  </si>
  <si>
    <t>RENAULT Trafic 1.4-2.2, 2.5D 80.03-01.03</t>
  </si>
  <si>
    <t>SAS4001330</t>
  </si>
  <si>
    <t>4001330   SASIC - РћРїРѕСЂР° РґРІРёРіСѓРЅР°</t>
  </si>
  <si>
    <t>162.54</t>
  </si>
  <si>
    <t>RENAULT 9, 11 1.6D 82.10-87, KANGOO 1.2-1.6 16V, 1.9DCI 98.03-</t>
  </si>
  <si>
    <t>SAS4001349</t>
  </si>
  <si>
    <t>4001349   SASIC - РћРїРѕСЂР° РґРІРёРіСѓРЅР°</t>
  </si>
  <si>
    <t>310.84</t>
  </si>
  <si>
    <t>RENAULT 19 1.4-1.8 89.04-95.12, Megane 1.6I/E 96.01-99.09</t>
  </si>
  <si>
    <t>SAS4001353</t>
  </si>
  <si>
    <t>4001353   SASIC - РћРїРѕСЂР° РґРІРёРіСѓРЅР°</t>
  </si>
  <si>
    <t>SAS4001374</t>
  </si>
  <si>
    <t>4001374   SASIC - РћРїРѕСЂР° РґРІРёРіСѓРЅР°</t>
  </si>
  <si>
    <t>123.75</t>
  </si>
  <si>
    <t>RENAULT 19 1.9D/TD 04.92-12.95, Clio I 1.2-1.8, 1.9D 01.91-09.98</t>
  </si>
  <si>
    <t>SAS4001386</t>
  </si>
  <si>
    <t>4001386   SASIC - РћРїРѕСЂР° РґРІРёРіСѓРЅР°</t>
  </si>
  <si>
    <t>RENAULT Kangoo 1.2, Megane I, Scenic 1.4,1.6 1997-</t>
  </si>
  <si>
    <t>SAS4001410</t>
  </si>
  <si>
    <t>4001410   SASIC - РЎР°Р№Р»РµРЅС‚Р±Р»РѕРє</t>
  </si>
  <si>
    <t>RENAULT Espace II 01/91-12/96</t>
  </si>
  <si>
    <t>SAS4001413</t>
  </si>
  <si>
    <t>4001413   SASIC - РЎР°Р№Р»РµРЅС‚Р±Р»РѕРє</t>
  </si>
  <si>
    <t>RENAULT 19 , Megane I 1,4 16V 99-</t>
  </si>
  <si>
    <t>SAS4001414</t>
  </si>
  <si>
    <t>4001414   SASIC - РЎР°Р№Р»РµРЅС‚Р±Р»РѕРє</t>
  </si>
  <si>
    <t>RENAULT 9, 11, Super 5</t>
  </si>
  <si>
    <t>SAS4001417</t>
  </si>
  <si>
    <t>4001417   SASIC - РЎР°Р№Р»РµРЅС‚Р±Р»РѕРє</t>
  </si>
  <si>
    <t>43.42</t>
  </si>
  <si>
    <t>RENAULT 9, 11, 18, 19, 21, 25, SUPER 5, ALL 78.04-96.12</t>
  </si>
  <si>
    <t>SAS4001424</t>
  </si>
  <si>
    <t>4001424   SASIC - РЎР°Р№Р»РµРЅС‚Р±Р»РѕРє</t>
  </si>
  <si>
    <t>RENAULT 12 LOWER F/R L/R</t>
  </si>
  <si>
    <t>SAS4001440</t>
  </si>
  <si>
    <t>4001440   SASIC - Р’С‚СѓР»РєР° СЃС‚Р°Р±С–Р»С–Р·Р°С‚РѕСЂР°</t>
  </si>
  <si>
    <t>RENAULT Trafic ALL 03.80-03.01 (d=17,4mm) FRONT</t>
  </si>
  <si>
    <t>SAS4001457</t>
  </si>
  <si>
    <t>4001457   SASIC - Р’С‚СѓР»РєР° СЃС‚Р°Р±С–Р»С–Р·Р°С‚РѕСЂР°</t>
  </si>
  <si>
    <t>20.77</t>
  </si>
  <si>
    <t>RENAULT Clio 1,Express,R19</t>
  </si>
  <si>
    <t>SAS4001462</t>
  </si>
  <si>
    <t>4001462   SASIC - Р’С‚СѓР»РєР° СЃС‚Р°Р±С–Р»С–Р·Р°С‚РѕСЂР°</t>
  </si>
  <si>
    <t>RENAULT Rapid, Super 5 10.1984-12.1996 (d=22mm) FRONT</t>
  </si>
  <si>
    <t>SAS4001464</t>
  </si>
  <si>
    <t>4001464   SASIC - РљСЂРѕРЅС€С‚РµР№РЅ РіР»СѓС€РЅРёРєР°</t>
  </si>
  <si>
    <t>16.48</t>
  </si>
  <si>
    <t>RENAULT Kangoo I,  Clio, Twingo 96-: PEUGEOT Expert 96-</t>
  </si>
  <si>
    <t>SAS4001473</t>
  </si>
  <si>
    <t>4001473   SASIC - Р’С‚СѓР»РєР° СЃС‚Р°Р±С–Р»С–Р·Р°С‚РѕСЂР°</t>
  </si>
  <si>
    <t>RENAULT 9, 11 (d=23mm) FRONT</t>
  </si>
  <si>
    <t>SAS4001475</t>
  </si>
  <si>
    <t>4001475   SASIC - Р’С‚СѓР»РєР° СЃС‚Р°Р±С–Р»С–Р·Р°С‚РѕСЂР°</t>
  </si>
  <si>
    <t>17.68</t>
  </si>
  <si>
    <t>RENAULT Clio,Megane I,Scenic I, 19  1991- FRONT</t>
  </si>
  <si>
    <t>SAS4001476</t>
  </si>
  <si>
    <t>4001476   SASIC - Р’С‚СѓР»РєР° СЃС‚Р°Р±С–Р»С–Р·Р°С‚РѕСЂР°</t>
  </si>
  <si>
    <t>RENAULT Clio 1,Clio 2,Kangoo,Megane,Megane Classic,R19 (d=23mm) FRONT</t>
  </si>
  <si>
    <t>SAS4001477</t>
  </si>
  <si>
    <t>4001477   SASIC - Р’С‚СѓР»РєР° СЃС‚Р°Р±С–Р»С–Р·Р°С‚РѕСЂР°</t>
  </si>
  <si>
    <t>RENAULT 21 1.7 89-93 (d=25mm) FRONT</t>
  </si>
  <si>
    <t>SAS4001478</t>
  </si>
  <si>
    <t>4001478   SASIC - Р’С‚СѓР»РєР° СЃС‚Р°Р±С–Р»С–Р·Р°С‚РѕСЂР°</t>
  </si>
  <si>
    <t>RENAULT 21 1.7 89-93 (d=16mm) FRONT</t>
  </si>
  <si>
    <t>SAS4001479</t>
  </si>
  <si>
    <t>4001479   SASIC - Р’С‚СѓР»РєР° СЃС‚Р°Р±С–Р»С–Р·Р°С‚РѕСЂР°</t>
  </si>
  <si>
    <t>RENAULT 21, B481, K481, L481 (d=25mm) FRONT</t>
  </si>
  <si>
    <t>SAS4001482</t>
  </si>
  <si>
    <t>4001482   SASIC - Р’С‚СѓР»РєР° СЃС‚Р°Р±С–Р»С–Р·Р°С‚РѕСЂР°</t>
  </si>
  <si>
    <t>RENAULT 21 (D=20mm) FRONT</t>
  </si>
  <si>
    <t>SAS4001487</t>
  </si>
  <si>
    <t>4001487   SASIC - РЎР°Р№Р»РµРЅС‚Р±Р»РѕРє</t>
  </si>
  <si>
    <t>50.63</t>
  </si>
  <si>
    <t>RENAULT R21 86-95</t>
  </si>
  <si>
    <t>SAS4001489</t>
  </si>
  <si>
    <t>4001489   SASIC - РЎР°Р№Р»РµРЅС‚Р±Р»РѕРє</t>
  </si>
  <si>
    <t>RENAULT 25, ESPACE ALL 88.03-</t>
  </si>
  <si>
    <t>SAS4001492</t>
  </si>
  <si>
    <t>4001492   SASIC - РЎР°Р№Р»РµРЅС‚Р±Р»РѕРє</t>
  </si>
  <si>
    <t>RENAULT Clio I ALL 91.01-98.09 FRONT L/R</t>
  </si>
  <si>
    <t>SAS4001493</t>
  </si>
  <si>
    <t>4001493   SASIC - РЎР°Р№Р»РµРЅС‚Р±Р»РѕРє</t>
  </si>
  <si>
    <t>RENAULT Clio I ALL 91.01-98.10 REAR L/R</t>
  </si>
  <si>
    <t>SAS4001494</t>
  </si>
  <si>
    <t>4001494   SASIC - Р’С‚СѓР»РєР° СЃС‚Р°Р±С–Р»С–Р·Р°С‚РѕСЂР°</t>
  </si>
  <si>
    <t>RENAULT Rapid, Super 5 10.1984-12.1996 (d=21mm) FRONT</t>
  </si>
  <si>
    <t>SAS4001495</t>
  </si>
  <si>
    <t>4001495   SASIC - Р’С‚СѓР»РєР° СЃС‚Р°Р±С–Р»С–Р·Р°С‚РѕСЂР°</t>
  </si>
  <si>
    <t>SAS4001502</t>
  </si>
  <si>
    <t>4001502   SASIC - РЎР°Р№Р»РµРЅС‚Р±Р»РѕРє</t>
  </si>
  <si>
    <t>86.85</t>
  </si>
  <si>
    <t>RENAULT 25, ESPACE 91-95</t>
  </si>
  <si>
    <t>SAS4001504</t>
  </si>
  <si>
    <t>4001504   SASIC - Р’С‚СѓР»РєР° СЃС‚Р°Р±С–Р»С–Р·Р°С‚РѕСЂР°</t>
  </si>
  <si>
    <t>96.46</t>
  </si>
  <si>
    <t>RENAULT 25 ALL, 84.04- (d=24mm)</t>
  </si>
  <si>
    <t>SAS4001505</t>
  </si>
  <si>
    <t>4001505   SASIC - РўСЏРіР° СЃС‚Р°Р±С–Р»С–Р·Р°С‚РѕСЂР°</t>
  </si>
  <si>
    <t>RENAULT Clio I, II, 1.2-1.8, Kangoo 1.9D, 91.01- (d=22mm) FRONT</t>
  </si>
  <si>
    <t>SAS4001508</t>
  </si>
  <si>
    <t>4001508   SASIC - РЎР°Р№Р»РµРЅС‚Р±Р»РѕРє</t>
  </si>
  <si>
    <t>RENAULT Master ALL -97.10</t>
  </si>
  <si>
    <t>SAS4001515</t>
  </si>
  <si>
    <t>4001515   SASIC - Р’С‚СѓР»РєР° СЃС‚Р°Р±С–Р»С–Р·Р°С‚РѕСЂР°</t>
  </si>
  <si>
    <t>RENAULT R11,R5 - Super 5,R9</t>
  </si>
  <si>
    <t>SAS4001517</t>
  </si>
  <si>
    <t>4001517   SASIC - Р’С‚СѓР»РєР° СЃС‚Р°Р±С–Р»С–Р·Р°С‚РѕСЂР°</t>
  </si>
  <si>
    <t>RENAULT Megane 01.1996-  (d=24mm)</t>
  </si>
  <si>
    <t>SAS4001526</t>
  </si>
  <si>
    <t>4001526   SASIC - РЎР°Р№Р»РµРЅС‚Р±Р»РѕРє</t>
  </si>
  <si>
    <t>213.18</t>
  </si>
  <si>
    <t>RENAULT R11,R21,R9</t>
  </si>
  <si>
    <t>SAS4001533</t>
  </si>
  <si>
    <t>4001533   SASIC - РЎР°Р№Р»РµРЅС‚Р±Р»РѕРє</t>
  </si>
  <si>
    <t>RENAULT Safrane 92-</t>
  </si>
  <si>
    <t>SAS4001534</t>
  </si>
  <si>
    <t>4001534   SASIC - РЎР°Р№Р»РµРЅС‚Р±Р»РѕРє</t>
  </si>
  <si>
    <t>173.87</t>
  </si>
  <si>
    <t>RENAULT Safrane I, II ALL 92.04-00.12</t>
  </si>
  <si>
    <t>SAS4001535</t>
  </si>
  <si>
    <t>4001535   SASIC - РЎР°Р№Р»РµРЅС‚Р±Р»РѕРє</t>
  </si>
  <si>
    <t>SAS4001536</t>
  </si>
  <si>
    <t>4001536   SASIC - РЎР°Р№Р»РµРЅС‚Р±Р»РѕРє</t>
  </si>
  <si>
    <t>130.10</t>
  </si>
  <si>
    <t>RENAULT Laguna I/II ALL 93.11-01.03</t>
  </si>
  <si>
    <t>SAS4001539</t>
  </si>
  <si>
    <t>4001539   SASIC - Р’С‚СѓР»РєР° СЃС‚Р°Р±С–Р»С–Р·Р°С‚РѕСЂР°</t>
  </si>
  <si>
    <t>25.57</t>
  </si>
  <si>
    <t>RENAULT Clio I, II 1.2-1.8, 1.9D 91.01- (d=22mm)</t>
  </si>
  <si>
    <t>SAS4001540</t>
  </si>
  <si>
    <t>4001540   SASIC - РЎР°Р№Р»РµРЅС‚Р±Р»РѕРє</t>
  </si>
  <si>
    <t>83.42</t>
  </si>
  <si>
    <t>RENAULT Clio II ALL 98.09-, Kangoo 98.03-</t>
  </si>
  <si>
    <t>SAS4001545</t>
  </si>
  <si>
    <t>4001545   SASIC - РЎР°Р№Р»РµРЅС‚Р±Р»РѕРє</t>
  </si>
  <si>
    <t>240.47</t>
  </si>
  <si>
    <t>RENAULT Master 97-</t>
  </si>
  <si>
    <t>SAS4001548</t>
  </si>
  <si>
    <t>4001548   SASIC - РЎР°Р№Р»РµРЅС‚Р±Р»РѕРє</t>
  </si>
  <si>
    <t>185.54</t>
  </si>
  <si>
    <t>OPEL Movano, RENAULT Master 1997-2007</t>
  </si>
  <si>
    <t>SAS4001552</t>
  </si>
  <si>
    <t>4001552   SASIC - Р’С‚СѓР»РєР° СЃС‚Р°Р±С–Р»С–Р·Р°С‚РѕСЂР°</t>
  </si>
  <si>
    <t>140.06</t>
  </si>
  <si>
    <t>SAS4001579</t>
  </si>
  <si>
    <t>4001579   SASIC - РљСЂРѕРЅС€С‚РµР№РЅ РіР»СѓС€РЅРёРєР°</t>
  </si>
  <si>
    <t>302.60</t>
  </si>
  <si>
    <t xml:space="preserve">RENAULT Megane II, Scenic II| 1.4-2.0 16v  02- </t>
  </si>
  <si>
    <t>SAS4001580</t>
  </si>
  <si>
    <t>4001580   SASIC - РљСЂРѕРЅС€С‚РµР№РЅ РіР»СѓС€РЅРёРєР°</t>
  </si>
  <si>
    <t>280.12</t>
  </si>
  <si>
    <t xml:space="preserve">RENAULT Megane II, Scenic II| 1.5DCI-1.9DCI| 02- </t>
  </si>
  <si>
    <t>SAS4001582</t>
  </si>
  <si>
    <t>4001582   SASIC - РљСЂРѕРЅС€С‚РµР№РЅ РіР»СѓС€РЅРёРєР°</t>
  </si>
  <si>
    <t>RENAULT Kangoo I, Megane  97-</t>
  </si>
  <si>
    <t>SAS4001585</t>
  </si>
  <si>
    <t>4001585   SASIC - РЎР°Р№Р»РµРЅС‚Р±Р»РѕРє</t>
  </si>
  <si>
    <t>58.87</t>
  </si>
  <si>
    <t>NISSAN Micra K12 01/2003-| RENAULT Modus 2004- L/R</t>
  </si>
  <si>
    <t>SAS4001604</t>
  </si>
  <si>
    <t>4001604   SASIC - РћРїРѕСЂР° СЃС‚С–Р№РєРё Р°РјРѕСЂС‚РёР·Р°С‚РѕСЂР°</t>
  </si>
  <si>
    <t>444.03</t>
  </si>
  <si>
    <t>RENAULT 19 1.4, 1.8, 1.9D 88-95, Megane 1.4, 2.0, 1.9DT/TDI/DCI  96-  (Front, L/R)</t>
  </si>
  <si>
    <t>SAS4001605</t>
  </si>
  <si>
    <t>4001605   SASIC - РћРїРѕСЂР° СЃС‚С–Р№РєРё Р°РјРѕСЂС‚РёР·Р°С‚РѕСЂР°</t>
  </si>
  <si>
    <t>965.13</t>
  </si>
  <si>
    <t>RENAULT Safrane 04.92-12.00  (Front, L/R)</t>
  </si>
  <si>
    <t>SAS4001609</t>
  </si>
  <si>
    <t>4001609   SASIC - РћРїРѕСЂР° СЃС‚С–Р№РєРё Р°РјРѕСЂС‚РёР·Р°С‚РѕСЂР°</t>
  </si>
  <si>
    <t>107.62</t>
  </si>
  <si>
    <t>RENAULT 19 1.8 16V 89.10-96.06, Megane I, II (BEZ 2.0 16V, 2.0IDE) 96.01-</t>
  </si>
  <si>
    <t>SAS4001615</t>
  </si>
  <si>
    <t>4001615   SASIC - РћРїРѕСЂР° СЃС‚С–Р№РєРё Р°РјРѕСЂС‚РёР·Р°С‚РѕСЂР°</t>
  </si>
  <si>
    <t>NISSAN Cubistar 2003-, RENAULT Clio II, Kangoo, Thalia 2000-| Twingo 2007-</t>
  </si>
  <si>
    <t>SAS4001627</t>
  </si>
  <si>
    <t>4001627   SASIC - РћРїРѕСЂР° СЃС‚С–Р№РєРё Р°РјРѕСЂС‚РёР·Р°С‚РѕСЂР°</t>
  </si>
  <si>
    <t>RENAULT Laguna II 01-  (Front, L/R)</t>
  </si>
  <si>
    <t>SAS4001629</t>
  </si>
  <si>
    <t>4001629   SASIC - Р’С–РґР±С–Р№РЅРёРє Р°РјРѕСЂС‚РёР·Р°С‚РѕСЂР°</t>
  </si>
  <si>
    <t>RENAULT Megane II  03-</t>
  </si>
  <si>
    <t>SAS4001630</t>
  </si>
  <si>
    <t>4001630   SASIC - Р’С–РґР±С–Р№РЅРёРє Р°РјРѕСЂС‚РёР·Р°С‚РѕСЂР°</t>
  </si>
  <si>
    <t>167.69</t>
  </si>
  <si>
    <t>RENAULT Trafic II  01-</t>
  </si>
  <si>
    <t>SAS4001634</t>
  </si>
  <si>
    <t>4001634   SASIC - РћРїРѕСЂР° СЃС‚С–Р№РєРё Р°РјРѕСЂС‚РёР·Р°С‚РѕСЂР°</t>
  </si>
  <si>
    <t>RENAULT Clio 05-06, Modus 04-06 FRONT LEFT</t>
  </si>
  <si>
    <t>SAS4001635</t>
  </si>
  <si>
    <t>4001635   SASIC - РћРїРѕСЂР° СЃС‚С–Р№РєРё Р°РјРѕСЂС‚РёР·Р°С‚РѕСЂР°</t>
  </si>
  <si>
    <t>309.12</t>
  </si>
  <si>
    <t>RENAULT Clio 05-06, Modus 04-06 FRONT RIGHT</t>
  </si>
  <si>
    <t>SAS4001637</t>
  </si>
  <si>
    <t>4001637   SASIC - РћРїРѕСЂР° СЃС‚С–Р№РєРё Р°РјРѕСЂС‚РёР·Р°С‚РѕСЂР°</t>
  </si>
  <si>
    <t>526.59</t>
  </si>
  <si>
    <t>OPEL Vivaro| RENAULT Trafic II 01- L/R</t>
  </si>
  <si>
    <t>SAS4001645</t>
  </si>
  <si>
    <t>4001645   SASIC - РћРїРѕСЂР° СЃС‚С–Р№РєРё Р°РјРѕСЂС‚РёР·Р°С‚РѕСЂР°</t>
  </si>
  <si>
    <t>294.88</t>
  </si>
  <si>
    <t>SAS4001716</t>
  </si>
  <si>
    <t>4001716   SASIC - РћРїРѕСЂР° РґРІРёРіСѓРЅР°</t>
  </si>
  <si>
    <t>532.77</t>
  </si>
  <si>
    <t>RENAULT Clio II, Kangoo, Thalia 1.2-1.9 1998-</t>
  </si>
  <si>
    <t>SAS4001717</t>
  </si>
  <si>
    <t>4001717   SASIC - РћРїРѕСЂР° РґРІРёРіСѓРЅР°</t>
  </si>
  <si>
    <t>378.81</t>
  </si>
  <si>
    <t>RENAULT Megane II 1.9 DCi/2.0 16V</t>
  </si>
  <si>
    <t>SAS4001737</t>
  </si>
  <si>
    <t>4001737   SASIC - РћРїРѕСЂР° РґРІРёРіСѓРЅР°</t>
  </si>
  <si>
    <t>627.00</t>
  </si>
  <si>
    <t>RENAULT Megane II 99-</t>
  </si>
  <si>
    <t>SAS4001759</t>
  </si>
  <si>
    <t>4001759   SASIC - РћРїРѕСЂР° РґРІРёРіСѓРЅР°</t>
  </si>
  <si>
    <t>229.14</t>
  </si>
  <si>
    <t>RENAULT Clio II, Thalia  1.4 16V, 1.9DTI 99.10-</t>
  </si>
  <si>
    <t>SAS4001778</t>
  </si>
  <si>
    <t>4001778   SASIC - РћРїРѕСЂР° РґРІРёРіСѓРЅР°</t>
  </si>
  <si>
    <t>RENAULT Laguna 1.6 16V, 1.8 16V, 1.9dCI  01-</t>
  </si>
  <si>
    <t>SAS4001784</t>
  </si>
  <si>
    <t>4001784   SASIC - РћРїРѕСЂР° РґРІРёРіСѓРЅР°</t>
  </si>
  <si>
    <t>RENAULT Megane II, Scenic II 1.9dCi, 2.0 16V 2002-</t>
  </si>
  <si>
    <t>SAS4001792</t>
  </si>
  <si>
    <t>4001792   SASIC - РћРїРѕСЂР° РґРІРёРіСѓРЅР°</t>
  </si>
  <si>
    <t>RENAULT Megane 1.9 DTi/DCi 03/00-</t>
  </si>
  <si>
    <t>SAS4001793</t>
  </si>
  <si>
    <t>4001793   SASIC - РћРїРѕСЂР° РґРІРёРіСѓРЅР°</t>
  </si>
  <si>
    <t>SAS4001805</t>
  </si>
  <si>
    <t>4001805   SASIC - РћРїРѕСЂР° РґРІРёРіСѓРЅР°</t>
  </si>
  <si>
    <t>RENAULT Clio II 1.4 16V, 1.5DC, 1.6 16v, 01.04-, Thalia 1.4 16V, 1.5DC, 1.6 16v, 01.04-</t>
  </si>
  <si>
    <t>SAS4001814</t>
  </si>
  <si>
    <t>4001814   SASIC - РћРїРѕСЂР° РґРІРёРіСѓРЅР°</t>
  </si>
  <si>
    <t>SAS4003324</t>
  </si>
  <si>
    <t>4003324   SASIC - РЎР°Р№Р»РµРЅС‚Р±Р»РѕРє</t>
  </si>
  <si>
    <t>RENAULT Clio II,Thalia,Twingo 1.0-2.0 1998 -</t>
  </si>
  <si>
    <t>SAS4003347</t>
  </si>
  <si>
    <t>4003347   SASIC - РЎР°Р№Р»РµРЅС‚Р±Р»РѕРє</t>
  </si>
  <si>
    <t>RENAULT  Espace I,II 1988-1996| 25 1984-199</t>
  </si>
  <si>
    <t>SAS4003377</t>
  </si>
  <si>
    <t>4003377   SASIC - РЎР°Р№Р»РµРЅС‚Р±Р»РѕРє</t>
  </si>
  <si>
    <t>335.56</t>
  </si>
  <si>
    <t>RENAULT Master II</t>
  </si>
  <si>
    <t>SAS4003382</t>
  </si>
  <si>
    <t>4003382   SASIC - РЎР°Р№Р»РµРЅС‚Р±Р»РѕРє</t>
  </si>
  <si>
    <t>157.39</t>
  </si>
  <si>
    <t>RENAULT Espace I, II, III</t>
  </si>
  <si>
    <t>SAS4003408</t>
  </si>
  <si>
    <t>4003408   SASIC - РџРёР»СЊРѕРІРёРє РїСЂРёРІС–РґРЅРѕРіРѕ РІР°Р»Сѓ</t>
  </si>
  <si>
    <t>RENAULT Megane 96-, Scenic I 99- (L=88,D1=25.8,D2=116.5)</t>
  </si>
  <si>
    <t>SAS4003419</t>
  </si>
  <si>
    <t>4003419   SASIC - РџРёР»СЊРѕРІРёРє РїСЂРёРІС–РґРЅРѕРіРѕ РІР°Р»Сѓ</t>
  </si>
  <si>
    <t>RENAULT Clio 1,Express,R19,R5| (L=80,D1=23.8,D2=85) (INNER) LEFT</t>
  </si>
  <si>
    <t>SAS4003440</t>
  </si>
  <si>
    <t>4003440   SASIC - РџРёР»СЊРѕРІРёРє РїСЂРёРІС–РґРЅРѕРіРѕ РІР°Р»Сѓ</t>
  </si>
  <si>
    <t>170.44</t>
  </si>
  <si>
    <t>DAEWOO Lanos 1.4/1.5 SOHC 97-, RENAULT Laguna 1.8 16V 98-</t>
  </si>
  <si>
    <t>SAS4003455</t>
  </si>
  <si>
    <t>4003455   SASIC - РџРёР»СЊРѕРІРёРє РїСЂРёРІС–РґРЅРѕРіРѕ РІР°Р»Сѓ</t>
  </si>
  <si>
    <t xml:space="preserve">RENAULT Espace III 2.0 16V, 2.2 12V TD 96-, Laguna 1.6 16V, 1.9 dTi 97-, Megane I 99-   (L:140/O1=28/O2=88) </t>
  </si>
  <si>
    <t>SAS4003470</t>
  </si>
  <si>
    <t>4003470   SASIC - РџРёР»СЊРѕРІРёРє РїСЂРёРІС–РґРЅРѕРіРѕ РІР°Р»Сѓ</t>
  </si>
  <si>
    <t>582.89</t>
  </si>
  <si>
    <t>OPEL Vivaro 1.9DI/DTI 01-, 2.5DTI 03-|  (L=92,D1=28,D2=75,3)</t>
  </si>
  <si>
    <t>SAS4005134</t>
  </si>
  <si>
    <t>4005134   SASIC - Р’С‚СѓР»РєР° СЃС‚Р°Р±С–Р»С–Р·Р°С‚РѕСЂР°</t>
  </si>
  <si>
    <t>RENAULT Kangoo 1.2,1.4,1.5 03-</t>
  </si>
  <si>
    <t>SAS4005141</t>
  </si>
  <si>
    <t>4005141   SASIC - РўСЏРіР° СЃС‚Р°Р±С–Р»С–Р·Р°С‚РѕСЂР°</t>
  </si>
  <si>
    <t>214.55</t>
  </si>
  <si>
    <t>RENAULT Espace 11/02-| OPEL Vivaro 01- FRONT L/R</t>
  </si>
  <si>
    <t>SAS4005147</t>
  </si>
  <si>
    <t>4005147   SASIC - РўСЏРіР° СЃС‚Р°Р±С–Р»С–Р·Р°С‚РѕСЂР°</t>
  </si>
  <si>
    <t>RENAULT Clio III, Modus| 1.2-2.0| 01.03- FRONT L/R</t>
  </si>
  <si>
    <t>SAS4005148</t>
  </si>
  <si>
    <t>4005148   SASIC - РўСЏРіР° СЃС‚Р°Р±С–Р»С–Р·Р°С‚РѕСЂР°</t>
  </si>
  <si>
    <t xml:space="preserve">RENAULT Kangoo, Scenic I| 1.6/1.9DCI/2.0| 06.00- ( !!! only 4x4 ) FRONT L/R </t>
  </si>
  <si>
    <t>SAS4005150</t>
  </si>
  <si>
    <t>4005150   SASIC - Р’С‚СѓР»РєР° СЃС‚Р°Р±С–Р»С–Р·Р°С‚РѕСЂР°</t>
  </si>
  <si>
    <t>54.58</t>
  </si>
  <si>
    <t>RENAULT Clio III 2005-,Megane II 2003- (d=20mm) FFRONT</t>
  </si>
  <si>
    <t>SAS4005151</t>
  </si>
  <si>
    <t>4005151   SASIC - Р’С‚СѓР»РєР° СЃС‚Р°Р±С–Р»С–Р·Р°С‚РѕСЂР°</t>
  </si>
  <si>
    <t>RENAULT Megane| 1.4-2.0| 01.96-</t>
  </si>
  <si>
    <t>SAS4005152</t>
  </si>
  <si>
    <t>4005152   SASIC - РўСЏРіР° СЃС‚Р°Р±С–Р»С–Р·Р°С‚РѕСЂР°</t>
  </si>
  <si>
    <t>SAS4005153</t>
  </si>
  <si>
    <t>4005153   SASIC - Р’С‚СѓР»РєР° СЃС‚Р°Р±С–Р»С–Р·Р°С‚РѕСЂР°</t>
  </si>
  <si>
    <t>DACIA Logan 1.4,1.5,1.6 04-</t>
  </si>
  <si>
    <t>SAS4005257</t>
  </si>
  <si>
    <t>4005257   SASIC - РљСѓР»СЊРѕРІР° РѕРїРѕСЂР°</t>
  </si>
  <si>
    <t>RENAULT 5, 9, 11, 19, 21, Clio, Kangoo, Megane, Rapid, Scenic, Thalia, Twingo</t>
  </si>
  <si>
    <t>SAS4005272</t>
  </si>
  <si>
    <t>4005272   SASIC - РљСѓР»СЊРѕРІР° РѕРїРѕСЂР°</t>
  </si>
  <si>
    <t>166.49</t>
  </si>
  <si>
    <t>RENAULT Megane II  02-03, L/R, (16mm)</t>
  </si>
  <si>
    <t>SAS4005276</t>
  </si>
  <si>
    <t>4005276   SASIC - РљСѓР»СЊРѕРІР° РѕРїРѕСЂР°</t>
  </si>
  <si>
    <t>263.30</t>
  </si>
  <si>
    <t>OPEL Movano| RENAULT Master II 1.9D-3.0D  98-  (lower)</t>
  </si>
  <si>
    <t>SAS4005277</t>
  </si>
  <si>
    <t>4005277   SASIC - РљСѓР»СЊРѕРІР° РѕРїРѕСЂР°</t>
  </si>
  <si>
    <t>RENAULT 19 16V, Clio II, Kangoo, Megane, Scenic</t>
  </si>
  <si>
    <t>SAS4005278</t>
  </si>
  <si>
    <t>4005278   SASIC - РљСѓР»СЊРѕРІР° РѕРїРѕСЂР°</t>
  </si>
  <si>
    <t>262.44</t>
  </si>
  <si>
    <t>SAS4005279</t>
  </si>
  <si>
    <t>4005279   SASIC - РљСѓР»СЊРѕРІР° РѕРїРѕСЂР°</t>
  </si>
  <si>
    <t>OPEL Movano, RENAULT Master II| 1.9D-3.0D| 07.98-</t>
  </si>
  <si>
    <t>SAS4005280</t>
  </si>
  <si>
    <t>4005280   SASIC - РљСѓР»СЊРѕРІР° РѕРїРѕСЂР°</t>
  </si>
  <si>
    <t>RENAULT Megane II 2/03-, Scenic II 6/03-</t>
  </si>
  <si>
    <t>SAS4005281</t>
  </si>
  <si>
    <t>4005281   SASIC - РљСѓР»СЊРѕРІР° РѕРїРѕСЂР°</t>
  </si>
  <si>
    <t>OPEL Vivaro 06-14| NISSAN Primastar 06-14| RENAULT Trafic II 06-14, (РґС–Р°РјРµС‚СЂ РѕС‚РІРѕСЂС–РІ 12mm) (L/R)</t>
  </si>
  <si>
    <t>SAS4005300</t>
  </si>
  <si>
    <t>4005300   SASIC - РџС–РґС€РёРїРЅРёРє РѕРїРѕСЂРё СЃС‚С–Р№РєРё Р°РјРѕСЂС‚РёР·Р°С‚РѕСЂР°</t>
  </si>
  <si>
    <t>106.76</t>
  </si>
  <si>
    <t>RENAULT Clio I, II 91.01-, Kangoo 98.03-, Twingo 93.03-  FRONT L/R</t>
  </si>
  <si>
    <t>SAS4005350</t>
  </si>
  <si>
    <t>4005350   SASIC - Р РµРјРєРѕРјРїР»РµРєС‚ РїС–РґС€РёРїРЅРёРєС–РІ Р±Р°Р»РєРё</t>
  </si>
  <si>
    <t>RENAULT Megane, R9/11, R19</t>
  </si>
  <si>
    <t>SAS4005373</t>
  </si>
  <si>
    <t>4005373   SASIC - РџРёР»СЊРѕРІРёРє Р°РјРѕСЂС‚РёР·Р°С‚РѕСЂР°</t>
  </si>
  <si>
    <t>RENAULT Clio I, Kangoo L/R</t>
  </si>
  <si>
    <t>SAS4005528</t>
  </si>
  <si>
    <t>4005528   SASIC - РЎР°Р№Р»РµРЅС‚Р±Р»РѕРє</t>
  </si>
  <si>
    <t>RENAULT Laguna II 03/01- RIGHT</t>
  </si>
  <si>
    <t>SAS4005529</t>
  </si>
  <si>
    <t>4005529   SASIC - РЎР°Р№Р»РµРЅС‚Р±Р»РѕРє</t>
  </si>
  <si>
    <t>RENAULT Laguna II 03/01- LEFT</t>
  </si>
  <si>
    <t>SAS4005536</t>
  </si>
  <si>
    <t>4005536   SASIC - Р’С–РґР±С–Р№РЅРёРє Р°РјРѕСЂС‚РёР·Р°С‚РѕСЂР°</t>
  </si>
  <si>
    <t>165.63</t>
  </si>
  <si>
    <t>DACIA Logan 04-</t>
  </si>
  <si>
    <t>SAS4005537</t>
  </si>
  <si>
    <t>4005537   SASIC - РћРїРѕСЂР° СЃС‚С–Р№РєРё Р°РјРѕСЂС‚РёР·Р°С‚РѕСЂР°</t>
  </si>
  <si>
    <t>DACIA Logan 04- L/R</t>
  </si>
  <si>
    <t>SAS4006075</t>
  </si>
  <si>
    <t>4006075   SASIC - РџРёР»СЊРѕРІРёРє РєРµСЂРјРѕРІРѕС— С‚СЏРіРё</t>
  </si>
  <si>
    <t>35.01</t>
  </si>
  <si>
    <t>RENAULT 9, 11, 19, CLIO (L=155,O1=10,O2=28)</t>
  </si>
  <si>
    <t>SAS4006114</t>
  </si>
  <si>
    <t>4006114   SASIC - РќР°РєС–РЅРµС‡РЅРёРє РєРµСЂРјРѕРІРѕС— С‚СЏРіРё</t>
  </si>
  <si>
    <t>RENAULT 19 02/1989-06/1996 LEFT</t>
  </si>
  <si>
    <t>SAS4006120</t>
  </si>
  <si>
    <t>4006120   SASIC - РџРёР»СЊРѕРІРёРє РєРµСЂРјРѕРІРѕС— С‚СЏРіРё</t>
  </si>
  <si>
    <t>RENAULT 9, 11, 18, 20, 25, 30, Trafic|  (L=200,O1=10,O2=33)</t>
  </si>
  <si>
    <t>SAS4006133</t>
  </si>
  <si>
    <t>4006133   SASIC - РќР°РєС–РЅРµС‡РЅРёРє РєРµСЂРјРѕРІРѕС— С‚СЏРіРё</t>
  </si>
  <si>
    <t>212.32</t>
  </si>
  <si>
    <t>RENAULT Traffic  -2001</t>
  </si>
  <si>
    <t>SAS4006134</t>
  </si>
  <si>
    <t>4006134   SASIC - РќР°РєС–РЅРµС‡РЅРёРє РєРµСЂРјРѕРІРѕС— С‚СЏРіРё</t>
  </si>
  <si>
    <t>RENAULT Megane, Scenic, Clio II, Kangoo  98-  (Front, L)</t>
  </si>
  <si>
    <t>SAS4006135</t>
  </si>
  <si>
    <t>4006135   SASIC - РќР°РєС–РЅРµС‡РЅРёРє РєРµСЂРјРѕРІРѕС— С‚СЏРіРё</t>
  </si>
  <si>
    <t>RENAULT Megane, Scenic, Clio II, Kangoo  98-  (Front, R)</t>
  </si>
  <si>
    <t>SAS4006147</t>
  </si>
  <si>
    <t>4006147   SASIC - РќР°РєС–РЅРµС‡РЅРёРє РєРµСЂРјРѕРІРѕС— С‚СЏРіРё</t>
  </si>
  <si>
    <t>RENAULT Espace, Laguna II 01-, Vel Satis 12/01-, Traffic 05/01- LEFT</t>
  </si>
  <si>
    <t>SAS4006148</t>
  </si>
  <si>
    <t>4006148   SASIC - РќР°РєС–РЅРµС‡РЅРёРє РєРµСЂРјРѕРІРѕС— С‚СЏРіРё</t>
  </si>
  <si>
    <t>RENAULT Espace, Laguna II 01-, Vel Satis 12/01-, Traffic 05/01- RIGHT</t>
  </si>
  <si>
    <t>SAS4006153</t>
  </si>
  <si>
    <t>4006153   SASIC - РќР°РєС–РЅРµС‡РЅРёРє РєРµСЂРјРѕРІРѕС— С‚СЏРіРё</t>
  </si>
  <si>
    <t>405.59</t>
  </si>
  <si>
    <t>RENAULT Master II 98-| OPEL Movano 98- LEFT</t>
  </si>
  <si>
    <t>SAS4006154</t>
  </si>
  <si>
    <t>4006154   SASIC - РќР°РєС–РЅРµС‡РЅРёРє РєРµСЂРјРѕРІРѕС— С‚СЏРіРё</t>
  </si>
  <si>
    <t>RENAULT Master II 98-| OPEL Movano 98- RIGHT</t>
  </si>
  <si>
    <t>SAS4006157</t>
  </si>
  <si>
    <t>4006157   SASIC - РќР°РєС–РЅРµС‡РЅРёРє РєРµСЂРјРѕРІРѕС— С‚СЏРіРё</t>
  </si>
  <si>
    <t>195.84</t>
  </si>
  <si>
    <t>DACIA Logan 09/2004- RIGHT</t>
  </si>
  <si>
    <t>SAS4006158</t>
  </si>
  <si>
    <t>4006158   SASIC - РќР°РєС–РЅРµС‡РЅРёРє РєРµСЂРјРѕРІРѕС— С‚СЏРіРё</t>
  </si>
  <si>
    <t>DACIA Logan 09/2004- LEFT</t>
  </si>
  <si>
    <t>SAS4006159</t>
  </si>
  <si>
    <t>4006159   SASIC - РќР°РєС–РЅРµС‡РЅРёРє РєРµСЂРјРѕРІРѕС— С‚СЏРіРё</t>
  </si>
  <si>
    <t>282.35</t>
  </si>
  <si>
    <t>RENAULT Megane II 10/02- RIGHT</t>
  </si>
  <si>
    <t>SAS4006215</t>
  </si>
  <si>
    <t>4006215   SASIC - РџРёР»СЊРѕРІРёРє РєРµСЂРјРѕРІРѕС— С‚СЏРіРё</t>
  </si>
  <si>
    <t>RENAULT Clio II, Megane, Kangoo (L=168,O1=9,O2=39)</t>
  </si>
  <si>
    <t>SAS4006224</t>
  </si>
  <si>
    <t>4006224   SASIC - РџРёР»СЊРѕРІРёРє РєРµСЂРјРѕРІРѕС— С‚СЏРіРё</t>
  </si>
  <si>
    <t>RENAULT Master IV 97-, OPEL Movano| DACIA Logan  (L=165,O1=9.5,O2=42)</t>
  </si>
  <si>
    <t>SAS4542F52</t>
  </si>
  <si>
    <t>4542F52   SASIC - РўСЏРіР° РєСѓР»С–СЃРё</t>
  </si>
  <si>
    <t>244.24</t>
  </si>
  <si>
    <t>4542F52</t>
  </si>
  <si>
    <t>CITROEN Berlingo, PEUGEOT Partner, 99- (L=97mm)</t>
  </si>
  <si>
    <t>SAS4542G52</t>
  </si>
  <si>
    <t>4542G52   SASIC - РўСЏРіР° РєСѓР»С–СЃРё</t>
  </si>
  <si>
    <t>215.41</t>
  </si>
  <si>
    <t>4542G52</t>
  </si>
  <si>
    <t>PEUGEOT 206, 98- (L=160mm)</t>
  </si>
  <si>
    <t>SAS5233103</t>
  </si>
  <si>
    <t>5233103   SASIC - РЎР°Р№Р»РµРЅС‚Р±Р»РѕРє</t>
  </si>
  <si>
    <t>PEUGEOT 404,504,505,604</t>
  </si>
  <si>
    <t>SAS5233403</t>
  </si>
  <si>
    <t>5233403   SASIC - РЎР°Р№Р»РµРЅС‚Р±Р»РѕРє</t>
  </si>
  <si>
    <t>38.96</t>
  </si>
  <si>
    <t>PEUGEOT 405 15B, 4B ALL 88.07-96.10</t>
  </si>
  <si>
    <t>SAS5233453</t>
  </si>
  <si>
    <t>5233453   SASIC - РЎР°Р№Р»РµРЅС‚Р±Р»РѕРє</t>
  </si>
  <si>
    <t>126.67</t>
  </si>
  <si>
    <t>PEUGEOT 605 1989-1999</t>
  </si>
  <si>
    <t>SAS5233513</t>
  </si>
  <si>
    <t>5233513   SASIC - РЎР°Р№Р»РµРЅС‚Р±Р»РѕРє</t>
  </si>
  <si>
    <t xml:space="preserve">CITROEN Ax, Saxo All  91-, PEUGEOT 106 All  91- </t>
  </si>
  <si>
    <t>SAS5233603</t>
  </si>
  <si>
    <t>5233603   SASIC - РЎР°Р№Р»РµРЅС‚Р±Р»РѕРє</t>
  </si>
  <si>
    <t>PEUGEOT 406 ALL 1995-2004</t>
  </si>
  <si>
    <t>SAS5233613</t>
  </si>
  <si>
    <t>5233613   SASIC - РЎР°Р№Р»РµРЅС‚Р±Р»РѕРє</t>
  </si>
  <si>
    <t>196.36</t>
  </si>
  <si>
    <t>SAS5233623</t>
  </si>
  <si>
    <t>5233623   SASIC - РЎР°Р№Р»РµРЅС‚Р±Р»РѕРє</t>
  </si>
  <si>
    <t>CITROEN Berlingo,Xsara,ZX| PEUGEOT 306, Partner 1991-</t>
  </si>
  <si>
    <t>SAS5233833</t>
  </si>
  <si>
    <t>5233833   SASIC - РЎР°Р№Р»РµРЅС‚Р±Р»РѕРє</t>
  </si>
  <si>
    <t>149.16</t>
  </si>
  <si>
    <t>CITROEN Berlingo, Xsara Picasso 12/99-  L/R</t>
  </si>
  <si>
    <t>SAS5233843</t>
  </si>
  <si>
    <t>5233843   SASIC - РЎР°Р№Р»РµРЅС‚Р±Р»РѕРє</t>
  </si>
  <si>
    <t>CITROEN C5 02/01-10/04 L/R</t>
  </si>
  <si>
    <t>SAS5233913</t>
  </si>
  <si>
    <t>5233913   SASIC - РЎР°Р№Р»РµРЅС‚Р±Р»РѕРє</t>
  </si>
  <si>
    <t>87.71</t>
  </si>
  <si>
    <t>CITROEN C4 PEUGEOT 307 04/01- L/R</t>
  </si>
  <si>
    <t>SAS5233923</t>
  </si>
  <si>
    <t>5233923   SASIC - РЎР°Р№Р»РµРЅС‚Р±Р»РѕРє</t>
  </si>
  <si>
    <t>PEUGEOT 307 1998-</t>
  </si>
  <si>
    <t>SAS5233933</t>
  </si>
  <si>
    <t>5233933   SASIC - РЎР°Р№Р»РµРЅС‚Р±Р»РѕРє</t>
  </si>
  <si>
    <t>37.25</t>
  </si>
  <si>
    <t>PEUGEOT Boxer II| 2.0/2.0HDI/2.8HDI| 02.02-  L/R</t>
  </si>
  <si>
    <t>SAS5233AR3</t>
  </si>
  <si>
    <t>5233AR3   SASIC - РЎР°Р№Р»РµРЅС‚Р±Р»РѕРє</t>
  </si>
  <si>
    <t>239.95</t>
  </si>
  <si>
    <t>5233AR3</t>
  </si>
  <si>
    <t>CITROEN C5 06/01-</t>
  </si>
  <si>
    <t>SAS6403323</t>
  </si>
  <si>
    <t>6403323   SASIC - РљСѓР»СЊРѕРІР° РѕРїРѕСЂР°</t>
  </si>
  <si>
    <t>317.88</t>
  </si>
  <si>
    <t>PEUGEOT Boxer 94-,  JUMPER 94-2002</t>
  </si>
  <si>
    <t>SAS6403343</t>
  </si>
  <si>
    <t>6403343   SASIC - РљСѓР»СЊРѕРІР° РѕРїРѕСЂР°</t>
  </si>
  <si>
    <t>PEUGEOT 406,605,CITROEN XM,XANTIA</t>
  </si>
  <si>
    <t>SAS6403513</t>
  </si>
  <si>
    <t>6403513   SASIC - РљСѓР»СЊРѕРІР° РѕРїРѕСЂР°</t>
  </si>
  <si>
    <t>187.26</t>
  </si>
  <si>
    <t>CITROEN BERLINGO (bez 2,0HDi) 02-</t>
  </si>
  <si>
    <t>SAS6403553</t>
  </si>
  <si>
    <t>6403553   SASIC - РљСѓР»СЊРѕРІР° РѕРїРѕСЂР°</t>
  </si>
  <si>
    <t>CITROEN Jumper 2/01-| FIAT Ducato 2/01-| PEUGEOT Boxer 2/01-</t>
  </si>
  <si>
    <t>SAS6403573</t>
  </si>
  <si>
    <t>6403573   SASIC - РљСѓР»СЊРѕРІР° РѕРїРѕСЂР°</t>
  </si>
  <si>
    <t>CITROEN C5 2/08-, C6 9/05-| PEUGEOT 407 5/04-</t>
  </si>
  <si>
    <t>SAS7470001</t>
  </si>
  <si>
    <t>7470001   SASIC - Р’Р°Р¶С–Р»СЊ РїС–РґРІС–СЃРєРё</t>
  </si>
  <si>
    <t>2329.84</t>
  </si>
  <si>
    <t>CITROEN Jumpy 1/07-| PEUGEOT Expert 1/07-  FRONT LEFT</t>
  </si>
  <si>
    <t>SAS7574001</t>
  </si>
  <si>
    <t>7574001   SASIC - РљСѓР»СЊРѕРІР° РѕРїРѕСЂР°</t>
  </si>
  <si>
    <t>274.62</t>
  </si>
  <si>
    <t>OPEL Movano 98-| RENAULT Master 98-  NISSAN Interstar 02-|</t>
  </si>
  <si>
    <t>SAS7574007</t>
  </si>
  <si>
    <t>7574007   SASIC - РљСѓР»СЊРѕРІР° РѕРїРѕСЂР°</t>
  </si>
  <si>
    <t>OPEL Movano 9/07-| RENAULT Master 9/07- NISSAN Interstar 9/07-</t>
  </si>
  <si>
    <t>SAS7574008</t>
  </si>
  <si>
    <t>7574008   SASIC - РљСѓР»СЊРѕРІР° РѕРїРѕСЂР°</t>
  </si>
  <si>
    <t>204.08</t>
  </si>
  <si>
    <t>RENAULT Kangoo 2/08- LEFT</t>
  </si>
  <si>
    <t>SAS7574009</t>
  </si>
  <si>
    <t>7574009   SASIC - РљСѓР»СЊРѕРІР° РѕРїРѕСЂР°</t>
  </si>
  <si>
    <t>RENAULT Kangoo 2/08- RIGHT</t>
  </si>
  <si>
    <t>SAS7574012</t>
  </si>
  <si>
    <t>7574012   SASIC - РљСѓР»СЊРѕРІР° РѕРїРѕСЂР°</t>
  </si>
  <si>
    <t>232.57</t>
  </si>
  <si>
    <t>OPEL Movano B| RENAULT Master III 2.3D  10-  (Front, R)</t>
  </si>
  <si>
    <t>SAS7576017</t>
  </si>
  <si>
    <t>7576017   SASIC - РљСѓР»СЊРѕРІР° РѕРїРѕСЂР°</t>
  </si>
  <si>
    <t xml:space="preserve">NISSAN Tiida 1.5dCi, 1.6, 1.8  06-  (L/R) </t>
  </si>
  <si>
    <t>SAS7576018</t>
  </si>
  <si>
    <t>7576018   SASIC - РљСѓР»СЊРѕРІР° РѕРїРѕСЂР°</t>
  </si>
  <si>
    <t>255.92</t>
  </si>
  <si>
    <t>AUDI A4, A5, A6, A7, Q5 1.8-4.2  07-  (front, L/R lower)</t>
  </si>
  <si>
    <t>SAS7576028</t>
  </si>
  <si>
    <t>7576028   SASIC - РљСѓР»СЊРѕРІР° РѕРїРѕСЂР°</t>
  </si>
  <si>
    <t>273.25</t>
  </si>
  <si>
    <t>MB A-Class (W169), B-Class (W245) 1.5-2.0  04-12  (L/R)</t>
  </si>
  <si>
    <t>SAS7670001</t>
  </si>
  <si>
    <t>7670001   SASIC - РќР°РєС–РЅРµС‡РЅРёРє РєРµСЂРјРѕРІРѕС— С‚СЏРіРё</t>
  </si>
  <si>
    <t>387.91</t>
  </si>
  <si>
    <t>CITROEN Jumper 2.2 HDi 16V FIAT Ducato 2.2 2.3 3.0 JTD 16v. 07/06- LEFT</t>
  </si>
  <si>
    <t>SAS7670002</t>
  </si>
  <si>
    <t>7670002   SASIC - РќР°РєС–РЅРµС‡РЅРёРє РєРµСЂРјРѕРІРѕС— С‚СЏРіРё</t>
  </si>
  <si>
    <t>SAS7670003</t>
  </si>
  <si>
    <t>7670003   SASIC - РќР°РєС–РЅРµС‡РЅРёРє РєРµСЂРјРѕРІРѕС— С‚СЏРіРё</t>
  </si>
  <si>
    <t>CITROEN C3| 1.1/1.4/1.6HDI| 11.09- LEFT</t>
  </si>
  <si>
    <t>SAS7670004</t>
  </si>
  <si>
    <t>7670004   SASIC - РќР°РєС–РЅРµС‡РЅРёРє РєРµСЂРјРѕРІРѕС— С‚СЏРіРё</t>
  </si>
  <si>
    <t>CITROEN C3| 1.1/1.4/1.6HDI| 11.09- RIGHT</t>
  </si>
  <si>
    <t>SAS7670011</t>
  </si>
  <si>
    <t>7670011   SASIC - РќР°РєС–РЅРµС‡РЅРёРє РєРµСЂРјРѕРІРѕС— С‚СЏРіРё</t>
  </si>
  <si>
    <t>174.21</t>
  </si>
  <si>
    <t>CITROEN Jumpy| FIAT Scudo| PEUGEOT Expert 1.6, 2.0 07-  (L/R)</t>
  </si>
  <si>
    <t>SAS7670014</t>
  </si>
  <si>
    <t>7670014   SASIC - РќР°РєС–РЅРµС‡РЅРёРє РєРµСЂРјРѕРІРѕС— С‚СЏРіРё</t>
  </si>
  <si>
    <t>CITROEN C5 III| PEUGEOT 508 1.6-3.0D 02.08-  (Right)</t>
  </si>
  <si>
    <t>SAS7670015</t>
  </si>
  <si>
    <t>7670015   SASIC - РќР°РєС–РЅРµС‡РЅРёРє РєРµСЂРјРѕРІРѕС— С‚СЏРіРё</t>
  </si>
  <si>
    <t>CITROEN C5 III| PEUGEOT 508 1.6-3.0D 02.08-  (Left)</t>
  </si>
  <si>
    <t>SAS7674013</t>
  </si>
  <si>
    <t>7674013   SASIC - РќР°РєС–РЅРµС‡РЅРёРє РєРµСЂРјРѕРІРѕС— С‚СЏРіРё</t>
  </si>
  <si>
    <t>352.72</t>
  </si>
  <si>
    <t>OPEL Movano| RENAULT Master IV 2.3 DCI 10-  (Left)</t>
  </si>
  <si>
    <t>SAS7674015</t>
  </si>
  <si>
    <t>7674015   SASIC - РќР°РєС–РЅРµС‡РЅРёРє РєРµСЂРјРѕРІРѕС— С‚СЏРіРё</t>
  </si>
  <si>
    <t>OPEL Movano| RENAULT Master IV 2.3 DCI 10-  (Right)</t>
  </si>
  <si>
    <t>SAS7676019</t>
  </si>
  <si>
    <t>7676019   SASIC - РќР°РєС–РЅРµС‡РЅРёРє РєРµСЂРјРѕРІРѕС— С‚СЏРіРё</t>
  </si>
  <si>
    <t>416.06</t>
  </si>
  <si>
    <t>VW T5 (7HM) 1.9 TDI,2.0,2.5 TDI,2.5 TDI 4motion,3.2 V6,3.2 V6 4motion RIGHT</t>
  </si>
  <si>
    <t>SAS7676020</t>
  </si>
  <si>
    <t>7676020   SASIC - РќР°РєС–РЅРµС‡РЅРёРє РєРµСЂРјРѕРІРѕС— С‚СЏРіРё</t>
  </si>
  <si>
    <t>VW T5 (7HM) 1.9 TDI,2.0,2.5 TDI,2.5 TDI 4motion,3.2 V6,3.2 V6 4motion LEFT</t>
  </si>
  <si>
    <t>SAS7676039</t>
  </si>
  <si>
    <t>7676039   SASIC - РќР°РєС–РЅРµС‡РЅРёРє РєРµСЂРјРѕРІРѕС— С‚СЏРіРё</t>
  </si>
  <si>
    <t>NISSAN Qashqai 02/07- RIGHT</t>
  </si>
  <si>
    <t>SAS7676040</t>
  </si>
  <si>
    <t>7676040   SASIC - РќР°РєС–РЅРµС‡РЅРёРє РєРµСЂРјРѕРІРѕС— С‚СЏРіРё</t>
  </si>
  <si>
    <t>NISSAN Qashqai 02/07- LEFT</t>
  </si>
  <si>
    <t>SAS7770015</t>
  </si>
  <si>
    <t>7770015   SASIC - РўСЏРіР° РєРµСЂРјРѕРІР°</t>
  </si>
  <si>
    <t>229.65</t>
  </si>
  <si>
    <t>CITROEN C-Elysse| PEUGEOT 301 1.2, 1.6  12-  (L/R)</t>
  </si>
  <si>
    <t>SAS7774013</t>
  </si>
  <si>
    <t>7774013   SASIC - РўСЏРіР° РєРµСЂРјРѕРІР°</t>
  </si>
  <si>
    <t>290.59</t>
  </si>
  <si>
    <t>RENAULT Fluence 10-,Kangoo 08-, Megane III 08-, Scenic III 09-</t>
  </si>
  <si>
    <t>SAS7774017</t>
  </si>
  <si>
    <t>7774017   SASIC - РўСЏРіР° РєРµСЂРјРѕРІР°</t>
  </si>
  <si>
    <t>NISSAN Interstar, OPEL Movano B, RENAULT Master  10-  (L/R)</t>
  </si>
  <si>
    <t>SAS8003201</t>
  </si>
  <si>
    <t>8003201   SASIC - РЎР°Р№Р»РµРЅС‚Р±Р»РѕРє</t>
  </si>
  <si>
    <t>CITROEN AX, Saxo| PEUGEOT 106 1991-</t>
  </si>
  <si>
    <t>SAS8003202</t>
  </si>
  <si>
    <t>8003202   SASIC - РЎР°Р№Р»РµРЅС‚Р±Р»РѕРє</t>
  </si>
  <si>
    <t>CITROEN Jumper| FIAT Ducato| PEUGEOT Boxer 02/1994- FRONT</t>
  </si>
  <si>
    <t>SAS8003204</t>
  </si>
  <si>
    <t>8003204   SASIC - РЎР°Р№Р»РµРЅС‚Р±Р»РѕРє</t>
  </si>
  <si>
    <t>237.89</t>
  </si>
  <si>
    <t>CITROEN Jumper| FIAT Ducato| PEUGEOT Boxer 02/1994- REAR</t>
  </si>
  <si>
    <t>SAS8003206</t>
  </si>
  <si>
    <t>8003206   SASIC - РЎР°Р№Р»РµРЅС‚Р±Р»РѕРє</t>
  </si>
  <si>
    <t>CITROEN Berlingo, Xantia, XM, Xsara, ZX| PEUGEOT 306, 605, Partner</t>
  </si>
  <si>
    <t>SAS8003210</t>
  </si>
  <si>
    <t>8003210   SASIC - Р’С‚СѓР»РєР° СЃС‚Р°Р±С–Р»С–Р·Р°С‚РѕСЂР°</t>
  </si>
  <si>
    <t>FIAT Ducato ALL 94-, PEUGEOT Boxer ALL (d=24mm)</t>
  </si>
  <si>
    <t>SAS8005210</t>
  </si>
  <si>
    <t>8005210   SASIC - РџС–РґС€РёРїРЅРёРє РѕРїРѕСЂРё СЃС‚С–Р№РєРё Р°РјРѕСЂС‚РёР·Р°С‚РѕСЂР°</t>
  </si>
  <si>
    <t>227.94</t>
  </si>
  <si>
    <t>FORD Mondeo III 01/01-, Mondeo IV 2.0 07-, Transit Connect 02-</t>
  </si>
  <si>
    <t>SAS8061281</t>
  </si>
  <si>
    <t>8061281   SASIC - РћРїРѕСЂР° РґРІРёРіСѓРЅР°</t>
  </si>
  <si>
    <t>422.41</t>
  </si>
  <si>
    <t>SAS8061691</t>
  </si>
  <si>
    <t>8061691   SASIC - РћРїРѕСЂР° РґРІРёРіСѓРЅР°</t>
  </si>
  <si>
    <t>CITROEN C5, C8, PEUGEOT 407| 1.8-3.0| 03.01-</t>
  </si>
  <si>
    <t>SAS8091041</t>
  </si>
  <si>
    <t>8091041   SASIC - РЎР°Р№Р»РµРЅС‚Р±Р»РѕРє</t>
  </si>
  <si>
    <t>PEUGEOT 106| CITROEN, XANTIA, 1995-</t>
  </si>
  <si>
    <t>SAS8091161</t>
  </si>
  <si>
    <t>8091161   SASIC - РћРїРѕСЂР° РґРІРёРіСѓРЅР°</t>
  </si>
  <si>
    <t>SAS8091281</t>
  </si>
  <si>
    <t>8091281   SASIC - РћРїРѕСЂР° РґРІРёРіСѓРЅР°</t>
  </si>
  <si>
    <t>CITROEN C5/C8, PEUGEOT 607/807 3.0 V6</t>
  </si>
  <si>
    <t>SAS8091331</t>
  </si>
  <si>
    <t>8091331   SASIC - РћРїРѕСЂР° РґРІРёРіСѓРЅР°</t>
  </si>
  <si>
    <t>CITROEN Berlingo,C4,C5,Xsara,Xsara Picasso| PEUGEOT 307,406,407,Partner 1998-</t>
  </si>
  <si>
    <t>SAS8123E53</t>
  </si>
  <si>
    <t>8123E53   SASIC - РўСЏРіР° РєРµСЂРјРѕРІР°</t>
  </si>
  <si>
    <t>265.53</t>
  </si>
  <si>
    <t>CITROEN C4, 04-| PEUGEOT 307, 00-  L/R</t>
  </si>
  <si>
    <t>SAS8173183</t>
  </si>
  <si>
    <t>8173183   SASIC - РќР°РєС–РЅРµС‡РЅРёРє РєРµСЂРјРѕРІРѕС— С‚СЏРіРё</t>
  </si>
  <si>
    <t>PEUGEOT Partner 96-, 205 83-96, 306 93-01 L/R</t>
  </si>
  <si>
    <t>SAS8173273</t>
  </si>
  <si>
    <t>8173273   SASIC - РќР°РєС–РЅРµС‡РЅРёРє РєРµСЂРјРѕРІРѕС— С‚СЏРіРё</t>
  </si>
  <si>
    <t>190.18</t>
  </si>
  <si>
    <t>PEUGEOT 305,405 RIGHT</t>
  </si>
  <si>
    <t>SAS8173313</t>
  </si>
  <si>
    <t>8173313   SASIC - РќР°РєС–РЅРµС‡РЅРёРє РєРµСЂРјРѕРІРѕС— С‚СЏРіРё</t>
  </si>
  <si>
    <t>151.39</t>
  </si>
  <si>
    <t>CITROEN Ax, Saxo, Xantia, Xm| PEUGEOT 106 I,106 II, 206, 305, 605 (Left)</t>
  </si>
  <si>
    <t>SAS8173433</t>
  </si>
  <si>
    <t>8173433   SASIC - РќР°РєС–РЅРµС‡РЅРёРє РєРµСЂРјРѕРІРѕС— С‚СЏРіРё</t>
  </si>
  <si>
    <t>CITROEN Xantia, XM| PEUGEOT 605, 607 LEFT</t>
  </si>
  <si>
    <t>SAS8173573</t>
  </si>
  <si>
    <t>8173573   SASIC - РќР°РєС–РЅРµС‡РЅРёРє РєРµСЂРјРѕРІРѕС— С‚СЏРіРё</t>
  </si>
  <si>
    <t>PEUGEOT 407  04-  RIGHT</t>
  </si>
  <si>
    <t>SAS8173585</t>
  </si>
  <si>
    <t>8173585   SASIC - РќР°РєС–РЅРµС‡РЅРёРє РєРµСЂРјРѕРІРѕС— С‚СЏРіРё</t>
  </si>
  <si>
    <t>PEUGEOT 407  04-  LEFT</t>
  </si>
  <si>
    <t>SAS8173683</t>
  </si>
  <si>
    <t>8173683   SASIC - РќР°РєС–РЅРµС‡РЅРёРє РєРµСЂРјРѕРІРѕС— С‚СЏРіРё</t>
  </si>
  <si>
    <t>CITROEN C-Elysee 12-| PEUGEOT 207, 208, 301  06-  (Right)</t>
  </si>
  <si>
    <t>SAS8271181</t>
  </si>
  <si>
    <t>8271181   SASIC - РћРїРѕСЂР° РґРІРёРіСѓРЅР°</t>
  </si>
  <si>
    <t>360.62</t>
  </si>
  <si>
    <t>FIAT Ducato, CITROEN Jumper, PEUGEOT Boxer 1.9D, 2,5D,2.8D  1994-2002</t>
  </si>
  <si>
    <t>SAS8271221</t>
  </si>
  <si>
    <t>8271221   SASIC - РћРїРѕСЂР° РґРІРёРіСѓРЅР°</t>
  </si>
  <si>
    <t>542.21</t>
  </si>
  <si>
    <t>CITROEN Evasion,Jumpy,Xantia,XM|  PEUGEOT 605,806,Expert 1.6-2.0 1994-</t>
  </si>
  <si>
    <t>SAS8431921</t>
  </si>
  <si>
    <t>8431921   SASIC - РћРїРѕСЂР° РґРІРёРіСѓРЅР°</t>
  </si>
  <si>
    <t>218.33</t>
  </si>
  <si>
    <t>CITROEN AX 1.4D, XSARA, ZX 1.4I 88.09-, PEUGEOT 106, 205, 206, 306, 309, PARTNER 1.1-1.4 87.10-</t>
  </si>
  <si>
    <t>SAS8441251</t>
  </si>
  <si>
    <t>8441251   SASIC - РћРїРѕСЂР° РґРІРёРіСѓРЅР°</t>
  </si>
  <si>
    <t>CITROEN BERLINGO, C15, ZX 1.0-1.4, 1.8D-1.9D/TD, 2.0HDI 84.10-, PEUGEOT 205, 309, 405 1.1-2.0, 1.8TD</t>
  </si>
  <si>
    <t>SAS8441471</t>
  </si>
  <si>
    <t>8441471   SASIC - РћРїРѕСЂР° РґРІРёРіСѓРЅР°</t>
  </si>
  <si>
    <t>PEUGEOT 306, 406, Berlingo, Partner, Ranch, Xsara, ZX</t>
  </si>
  <si>
    <t>SAS8441511</t>
  </si>
  <si>
    <t>8441511   SASIC - РћРїРѕСЂР° РґРІРёРіСѓРЅР°</t>
  </si>
  <si>
    <t>140.92</t>
  </si>
  <si>
    <t>SAS8441751</t>
  </si>
  <si>
    <t>8441751   SASIC - РћРїРѕСЂР° РґРІРёРіСѓРЅР°</t>
  </si>
  <si>
    <t>SAS8441771</t>
  </si>
  <si>
    <t>8441771   SASIC - РћРїРѕСЂР° РґРІРёРіСѓРЅР°</t>
  </si>
  <si>
    <t>SAS8441931</t>
  </si>
  <si>
    <t>8441931   SASIC - РћРїРѕСЂР° РґРІРёРіСѓРЅР°</t>
  </si>
  <si>
    <t>SAS8441A71</t>
  </si>
  <si>
    <t>8441A71   SASIC - РћРїРѕСЂР° РґРІРёРіСѓРЅР°</t>
  </si>
  <si>
    <t>8441A71</t>
  </si>
  <si>
    <t>SAS8461551</t>
  </si>
  <si>
    <t>8461551   SASIC - РћРїРѕСЂР° РґРІРёРіСѓРЅР°</t>
  </si>
  <si>
    <t>492.95</t>
  </si>
  <si>
    <t>CITROEN Xm| PEUGEOT 605 05.89-09.99</t>
  </si>
  <si>
    <t>SAS8461661</t>
  </si>
  <si>
    <t>8461661   SASIC - РћРїРѕСЂР° РґРІРёРіСѓРЅР°</t>
  </si>
  <si>
    <t>220.56</t>
  </si>
  <si>
    <t>SAS9001502</t>
  </si>
  <si>
    <t>9001502   SASIC - Р’С‚СѓР»РєР° СЃС‚Р°Р±С–Р»С–Р·Р°С‚РѕСЂР°</t>
  </si>
  <si>
    <t>FIAT Brava, Bravo, Tempra, Tipo  all  95-  (Front, L/R)</t>
  </si>
  <si>
    <t>SAS9001504</t>
  </si>
  <si>
    <t>9001504   SASIC - Р’С‚СѓР»РєР° СЃС‚Р°Р±С–Р»С–Р·Р°С‚РѕСЂР°</t>
  </si>
  <si>
    <t>14.25</t>
  </si>
  <si>
    <t>AUDI 80 [8C-B4] (d=21mm)</t>
  </si>
  <si>
    <t>SAS9001505</t>
  </si>
  <si>
    <t>9001505   SASIC - Р’С‚СѓР»РєР° СЃС‚Р°Р±С–Р»С–Р·Р°С‚РѕСЂР°</t>
  </si>
  <si>
    <t>AUDI 80 [8C-B4] (d=19mm)</t>
  </si>
  <si>
    <t>SAS9001523</t>
  </si>
  <si>
    <t>9001523   SASIC - РЎР°Р№Р»РµРЅС‚Р±Р»РѕРє</t>
  </si>
  <si>
    <t>AUDI A3 96-| SKODA Octavia 96-</t>
  </si>
  <si>
    <t>SAS9001539</t>
  </si>
  <si>
    <t>9001539   SASIC - РЎР°Р№Р»РµРЅС‚Р±Р»РѕРє</t>
  </si>
  <si>
    <t>81.70</t>
  </si>
  <si>
    <t>AUDI A4 95-, VW Passat 10.96-05.05 L/R</t>
  </si>
  <si>
    <t>SAS9001540</t>
  </si>
  <si>
    <t>9001540   SASIC - РЎР°Р№Р»РµРЅС‚Р±Р»РѕРє</t>
  </si>
  <si>
    <t>SAS9001542</t>
  </si>
  <si>
    <t>9001542   SASIC - РЎР°Р№Р»РµРЅС‚Р±Р»РѕРє</t>
  </si>
  <si>
    <t>65.22</t>
  </si>
  <si>
    <t>AUDI A3 96-| SKODA Octavia 96- | Golf IV 96-</t>
  </si>
  <si>
    <t>SAS9001544</t>
  </si>
  <si>
    <t>9001544   SASIC - РЎР°Р№Р»РµРЅС‚Р±Р»РѕРє</t>
  </si>
  <si>
    <t>AUDI 100 2.0-2.8, A6 1.8-2.8 AUDI 100 91-, A6 06.94-12.97</t>
  </si>
  <si>
    <t>SAS9001552</t>
  </si>
  <si>
    <t>9001552   SASIC - РЎР°Р№Р»РµРЅС‚Р±Р»РѕРє</t>
  </si>
  <si>
    <t>35.53</t>
  </si>
  <si>
    <t>AUDI 80 09.78-09.91</t>
  </si>
  <si>
    <t>SAS9001599</t>
  </si>
  <si>
    <t>9001599   SASIC - Р’С‚СѓР»РєР° СЃС‚Р°Р±С–Р»С–Р·Р°С‚РѕСЂР°</t>
  </si>
  <si>
    <t>17.16</t>
  </si>
  <si>
    <t>SAS9001602</t>
  </si>
  <si>
    <t>9001602   SASIC - Р’С‚СѓР»РєР° СЃС‚Р°Р±С–Р»С–Р·Р°С‚РѕСЂР°</t>
  </si>
  <si>
    <t>29.18</t>
  </si>
  <si>
    <t>FORD Transit 91-00 (d=18mm)</t>
  </si>
  <si>
    <t>SAS9001614</t>
  </si>
  <si>
    <t>9001614   SASIC - Р’С‚СѓР»РєР° СЃС‚Р°Р±С–Р»С–Р·Р°С‚РѕСЂР°</t>
  </si>
  <si>
    <t>MB Vito 2.0, 2.2CDI, 2.3  96- (d=25mm)  (Front, L/R)</t>
  </si>
  <si>
    <t>SAS9001615</t>
  </si>
  <si>
    <t>9001615   SASIC - РЎР°Р№Р»РµРЅС‚Р±Р»РѕРє</t>
  </si>
  <si>
    <t>MB E-klass (W124)</t>
  </si>
  <si>
    <t>SAS9001616</t>
  </si>
  <si>
    <t>9001616   SASIC - РЎР°Р№Р»РµРЅС‚Р±Р»РѕРє Р±Р°Р»РєРё</t>
  </si>
  <si>
    <t>197.21</t>
  </si>
  <si>
    <t>MB C-Class (W201) 82-92, C-Class (W202) 93-02, E-Class (W124) 84-95  (Rear axle, front)</t>
  </si>
  <si>
    <t>SAS9001632</t>
  </si>
  <si>
    <t>9001632   SASIC - РћРїРѕСЂР° РґРІРёРіСѓРЅР°</t>
  </si>
  <si>
    <t>492.44</t>
  </si>
  <si>
    <t>MB W124/201 250/300TD</t>
  </si>
  <si>
    <t>SAS9001637</t>
  </si>
  <si>
    <t>9001637   SASIC - РЎР°Р№Р»РµРЅС‚Р±Р»РѕРє</t>
  </si>
  <si>
    <t>OPEL Vectra B 10/95- L/R</t>
  </si>
  <si>
    <t>SAS9001702</t>
  </si>
  <si>
    <t>9001702   SASIC - РЎР°Р№Р»РµРЅС‚Р±Р»РѕРє Р±Р°Р»РєРё</t>
  </si>
  <si>
    <t>78.27</t>
  </si>
  <si>
    <t>VW Passat B3, B4 all  88-97  (Rear L/R)</t>
  </si>
  <si>
    <t>SAS9001705</t>
  </si>
  <si>
    <t>9001705   SASIC - РЎР°Р№Р»РµРЅС‚Р±Р»РѕРє</t>
  </si>
  <si>
    <t>VW Golf III, Vento 92-, Corrado 91-95, SEAT Toledo 94-  (Rear)</t>
  </si>
  <si>
    <t>SAS9001709</t>
  </si>
  <si>
    <t>9001709   SASIC - РћРїРѕСЂР° СЃС‚С–Р№РєРё Р°РјРѕСЂС‚РёР·Р°С‚РѕСЂР°</t>
  </si>
  <si>
    <t>FORD Galaxy 95-, SEAT Alhambra 96-</t>
  </si>
  <si>
    <t>SAS9001729</t>
  </si>
  <si>
    <t>9001729   SASIC - Р’С‚СѓР»РєР° СЃС‚Р°Р±С–Р»С–Р·Р°С‚РѕСЂР°</t>
  </si>
  <si>
    <t>FIAT BRAVO|BRAVA 1,2/1,4/1,6|TIPO (d=22mm)</t>
  </si>
  <si>
    <t>SAS9001730</t>
  </si>
  <si>
    <t>9001730   SASIC - Р’С‚СѓР»РєР° СЃС‚Р°Р±С–Р»С–Р·Р°С‚РѕСЂР°</t>
  </si>
  <si>
    <t>AUDI A3, A4 96-, TT 07.03-, SKODA Octavia 09.04-, VW - GOLF IV 00- (d=21mm)</t>
  </si>
  <si>
    <t>SAS9001732</t>
  </si>
  <si>
    <t>9001732   SASIC - Р’С‚СѓР»РєР° СЃС‚Р°Р±С–Р»С–Р·Р°С‚РѕСЂР°</t>
  </si>
  <si>
    <t>AUDI A3, A4 96-, TT 07.03-, SKODA Octavia 09.04-, VW - GOLF IV 00- (d=23mm)</t>
  </si>
  <si>
    <t>SAS9001733</t>
  </si>
  <si>
    <t>9001733   SASIC - Р’С‚СѓР»РєР° СЃС‚Р°Р±С–Р»С–Р·Р°С‚РѕСЂР°</t>
  </si>
  <si>
    <t>FIAT PUNTO 99-, STRADA 99-05, DOBLO 00-04</t>
  </si>
  <si>
    <t>SAS9001743</t>
  </si>
  <si>
    <t>9001743   SASIC - Р’С‚СѓР»РєР° СЃС‚Р°Р±С–Р»С–Р·Р°С‚РѕСЂР°</t>
  </si>
  <si>
    <t>FIAT DOBLO Cargo 1.3JTD/1.9JTD 03.01- (d=23,5mm)</t>
  </si>
  <si>
    <t>SAS9001759</t>
  </si>
  <si>
    <t>9001759   SASIC - РЎР°Р№Р»РµРЅС‚Р±Р»РѕРє</t>
  </si>
  <si>
    <t>AUDI A3 03-| Seat Altea, Leon, Toledo III 04-| Skoda Octavia 04-| VW Golf V</t>
  </si>
  <si>
    <t>SAS9001763</t>
  </si>
  <si>
    <t>9001763   SASIC - РЎР°Р№Р»РµРЅС‚Р±Р»РѕРє</t>
  </si>
  <si>
    <t>VW Sharan| SEAT Alhambra| FORD Galaxy 1995-2010</t>
  </si>
  <si>
    <t>SAS9001775</t>
  </si>
  <si>
    <t>9001775   SASIC - РЎР°Р№Р»РµРЅС‚Р±Р»РѕРє</t>
  </si>
  <si>
    <t>OPEL Corsa C, Meriva  00-  (front arm, rear, L/R)</t>
  </si>
  <si>
    <t>SAS9001784</t>
  </si>
  <si>
    <t>9001784   SASIC - Р’С‚СѓР»РєР° СЃС‚Р°Р±С–Р»С–Р·Р°С‚РѕСЂР°</t>
  </si>
  <si>
    <t>OPEL Astra G 1.2 16V ,1.6 16V, 2.0 16V Turbo 00-05 (d=22mm)</t>
  </si>
  <si>
    <t>SAS9001933</t>
  </si>
  <si>
    <t>9001933   SASIC - РћРїРѕСЂР° РљРџРџ</t>
  </si>
  <si>
    <t>584.09</t>
  </si>
  <si>
    <t>AUDI A3| SKODA Octavia| VW Bora, Golf IV 99- (left)</t>
  </si>
  <si>
    <t>SAS9001947</t>
  </si>
  <si>
    <t>9001947   SASIC - РћРїРѕСЂР° РґРІРёРіСѓРЅР°</t>
  </si>
  <si>
    <t>AUDI A3 05.03-| VW Golf V 10.03-, Touran 02.03- 1.6FSI/1.9TDI/2.0TDI/2.0FSI</t>
  </si>
  <si>
    <t>SAS9001950</t>
  </si>
  <si>
    <t>9001950   SASIC - РћРїРѕСЂР° РґРІРёРіСѓРЅР°</t>
  </si>
  <si>
    <t>AUDI A3 05.03-| VW Golf V 10.03-, Touran 02.03- 1.4FSI/1.6FSI/2.0FSI/2.0SDI</t>
  </si>
  <si>
    <t>SAS9002433</t>
  </si>
  <si>
    <t>9002433   SASIC - РћРїРѕСЂР° РґРІРёРіСѓРЅР°</t>
  </si>
  <si>
    <t>FIAT Doblo 1.2/1.9D/1.3JTD/1.9JTD 03.01-</t>
  </si>
  <si>
    <t>SAS9002436</t>
  </si>
  <si>
    <t>9002436   SASIC - РћРїРѕСЂР° РљРџРџ</t>
  </si>
  <si>
    <t>FIAT Doblo 1.3JTD/1.9D/1.9JTD 03.01-</t>
  </si>
  <si>
    <t>SAS9002437</t>
  </si>
  <si>
    <t>9002437   SASIC - РћРїРѕСЂР° РґРІРёРіСѓРЅР°</t>
  </si>
  <si>
    <t>735.48</t>
  </si>
  <si>
    <t>FIAT Doblo Cargo 1.3JTD 16V 05.04-</t>
  </si>
  <si>
    <t>SAS9002438</t>
  </si>
  <si>
    <t>9002438   SASIC - РћРїРѕСЂР° РґРІРёРіСѓРЅР°</t>
  </si>
  <si>
    <t>FIAT Doblo 1.4, 1.6 16v 10.01-</t>
  </si>
  <si>
    <t>SAS9002569</t>
  </si>
  <si>
    <t>9002569   SASIC - РћРїРѕСЂР° РґРІРёРіСѓРЅР°</t>
  </si>
  <si>
    <t>239.61</t>
  </si>
  <si>
    <t>FORD Transit Connect 1.8 16V/1.8Di/1.8TDCi 06.02-</t>
  </si>
  <si>
    <t>SAS9003111</t>
  </si>
  <si>
    <t>9003111   SASIC - РЎР°Р№Р»РµРЅС‚Р±Р»РѕРє</t>
  </si>
  <si>
    <t>227.08</t>
  </si>
  <si>
    <t>FIAT Doblo 03.01- L/R</t>
  </si>
  <si>
    <t>SAS9003126</t>
  </si>
  <si>
    <t>9003126   SASIC - РЎР°Р№Р»РµРЅС‚Р±Р»РѕРє</t>
  </si>
  <si>
    <t>170.78</t>
  </si>
  <si>
    <t>FORD Transit 00-</t>
  </si>
  <si>
    <t>SAS9005002</t>
  </si>
  <si>
    <t>9005002   SASIC - РўСЏРіР° СЃС‚Р°Р±С–Р»С–Р·Р°С‚РѕСЂР°</t>
  </si>
  <si>
    <t>FIAT Doblo 1/04- REAR L/R</t>
  </si>
  <si>
    <t>SAS9005012</t>
  </si>
  <si>
    <t>9005012   SASIC - РўСЏРіР° СЃС‚Р°Р±С–Р»С–Р·Р°С‚РѕСЂР°</t>
  </si>
  <si>
    <t>202.88</t>
  </si>
  <si>
    <t>FORD Tourneo Connect, Transit Connect 09/02-  FRONT L/R</t>
  </si>
  <si>
    <t>SAS9005013</t>
  </si>
  <si>
    <t>9005013   SASIC - РўСЏРіР° СЃС‚Р°Р±С–Р»С–Р·Р°С‚РѕСЂР°</t>
  </si>
  <si>
    <t>217.98</t>
  </si>
  <si>
    <t>FORD Tourneo Connect, Transit Connect 09/02-  REAR L/R</t>
  </si>
  <si>
    <t>SAS9005014</t>
  </si>
  <si>
    <t>9005014   SASIC - РўСЏРіР° СЃС‚Р°Р±С–Р»С–Р·Р°С‚РѕСЂР°</t>
  </si>
  <si>
    <t>203.74</t>
  </si>
  <si>
    <t>OPEL Corsa C, Meriva, Vectra B 1995- FRONT L/R</t>
  </si>
  <si>
    <t>SAS9005018</t>
  </si>
  <si>
    <t>9005018   SASIC - Р’С‚СѓР»РєР° СЃС‚Р°Р±С–Р»С–Р·Р°С‚РѕСЂР°</t>
  </si>
  <si>
    <t>VW Golf IV, Bora 97-, SKODA Octavia 96-, SEAT Toledo, Leon 96-</t>
  </si>
  <si>
    <t>SAS9005061</t>
  </si>
  <si>
    <t>9005061   SASIC - РўСЏРіР° СЃС‚Р°Р±С–Р»С–Р·Р°С‚РѕСЂР°</t>
  </si>
  <si>
    <t>BMW 3 (E36), 5 (E34) 02.87- REAR L/R</t>
  </si>
  <si>
    <t>SAS9005084</t>
  </si>
  <si>
    <t>9005084   SASIC - РўСЏРіР° СЃС‚Р°Р±С–Р»С–Р·Р°С‚РѕСЂР°</t>
  </si>
  <si>
    <t>AUDI A3 97-04| SEAT Toledo 99-04| VW  Golf 98-04 (PLASTIK) FRONT L/R</t>
  </si>
  <si>
    <t>SAS9005090</t>
  </si>
  <si>
    <t>9005090   SASIC - РўСЏРіР° СЃС‚Р°Р±С–Р»С–Р·Р°С‚РѕСЂР°</t>
  </si>
  <si>
    <t>120.15</t>
  </si>
  <si>
    <t>AUDI A3 97-04| SEAT Toledo 99-04| VW  Golf 98-04 (Steel) FRONT L/R</t>
  </si>
  <si>
    <t>SAS9005291</t>
  </si>
  <si>
    <t>9005291   SASIC - РљСѓР»СЊРѕРІР° РѕРїРѕСЂР°</t>
  </si>
  <si>
    <t>206.65</t>
  </si>
  <si>
    <t>MB W202 W210 S210  93-03 front L/R\n</t>
  </si>
  <si>
    <t>SAS9005339</t>
  </si>
  <si>
    <t>9005339   SASIC - Р’С–РґР±С–Р№РЅРёРє Р°РјРѕСЂС‚РёР·Р°С‚РѕСЂР°</t>
  </si>
  <si>
    <t>AUDI A3| VW Caddy III 1.4-2.0TDI  05.03-08.12  (Front, L/R) l=90mm</t>
  </si>
  <si>
    <t>SAS9005352</t>
  </si>
  <si>
    <t>9005352   SASIC - РџС–РґС€РёРїРЅРёРє РѕРїРѕСЂРё СЃС‚С–Р№РєРё Р°РјРѕСЂС‚РёР·Р°С‚РѕСЂР°</t>
  </si>
  <si>
    <t>AUDI A3| SKODA Oktavia| VW Golf, Passat 94-, (Front, L/R)</t>
  </si>
  <si>
    <t>SAS9005476</t>
  </si>
  <si>
    <t>9005476   SASIC - РљСѓР»СЊРѕРІР° РѕРїРѕСЂР°</t>
  </si>
  <si>
    <t>358.04</t>
  </si>
  <si>
    <t>VW T4 91- (UPPER)</t>
  </si>
  <si>
    <t>SAS9005477</t>
  </si>
  <si>
    <t>9005477   SASIC - РљСѓР»СЊРѕРІР° РѕРїРѕСЂР°</t>
  </si>
  <si>
    <t>263.81</t>
  </si>
  <si>
    <t>VW T4 96- (LOWER)</t>
  </si>
  <si>
    <t>SAS9005530</t>
  </si>
  <si>
    <t>9005530   SASIC - РљСѓР»СЊРѕРІР° РѕРїРѕСЂР°</t>
  </si>
  <si>
    <t>306.55</t>
  </si>
  <si>
    <t>FIAT Doblo 00-, Palio 97-</t>
  </si>
  <si>
    <t>SAS9005537</t>
  </si>
  <si>
    <t>9005537   SASIC - РљСѓР»СЊРѕРІР° РѕРїРѕСЂР°</t>
  </si>
  <si>
    <t>MB Vito (639) 03-, Front, L/R</t>
  </si>
  <si>
    <t>SAS9005617</t>
  </si>
  <si>
    <t>9005617   SASIC - РћРїРѕСЂР° СЃС‚С–Р№РєРё Р°РјРѕСЂС‚РёР·Р°С‚РѕСЂР°</t>
  </si>
  <si>
    <t>FIAT Doblo 03.01- FRONT LEFT</t>
  </si>
  <si>
    <t>SAS9005618</t>
  </si>
  <si>
    <t>9005618   SASIC - РћРїРѕСЂР° СЃС‚С–Р№РєРё Р°РјРѕСЂС‚РёР·Р°С‚РѕСЂР°</t>
  </si>
  <si>
    <t>SAS9006035</t>
  </si>
  <si>
    <t>9006035   SASIC - РџРёР»СЊРѕРІРёРє РєРµСЂРјРѕРІРѕС— С‚СЏРіРё</t>
  </si>
  <si>
    <t>VW Caddy I, Golf I, II, III, Jetta II, Vento| SEAT Cordoba, Ibiza II, Toledo I (-PS)</t>
  </si>
  <si>
    <t>SAS9006065</t>
  </si>
  <si>
    <t>9006065   SASIC - РџРёР»СЊРѕРІРёРє РєРµСЂРјРѕРІРѕС— С‚СЏРіРё</t>
  </si>
  <si>
    <t>AUDI  A3, VW Bora, Golf IV, New Beetle, SKODA Octavia 96-</t>
  </si>
  <si>
    <t>SAS9006067</t>
  </si>
  <si>
    <t>9006067   SASIC - РџРёР»СЊРѕРІРёРє РєРµСЂРјРѕРІРѕС— С‚СЏРіРё</t>
  </si>
  <si>
    <t>AUDI A4 95-01, VW Passat 96-00 LEFT</t>
  </si>
  <si>
    <t>SAS9006073</t>
  </si>
  <si>
    <t>9006073   SASIC - РџРёР»СЊРѕРІРёРє РєРµСЂРјРѕРІРѕС— С‚СЏРіРё</t>
  </si>
  <si>
    <t>FORD Transit 09.91-</t>
  </si>
  <si>
    <t>SAS9006081</t>
  </si>
  <si>
    <t>9006081   SASIC - РџРёР»СЊРѕРІРёРє РєРµСЂРјРѕРІРѕС— С‚СЏРіРё</t>
  </si>
  <si>
    <t>70.54</t>
  </si>
  <si>
    <t>MB Sprinter, Vito (638)| WV LT 28-35  -06  (L/R)</t>
  </si>
  <si>
    <t>SAS9006545</t>
  </si>
  <si>
    <t>9006545   SASIC - РќР°РєС–РЅРµС‡РЅРёРє РєРµСЂРјРѕРІРѕС— С‚СЏРіРё</t>
  </si>
  <si>
    <t>MB Sprinter 95-06, VW LT 96- L/R</t>
  </si>
  <si>
    <t>SAS9006632</t>
  </si>
  <si>
    <t>9006632   SASIC - РќР°РєС–РЅРµС‡РЅРёРє РєРµСЂРјРѕРІРѕС— С‚СЏРіРё</t>
  </si>
  <si>
    <t>247.33</t>
  </si>
  <si>
    <t>VW Transporter T4 96- LEFT</t>
  </si>
  <si>
    <t>SAS9006633</t>
  </si>
  <si>
    <t>9006633   SASIC - РќР°РєС–РЅРµС‡РЅРёРє РєРµСЂРјРѕРІРѕС— С‚СЏРіРё</t>
  </si>
  <si>
    <t>VW Transporter T4 96- RIGHT</t>
  </si>
  <si>
    <t>SAS9006679</t>
  </si>
  <si>
    <t>9006679   SASIC - РќР°РєС–РЅРµС‡РЅРёРє РєРµСЂРјРѕРІРѕС— С‚СЏРіРё</t>
  </si>
  <si>
    <t>MB Vito/Viano W639 9/03- LEFT</t>
  </si>
  <si>
    <t>SAS9006703</t>
  </si>
  <si>
    <t>9006703   SASIC - РџРёР»СЊРѕРІРёРє РєРµСЂРјРѕРІРѕС— С‚СЏРіРё</t>
  </si>
  <si>
    <t>FIAT Bravo/Brava 10.95-10.01</t>
  </si>
  <si>
    <t>SAS9006715</t>
  </si>
  <si>
    <t>9006715   SASIC - РџРёР»СЊРѕРІРёРє РєРµСЂРјРѕРІРѕС— С‚СЏРіРё</t>
  </si>
  <si>
    <t>67.97</t>
  </si>
  <si>
    <t>OPEL Vivaro, RENAULT Trafic  01-  L/R</t>
  </si>
  <si>
    <t>SAS9006730</t>
  </si>
  <si>
    <t>9006730   SASIC - РџРёР»СЊРѕРІРёРє РєРµСЂРјРѕРІРѕС— С‚СЏРіРё</t>
  </si>
  <si>
    <t>80.50</t>
  </si>
  <si>
    <t>FIAT Doblo 03.01-</t>
  </si>
  <si>
    <t>SG_ANTIFREEZE</t>
  </si>
  <si>
    <t>KF-015-G11</t>
  </si>
  <si>
    <t>MOLDER ANTIFREEZE CONCENTRATE G11 1,5L BLUE</t>
  </si>
  <si>
    <t>144.23</t>
  </si>
  <si>
    <t>KF-015-G12</t>
  </si>
  <si>
    <t>MOLDER ANTIFREEZE CONCENTRATE G12 1,5L RED</t>
  </si>
  <si>
    <t>152.59</t>
  </si>
  <si>
    <t>KF-050-G11</t>
  </si>
  <si>
    <t>MOLDER ANTIFREEZE CONCENTRATE G11 5L BLUE</t>
  </si>
  <si>
    <t>429.28</t>
  </si>
  <si>
    <t>KF-050-G12</t>
  </si>
  <si>
    <t>MOLDER ANTIFREEZE CONCENTRATE G12 5L RED</t>
  </si>
  <si>
    <t>458.92</t>
  </si>
  <si>
    <t>NX01006</t>
  </si>
  <si>
    <t>NOWAX  ANTIFREEZE G12+ RED 1kg</t>
  </si>
  <si>
    <t>61.76</t>
  </si>
  <si>
    <t>NX01007</t>
  </si>
  <si>
    <t>NOWAX  ANTIFREEZE G11 BLUE 1kg</t>
  </si>
  <si>
    <t>NX01008</t>
  </si>
  <si>
    <t>NOWAX  ANTIFREEZE G11 GREEN 1kg</t>
  </si>
  <si>
    <t>49.52</t>
  </si>
  <si>
    <t>NX05001</t>
  </si>
  <si>
    <t>NOWAX  ANTIFREEZE G12+ RED 5kg</t>
  </si>
  <si>
    <t>197.93</t>
  </si>
  <si>
    <t>NX05002</t>
  </si>
  <si>
    <t>NOWAX  ANTIFREEZE G11 BLUE 5kg</t>
  </si>
  <si>
    <t>178.54</t>
  </si>
  <si>
    <t>NX05003</t>
  </si>
  <si>
    <t>NOWAX  ANTIFREEZE G11 GREEN 5kg</t>
  </si>
  <si>
    <t>180.62</t>
  </si>
  <si>
    <t>SHELL</t>
  </si>
  <si>
    <t>SHELL Helix Ultra 5W-40 4L</t>
  </si>
  <si>
    <t>566.58</t>
  </si>
  <si>
    <t>SHELL Helix Ultra 5W-40 1L</t>
  </si>
  <si>
    <t>145.64</t>
  </si>
  <si>
    <t>SHELL Helix HX7 10W-40  1L</t>
  </si>
  <si>
    <t>105.16</t>
  </si>
  <si>
    <t>SHELL Helix Diesel HX7 10W-40 4L</t>
  </si>
  <si>
    <t>364.17</t>
  </si>
  <si>
    <t>SHELL Helix HX7 10W-40  4L</t>
  </si>
  <si>
    <t>357.82</t>
  </si>
  <si>
    <t>SHELL Helix HX3 15W-40  4L</t>
  </si>
  <si>
    <t>SHELL Helix Diesel HX7 10W-40 1L</t>
  </si>
  <si>
    <t>SHELL Helix Diesel Ultra 5W-40 1L</t>
  </si>
  <si>
    <t>SHELL Helix Diesel Ultra 5W-40 4L</t>
  </si>
  <si>
    <t>SHELL Helix HX8 5W-40  4L</t>
  </si>
  <si>
    <t>459.72</t>
  </si>
  <si>
    <t>SHELL Helix HX8 5W-40  1L</t>
  </si>
  <si>
    <t>132.77</t>
  </si>
  <si>
    <t>SHELL Helix HX8 5W-30  4L</t>
  </si>
  <si>
    <t>492.13</t>
  </si>
  <si>
    <t>SHELL Helix Ultra ECT C3 5W-30 1L</t>
  </si>
  <si>
    <t>178.05</t>
  </si>
  <si>
    <t>SHELL Helix Ultra ECT C3 5W-30 4L</t>
  </si>
  <si>
    <t>670.19</t>
  </si>
  <si>
    <t>TOTAL</t>
  </si>
  <si>
    <t>QUARTZ INEO ECS 5W-30, 5L (x3)</t>
  </si>
  <si>
    <t>1178.39</t>
  </si>
  <si>
    <t>QUARTZ 9000 ENERGY 5W-40, 5L (x3)</t>
  </si>
  <si>
    <t>546.12</t>
  </si>
  <si>
    <t>QUARTZ INEO MC3 5W-30, 5L (x3)</t>
  </si>
  <si>
    <t>738.62</t>
  </si>
  <si>
    <t>QUARTZ 9000 ENERGY 5W-40, 1L (x18)</t>
  </si>
  <si>
    <t>128.65</t>
  </si>
  <si>
    <t>QUARTZ INEO ECS 5W-30, 1L (x18)</t>
  </si>
  <si>
    <t>267.80</t>
  </si>
  <si>
    <t>QUARTZ INEO MC3 5W-30, 1L (x18)</t>
  </si>
  <si>
    <t>172.43</t>
  </si>
  <si>
    <t>QUARTZ 9000 ENERGY 5W-40, 4L (x4)</t>
  </si>
  <si>
    <t>451.67</t>
  </si>
  <si>
    <t>QUARTZ INEO LONG LIFE 5W-30, 1L (x18)</t>
  </si>
  <si>
    <t>188.27</t>
  </si>
  <si>
    <t>QUARTZ INEO LONG LIFE 5W-30, 5L (x3)</t>
  </si>
  <si>
    <t>780.54</t>
  </si>
  <si>
    <t>QUARTZ DIESEL 7000 10W-40, 5L (x3)</t>
  </si>
  <si>
    <t>502.55</t>
  </si>
  <si>
    <t>QUARTZ DIESEL 7000 10W-40, 1L (x18)</t>
  </si>
  <si>
    <t>123.66</t>
  </si>
  <si>
    <t>QUARTZ 7000 ENERGY 10W-40, 1L (x18)</t>
  </si>
  <si>
    <t>QUARTZ 7000 ENERGY 10W-40, 4L (x4)</t>
  </si>
  <si>
    <t>361.44</t>
  </si>
  <si>
    <t>QUARTZ 7000 ENERGY 10W-40, 5L (x3)</t>
  </si>
  <si>
    <t>441.79</t>
  </si>
  <si>
    <t>TRW</t>
  </si>
  <si>
    <t>BDA590</t>
  </si>
  <si>
    <t>BDA590  TRW - РЎРєРѕР±Р° РіР°Р»СЊРјС–РІРЅРѕРіРѕ СЃСѓРїРѕСЂС‚Р°</t>
  </si>
  <si>
    <t>409.70</t>
  </si>
  <si>
    <t>Audi A3 96- / Citroen C2/C3/C4  04- / Peugeot 207/208/307/308  00-/  Skoda Octavia/Fabia  96-    \nrear/right</t>
  </si>
  <si>
    <t>BDA671</t>
  </si>
  <si>
    <t>BDA671  TRW - РЎРєРѕР±Р° РіР°Р»СЊРјС–РІРЅРѕРіРѕ СЃСѓРїРѕСЂС‚Р°</t>
  </si>
  <si>
    <t>RENAULT Kangoo, Clio, DACIA Logan, Duster  Grandtour (KR0/1_) 1,2/1,4/1,6 16V, 1,5 dCi   08-   front</t>
  </si>
  <si>
    <t>BHS1031</t>
  </si>
  <si>
    <t>BHS1031  TRW - Р“Р°Р»СЊРјС–РІРЅРёР№ СЃСѓРїРѕСЂС‚</t>
  </si>
  <si>
    <t>1799.82</t>
  </si>
  <si>
    <t>VW  Caddy III  04-10  rear/right</t>
  </si>
  <si>
    <t>BWC243</t>
  </si>
  <si>
    <t>BWC243  TRW - Р¦РёР»С–РЅРґСЂ РіР°Р»СЊРјС–РІРЅРёР№ СЂРѕР±РѕС‡РёР№</t>
  </si>
  <si>
    <t>Renault Clio II (1998-)</t>
  </si>
  <si>
    <t>BWD113</t>
  </si>
  <si>
    <t>BWD113  TRW - Р¦РёР»С–РЅРґСЂ РіР°Р»СЊРјС–РІРЅРёР№ СЂРѕР±РѕС‡РёР№</t>
  </si>
  <si>
    <t>BWF145</t>
  </si>
  <si>
    <t>BWF145  TRW - Р¦РёР»С–РЅРґСЂ РіР°Р»СЊРјС–РІРЅРёР№ СЂРѕР±РѕС‡РёР№</t>
  </si>
  <si>
    <t>222.10</t>
  </si>
  <si>
    <t>Audi 80/100|  VW Passat,  Caddy II, Golf III,  Skoda Octavia  1,4-2,4D   88-10  rear</t>
  </si>
  <si>
    <t>BWF150</t>
  </si>
  <si>
    <t>BWF150  TRW - Р¦РёР»С–РЅРґСЂ РіР°Р»СЊРјС–РІРЅРёР№ СЂРѕР±РѕС‡РёР№</t>
  </si>
  <si>
    <t>VAZ 2108-09, 110-112  (d=20.64)</t>
  </si>
  <si>
    <t>DB4307</t>
  </si>
  <si>
    <t>DB4307  TRW - Р“Р°Р»СЊРјС–РІРЅРёР№ Р±Р°СЂР°Р±Р°РЅ</t>
  </si>
  <si>
    <t>589.24</t>
  </si>
  <si>
    <t>Lada 110 1.5/1.5 16V 112 1.5 rear</t>
  </si>
  <si>
    <t>DF1013</t>
  </si>
  <si>
    <t>DF1013  TRW - Р“Р°Р»СЊРјС–РІРЅРёР№ РґРёСЃРє</t>
  </si>
  <si>
    <t>Renault Logan MPV, Clio (-ABS)</t>
  </si>
  <si>
    <t>DF1431</t>
  </si>
  <si>
    <t>DF1431  TRW - Р“Р°Р»СЊРјС–РІРЅРёР№ РґРёСЃРє</t>
  </si>
  <si>
    <t>884.12</t>
  </si>
  <si>
    <t>DF1529</t>
  </si>
  <si>
    <t>DF1529  TRW - Р“Р°Р»СЊРјС–РІРЅРёР№ РґРёСЃРє</t>
  </si>
  <si>
    <t>538.61</t>
  </si>
  <si>
    <t>VW Golf I/II/III/IV/Passat B3/B4   76-02 |   Seat Cordoba, Ibiza II, Toledo I|   rear</t>
  </si>
  <si>
    <t>DF1826</t>
  </si>
  <si>
    <t>DF1826  TRW - Р“Р°Р»СЊРјС–РІРЅРёР№ РґРёСЃРє</t>
  </si>
  <si>
    <t>765.34</t>
  </si>
  <si>
    <t>LDV 200,400,SHERPA 74-96     front</t>
  </si>
  <si>
    <t>DF2558</t>
  </si>
  <si>
    <t>DF2558  TRW - Р“Р°Р»СЊРјС–РІРЅРёР№ РґРёСЃРє</t>
  </si>
  <si>
    <t>750.07</t>
  </si>
  <si>
    <t># BMW 5 (E34) (4.0L) |BMW 5 Touring (E34) (4.0L) |BMW 7 (E32) (3.0L| 3.4L| 4.0L| 5.0L)</t>
  </si>
  <si>
    <t>DF2645</t>
  </si>
  <si>
    <t>DF2645  TRW - Р“Р°Р»СЊРјС–РІРЅРёР№ РґРёСЃРє</t>
  </si>
  <si>
    <t>Opel Omega A/B</t>
  </si>
  <si>
    <t>DF2651</t>
  </si>
  <si>
    <t>DF2651  TRW - Р“Р°Р»СЊРјС–РІРЅРёР№ РґРёСЃРє</t>
  </si>
  <si>
    <t>411.76</t>
  </si>
  <si>
    <t>DF2652</t>
  </si>
  <si>
    <t>DF2652  TRW - Р“Р°Р»СЊРјС–РІРЅРёР№ РґРёСЃРє</t>
  </si>
  <si>
    <t>945.74</t>
  </si>
  <si>
    <t>Audi 100/A4/A6/VW Passat 98-05</t>
  </si>
  <si>
    <t>DF2686</t>
  </si>
  <si>
    <t>DF2686  TRW - Р“Р°Р»СЊРјС–РІРЅРёР№ РґРёСЃРє</t>
  </si>
  <si>
    <t>FIAT Tipo, Tempra, Bravo, Doblo  89-    front    257X20</t>
  </si>
  <si>
    <t>DF2705</t>
  </si>
  <si>
    <t>DF2705  TRW - Р“Р°Р»СЊРјС–РІРЅРёР№ РґРёСЃРє</t>
  </si>
  <si>
    <t>DF2721</t>
  </si>
  <si>
    <t>DF2721  TRW - Р“Р°Р»СЊРјС–РІРЅРёР№ РґРёСЃРє</t>
  </si>
  <si>
    <t>836.57</t>
  </si>
  <si>
    <t>Jumper/Boxer/Ducato 94-02</t>
  </si>
  <si>
    <t>DF2769</t>
  </si>
  <si>
    <t>DF2769  TRW - Р“Р°Р»СЊРјС–РІРЅРёР№ РґРёСЃРє</t>
  </si>
  <si>
    <t>1031.21</t>
  </si>
  <si>
    <t>BMW E39 95-03</t>
  </si>
  <si>
    <t>DF2783</t>
  </si>
  <si>
    <t>DF2783  TRW - Р“Р°Р»СЊРјС–РІРЅРёР№ РґРёСЃРє</t>
  </si>
  <si>
    <t>811.51</t>
  </si>
  <si>
    <t>BMW 5 (E39)  95-04 rear</t>
  </si>
  <si>
    <t>DF2803</t>
  </si>
  <si>
    <t>DF2803  TRW - Р“Р°Р»СЊРјС–РІРЅРёР№ РґРёСЃРє</t>
  </si>
  <si>
    <t>DF2804</t>
  </si>
  <si>
    <t>DF2804  TRW - Р“Р°Р»СЊРјС–РІРЅРёР№ РґРёСЃРє</t>
  </si>
  <si>
    <t>VW Golf IV/Skoda Octavia I/Audi A3</t>
  </si>
  <si>
    <t>DF2805</t>
  </si>
  <si>
    <t>DF2805  TRW - Р“Р°Р»СЊРјС–РІРЅРёР№ РґРёСЃРє</t>
  </si>
  <si>
    <t>362.33</t>
  </si>
  <si>
    <t>Audi A1, A2, A3, TT|  VW Golf IV| Skoda Octavia/Fabia RAPID 1,0-2,8  96-   rear</t>
  </si>
  <si>
    <t>DF2812</t>
  </si>
  <si>
    <t>DF2812  TRW - Р“Р°Р»СЊРјС–РІРЅРёР№ РґРёСЃРє</t>
  </si>
  <si>
    <t>951.23</t>
  </si>
  <si>
    <t>MB W210</t>
  </si>
  <si>
    <t>DF4042</t>
  </si>
  <si>
    <t>DF4042  TRW - Р“Р°Р»СЊРјС–РІРЅРёР№ РґРёСЃРє</t>
  </si>
  <si>
    <t>756.42</t>
  </si>
  <si>
    <t>Opel Astra G/H</t>
  </si>
  <si>
    <t>DF4051</t>
  </si>
  <si>
    <t>DF4051  TRW - Р“Р°Р»СЊРјС–РІРЅРёР№ РґРёСЃРє</t>
  </si>
  <si>
    <t>531.40</t>
  </si>
  <si>
    <t>Opel Astra G/H/Meriva/Zafira rear 5 РѕС‚РІ.</t>
  </si>
  <si>
    <t>DF4104</t>
  </si>
  <si>
    <t>DF4104  TRW - Р“Р°Р»СЊРјС–РІРЅРёР№ РґРёСЃРє</t>
  </si>
  <si>
    <t>783.02</t>
  </si>
  <si>
    <t># SUBARU FORESTER 2001 &gt;&gt;, IMPREZA 1998 &gt;&gt;, LEGACY V 2009 &gt;&gt;, OUTBACK 2000 &gt;&gt;</t>
  </si>
  <si>
    <t>DF4107</t>
  </si>
  <si>
    <t>DF4107  TRW - Р“Р°Р»СЊРјС–РІРЅРёР№ РґРёСЃРє</t>
  </si>
  <si>
    <t>473.04</t>
  </si>
  <si>
    <t>LADA 110 / 111 / 112 95-</t>
  </si>
  <si>
    <t>DF4148S</t>
  </si>
  <si>
    <t>DF4148S  TRW - Р“Р°Р»СЊРјС–РІРЅРёР№ РґРёСЃРє</t>
  </si>
  <si>
    <t>1480.74</t>
  </si>
  <si>
    <t>MB S-class (W220) 3,2-5,5 98-05  front</t>
  </si>
  <si>
    <t>DF4183</t>
  </si>
  <si>
    <t>DF4183  TRW - Р“Р°Р»СЊРјС–РІРЅРёР№ РґРёСЃРє</t>
  </si>
  <si>
    <t>815.29</t>
  </si>
  <si>
    <t>DF4204</t>
  </si>
  <si>
    <t>DF4204  TRW - Р“Р°Р»СЊРјС–РІРЅРёР№ РґРёСЃРє</t>
  </si>
  <si>
    <t xml:space="preserve">TOYOTA CAMRY  2,4/3,0   00-06 </t>
  </si>
  <si>
    <t>DF4249S</t>
  </si>
  <si>
    <t>DF4249S  TRW - Р“Р°Р»СЊРјС–РІРЅРёР№ РґРёСЃРє</t>
  </si>
  <si>
    <t>1126.13</t>
  </si>
  <si>
    <t># NISSAN INTERSTAR Р°РІС‚РѕР±СѓСЃ (X70) (1.9L| 2.2L| 2.5L| 2.5L| 3.0L) |NISSAN INTERSTAR С„СѓСЂРіРѕРЅ (X70) (1.9L| 2.2L| 2.5L| 2.5L| 3.0L) |RENAULT MASTER II Р°РІС‚РѕР±СѓСЃ (JD/ND) (1.9L| 2.2L| 2.5L| 2.8L) |RENAULT MASTE</t>
  </si>
  <si>
    <t>DF4253</t>
  </si>
  <si>
    <t>DF4253  TRW - Р“Р°Р»СЊРјС–РІРЅРёР№ РґРёСЃРє</t>
  </si>
  <si>
    <t>482.82</t>
  </si>
  <si>
    <t>DF4261</t>
  </si>
  <si>
    <t>DF4261  TRW - Р“Р°Р»СЊРјС–РІРЅРёР№ РґРёСЃРє</t>
  </si>
  <si>
    <t>995.86</t>
  </si>
  <si>
    <t># MERCEDES E200-E280 2003- front</t>
  </si>
  <si>
    <t>DF4271</t>
  </si>
  <si>
    <t>DF4271  TRW - Р“Р°Р»СЊРјС–РІРЅРёР№ РґРёСЃРє</t>
  </si>
  <si>
    <t>535.69</t>
  </si>
  <si>
    <t>VW Caddy III, Golf V,  SKODA Octavia 04-, SuperB 2008-,  Seat Altea,   rear</t>
  </si>
  <si>
    <t>DF4275S</t>
  </si>
  <si>
    <t>DF4275S  TRW - Р“Р°Р»СЊРјС–РІРЅРёР№ РґРёСЃРє</t>
  </si>
  <si>
    <t>1209.38</t>
  </si>
  <si>
    <t>Vivaro/Traffic 01-  front</t>
  </si>
  <si>
    <t>DF4283</t>
  </si>
  <si>
    <t>DF4283  TRW - Р“Р°Р»СЊРјС–РІРЅРёР№ РґРёСЃРє</t>
  </si>
  <si>
    <t>850.82</t>
  </si>
  <si>
    <t>Hyundai Tucson,  ix35, SONATA V, VI,/Kia Sportage CARENS III, MAGENTIS,  K5 1,6-2,7  01-   front</t>
  </si>
  <si>
    <t>DF4287</t>
  </si>
  <si>
    <t>DF4287  TRW - Р“Р°Р»СЊРјС–РІРЅРёР№ РґРёСЃРє</t>
  </si>
  <si>
    <t>939.21</t>
  </si>
  <si>
    <t>HYUNDAI  Santa FeвЂљ/Tucson|  KIA Sportage 1999- rear</t>
  </si>
  <si>
    <t>DF4294</t>
  </si>
  <si>
    <t>DF4294  TRW - Р“Р°Р»СЊРјС–РІРЅРёР№ РґРёСЃРє</t>
  </si>
  <si>
    <t>818.04</t>
  </si>
  <si>
    <t>DF4308S</t>
  </si>
  <si>
    <t>DF4308S  TRW - Р“Р°Р»СЊРјС–РІРЅРёР№ РґРёСЃРє</t>
  </si>
  <si>
    <t>1225.17</t>
  </si>
  <si>
    <t># VOLKSWAGEN MULTIVAN T5 2003 &gt;&gt;, TOUAREG 2002 - 2010, TRANSPORTER T4 1992 - 2003, TRANSPORTER T5 2003 &gt;&gt;</t>
  </si>
  <si>
    <t>DF4316</t>
  </si>
  <si>
    <t>DF4316  TRW - Р“Р°Р»СЊРјС–РІРЅРёР№ РґРёСЃРє</t>
  </si>
  <si>
    <t>1098.50</t>
  </si>
  <si>
    <t>Infiniti I30| Nissan Almera Tino, Maxima, Primera, X-Trail 1,6-3,5    97-  front</t>
  </si>
  <si>
    <t>DF4349S</t>
  </si>
  <si>
    <t>DF4349S  TRW - Р“Р°Р»СЊРјС–РІРЅРёР№ РґРёСЃРє</t>
  </si>
  <si>
    <t>1341.71</t>
  </si>
  <si>
    <t># BMW 5 2003 &gt;&gt;, 6 2004 &gt;&gt;, 7 2001 &gt;&gt;</t>
  </si>
  <si>
    <t>DF4356</t>
  </si>
  <si>
    <t>DF4356  TRW - Р“Р°Р»СЊРјС–РІРЅРёР№ РґРёСЃРє</t>
  </si>
  <si>
    <t>739.08</t>
  </si>
  <si>
    <t># MERCEDES BENZ VIANO 2003 &gt;&gt;, VITO 2003 &gt;&gt;</t>
  </si>
  <si>
    <t>DF4357</t>
  </si>
  <si>
    <t>DF4357  TRW - Р“Р°Р»СЊРјС–РІРЅРёР№ РґРёСЃРє</t>
  </si>
  <si>
    <t>654.29</t>
  </si>
  <si>
    <t># NISSAN ALMERA TINO 2000 &gt;&gt;, PRIMERA 2000 &gt;&gt;</t>
  </si>
  <si>
    <t>DF4359</t>
  </si>
  <si>
    <t>DF4359  TRW - Р“Р°Р»СЊРјС–РІРЅРёР№ РґРёСЃРє</t>
  </si>
  <si>
    <t>1160.46</t>
  </si>
  <si>
    <t>BMW 5 2003-</t>
  </si>
  <si>
    <t>DF4360</t>
  </si>
  <si>
    <t>DF4360  TRW - Р“Р°Р»СЊРјС–РІРЅРёР№ РґРёСЃРє</t>
  </si>
  <si>
    <t>1097.98</t>
  </si>
  <si>
    <t>BMW 5 (E60, E61), 6 (E63, E64) 2,0-3,0    03-10  rear</t>
  </si>
  <si>
    <t>DF4361</t>
  </si>
  <si>
    <t>DF4361  TRW - Р“Р°Р»СЊРјС–РІРЅРёР№ РґРёСЃРє</t>
  </si>
  <si>
    <t>1398.52</t>
  </si>
  <si>
    <t># BMW 5 2003 &gt;&gt;, 6 2004 &gt;&gt;</t>
  </si>
  <si>
    <t>DF4364</t>
  </si>
  <si>
    <t>DF4364  TRW - Р“Р°Р»СЊРјС–РІРЅРёР№ РґРёСЃРє</t>
  </si>
  <si>
    <t>724.66</t>
  </si>
  <si>
    <t>Renault Clio 1.2-2.0 05-  (РґРёРІ. РєР°С‚Р°Р»РѕРі) 260X22</t>
  </si>
  <si>
    <t>DF4372</t>
  </si>
  <si>
    <t>DF4372  TRW - Р“Р°Р»СЊРјС–РІРЅРёР№ РґРёСЃРє</t>
  </si>
  <si>
    <t>525.39</t>
  </si>
  <si>
    <t>Ford Focus II/C-Max 1.4-1.8 03- rear</t>
  </si>
  <si>
    <t>DF4373</t>
  </si>
  <si>
    <t>DF4373  TRW - Р“Р°Р»СЊРјС–РІРЅРёР№ РґРёСЃРє</t>
  </si>
  <si>
    <t>872.62</t>
  </si>
  <si>
    <t>MERCEDES Vito, Viano 03- F, V</t>
  </si>
  <si>
    <t>DF4379</t>
  </si>
  <si>
    <t>DF4379  TRW - Р“Р°Р»СЊРјС–РІРЅРёР№ РґРёСЃРє</t>
  </si>
  <si>
    <t>528.14</t>
  </si>
  <si>
    <t>Toyota Corolla 02-  (Made in GB)</t>
  </si>
  <si>
    <t>DF4384</t>
  </si>
  <si>
    <t>DF4384  TRW - Р“Р°Р»СЊРјС–РІРЅРёР№ РґРёСЃРє</t>
  </si>
  <si>
    <t>864.89</t>
  </si>
  <si>
    <t># MAZDA 3 2003 &gt;&gt;, 5 2005 &gt;&gt;</t>
  </si>
  <si>
    <t>DF4385</t>
  </si>
  <si>
    <t>DF4385  TRW - Р“Р°Р»СЊРјС–РІРЅРёР№ РґРёСЃРє</t>
  </si>
  <si>
    <t>929.77</t>
  </si>
  <si>
    <t># MAZDA 3 2000 &gt;&gt;, 5 2005 &gt;&gt;</t>
  </si>
  <si>
    <t>DF4386</t>
  </si>
  <si>
    <t>DF4386  TRW - Р“Р°Р»СЊРјС–РІРЅРёР№ РґРёСЃРє</t>
  </si>
  <si>
    <t>876.22</t>
  </si>
  <si>
    <t>MAZDA 6  2.0Di/2.3   2002-  front</t>
  </si>
  <si>
    <t>DF4419</t>
  </si>
  <si>
    <t>DF4419  TRW - Р“Р°Р»СЊРјС–РІРЅРёР№ РґРёСЃРє</t>
  </si>
  <si>
    <t>434.42</t>
  </si>
  <si>
    <t>MAZDA 3 (BK14,BL,BK12)  1,3-2,0    03-  rear</t>
  </si>
  <si>
    <t>DF4428</t>
  </si>
  <si>
    <t>DF4428  TRW - Р“Р°Р»СЊРјС–РІРЅРёР№ РґРёСЃРє</t>
  </si>
  <si>
    <t>802.42</t>
  </si>
  <si>
    <t># HONDA ACCORD VIII 2003 &gt;&gt;</t>
  </si>
  <si>
    <t>DF4432S</t>
  </si>
  <si>
    <t>DF4432S  TRW - Р“Р°Р»СЊРјС–РІРЅРёР№ РґРёСЃРє</t>
  </si>
  <si>
    <t>1028.30</t>
  </si>
  <si>
    <t>Honda Accord VII, CR-V II 2,0 (CL7, CM1,  CL8) / 2,2 CTDi/2.2 i-CTDi/2.4 (CL9)/2.4 (CM2)  03-08   front</t>
  </si>
  <si>
    <t>DF4434</t>
  </si>
  <si>
    <t>DF4434  TRW - Р“Р°Р»СЊРјС–РІРЅРёР№ РґРёСЃРє</t>
  </si>
  <si>
    <t>776.84</t>
  </si>
  <si>
    <t>AUDI A6 2,0-4,2  04-11  rear</t>
  </si>
  <si>
    <t>DF4464S</t>
  </si>
  <si>
    <t>DF4464S  TRW - Р“Р°Р»СЊРјС–РІРЅРёР№ РґРёСЃРє</t>
  </si>
  <si>
    <t>1115.15</t>
  </si>
  <si>
    <t>Audi A1, A3, Q3, TT| Seat Alhambra, Altea, Leon| Skoda Octavia, Superb| VW Beetle, Caddy III, Golf V, VI, VII, Jetta III, IV, Passat, Scirocco, Sharan, Touran  1,2-3,6  1999-  front</t>
  </si>
  <si>
    <t>DF4471S</t>
  </si>
  <si>
    <t>DF4471S  TRW - Р“Р°Р»СЊРјС–РІРЅРёР№ РґРёСЃРє</t>
  </si>
  <si>
    <t>1655.98</t>
  </si>
  <si>
    <t># MERCEDES BENZ M-CLASS 2005-&gt;, R-CLASS 2006-&gt; front</t>
  </si>
  <si>
    <t>DF4472S</t>
  </si>
  <si>
    <t>DF4472S  TRW - Р“Р°Р»СЊРјС–РІРЅРёР№ РґРёСЃРє</t>
  </si>
  <si>
    <t>1078.93</t>
  </si>
  <si>
    <t># MERCEDES BENZ M-CLASS 2005-&gt;, R-CLASS 2006-&gt;  rear</t>
  </si>
  <si>
    <t>DF4485</t>
  </si>
  <si>
    <t>DF4485  TRW - Р“Р°Р»СЊРјС–РІРЅРёР№ РґРёСЃРє</t>
  </si>
  <si>
    <t>683.99</t>
  </si>
  <si>
    <t>MITSUBISHI PAJERO II (V2_W, V4_W) (2.5/3.0L)  1998- (16") front</t>
  </si>
  <si>
    <t>DF4486</t>
  </si>
  <si>
    <t>DF4486  TRW - Р“Р°Р»СЊРјС–РІРЅРёР№ РґРёСЃРє</t>
  </si>
  <si>
    <t>723.81</t>
  </si>
  <si>
    <t>Honda Civic 2.0 2006-, CR-V 2004-</t>
  </si>
  <si>
    <t>DF4698</t>
  </si>
  <si>
    <t>DF4698  TRW - Р“Р°Р»СЊРјС–РІРЅРёР№ РґРёСЃРє</t>
  </si>
  <si>
    <t>689.48</t>
  </si>
  <si>
    <t>HYUNDAI ELANTRA, MATRIX 1,6/1,8/2,0 .01-10  front</t>
  </si>
  <si>
    <t>DF4760S</t>
  </si>
  <si>
    <t>DF4760S  TRW - Р“Р°Р»СЊРјС–РІРЅРёР№ РґРёСЃРє (РїСЂР°РІРёР№)</t>
  </si>
  <si>
    <t>2065.86</t>
  </si>
  <si>
    <t>AUDI Q7 2006-  front/right   (РїР°СЂРЅРёР№ РґРёСЃРє DF4764S)</t>
  </si>
  <si>
    <t>DF4762S</t>
  </si>
  <si>
    <t>DF4762S  TRW - Р“Р°Р»СЊРјС–РІРЅРёР№ РґРёСЃРє (Р»С–РІРёР№)</t>
  </si>
  <si>
    <t>1890.27</t>
  </si>
  <si>
    <t># PORSHE CAYENNE| VW TOUAREG (front, left)  (РїР°СЂРЅРёР№ РґРёСЃРє DF4763S)</t>
  </si>
  <si>
    <t>DF4763S</t>
  </si>
  <si>
    <t>DF4763S  TRW - Р“Р°Р»СЊРјС–РІРЅРёР№ РґРёСЃРє (РїСЂР°РІРёР№)</t>
  </si>
  <si>
    <t># PORSHE CAYENNE| VW TOUAREG (front, right)   (РїР°СЂРЅРёР№ РґРёСЃРє DF4762S)</t>
  </si>
  <si>
    <t>DF4809</t>
  </si>
  <si>
    <t>DF4809  TRW - Р“Р°Р»СЊРјС–РІРЅРёР№ РґРёСЃРє</t>
  </si>
  <si>
    <t>1009.93</t>
  </si>
  <si>
    <t># MITSUBISHI LANCER СЃРµРґР°РЅ (CS_A) (1.3L| 1.6L| 2.0L)| MITSUBISHI GALANT VI (EA_) (2.0L| 2.4L| 2.5L) |MITSUBISHI GALANT VI СѓРЅРёРІРµСЂСЃР°Р» (EA_) (2.0L| 2.4L| 2.5L) |MITSUBISHI LANCER Kombi (CS_W) (1.6L| 2.0L)</t>
  </si>
  <si>
    <t>DF4822S</t>
  </si>
  <si>
    <t>DF4822S  TRW - Р“Р°Р»СЊРјС–РІРЅРёР№ РґРёСЃРє</t>
  </si>
  <si>
    <t>1050.44</t>
  </si>
  <si>
    <t>MB SPRINTER 3,5-T (906), 3-T (906), 4,6-T (906), 5-T (906)| VW Crafter 30-35, Crafter 30-50 1,8-3,5   2006-   front</t>
  </si>
  <si>
    <t>DF4837</t>
  </si>
  <si>
    <t>DF4837  TRW - Р“Р°Р»СЊРјС–РІРЅРёР№ РґРёСЃРє</t>
  </si>
  <si>
    <t>481.11</t>
  </si>
  <si>
    <t># HONDA Civic 1.4/1.6/1.8/2.2D 05-&gt; rear|   HONDA CIVIC VI (1.6L| 1.8L) |HONDA CIVIC VII (FD_) (1.3L| 1.6L| 1.8L| 1.8L) |HONDA CIVIC VII Hatchback (FD_) (1.3L| 1.6L| 1.8L| 2.0L| 2.2L) |NISSAN BLUEBIRD</t>
  </si>
  <si>
    <t>DF4839</t>
  </si>
  <si>
    <t>DF4839  TRW - Р“Р°Р»СЊРјС–РІРЅРёР№ РґРёСЃРє</t>
  </si>
  <si>
    <t>502.73</t>
  </si>
  <si>
    <t># HYUNDAI ACCENT (MC) (1.4-1.6L) / i20 | KIA RIO II (1.4-1.6L)  2005-</t>
  </si>
  <si>
    <t>DF4853S</t>
  </si>
  <si>
    <t>DF4853S  TRW - Р“Р°Р»СЊРјС–РІРЅРёР№ РґРёСЃРє</t>
  </si>
  <si>
    <t>1779.74</t>
  </si>
  <si>
    <t>BMW X5 2007-, X6 2008-</t>
  </si>
  <si>
    <t>DF4870</t>
  </si>
  <si>
    <t>DF4870  TRW - Р“Р°Р»СЊРјС–РІРЅРёР№ РґРёСЃРє</t>
  </si>
  <si>
    <t>957.58</t>
  </si>
  <si>
    <t xml:space="preserve">MITSUBISHI PAJERO III, IV 2.5TDi-3.8 V6 2000- </t>
  </si>
  <si>
    <t>DF4958S</t>
  </si>
  <si>
    <t>DF4958S  TRW - Р“Р°Р»СЊРјС–РІРЅРёР№ РґРёСЃРє</t>
  </si>
  <si>
    <t>1197.19</t>
  </si>
  <si>
    <t># MAZDA CX-7 (2.3L)</t>
  </si>
  <si>
    <t>DF4963</t>
  </si>
  <si>
    <t>DF4963  TRW - Р“Р°Р»СЊРјС–РІРЅРёР№ РґРёСЃРє</t>
  </si>
  <si>
    <t>MITSUBISHI OUTLANDER (2.0L| 2.2L| 2.4L| 3.0L) |PEUGEOT 4007 (GP_) (2.2L| 2.4L)  2006-   rear</t>
  </si>
  <si>
    <t>DF4965S</t>
  </si>
  <si>
    <t>DF4965S  TRW - Р“Р°Р»СЊРјС–РІРЅРёР№ РґРёСЃРє</t>
  </si>
  <si>
    <t>1354.75</t>
  </si>
  <si>
    <t># TOYOTA LAND CRUISER (4.5L| 4.7L)</t>
  </si>
  <si>
    <t>DF4983S</t>
  </si>
  <si>
    <t>DF4983S  TRW - Р“Р°Р»СЊРјС–РІРЅРёР№ РґРёСЃРє</t>
  </si>
  <si>
    <t>1245.25</t>
  </si>
  <si>
    <t>NISSAN MURANO (Z50/Z51)  3.5 4X4  2003-</t>
  </si>
  <si>
    <t>DF6110</t>
  </si>
  <si>
    <t>DF6110  TRW - Р“Р°Р»СЊРјС–РІРЅРёР№ РґРёСЃРє</t>
  </si>
  <si>
    <t>697.03</t>
  </si>
  <si>
    <t>RENAULT Kangoo 08- front</t>
  </si>
  <si>
    <t>DF6121</t>
  </si>
  <si>
    <t>DF6121  TRW - Р“Р°Р»СЊРјС–РІРЅРёР№ РґРёСЃРє</t>
  </si>
  <si>
    <t>704.07</t>
  </si>
  <si>
    <t>CITROEN XM| PEUGEOT 407, 508, 605 1,6-3,0  89-</t>
  </si>
  <si>
    <t>DF6123</t>
  </si>
  <si>
    <t>DF6123  TRW - Р“Р°Р»СЊРјС–РІРЅРёР№ РґРёСЃРє</t>
  </si>
  <si>
    <t>581.00</t>
  </si>
  <si>
    <t>KIA Ceed 06-   rear</t>
  </si>
  <si>
    <t>DF6148</t>
  </si>
  <si>
    <t>DF6148  TRW - Р“Р°Р»СЊРјС–РІРЅРёР№ РґРёСЃРє</t>
  </si>
  <si>
    <t>1115.49</t>
  </si>
  <si>
    <t>AUDI A4 /A5 07-, A6/A7 10-, Q5 08-  front</t>
  </si>
  <si>
    <t>DF6176</t>
  </si>
  <si>
    <t>DF6176  TRW - Р“Р°Р»СЊРјС–РІРЅРёР№ РґРёСЃРє</t>
  </si>
  <si>
    <t>766.89</t>
  </si>
  <si>
    <t>TOYOTA CAMRY 06-  rear</t>
  </si>
  <si>
    <t>DF6239S</t>
  </si>
  <si>
    <t>DF6239S  TRW - Р“Р°Р»СЊРјС–РІРЅРёР№ РґРёСЃРє</t>
  </si>
  <si>
    <t>1192.21</t>
  </si>
  <si>
    <t>LEXUS LX (URJ201) 570 07-  front</t>
  </si>
  <si>
    <t>DF6432S</t>
  </si>
  <si>
    <t>DF6432S  TRW - Р“Р°Р»СЊРјС–РІРЅРёР№ РґРёСЃРє</t>
  </si>
  <si>
    <t>1022.29</t>
  </si>
  <si>
    <t>HONDA ACCORD VIII 2,0i/2,2D/2,4i   08-   front</t>
  </si>
  <si>
    <t>DF7209</t>
  </si>
  <si>
    <t>DF7209  TRW - Р“Р°Р»СЊРјС–РІРЅРёР№ РґРёСЃРє</t>
  </si>
  <si>
    <t>671.28</t>
  </si>
  <si>
    <t>TOYOTA HARRIER (2.2L| 2.4L| 3.0L) |LEXUS RX (XU1) (3.0L) 00- rear</t>
  </si>
  <si>
    <t>DF7352</t>
  </si>
  <si>
    <t>DF7352  TRW - Р“Р°Р»СЊРјС–РІРЅРёР№ РґРёСЃРє</t>
  </si>
  <si>
    <t>1093.00</t>
  </si>
  <si>
    <t xml:space="preserve">MB GL-class (X164)  |M-class (W164) | R-class (W251) 3,0-5,5   2005-  rear  </t>
  </si>
  <si>
    <t>DF7381</t>
  </si>
  <si>
    <t>DF7381  TRW - Р“Р°Р»СЊРјС–РІРЅРёР№ РґРёСЃРє</t>
  </si>
  <si>
    <t>575.34</t>
  </si>
  <si>
    <t># CHEVROLET (GM) Lacetti 1.4/1.6/1.8 05/03-&gt;, DAEWOO Nubira 02-08  rear</t>
  </si>
  <si>
    <t>GDB1127</t>
  </si>
  <si>
    <t>GDB1127  TRW - Р“Р°Р»СЊРјС–РІРЅС– РєРѕР»РѕРґРєРё РґРѕ РґРёСЃРєС–РІ</t>
  </si>
  <si>
    <t>428.24</t>
  </si>
  <si>
    <t>GDB1182</t>
  </si>
  <si>
    <t>GDB1182  TRW - Р“Р°Р»СЊРјС–РІРЅС– РєРѕР»РѕРґРєРё РґРѕ РґРёСЃРєС–РІ</t>
  </si>
  <si>
    <t>491.75</t>
  </si>
  <si>
    <t>GDB1220</t>
  </si>
  <si>
    <t>GDB1220  TRW - Р“Р°Р»СЊРјС–РІРЅС– РєРѕР»РѕРґРєРё РґРѕ РґРёСЃРєС–РІ</t>
  </si>
  <si>
    <t>889.78</t>
  </si>
  <si>
    <t>GDB1263</t>
  </si>
  <si>
    <t>GDB1263  TRW - Р“Р°Р»СЊРјС–РІРЅС– РєРѕР»РѕРґРєРё РґРѕ РґРёСЃРєС–РІ</t>
  </si>
  <si>
    <t>761.22</t>
  </si>
  <si>
    <t>MB Sprinter/VW LT 35 -06</t>
  </si>
  <si>
    <t>GDB1269</t>
  </si>
  <si>
    <t>GDB1269  TRW - Р“Р°Р»СЊРјС–РІРЅС– РєРѕР»РѕРґРєРё РґРѕ РґРёСЃРєС–РІ</t>
  </si>
  <si>
    <t>1018.68</t>
  </si>
  <si>
    <t>BMW E38 94-01/Nissan Skyline</t>
  </si>
  <si>
    <t>GDB1307</t>
  </si>
  <si>
    <t>GDB1307  TRW - Р“Р°Р»СЊРјС–РІРЅС– РєРѕР»РѕРґРєРё РґРѕ РґРёСЃРєС–РІ</t>
  </si>
  <si>
    <t>928.57</t>
  </si>
  <si>
    <t>GDB1314</t>
  </si>
  <si>
    <t>GDB1314  TRW - Р“Р°Р»СЊРјС–РІРЅС– РєРѕР»РѕРґРєРё РґРѕ РґРёСЃРєС–РІ</t>
  </si>
  <si>
    <t>645.37</t>
  </si>
  <si>
    <t>Carisma 00-/Space Star/S40/Colt</t>
  </si>
  <si>
    <t>GDB1321</t>
  </si>
  <si>
    <t>GDB1321  TRW - Р“Р°Р»СЊРјС–РІРЅС– РєРѕР»РѕРґРєРё РґРѕ РґРёСЃРєС–РІ</t>
  </si>
  <si>
    <t>Renault Kangoo 97-07 | Citroen Xsara 1,4i81,5D   -05</t>
  </si>
  <si>
    <t>GDB1330</t>
  </si>
  <si>
    <t>GDB1330  TRW - Р“Р°Р»СЊРјС–РІРЅС– РєРѕР»РѕРґРєРё РґРѕ РґРёСЃРєС–РІ</t>
  </si>
  <si>
    <t>506.17</t>
  </si>
  <si>
    <t>GDB1351</t>
  </si>
  <si>
    <t>GDB1351  TRW - Р“Р°Р»СЊРјС–РІРЅС– РєРѕР»РѕРґРєРё РґРѕ РґРёСЃРєС–РІ</t>
  </si>
  <si>
    <t>676.09</t>
  </si>
  <si>
    <t>Opel Astra G (Р±РµР· ABS)</t>
  </si>
  <si>
    <t>GDB1369</t>
  </si>
  <si>
    <t>GDB1369  TRW - Р“Р°Р»СЊРјС–РІРЅС– РєРѕР»РѕРґРєРё РґРѕ РґРёСЃРєС–РІ</t>
  </si>
  <si>
    <t>749.55</t>
  </si>
  <si>
    <t>VW T4/Ford Galaxy (16")</t>
  </si>
  <si>
    <t>GDB1373</t>
  </si>
  <si>
    <t>GDB1373  TRW - Р“Р°Р»СЊРјС–РІРЅС– РєРѕР»РѕРґРєРё РґРѕ РґРёСЃРєС–РІ</t>
  </si>
  <si>
    <t>693.25</t>
  </si>
  <si>
    <t>GDB1386</t>
  </si>
  <si>
    <t>GDB1386  TRW - Р“Р°Р»СЊРјС–РІРЅС– РєРѕР»РѕРґРєРё РґРѕ РґРёСЃРєС–РІ</t>
  </si>
  <si>
    <t>720.20</t>
  </si>
  <si>
    <t>GDB1414</t>
  </si>
  <si>
    <t>GDB1414  TRW - Р“Р°Р»СЊРјС–РІРЅС– РєРѕР»РѕРґРєРё РґРѕ РґРёСЃРєС–РІ</t>
  </si>
  <si>
    <t>696.34</t>
  </si>
  <si>
    <t>SKODA FABIA 2.0 99-01/SEAT Ibiza,Cordoba 1.4 16v/1.9TDi 02-</t>
  </si>
  <si>
    <t>GDB1419</t>
  </si>
  <si>
    <t>GDB1419  TRW - Р“Р°Р»СЊРјС–РІРЅС– РєРѕР»РѕРґРєРё РґРѕ РґРёСЃРєС–РІ</t>
  </si>
  <si>
    <t>600.74</t>
  </si>
  <si>
    <t>Ford Fusion/Fiesta 00- (ABS)</t>
  </si>
  <si>
    <t>GDB1442</t>
  </si>
  <si>
    <t>GDB1442  TRW - Р“Р°Р»СЊРјС–РІРЅС– РєРѕР»РѕРґРєРё РґРѕ РґРёСЃРєС–РІ</t>
  </si>
  <si>
    <t>766.20</t>
  </si>
  <si>
    <t>Opel Movano/Renault Master 98-   front</t>
  </si>
  <si>
    <t>GDB1463</t>
  </si>
  <si>
    <t>GDB1463  TRW - Р“Р°Р»СЊРјС–РІРЅС– РєРѕР»РѕРґРєРё РґРѕ РґРёСЃРєС–РІ</t>
  </si>
  <si>
    <t>Peugeot 206/207/307</t>
  </si>
  <si>
    <t>GDB1478</t>
  </si>
  <si>
    <t>GDB1478  TRW - Р“Р°Р»СЊРјС–РІРЅС– РєРѕР»РѕРґРєРё РґРѕ РґРёСЃРєС–РІ</t>
  </si>
  <si>
    <t>Opel Vivaro/Renault Traffic 01-</t>
  </si>
  <si>
    <t>GDB1482</t>
  </si>
  <si>
    <t>GDB1482  TRW - Р“Р°Р»СЊРјС–РІРЅС– РєРѕР»РѕРґРєРё РґРѕ РґРёСЃРєС–РІ</t>
  </si>
  <si>
    <t>721.23</t>
  </si>
  <si>
    <t>Fiat Stilo 01-</t>
  </si>
  <si>
    <t>GDB1515</t>
  </si>
  <si>
    <t>GDB1515  TRW - Р“Р°Р»СЊРјС–РІРЅС– РєРѕР»РѕРґРєРё РґРѕ РґРёСЃРєС–РІ</t>
  </si>
  <si>
    <t>554.91</t>
  </si>
  <si>
    <t>GDB1516</t>
  </si>
  <si>
    <t>GDB1516  TRW - Р“Р°Р»СЊРјС–РІРЅС– РєРѕР»РѕРґРєРё РґРѕ РґРёСЃРєС–РІ</t>
  </si>
  <si>
    <t>781.48</t>
  </si>
  <si>
    <t>AUDI A4 /A6/RS6 Quattro/S4 Quattro 02-</t>
  </si>
  <si>
    <t>GDB1517</t>
  </si>
  <si>
    <t>GDB1517  TRW - Р“Р°Р»СЊРјС–РІРЅС– РєРѕР»РѕРґРєРё РґРѕ РґРёСЃРєС–РІ</t>
  </si>
  <si>
    <t>811.34</t>
  </si>
  <si>
    <t>Citroen Jumper/Fiat Ducato/ Peugeot Boxer 1,8-2,9HDI 96-06  front</t>
  </si>
  <si>
    <t>GDB1546</t>
  </si>
  <si>
    <t>GDB1546  TRW - Р“Р°Р»СЊРјС–РІРЅС– РєРѕР»РѕРґРєРё РґРѕ РґРёСЃРєС–РІ</t>
  </si>
  <si>
    <t>887.89</t>
  </si>
  <si>
    <t>GDB1550</t>
  </si>
  <si>
    <t>GDB1550  TRW - Р“Р°Р»СЊРјС–РІРЅС– РєРѕР»РѕРґРєРё РґРѕ РґРёСЃРєС–РІ</t>
  </si>
  <si>
    <t>1011.82</t>
  </si>
  <si>
    <t>GDB1555</t>
  </si>
  <si>
    <t>GDB1555  TRW - Р“Р°Р»СЊРјС–РІРЅС– РєРѕР»РѕРґРєРё РґРѕ РґРёСЃРєС–РІ</t>
  </si>
  <si>
    <t>1094.38</t>
  </si>
  <si>
    <t>GDB1557</t>
  </si>
  <si>
    <t>GDB1557  TRW - Р“Р°Р»СЊРјС–РІРЅС– РєРѕР»РѕРґРєРё РґРѕ РґРёСЃРєС–РІ</t>
  </si>
  <si>
    <t>887.04</t>
  </si>
  <si>
    <t>GDB1563</t>
  </si>
  <si>
    <t>GDB1563  TRW - Р“Р°Р»СЊРјС–РІРЅС– РєРѕР»РѕРґРєРё РґРѕ РґРёСЃРєС–РІ</t>
  </si>
  <si>
    <t>585.98</t>
  </si>
  <si>
    <t>Citroen C4/Belingo</t>
  </si>
  <si>
    <t>GDB1583</t>
  </si>
  <si>
    <t>GDB1583  TRW - Р“Р°Р»СЊРјС–РІРЅС– РєРѕР»РѕРґРєРё РґРѕ РґРёСЃРєС–РІ</t>
  </si>
  <si>
    <t>GDB1600</t>
  </si>
  <si>
    <t>GDB1600  TRW - Р“Р°Р»СЊРјС–РІРЅС– РєРѕР»РѕРґРєРё РґРѕ РґРёСЃРєС–РІ</t>
  </si>
  <si>
    <t>980.75</t>
  </si>
  <si>
    <t>MB Vito 03-</t>
  </si>
  <si>
    <t>GDB1601</t>
  </si>
  <si>
    <t>GDB1601  TRW - Р“Р°Р»СЊРјС–РІРЅС– РєРѕР»РѕРґРєРё РґРѕ РґРёСЃРєС–РІ</t>
  </si>
  <si>
    <t>766.72</t>
  </si>
  <si>
    <t>GDB1611</t>
  </si>
  <si>
    <t>GDB1611  TRW - Р“Р°Р»СЊРјС–РІРЅС– РєРѕР»РѕРґРєРё РґРѕ РґРёСЃРєС–РІ</t>
  </si>
  <si>
    <t>776.16</t>
  </si>
  <si>
    <t>BMW E87 116i, 118i/d 04-</t>
  </si>
  <si>
    <t>GDB1621</t>
  </si>
  <si>
    <t>GDB1621  TRW - Р“Р°Р»СЊРјС–РІРЅС– РєРѕР»РѕРґРєРё РґРѕ РґРёСЃРєС–РІ</t>
  </si>
  <si>
    <t>727.93</t>
  </si>
  <si>
    <t>GDB1622</t>
  </si>
  <si>
    <t>GDB1622  TRW - Р“Р°Р»СЊРјС–РІРЅС– РєРѕР»РѕРґРєРё РґРѕ РґРёСЃРєС–РІ</t>
  </si>
  <si>
    <t>710.42</t>
  </si>
  <si>
    <t xml:space="preserve">Audi A3/A4/A6/ Skoda Octavia, Superb/ VW Golf, Caddy III, CC, Eos 1.0-4,2   95-   rear  </t>
  </si>
  <si>
    <t>GDB1642</t>
  </si>
  <si>
    <t>GDB1642  TRW - Р“Р°Р»СЊРјС–РІРЅС– РєРѕР»РѕРґРєРё РґРѕ РґРёСЃРєС–РІ</t>
  </si>
  <si>
    <t>1262.07</t>
  </si>
  <si>
    <t>MERCEDES-BENZ M-Class (W164) ML, R-Class (W251) R 07/05-</t>
  </si>
  <si>
    <t>GDB1643</t>
  </si>
  <si>
    <t>GDB1643  TRW - Р“Р°Р»СЊРјС–РІРЅС– РєРѕР»РѕРґРєРё РґРѕ РґРёСЃРєС–РІ</t>
  </si>
  <si>
    <t>989.33</t>
  </si>
  <si>
    <t xml:space="preserve">MB class-M (W164), class-R (W251), class-G (W463) 3.0-6.0  2006- </t>
  </si>
  <si>
    <t>GDB1651</t>
  </si>
  <si>
    <t>GDB1651  TRW - Р“Р°Р»СЊРјС–РІРЅС– РєРѕР»РѕРґРєРё РґРѕ РґРёСЃРєС–РІ</t>
  </si>
  <si>
    <t>1138.14</t>
  </si>
  <si>
    <t>VW Touareg</t>
  </si>
  <si>
    <t>GDB1653</t>
  </si>
  <si>
    <t>GDB1653  TRW - Р“Р°Р»СЊРјС–РІРЅС– РєРѕР»РѕРґРєРё РґРѕ РґРёСЃРєС–РІ</t>
  </si>
  <si>
    <t>929.43</t>
  </si>
  <si>
    <t>GDB1658</t>
  </si>
  <si>
    <t>GDB1658  TRW - Р“Р°Р»СЊРјС–РІРЅС– РєРѕР»РѕРґРєРё РґРѕ РґРёСЃРєС–РІ</t>
  </si>
  <si>
    <t>856.31</t>
  </si>
  <si>
    <t>VW/Seat/Skoda 1.4/1.6/1.9TDi 00-</t>
  </si>
  <si>
    <t>GDB1668</t>
  </si>
  <si>
    <t>GDB1668  TRW - Р“Р°Р»СЊРјС–РІРЅС– РєРѕР»РѕРґРєРё РґРѕ РґРёСЃРєС–РІ</t>
  </si>
  <si>
    <t>758.65</t>
  </si>
  <si>
    <t>Opel Astra H</t>
  </si>
  <si>
    <t>GDB1670</t>
  </si>
  <si>
    <t>GDB1670  TRW - Р“Р°Р»СЊРјС–РІРЅС– РєРѕР»РѕРґРєРё РґРѕ РґРёСЃРєС–РІ</t>
  </si>
  <si>
    <t>1307.04</t>
  </si>
  <si>
    <t>VW Touareg  04- (Brembo)</t>
  </si>
  <si>
    <t>GDB1673</t>
  </si>
  <si>
    <t>GDB1673  TRW - Р“Р°Р»СЊРјС–РІРЅС– РєРѕР»РѕРґРєРё РґРѕ РґРёСЃРєС–РІ</t>
  </si>
  <si>
    <t>GDB1681</t>
  </si>
  <si>
    <t>GDB1681  TRW - Р“Р°Р»СЊРјС–РІРЅС– РєРѕР»РѕРґРєРё РґРѕ РґРёСЃРєС–РІ</t>
  </si>
  <si>
    <t>1126.82</t>
  </si>
  <si>
    <t>GDB1685</t>
  </si>
  <si>
    <t>GDB1685  TRW - Р“Р°Р»СЊРјС–РІРЅС– РєРѕР»РѕРґРєРё РґРѕ РґРёСЃРєС–РІ</t>
  </si>
  <si>
    <t>FORD Galaxy (06-), FORD Mondeo IV 03/07-, S-Max 05/06-, VOLVO S80 (06-), V70, XC70</t>
  </si>
  <si>
    <t>GDB1687</t>
  </si>
  <si>
    <t>GDB1687  TRW - Р“Р°Р»СЊРјС–РІРЅС– РєРѕР»РѕРґРєРё РґРѕ РґРёСЃРєС–РІ</t>
  </si>
  <si>
    <t>GDB1690</t>
  </si>
  <si>
    <t>GDB1690  TRW - Р“Р°Р»СЊРјС–РІРЅС– РєРѕР»РѕРґРєРё РґРѕ РґРёСЃРєС–РІ</t>
  </si>
  <si>
    <t>840.52</t>
  </si>
  <si>
    <t>GDB1697</t>
  </si>
  <si>
    <t>GDB1697  TRW - Р“Р°Р»СЊРјС–РІРЅС– РєРѕР»РѕРґРєРё РґРѕ РґРёСЃРєС–РІ</t>
  </si>
  <si>
    <t>1146.73</t>
  </si>
  <si>
    <t>GDB1698</t>
  </si>
  <si>
    <t>GDB1698  TRW - Р“Р°Р»СЊРјС–РІРЅС– РєРѕР»РѕРґРєРё РґРѕ РґРёСЃРєС–РІ</t>
  </si>
  <si>
    <t>954.66</t>
  </si>
  <si>
    <t>GDB1703</t>
  </si>
  <si>
    <t>GDB1703  TRW - Р“Р°Р»СЊРјС–РІРЅС– РєРѕР»РѕРґРєРё РґРѕ РґРёСЃРєС–РІ</t>
  </si>
  <si>
    <t>GDB1726</t>
  </si>
  <si>
    <t>GDB1726  TRW - Р“Р°Р»СЊРјС–РІРЅС– РєРѕР»РѕРґРєРё РґРѕ РґРёСЃРєС–РІ</t>
  </si>
  <si>
    <t>1160.29</t>
  </si>
  <si>
    <t>GDB1736</t>
  </si>
  <si>
    <t>GDB1736  TRW - Р“Р°Р»СЊРјС–РІРЅС– РєРѕР»РѕРґРєРё РґРѕ РґРёСЃРєС–РІ</t>
  </si>
  <si>
    <t>867.64</t>
  </si>
  <si>
    <t># MERCEDES C-Class (W204) C 180,C 220 Kompressor 08-  front</t>
  </si>
  <si>
    <t>GDB1762</t>
  </si>
  <si>
    <t>GDB1762  TRW - Р“Р°Р»СЊРјС–РІРЅС– РєРѕР»РѕРґРєРё РґРѕ РґРёСЃРєС–РІ</t>
  </si>
  <si>
    <t>1081.68</t>
  </si>
  <si>
    <t># VOLKSWAGEN TIGUAN 2007 &gt;&gt;</t>
  </si>
  <si>
    <t>GDB1765</t>
  </si>
  <si>
    <t>GDB1765  TRW - Р“Р°Р»СЊРјС–РІРЅС– РєРѕР»РѕРґРєРё РґРѕ РґРёСЃРєС–РІ</t>
  </si>
  <si>
    <t>973.20</t>
  </si>
  <si>
    <t>AUDI A4, A5, Q5 1.8TFSI-3.2FSI  2006-  rear</t>
  </si>
  <si>
    <t>GDB1768</t>
  </si>
  <si>
    <t>GDB1768  TRW - Р“Р°Р»СЊРјС–РІРЅС– РєРѕР»РѕРґРєРё РґРѕ РґРёСЃРєС–РІ</t>
  </si>
  <si>
    <t>1294.51</t>
  </si>
  <si>
    <t>AUDI A4, A5, A6, A7, Q5 2.0TDI-4.2i   07-  front</t>
  </si>
  <si>
    <t>GDB1775</t>
  </si>
  <si>
    <t>GDB1775  TRW - Р“Р°Р»СЊРјС–РІРЅС– РєРѕР»РѕРґРєРё РґРѕ РґРёСЃРєС–РІ</t>
  </si>
  <si>
    <t>1277.34</t>
  </si>
  <si>
    <t>Audi Q7| Porsche Cayenne| VW Touareg 3,0-6,0D  04-15  rear</t>
  </si>
  <si>
    <t>GDB1814</t>
  </si>
  <si>
    <t>GDB1814  TRW - Р“Р°Р»СЊРјС–РІРЅС– РєРѕР»РѕРґРєРё РґРѕ РґРёСЃРєС–РІ</t>
  </si>
  <si>
    <t>991.56</t>
  </si>
  <si>
    <t># AUDI A4 2006 &gt;&gt;, A4 Allroad 2009 &gt;&gt;, A5 2007 &gt;&gt;</t>
  </si>
  <si>
    <t>GDB1843</t>
  </si>
  <si>
    <t>GDB1843  TRW - Р“Р°Р»СЊРјС–РІРЅС– РєРѕР»РѕРґРєРё РґРѕ РґРёСЃРєС–РІ</t>
  </si>
  <si>
    <t># OPEL  Astra 15" 09-&gt;</t>
  </si>
  <si>
    <t>GDB1847</t>
  </si>
  <si>
    <t>GDB1847  TRW - Р“Р°Р»СЊРјС–РІРЅС– РєРѕР»РѕРґРєРё РґРѕ РґРёСЃРєС–РІ</t>
  </si>
  <si>
    <t>882.06</t>
  </si>
  <si>
    <t># CHEVROLET CRUZE (1.6L| 1.8L| 2.0L)| OPEL Astra 16" 09-&gt; front</t>
  </si>
  <si>
    <t>GDB1875</t>
  </si>
  <si>
    <t>GDB1875  TRW - Р“Р°Р»СЊРјС–РІРЅС– РєРѕР»РѕРґРєРё РґРѕ РґРёСЃРєС–РІ</t>
  </si>
  <si>
    <t>1532.40</t>
  </si>
  <si>
    <t>GDB1903</t>
  </si>
  <si>
    <t>GDB1903  TRW - Р“Р°Р»СЊРјС–РІРЅС– РєРѕР»РѕРґРєРё РґРѕ РґРёСЃРєС–РІ</t>
  </si>
  <si>
    <t>Renault Master IV / Opel Movano 2010-   rear</t>
  </si>
  <si>
    <t>GDB1910</t>
  </si>
  <si>
    <t>GDB1910  TRW - Р“Р°Р»СЊРјС–РІРЅС– РєРѕР»РѕРґРєРё РґРѕ РґРёСЃРєС–РІ</t>
  </si>
  <si>
    <t>OPEL MOVANO 10-,    RENAULT MASTER II 10- front</t>
  </si>
  <si>
    <t>GDB1984</t>
  </si>
  <si>
    <t>GDB1984  TRW - Р“Р°Р»СЊРјС–РІРЅС– РєРѕР»РѕРґРєРё РґРѕ РґРёСЃРєС–РІ</t>
  </si>
  <si>
    <t>658.07</t>
  </si>
  <si>
    <t>VW Polo 09- | UP 11- | AudiI A1 10- | Skoda Citigo 11-| Fabia 06-| Rapid 12- | Seat Ibiza V 08 - | Mii 11- | Toledo IV 12 -</t>
  </si>
  <si>
    <t>GDB264</t>
  </si>
  <si>
    <t>GDB264  TRW - Р“Р°Р»СЊРјС–РІРЅС– РєРѕР»РѕРґРєРё РґРѕ РґРёСЃРєС–РІ</t>
  </si>
  <si>
    <t>MB W123/126</t>
  </si>
  <si>
    <t>GDB297</t>
  </si>
  <si>
    <t>GDB297  TRW - Р“Р°Р»СЊРјС–РІРЅС– РєРѕР»РѕРґРєРё РґРѕ РґРёСЃРєС–РІ</t>
  </si>
  <si>
    <t>314.10</t>
  </si>
  <si>
    <t>Fiat Uno/Panda -95</t>
  </si>
  <si>
    <t>GDB3088</t>
  </si>
  <si>
    <t>GDB3088  TRW - Р“Р°Р»СЊРјС–РІРЅС– РєРѕР»РѕРґРєРё РґРѕ РґРёСЃРєС–РІ</t>
  </si>
  <si>
    <t>466.52</t>
  </si>
  <si>
    <t>Mazda 626/6 97-</t>
  </si>
  <si>
    <t>GDB3175</t>
  </si>
  <si>
    <t>GDB3175  TRW - Р“Р°Р»СЊРјС–РІРЅС– РєРѕР»РѕРґРєРё РґРѕ РґРёСЃРєС–РІ</t>
  </si>
  <si>
    <t>Honda Accord 90-98/Civic 01-05</t>
  </si>
  <si>
    <t>GDB3190</t>
  </si>
  <si>
    <t>GDB3190  TRW - Р“Р°Р»СЊРјС–РІРЅС– РєРѕР»РѕРґРєРё РґРѕ РґРёСЃРєС–РІ</t>
  </si>
  <si>
    <t>584.61</t>
  </si>
  <si>
    <t>Honda Accord 98-03</t>
  </si>
  <si>
    <t>GDB3197</t>
  </si>
  <si>
    <t>GDB3197  TRW - Р“Р°Р»СЊРјС–РІРЅС– РєРѕР»РѕРґРєРё РґРѕ РґРёСЃРєС–РІ</t>
  </si>
  <si>
    <t>GDB3223</t>
  </si>
  <si>
    <t>GDB3223  TRW - Р“Р°Р»СЊРјС–РІРЅС– РєРѕР»РѕРґРєРё РґРѕ РґРёСЃРєС–РІ</t>
  </si>
  <si>
    <t>520.07</t>
  </si>
  <si>
    <t>Subaru Forester/Outback/Impreza</t>
  </si>
  <si>
    <t>GDB3239</t>
  </si>
  <si>
    <t>GDB3239  TRW - Р“Р°Р»СЊРјС–РІРЅС– РєРѕР»РѕРґРєРё РґРѕ РґРёСЃРєС–РІ</t>
  </si>
  <si>
    <t>GDB3241</t>
  </si>
  <si>
    <t>GDB3241  TRW - Р“Р°Р»СЊРјС–РІРЅС– РєРѕР»РѕРґРєРё РґРѕ РґРёСЃРєС–РІ</t>
  </si>
  <si>
    <t>689.13</t>
  </si>
  <si>
    <t>KIA  Sportage All  99-03  front</t>
  </si>
  <si>
    <t>GDB3246</t>
  </si>
  <si>
    <t>GDB3246  TRW - Р“Р°Р»СЊРјС–РІРЅС– РєРѕР»РѕРґРєРё РґРѕ РґРёСЃРєС–РІ</t>
  </si>
  <si>
    <t>563.49</t>
  </si>
  <si>
    <t>Mitsubishi Pajero III 3.5 V6 GDi/3.2 Di-D 00-</t>
  </si>
  <si>
    <t>GDB3310</t>
  </si>
  <si>
    <t>GDB3310  TRW - Р“Р°Р»СЊРјС–РІРЅС– РєРѕР»РѕРґРєРё РґРѕ РґРёСЃРєС–РІ</t>
  </si>
  <si>
    <t>Mazda 6  1,8/2,0/2,3   02-07  front</t>
  </si>
  <si>
    <t>GDB3330</t>
  </si>
  <si>
    <t>GDB3330  TRW - Р“Р°Р»СЊРјС–РІРЅС– РєРѕР»РѕРґРєРё РґРѕ РґРёСЃРєС–РІ</t>
  </si>
  <si>
    <t>546.33</t>
  </si>
  <si>
    <t>Chevrolet Aveo 1,4/1,5 02-</t>
  </si>
  <si>
    <t>GDB3332</t>
  </si>
  <si>
    <t>GDB3332  TRW - Р“Р°Р»СЊРјС–РІРЅС– РєРѕР»РѕРґРєРё РґРѕ РґРёСЃРєС–РІ</t>
  </si>
  <si>
    <t>614.81</t>
  </si>
  <si>
    <t>GDB3341</t>
  </si>
  <si>
    <t>GDB3341  TRW - Р“Р°Р»СЊРјС–РІРЅС– РєРѕР»РѕРґРєРё РґРѕ РґРёСЃРєС–РІ</t>
  </si>
  <si>
    <t>Mitsubishi  Lancer 03-/Outlander  1,3-2,4   02-   rear</t>
  </si>
  <si>
    <t>GDB3348</t>
  </si>
  <si>
    <t>GDB3348  TRW - Р“Р°Р»СЊРјС–РІРЅС– РєРѕР»РѕРґРєРё РґРѕ РґРёСЃРєС–РІ</t>
  </si>
  <si>
    <t>508.91</t>
  </si>
  <si>
    <t>CHEVROLET Lacetti/Nubira 03-   Sumitomo</t>
  </si>
  <si>
    <t>GDB3352</t>
  </si>
  <si>
    <t>GDB3352  TRW - Р“Р°Р»СЊРјС–РІРЅС– РєРѕР»РѕРґРєРё РґРѕ РґРёСЃРєС–РІ</t>
  </si>
  <si>
    <t>746.46</t>
  </si>
  <si>
    <t>Hyundai Tucson/Sonata/Sportage</t>
  </si>
  <si>
    <t>GDB3364</t>
  </si>
  <si>
    <t>GDB3364  TRW - Р“Р°Р»СЊРјС–РІРЅС– РєРѕР»РѕРґРєРё РґРѕ РґРёСЃРєС–РІ</t>
  </si>
  <si>
    <t>923.94</t>
  </si>
  <si>
    <t>GDB3367</t>
  </si>
  <si>
    <t>GDB3367  TRW - Р“Р°Р»СЊРјС–РІРЅС– РєРѕР»РѕРґРєРё РґРѕ РґРёСЃРєС–РІ</t>
  </si>
  <si>
    <t>777.53</t>
  </si>
  <si>
    <t>KIA Cerato, Carens I, Rio 1,3/1,5/1,6   00-05  front</t>
  </si>
  <si>
    <t>GDB3371</t>
  </si>
  <si>
    <t>GDB3371  TRW - Р“Р°Р»СЊРјС–РІРЅС– РєРѕР»РѕРґРєРё РґРѕ РґРёСЃРєС–РІ</t>
  </si>
  <si>
    <t>911.41</t>
  </si>
  <si>
    <t>Forester/Outback 02-/Impreza 00-</t>
  </si>
  <si>
    <t>GDB3392</t>
  </si>
  <si>
    <t>GDB3392  TRW - Р“Р°Р»СЊРјС–РІРЅС– РєРѕР»РѕРґРєРё РґРѕ РґРёСЃРєС–РІ</t>
  </si>
  <si>
    <t>901.45</t>
  </si>
  <si>
    <t>Murano/Navara/FX35</t>
  </si>
  <si>
    <t>GDB3395</t>
  </si>
  <si>
    <t>GDB3395  TRW - Р“Р°Р»СЊРјС–РІРЅС– РєРѕР»РѕРґРєРё РґРѕ РґРёСЃРєС–РІ</t>
  </si>
  <si>
    <t>Subaru Impreza 02-</t>
  </si>
  <si>
    <t>GDB3416</t>
  </si>
  <si>
    <t>GDB3416  TRW - Р“Р°Р»СЊРјС–РІРЅС– РєРѕР»РѕРґРєРё РґРѕ РґРёСЃРєС–РІ</t>
  </si>
  <si>
    <t>835.72</t>
  </si>
  <si>
    <t>Nissan Murano/Infinity FX35/45</t>
  </si>
  <si>
    <t>GDB3420</t>
  </si>
  <si>
    <t>GDB3420  TRW - Р“Р°Р»СЊРјС–РІРЅС– РєРѕР»РѕРґРєРё РґРѕ РґРёСЃРєС–РІ</t>
  </si>
  <si>
    <t>696.00</t>
  </si>
  <si>
    <t>Hyundai Accent/Kia Rio II  2005-    front</t>
  </si>
  <si>
    <t>GDB3421</t>
  </si>
  <si>
    <t>GDB3421  TRW - Р“Р°Р»СЊРјС–РІРЅС– РєРѕР»РѕРґРєРё РґРѕ РґРёСЃРєС–РІ !!! Р—Р°РјС–РЅР° РґР»СЏ GDB3451</t>
  </si>
  <si>
    <t>536.38</t>
  </si>
  <si>
    <t>HYUNDAI  Accent 1.4 GL, 1.5 CRDI GLS, 1.6 GLS11/05- , KIA Cee'd 1.4, 1.6, 1.6 CRDI, 2.0 06-, KIA Rio II  05-   rear</t>
  </si>
  <si>
    <t>GDB3424</t>
  </si>
  <si>
    <t>GDB3424  TRW - Р“Р°Р»СЊРјС–РІРЅС– РєРѕР»РѕРґРєРё РґРѕ РґРёСЃРєС–РІ</t>
  </si>
  <si>
    <t>Toyota Auris/Rav-4 III</t>
  </si>
  <si>
    <t>GDB3426</t>
  </si>
  <si>
    <t>GDB3426  TRW - Р“Р°Р»СЊРјС–РІРЅС– РєРѕР»РѕРґРєРё РґРѕ РґРёСЃРєС–РІ</t>
  </si>
  <si>
    <t>630.95</t>
  </si>
  <si>
    <t>GDB3429</t>
  </si>
  <si>
    <t>GDB3429  TRW - Р“Р°Р»СЊРјС–РІРЅС– РєРѕР»РѕРґРєРё РґРѕ РґРёСЃРєС–РІ</t>
  </si>
  <si>
    <t>833.83</t>
  </si>
  <si>
    <t>GDB3435</t>
  </si>
  <si>
    <t>GDB3435  TRW - Р“Р°Р»СЊРјС–РІРЅС– РєРѕР»РѕРґРєРё РґРѕ РґРёСЃРєС–РІ</t>
  </si>
  <si>
    <t>GDB3443</t>
  </si>
  <si>
    <t>GDB3443  TRW - Р“Р°Р»СЊРјС–РІРЅС– РєРѕР»РѕРґРєРё РґРѕ РґРёСЃРєС–РІ</t>
  </si>
  <si>
    <t>Suzuki Grand Vitara 05-</t>
  </si>
  <si>
    <t>GDB3445</t>
  </si>
  <si>
    <t>GDB3445  TRW - Р“Р°Р»СЊРјС–РІРЅС– РєРѕР»РѕРґРєРё РґРѕ РґРёСЃРєС–РІ</t>
  </si>
  <si>
    <t>1067.77</t>
  </si>
  <si>
    <t>GDB3446</t>
  </si>
  <si>
    <t>GDB3446  TRW - Р“Р°Р»СЊРјС–РІРЅС– РєРѕР»РѕРґРєРё РґРѕ РґРёСЃРєС–РІ</t>
  </si>
  <si>
    <t>GDB3450</t>
  </si>
  <si>
    <t>GDB3450  TRW - Р“Р°Р»СЊРјС–РІРЅС– РєРѕР»РѕРґРєРё РґРѕ РґРёСЃРєС–РІ</t>
  </si>
  <si>
    <t>KIACarens 02-, KIACee'd 06- , HYUNDAI i30 07-  1.4, 1.6, 1.8, 2.0 CRDi  130x58 th=17,7</t>
  </si>
  <si>
    <t>GDB3461</t>
  </si>
  <si>
    <t>GDB3461  TRW - Р“Р°Р»СЊРјС–РІРЅС– РєРѕР»РѕРґРєРё РґРѕ РґРёСЃРєС–РІ</t>
  </si>
  <si>
    <t>KIA Carens 2.0CRDI/CVVT 06-</t>
  </si>
  <si>
    <t>GDB3467</t>
  </si>
  <si>
    <t>GDB3467  TRW - Р“Р°Р»СЊРјС–РІРЅС– РєРѕР»РѕРґРєРё РґРѕ РґРёСЃРєС–РІ</t>
  </si>
  <si>
    <t>GDB3471</t>
  </si>
  <si>
    <t>GDB3471  TRW - Р“Р°Р»СЊРјС–РІРЅС– РєРѕР»РѕРґРєРё РґРѕ РґРёСЃРєС–РІ</t>
  </si>
  <si>
    <t>996.54</t>
  </si>
  <si>
    <t># MAZDA CX-7 2006 &gt;&gt;, CX-9 2007 &gt;&gt;</t>
  </si>
  <si>
    <t>GDB3472</t>
  </si>
  <si>
    <t>GDB3472  TRW - Р“Р°Р»СЊРјС–РІРЅС– РєРѕР»РѕРґРєРё РґРѕ РґРёСЃРєС–РІ</t>
  </si>
  <si>
    <t>MAZDA CX-7 MZR  2007-   rear</t>
  </si>
  <si>
    <t>GDB3481</t>
  </si>
  <si>
    <t>GDB3481  TRW - Р“Р°Р»СЊРјС–РІРЅС– РєРѕР»РѕРґРєРё РґРѕ РґРёСЃРєС–РІ</t>
  </si>
  <si>
    <t>984.36</t>
  </si>
  <si>
    <t>TOYOTA AURIS 1.6/2.2D/2.0D-4D  06-  front</t>
  </si>
  <si>
    <t>GDB3484</t>
  </si>
  <si>
    <t>GDB3484  TRW - Р“Р°Р»СЊРјС–РІРЅС– РєРѕР»РѕРґРєРё РґРѕ РґРёСЃРєС–РІ</t>
  </si>
  <si>
    <t>1129.56</t>
  </si>
  <si>
    <t># LEXUS RX (GYL_) (3.5L)</t>
  </si>
  <si>
    <t>GDB3491</t>
  </si>
  <si>
    <t>GDB3491  TRW - Р“Р°Р»СЊРјС–РІРЅС– РєРѕР»РѕРґРєРё РґРѕ РґРёСЃРєС–РІ</t>
  </si>
  <si>
    <t>812.72</t>
  </si>
  <si>
    <t>Toyota Landcruiser 4,5/4,7 08-  rear</t>
  </si>
  <si>
    <t>GDB3494</t>
  </si>
  <si>
    <t>GDB3494  TRW - Р“Р°Р»СЊРјС–РІРЅС– РєРѕР»РѕРґРєРё РґРѕ РґРёСЃРєС–РІ</t>
  </si>
  <si>
    <t>557.14</t>
  </si>
  <si>
    <t>KIA SOUL 2008 - rear</t>
  </si>
  <si>
    <t>GDB3524</t>
  </si>
  <si>
    <t>GDB3524  TRW - Р“Р°Р»СЊРјС–РІРЅС– РєРѕР»РѕРґРєРё РґРѕ РґРёСЃРєС–РІ</t>
  </si>
  <si>
    <t>1238.21</t>
  </si>
  <si>
    <t>LEXUS LX, TOYOTA LAND CRUISER| 4.5D/4.6/4.7 |2008-  front</t>
  </si>
  <si>
    <t>GDB3548</t>
  </si>
  <si>
    <t>GDB3548  TRW - Р“Р°Р»СЊРјС–РІРЅС– РєРѕР»РѕРґРєРё РґРѕ РґРёСЃРєС–РІ</t>
  </si>
  <si>
    <t>HYUNDAI ACCENT IV 10-  front</t>
  </si>
  <si>
    <t>GDB400</t>
  </si>
  <si>
    <t>GDB400  TRW - Р“Р°Р»СЊРјС–РІРЅС– РєРѕР»РѕРґРєРё РґРѕ РґРёСЃРєС–РІ</t>
  </si>
  <si>
    <t>Renault Logan/MeganeClio l/II, SUPER 5, 9, 11, 18, 19 I, II, 20, 21 ,25,30  |   PEUGEOT 205, 309</t>
  </si>
  <si>
    <t>GDB4174</t>
  </si>
  <si>
    <t>GDB4174  TRW - Р“Р°Р»СЊРјС–РІРЅС– РєРѕР»РѕРґРєРё РґРѕ РґРёСЃРєС–РІ</t>
  </si>
  <si>
    <t>663.05</t>
  </si>
  <si>
    <t># LEXUS RX (GYL) 3.5L,  09-  rear</t>
  </si>
  <si>
    <t>GDB4178</t>
  </si>
  <si>
    <t>GDB4178  TRW - Р“Р°Р»СЊРјС–РІРЅС– РєРѕР»РѕРґРєРё РґРѕ РґРёСЃРєС–РІ</t>
  </si>
  <si>
    <t>526.08</t>
  </si>
  <si>
    <t># CHEVROLET LACETTI (1.4-1.8L) |/LACETTI РќР°РєР»РѕРЅРЅР°СЏ Р·Р°РґРЅСЏСЏ С‡Р°СЃС‚СЊ (KLAN) (1.8L) | 05-</t>
  </si>
  <si>
    <t>GDB469M</t>
  </si>
  <si>
    <t>GDB469M  TRW - Р“Р°Р»СЊРјС–РІРЅС– РєРѕР»РѕРґРєРё РґРѕ РґРёСЃРєС–РІ</t>
  </si>
  <si>
    <t>232.06</t>
  </si>
  <si>
    <t>VAZ 2108-09 (104,3x62 th=17,5  WVA: 21170)\n(РєС–Р»СЊРєС–СЃС‚СЊ РІ РїР°Р»РµС‚С– - 50С€С‚.)</t>
  </si>
  <si>
    <t>GDB814</t>
  </si>
  <si>
    <t>GDB814  TRW - Р“Р°Р»СЊРјС–РІРЅС– РєРѕР»РѕРґРєРё РґРѕ РґРёСЃРєС–РІ</t>
  </si>
  <si>
    <t>417.77</t>
  </si>
  <si>
    <t>ALFA ROMEO 164|  FIAT CROMA| LANCIA THEMA/SW 1,6-3,0   84-96    rear</t>
  </si>
  <si>
    <t>GDB818</t>
  </si>
  <si>
    <t>GDB818  TRW - Р“Р°Р»СЊРјС–РІРЅС– РєРѕР»РѕРґРєРё РґРѕ РґРёСЃРєС–РІ</t>
  </si>
  <si>
    <t>514.23</t>
  </si>
  <si>
    <t>MB W201/124</t>
  </si>
  <si>
    <t>GDB823</t>
  </si>
  <si>
    <t>GDB823  TRW - Р“Р°Р»СЊРјС–РІРЅС– РєРѕР»РѕРґРєРё РґРѕ РґРёСЃРєС–РІ</t>
  </si>
  <si>
    <t>Golf III/IV/Passat B3/B4/Octavia,  Seat Cordoba, Exeo, Ibiza II, Toledo I 1,4-4,2   83-   rear</t>
  </si>
  <si>
    <t>GIC218</t>
  </si>
  <si>
    <t>GIC218  TRW - Р”Р°С‚С‡РёРє Р·РЅРѕСЃСѓ РіР°Р»СЊРјС–РІРЅРёС… РєРѕР»РѕРґРѕРє</t>
  </si>
  <si>
    <t>213.35</t>
  </si>
  <si>
    <t>Land Rover Discovery III, Discovery IV, Range Rover Sport 2,7D-5,0   04-    rear</t>
  </si>
  <si>
    <t>GIC219</t>
  </si>
  <si>
    <t>GIC219  TRW - Р”Р°С‚С‡РёРє Р·РЅРѕСЃСѓ РіР°Р»СЊРјС–РІРЅРёС… РєРѕР»РѕРґРѕРє</t>
  </si>
  <si>
    <t>235.49</t>
  </si>
  <si>
    <t># LAND ROVER RANGE ROVER III 2005 &gt;&gt;</t>
  </si>
  <si>
    <t>GIC228</t>
  </si>
  <si>
    <t>GIC228  TRW - Р”Р°С‚С‡РёРє Р·РЅРѕСЃСѓ РіР°Р»СЊРјС–РІРЅРёС… РєРѕР»РѕРґРѕРє</t>
  </si>
  <si>
    <t>137.66</t>
  </si>
  <si>
    <t># MERCEDES BENZ GL-CLASS 2006 &gt;&gt;, M-CLASS 2005 &gt;&gt;, R-CLASS 2006 &gt;&gt;, VITO 2007 &gt;&gt;</t>
  </si>
  <si>
    <t>GIC236</t>
  </si>
  <si>
    <t>GIC236  TRW - Р”Р°С‚С‡РёРє Р·РЅРѕСЃСѓ РіР°Р»СЊРјС–РІРЅРёС… РєРѕР»РѕРґРѕРє</t>
  </si>
  <si>
    <t>230.51</t>
  </si>
  <si>
    <t># BMW X5 2007 &gt;&gt;, X6 2008 &gt;&gt;</t>
  </si>
  <si>
    <t>GIC237</t>
  </si>
  <si>
    <t>GIC237  TRW - Р”Р°С‚С‡РёРє Р·РЅРѕСЃСѓ РіР°Р»СЊРјС–РІРЅРёС… РєРѕР»РѕРґРѕРє</t>
  </si>
  <si>
    <t>GIC324</t>
  </si>
  <si>
    <t>GIC324  TRW - Р”Р°С‚С‡РёРє Р·РЅРѕСЃСѓ РіР°Р»СЊРјС–РІРЅРёС… РєРѕР»РѕРґРѕРє</t>
  </si>
  <si>
    <t>181.25</t>
  </si>
  <si>
    <t>PORSCHE CAYENNE, PANAMERA| VW TOUAREG 3,0-4,8  09-  front</t>
  </si>
  <si>
    <t>GIC325</t>
  </si>
  <si>
    <t>GIC325  TRW - Р”Р°С‚С‡РёРє Р·РЅРѕСЃСѓ РіР°Р»СЊРјС–РІРЅРёС… РєРѕР»РѕРґРѕРє</t>
  </si>
  <si>
    <t>Porsche Cayenne| VW Toureg 3,0D-4,8   10-   rear</t>
  </si>
  <si>
    <t>GIC326</t>
  </si>
  <si>
    <t>GIC326  TRW - Р”Р°С‚С‡РёРє Р·РЅРѕСЃСѓ РіР°Р»СЊРјС–РІРЅРёС… РєРѕР»РѕРґРѕРє</t>
  </si>
  <si>
    <t>(С†С–РЅР° Р·Р° РєРѕРјРїР».- 2С€С‚.) VW  Toureg 2010-  front</t>
  </si>
  <si>
    <t>GIC327</t>
  </si>
  <si>
    <t>GIC327  TRW - Р”Р°С‚С‡РёРє Р·РЅРѕСЃСѓ РіР°Р»СЊРјС–РІРЅРёС… РєРѕР»РѕРґРѕРє</t>
  </si>
  <si>
    <t>203.91</t>
  </si>
  <si>
    <t>BMW 5 2010-, 6 2010-, 7 2008-</t>
  </si>
  <si>
    <t>GS8210</t>
  </si>
  <si>
    <t>GS8210  TRW - Р“Р°Р»СЊРјС–РІРЅС– РєРѕР»РѕРґРєРё РґРѕ Р±Р°СЂР°Р±Р°РЅС–РІ</t>
  </si>
  <si>
    <t>347.40</t>
  </si>
  <si>
    <t>VAZ 2108-09, 110-112,  (200X41)</t>
  </si>
  <si>
    <t>GS8433</t>
  </si>
  <si>
    <t>GS8433  TRW - Р“Р°Р»СЊРјС–РІРЅС– РєРѕР»РѕРґРєРё РґРѕ Р±Р°СЂР°Р±Р°РЅС–РІ</t>
  </si>
  <si>
    <t>520.93</t>
  </si>
  <si>
    <t>SPRINTER 95-</t>
  </si>
  <si>
    <t>GS8446</t>
  </si>
  <si>
    <t>GS8446  TRW - Р“Р°Р»СЊРјС–РІРЅС– РєРѕР»РѕРґРєРё РґРѕ Р±Р°СЂР°Р±Р°РЅС–РІ</t>
  </si>
  <si>
    <t>766.03</t>
  </si>
  <si>
    <t># TOYOTA  RAV 4 II (XA2) (1.8-2.4L) | LEXUS GS (GRS_, UZS_) (4.3L) |LEXUS GS (JZS147) (3.0L) |LEXUS GS (JZS160) (3.0-4.3L) |LEXUS IS (GXE10) (2.0L| 3.0L)| LEXUS LS (UCF20) (4.0L)| LEXUS SC (4.3L)</t>
  </si>
  <si>
    <t>GS8479</t>
  </si>
  <si>
    <t>GS8479  TRW - Р“Р°Р»СЊРјС–РІРЅС– РєРѕР»РѕРґРєРё РґРѕ Р±Р°СЂР°Р±Р°РЅС–РІ</t>
  </si>
  <si>
    <t>590.27</t>
  </si>
  <si>
    <t># MITSUBISHI GALANT VI 96-04, LANCER 2003-&gt;, OUTLANDER I 2003-&gt;, OUTLANDER II 2006-&gt;, SPACE WAGON 1991-1998</t>
  </si>
  <si>
    <t>GS8714</t>
  </si>
  <si>
    <t>GS8714  TRW - Р“Р°Р»СЊРјС–РІРЅС– РєРѕР»РѕРґРєРё РґРѕ Р±Р°СЂР°Р±Р°РЅС–РІ</t>
  </si>
  <si>
    <t>475.10</t>
  </si>
  <si>
    <t># LEXUS RX 2000 - 2003</t>
  </si>
  <si>
    <t>GS8718</t>
  </si>
  <si>
    <t>GS8718  TRW - Р“Р°Р»СЊРјС–РІРЅС– РєРѕР»РѕРґРєРё РґРѕ Р±Р°СЂР°Р±Р°РЅС–РІ</t>
  </si>
  <si>
    <t>525.05</t>
  </si>
  <si>
    <t>AUDI Q7| LAND ROVER RANGE ROVER III| MERCEDES M (W164), R (W251, V251), GL (X164)| PORSCHE CAYENNE| VW TOUAREG 2,5-6,0   02-10  (hands brake)</t>
  </si>
  <si>
    <t>GS8768</t>
  </si>
  <si>
    <t>GS8768  TRW - Р“Р°Р»СЊРјС–РІРЅС– РєРѕР»РѕРґРєРё РґРѕ Р±Р°СЂР°Р±Р°РЅС–РІ</t>
  </si>
  <si>
    <t>861.98</t>
  </si>
  <si>
    <t># MITSUBISHI L 200 (2.5L) |MITSUBISHI PAJERO SPORT (K90) (3.2L)</t>
  </si>
  <si>
    <t>GS8780</t>
  </si>
  <si>
    <t>GS8780  TRW - Р“Р°Р»СЊРјС–РІРЅС– РєРѕР»РѕРґРєРё РґРѕ Р±Р°СЂР°Р±Р°РЅС–РІ</t>
  </si>
  <si>
    <t>RENAULT KANGOO 2005-, Duster 2007-|   DACIA LOGAN 2007-   rear</t>
  </si>
  <si>
    <t>JAR1014</t>
  </si>
  <si>
    <t>JAR1014  TRW - РўСЏРіР° РєРµСЂРјРѕРІР°</t>
  </si>
  <si>
    <t>RENAULT Kangoo, Megane, Scenic  08-, L/R (JBE223, part of JRA570, JRA571)</t>
  </si>
  <si>
    <t>JAR1022</t>
  </si>
  <si>
    <t>JAR1022  TRW - РўСЏРіР° РєРµСЂРјРѕРІР°</t>
  </si>
  <si>
    <t>266.73</t>
  </si>
  <si>
    <t>FORD C-Max, Kuga  03-, L/R (JBE219)</t>
  </si>
  <si>
    <t>JAR1030</t>
  </si>
  <si>
    <t>JAR1030  TRW - РўСЏРіР° РєРµСЂРјРѕРІР°</t>
  </si>
  <si>
    <t>RENAULT Fluence, Megane, Scenic  08-, L/R (JBE208, part of JRA575, JRA576)</t>
  </si>
  <si>
    <t>JAR1031</t>
  </si>
  <si>
    <t>JAR1031  TRW - РўСЏРіР° РєРµСЂРјРѕРІР°</t>
  </si>
  <si>
    <t>380.53</t>
  </si>
  <si>
    <t>DACIA/RENAULT Logan, Logan MCV  04-, L/R</t>
  </si>
  <si>
    <t>JAR1035</t>
  </si>
  <si>
    <t>JAR1035  TRW - РўСЏРіР° РєРµСЂРјРѕРІР°</t>
  </si>
  <si>
    <t>548.56</t>
  </si>
  <si>
    <t>CITROEN Jumper, FIAT Ducato, PEUGEOT Boxer  06-, L/R (JBE214)</t>
  </si>
  <si>
    <t>JAR106</t>
  </si>
  <si>
    <t>JAR106  TRW - РўСЏРіР° РєРµСЂРјРѕРІР°</t>
  </si>
  <si>
    <t>MB Vito (W638)  96-03, L/R (part of JRA549)</t>
  </si>
  <si>
    <t>JAR107</t>
  </si>
  <si>
    <t>JAR107  TRW - РўСЏРіР° РєРµСЂРјРѕРІР°</t>
  </si>
  <si>
    <t>MB Sprinter  95-06, L/R (part of JRA540)</t>
  </si>
  <si>
    <t>JAR1089</t>
  </si>
  <si>
    <t>JAR1089  TRW - РўСЏРіР° РєРµСЂРјРѕРІР°</t>
  </si>
  <si>
    <t>JAR116</t>
  </si>
  <si>
    <t>JAR116  TRW - РўСЏРіР° РєРµСЂРјРѕРІР°</t>
  </si>
  <si>
    <t>JAR162</t>
  </si>
  <si>
    <t>JAR162  TRW - РўСЏРіР° РєРµСЂРјРѕРІР°</t>
  </si>
  <si>
    <t>370.06</t>
  </si>
  <si>
    <t>FORD Transit  85-91, L/R</t>
  </si>
  <si>
    <t>JAR230</t>
  </si>
  <si>
    <t>JAR230  TRW - РўСЏРіР° РєРµСЂРјРѕРІР°</t>
  </si>
  <si>
    <t>576.02</t>
  </si>
  <si>
    <t>VW Passat Ch. 31-N-080001-- (TRW)  88-96, L/R (part of JRA230, JRA231, JRA253, JRA254)</t>
  </si>
  <si>
    <t>JAR231</t>
  </si>
  <si>
    <t>JAR231  TRW - РўСЏРіР° РєРµСЂРјРѕРІР°</t>
  </si>
  <si>
    <t>SKODA Octavia (1U2) Ch.&gt;&gt;1U-W-061000, VW Golf V  96-, L/R (part of JRA129, JRA130, JRP1164)</t>
  </si>
  <si>
    <t>JAR501</t>
  </si>
  <si>
    <t>JAR501  TRW - РўСЏРіР° РєРµСЂРјРѕРІР°</t>
  </si>
  <si>
    <t>269.13</t>
  </si>
  <si>
    <t>FIAT Scudo, PEUGEOT Expert  96-, L/R</t>
  </si>
  <si>
    <t>JAR511</t>
  </si>
  <si>
    <t>JAR511  TRW - РўСЏРіР° РєРµСЂРјРѕРІР°</t>
  </si>
  <si>
    <t>CITROEN Berlingo, PEUGEOT Partner  96-, L/R</t>
  </si>
  <si>
    <t>JAR558</t>
  </si>
  <si>
    <t>JAR558  TRW - РўСЏРіР° РєРµСЂРјРѕРІР°</t>
  </si>
  <si>
    <t>VW T4 Ch.&gt;&gt;70-T-199999 (+PS), L/R (part of JRA244, JRA245, JRA246, JRA247)</t>
  </si>
  <si>
    <t>JAR648</t>
  </si>
  <si>
    <t>JAR648  TRW - РўСЏРіР° РєРµСЂРјРѕРІР°</t>
  </si>
  <si>
    <t>297.11</t>
  </si>
  <si>
    <t>CITROEN Berlingo 2.0HDi, Xsara Picasso  96-08, L/R</t>
  </si>
  <si>
    <t>JAR652</t>
  </si>
  <si>
    <t>JAR652  TRW - РўСЏРіР° РєРµСЂРјРѕРІР°</t>
  </si>
  <si>
    <t>271.71</t>
  </si>
  <si>
    <t>RENAULT Megane I, Scenic 99-02, L/R (KOYO/SMI)</t>
  </si>
  <si>
    <t>JAR7544</t>
  </si>
  <si>
    <t>JAR7544  TRW - РўСЏРіР° РєРµСЂРјРѕРІР°</t>
  </si>
  <si>
    <t>MAZDA 3, 5 1.4-2.5  04-  (L/R)</t>
  </si>
  <si>
    <t>JAR7552</t>
  </si>
  <si>
    <t>JAR7552  TRW - РўСЏРіР° РєРµСЂРјРѕРІР°</t>
  </si>
  <si>
    <t>HONDA Accord VI, VII, VIII 2.0 (CL7)-3.0 (CM6) 03-  (L/R)</t>
  </si>
  <si>
    <t>JAR7557</t>
  </si>
  <si>
    <t>JAR7557  TRW - РўСЏРіР° РєРµСЂРјРѕРІР°</t>
  </si>
  <si>
    <t>NISSAN Cube, Tiida, NV200 1.5dCi-1.8  07-  (L/R)</t>
  </si>
  <si>
    <t>JAR7621</t>
  </si>
  <si>
    <t>JAR7621  TRW - РўСЏРіР° РєРµСЂРјРѕРІР°</t>
  </si>
  <si>
    <t>TOYOTA Camry 2,4I 16V (ACV40), 3,5I 24V (GSV40) 06-  (L/R)</t>
  </si>
  <si>
    <t>JAR924</t>
  </si>
  <si>
    <t>JAR924  TRW - РўСЏРіР° РєРµСЂРјРѕРІР°</t>
  </si>
  <si>
    <t>422.58</t>
  </si>
  <si>
    <t>AUDI A4, A6, A8, VW Passat  96-, L/R (part of JRA500)</t>
  </si>
  <si>
    <t>JAR927</t>
  </si>
  <si>
    <t>JAR927  TRW - РўСЏРіР° РєРµСЂРјРѕРІР°</t>
  </si>
  <si>
    <t>403.18</t>
  </si>
  <si>
    <t>OPEL Vectra C (-) Sports Susp, (-) Caravan  02-, L/R (JBE211)</t>
  </si>
  <si>
    <t>JAR928</t>
  </si>
  <si>
    <t>JAR928  TRW - РўСЏРіР° РєРµСЂРјРѕРІР°</t>
  </si>
  <si>
    <t>466.35</t>
  </si>
  <si>
    <t>AUDI A3, SKODA Octavia, VW GOLF  97-, L/R (part of JRA511, JRA512, JRA581, JRA582, JRP1165)</t>
  </si>
  <si>
    <t>JAR929</t>
  </si>
  <si>
    <t>JAR929  TRW - РўСЏРіР° РєРµСЂРјРѕРІР°</t>
  </si>
  <si>
    <t>NISSAN Micra (K12), RENAULT Clio  03-, L/R (JBE218)</t>
  </si>
  <si>
    <t>JAR939</t>
  </si>
  <si>
    <t>JAR939  TRW - РўСЏРіР° РєРµСЂРјРѕРІР°</t>
  </si>
  <si>
    <t>491.92</t>
  </si>
  <si>
    <t>JAR953</t>
  </si>
  <si>
    <t>JAR953  TRW - РўСЏРіР° РєРµСЂРјРѕРІР°</t>
  </si>
  <si>
    <t>558.00</t>
  </si>
  <si>
    <t>JAR958</t>
  </si>
  <si>
    <t>JAR958  TRW - РўСЏРіР° РєРµСЂРјРѕРІР°</t>
  </si>
  <si>
    <t>365.94</t>
  </si>
  <si>
    <t>OPEL Vectra C Caravan (F35)  02-, L/R (JBE211)</t>
  </si>
  <si>
    <t>JAR971</t>
  </si>
  <si>
    <t>JAR971  TRW - РўСЏРіР° РєРµСЂРјРѕРІР°</t>
  </si>
  <si>
    <t>RENAULT Megane II, Scenic  02-, L/R (JBE224)</t>
  </si>
  <si>
    <t>JAR973</t>
  </si>
  <si>
    <t>JAR973  TRW - РўСЏРіР° РєРµСЂРјРѕРІР°</t>
  </si>
  <si>
    <t>285.44</t>
  </si>
  <si>
    <t>MB Sprinter (906), VW Crafter  06-, L/R (part of JRA541)</t>
  </si>
  <si>
    <t>JAR985</t>
  </si>
  <si>
    <t>JAR985  TRW - РўСЏРіР° РєРµСЂРјРѕРІР°</t>
  </si>
  <si>
    <t>VW T4  70-T-20000000&gt;&gt; (+PS), L/R (part of JRA547, JRA548)</t>
  </si>
  <si>
    <t>JAR986</t>
  </si>
  <si>
    <t>JAR986  TRW - РўСЏРіР° РєРµСЂРјРѕРІР°</t>
  </si>
  <si>
    <t>JAR990</t>
  </si>
  <si>
    <t>JAR990  TRW - РўСЏРіР° РєРµСЂРјРѕРІР°</t>
  </si>
  <si>
    <t>415.88</t>
  </si>
  <si>
    <t>JAR991</t>
  </si>
  <si>
    <t>JAR991  TRW - РўСЏРіР° РєРµСЂРјРѕРІР°</t>
  </si>
  <si>
    <t>395.80</t>
  </si>
  <si>
    <t>OPEL Corsa C, Combo Ch. --33999999, --34999999, --36999999  00-, L/R</t>
  </si>
  <si>
    <t>JAR992</t>
  </si>
  <si>
    <t>JAR992  TRW - РўСЏРіР° РєРµСЂРјРѕРІР°</t>
  </si>
  <si>
    <t>OPEL Corsa D, FIAT Punto, Grande Punto  06-, L/R (JBE207, part of JRA550, JRA551)</t>
  </si>
  <si>
    <t>JAR994</t>
  </si>
  <si>
    <t>JAR994  TRW - РўСЏРіР° РєРµСЂРјРѕРІР°</t>
  </si>
  <si>
    <t>497.76</t>
  </si>
  <si>
    <t>AUDI Q7, VW Touareg  02-, L/R (part of JRA566, JRA567)</t>
  </si>
  <si>
    <t>JBJ100</t>
  </si>
  <si>
    <t>JBJ100  TRW - РљСѓР»СЊРѕРІР° РѕРїРѕСЂР°</t>
  </si>
  <si>
    <t>OPEL Astra G, Omega B, Zafira, Vectra B  94-, L/R (part of JTC1271, JTC1272, JTC193, JTC194, JTC197, JTC823, JTC926, JTC927)</t>
  </si>
  <si>
    <t>JBJ1049</t>
  </si>
  <si>
    <t>JBJ1049  TRW - РљСѓР»СЊРѕРІР° РѕРїРѕСЂР°</t>
  </si>
  <si>
    <t>384.99</t>
  </si>
  <si>
    <t>OPEL Movano B, RENAULT Master III 2.3dCi CDTI 10-, (Front, L)</t>
  </si>
  <si>
    <t>JBJ1091</t>
  </si>
  <si>
    <t>JBJ1091  TRW - РљСѓР»СЊРѕРІР° РѕРїРѕСЂР°</t>
  </si>
  <si>
    <t>JBJ113</t>
  </si>
  <si>
    <t>JBJ113  TRW - РљСѓР»СЊРѕРІР° РѕРїРѕСЂР°</t>
  </si>
  <si>
    <t>294.02</t>
  </si>
  <si>
    <t>JBJ131</t>
  </si>
  <si>
    <t>JBJ131  TRW - РљСѓР»СЊРѕРІР° РѕРїРѕСЂР°</t>
  </si>
  <si>
    <t>PEUGEOT 305, 405  82-95, L/R</t>
  </si>
  <si>
    <t>JBJ150</t>
  </si>
  <si>
    <t>JBJ150  TRW - РљСѓР»СЊРѕРІР° РѕРїРѕСЂР°</t>
  </si>
  <si>
    <t>OPEL Vectra A,  Astra F, Astra F Classic  88-, L/R (part of JTC200, JTC201)</t>
  </si>
  <si>
    <t>JBJ151</t>
  </si>
  <si>
    <t>JBJ151  TRW - РљСѓР»СЊРѕРІР° РѕРїРѕСЂР°</t>
  </si>
  <si>
    <t>289.04</t>
  </si>
  <si>
    <t>OPEL Corsa B, Combo  94-01, L/R (part of JTC195, JTC196)</t>
  </si>
  <si>
    <t>JBJ154</t>
  </si>
  <si>
    <t>JBJ154  TRW - РљСѓР»СЊРѕРІР° РѕРїРѕСЂР°</t>
  </si>
  <si>
    <t>303.97</t>
  </si>
  <si>
    <t>HYUNDAI Accent (X3, LC), Elantra (XD), Getz (TB)  94-06, L/R (part of JTC110)</t>
  </si>
  <si>
    <t>JBJ165</t>
  </si>
  <si>
    <t>JBJ165  TRW - РљСѓР»СЊРѕРІР° РѕРїРѕСЂР°</t>
  </si>
  <si>
    <t>MB W201, W124  82-98, L/R (part of JTC212, JTC213, JTC220, JTC222, JTC223)</t>
  </si>
  <si>
    <t>JBJ174</t>
  </si>
  <si>
    <t>JBJ174  TRW - РљСѓР»СЊРѕРІР° РѕРїРѕСЂР°</t>
  </si>
  <si>
    <t>HYUNDAI Accent (LC), Getz  00-, L/R (part of JTC1002, JTC1003)</t>
  </si>
  <si>
    <t>JBJ181</t>
  </si>
  <si>
    <t>JBJ181  TRW - РљСѓР»СЊРѕРІР° РѕРїРѕСЂР°</t>
  </si>
  <si>
    <t>229.83</t>
  </si>
  <si>
    <t>NISSAN Sunny (N14), Almera (N15)  90-00, L/R (part of JTC565, JTC581)</t>
  </si>
  <si>
    <t>JBJ182</t>
  </si>
  <si>
    <t>JBJ182  TRW - РљСѓР»СЊРѕРІР° РѕРїРѕСЂР°</t>
  </si>
  <si>
    <t>NISSAN Primera (P10/W10, P11/W11)  90-02, L/R (part of JTC1007, JTC1008, JTC227, JTC228)</t>
  </si>
  <si>
    <t>JBJ187</t>
  </si>
  <si>
    <t>JBJ187  TRW - РљСѓР»СЊРѕРІР° РѕРїРѕСЂР°</t>
  </si>
  <si>
    <t>296.77</t>
  </si>
  <si>
    <t>FIAT Ducato, PEUGEOT J5  -94, L/R</t>
  </si>
  <si>
    <t>JBJ194</t>
  </si>
  <si>
    <t>JBJ194  TRW - РљСѓР»СЊРѕРІР° РѕРїРѕСЂР°</t>
  </si>
  <si>
    <t>276.68</t>
  </si>
  <si>
    <t>RENAULT Laguna I  95-01, L/R (part of JTC326, JTC327, JTC911, JTC912)</t>
  </si>
  <si>
    <t>JBJ197</t>
  </si>
  <si>
    <t>JBJ197  TRW - РљСѓР»СЊРѕРІР° РѕРїРѕСЂР°</t>
  </si>
  <si>
    <t>286.30</t>
  </si>
  <si>
    <t>RENAULT 19, Kangoo  -03, L/R (part of JTC320, JTC321, JTC322, JTC323, JTC324, JTC325, JTC328, JTC329, JTC332, JTC333)</t>
  </si>
  <si>
    <t>JBJ210</t>
  </si>
  <si>
    <t>JBJ210  TRW - РљСѓР»СЊРѕРІР° РѕРїРѕСЂР°</t>
  </si>
  <si>
    <t>214.21</t>
  </si>
  <si>
    <t>VW Caddy, Golf, Jetta, Vento  83-04, L/R</t>
  </si>
  <si>
    <t>JBJ245</t>
  </si>
  <si>
    <t>JBJ245  TRW - РљСѓР»СЊРѕРІР° РѕРїРѕСЂР°</t>
  </si>
  <si>
    <t>JBJ250</t>
  </si>
  <si>
    <t>JBJ250  TRW - РљСѓР»СЊРѕРІР° РѕРїРѕСЂР°</t>
  </si>
  <si>
    <t>172.50</t>
  </si>
  <si>
    <t>LADA 2101-2107, L/R РЅРёР·</t>
  </si>
  <si>
    <t>JBJ268</t>
  </si>
  <si>
    <t>JBJ268  TRW - РљСѓР»СЊРѕРІР° РѕРїРѕСЂР°</t>
  </si>
  <si>
    <t>464.63</t>
  </si>
  <si>
    <t>JBJ303</t>
  </si>
  <si>
    <t>JBJ303  TRW - РљСѓР»СЊРѕРІР° РѕРїРѕСЂР°</t>
  </si>
  <si>
    <t>FORD Transit  91-00, L/R</t>
  </si>
  <si>
    <t>JBJ308</t>
  </si>
  <si>
    <t>JBJ308  TRW - РљСѓР»СЊРѕРІР° РѕРїРѕСЂР°</t>
  </si>
  <si>
    <t>409.88</t>
  </si>
  <si>
    <t>MB W202, W210, S210  93-03, L/R</t>
  </si>
  <si>
    <t>JBJ377</t>
  </si>
  <si>
    <t>JBJ377  TRW - РљСѓР»СЊРѕРІР° РѕРїРѕСЂР°</t>
  </si>
  <si>
    <t>JBJ661</t>
  </si>
  <si>
    <t>JBJ661  TRW - РљСѓР»СЊРѕРІР° РѕРїРѕСЂР°</t>
  </si>
  <si>
    <t>345.68</t>
  </si>
  <si>
    <t>JBJ681</t>
  </si>
  <si>
    <t>JBJ681  TRW - РљСѓР»СЊРѕРІР° РѕРїРѕСЂР°</t>
  </si>
  <si>
    <t>TOYOTA Rav 4 II 1.3 12V-2.0WTi  92-07 (Front, L/R)</t>
  </si>
  <si>
    <t>JBJ697</t>
  </si>
  <si>
    <t>JBJ697  TRW - РљСѓР»СЊРѕРІР° РѕРїРѕСЂР°</t>
  </si>
  <si>
    <t>JBJ701</t>
  </si>
  <si>
    <t>JBJ701  TRW - РљСѓР»СЊРѕРІР° РѕРїРѕСЂР°</t>
  </si>
  <si>
    <t>CITROEN C4, PEUGEOT 307, Partner  00-, L/R</t>
  </si>
  <si>
    <t>JBJ702</t>
  </si>
  <si>
    <t>JBJ702  TRW - РљСѓР»СЊРѕРІР° РѕРїРѕСЂР°</t>
  </si>
  <si>
    <t>VW Polo, SKODA Fabia  99-, left</t>
  </si>
  <si>
    <t>JBJ705</t>
  </si>
  <si>
    <t>JBJ705  TRW - РљСѓР»СЊРѕРІР° РѕРїРѕСЂР°</t>
  </si>
  <si>
    <t>363.71</t>
  </si>
  <si>
    <t>OPEL Corsa C, Combo  01-, L/R (part of JTC972, JTC973)</t>
  </si>
  <si>
    <t>JBJ707</t>
  </si>
  <si>
    <t>JBJ707  TRW - РљСѓР»СЊРѕРІР° РѕРїРѕСЂР°</t>
  </si>
  <si>
    <t>306.72</t>
  </si>
  <si>
    <t>JBJ711</t>
  </si>
  <si>
    <t>JBJ711  TRW - РљСѓР»СЊРѕРІР° РѕРїРѕСЂР°</t>
  </si>
  <si>
    <t>FORD Fiesta, Fusion  01-, front L/R (part of JTC988, JTC989)</t>
  </si>
  <si>
    <t>JBJ712</t>
  </si>
  <si>
    <t>JBJ712  TRW - РЎР°Р№Р»РµРЅС‚Р±Р»РѕРє</t>
  </si>
  <si>
    <t>649.49</t>
  </si>
  <si>
    <t>JBJ718</t>
  </si>
  <si>
    <t>JBJ718  TRW - РљСѓР»СЊРѕРІР° РѕРїРѕСЂР°</t>
  </si>
  <si>
    <t>386.88</t>
  </si>
  <si>
    <t>FIAT Ducato, PEUGEOT Boxer 1800kg  02-, (d=24mm, OE = 3640.54), L/R</t>
  </si>
  <si>
    <t>JBJ719</t>
  </si>
  <si>
    <t>JBJ719  TRW - РљСѓР»СЊРѕРІР° РѕРїРѕСЂР°</t>
  </si>
  <si>
    <t>448.84</t>
  </si>
  <si>
    <t>JBJ721</t>
  </si>
  <si>
    <t>JBJ721  TRW - РљСѓР»СЊРѕРІР° РѕРїРѕСЂР°</t>
  </si>
  <si>
    <t>216.95</t>
  </si>
  <si>
    <t>DACIA/RENAULT Logan, Logan MCV  04-, L/R, 18mm (part of JTC1163, JTC1164, JTC1222, JTC1223, JTC1240, JTC1241)</t>
  </si>
  <si>
    <t>JBJ722</t>
  </si>
  <si>
    <t>JBJ722  TRW - РљСѓР»СЊРѕРІР° РѕРїРѕСЂР°</t>
  </si>
  <si>
    <t>344.31</t>
  </si>
  <si>
    <t>FORD FOCUS II,  C-MAX  03-, (18mm), L/R (part of JTC1244, JTC1245)</t>
  </si>
  <si>
    <t>JBJ725</t>
  </si>
  <si>
    <t>JBJ725  TRW - РљСѓР»СЊРѕРІР° РѕРїРѕСЂР°</t>
  </si>
  <si>
    <t>OPEL Movano, RENAULT Master  98-, L/R РІРµСЂС…</t>
  </si>
  <si>
    <t>JBJ726</t>
  </si>
  <si>
    <t>JBJ726  TRW - РљСѓР»СЊРѕРІР° РѕРїРѕСЂР°</t>
  </si>
  <si>
    <t>OPEL Movano, RENAULT Master  98-07, L/R РЅРёР· (part of JTC1092, JTC1093)</t>
  </si>
  <si>
    <t>JBJ729</t>
  </si>
  <si>
    <t>JBJ729  TRW - РљСѓР»СЊРѕРІР° РѕРїРѕСЂР°</t>
  </si>
  <si>
    <t>FIAT Doblo  02- (part of JTC1149, JTC1150)</t>
  </si>
  <si>
    <t>JBJ730</t>
  </si>
  <si>
    <t>JBJ730  TRW - РљСѓР»СЊРѕРІР° РѕРїРѕСЂР°</t>
  </si>
  <si>
    <t>430.30</t>
  </si>
  <si>
    <t>FORD Transit  00-06, L/R</t>
  </si>
  <si>
    <t>JBJ738</t>
  </si>
  <si>
    <t>JBJ738  TRW - РљСѓР»СЊРѕРІР° РѕРїРѕСЂР°</t>
  </si>
  <si>
    <t>298.48</t>
  </si>
  <si>
    <t>CITROEN C2, C3, PEUGEOT 207  03-, L/R (part of JTC1234, JTC1235, JTC955, JTC956)</t>
  </si>
  <si>
    <t>JBJ741</t>
  </si>
  <si>
    <t>JBJ741  TRW - РљСѓР»СЊРѕРІР° РѕРїРѕСЂР°</t>
  </si>
  <si>
    <t>357.87</t>
  </si>
  <si>
    <t>FIAT Ducato, PEUGEOT Boxer  06-, L/R</t>
  </si>
  <si>
    <t>JBJ749</t>
  </si>
  <si>
    <t>JBJ749  TRW - РљСѓР»СЊРѕРІР° РѕРїРѕСЂР°</t>
  </si>
  <si>
    <t>495.52</t>
  </si>
  <si>
    <t>VW T5  &lt; 3200kg  03-, L/R</t>
  </si>
  <si>
    <t>JBJ751</t>
  </si>
  <si>
    <t>JBJ751  TRW - РљСѓР»СЊРѕРІР° РѕРїРѕСЂР°</t>
  </si>
  <si>
    <t>486.43</t>
  </si>
  <si>
    <t>JBJ752</t>
  </si>
  <si>
    <t>JBJ752  TRW - РљСѓР»СЊРѕРІР° РѕРїРѕСЂР°</t>
  </si>
  <si>
    <t>JBJ7544</t>
  </si>
  <si>
    <t>JBJ7544  TRW - РљСѓР»СЊРѕРІР° РѕРїРѕСЂР°</t>
  </si>
  <si>
    <t>CHEVROLET Lacetti  05-, L/R</t>
  </si>
  <si>
    <t>JBJ7553</t>
  </si>
  <si>
    <t>JBJ7553  TRW - РљСѓР»СЊРѕРІР° РѕРїРѕСЂР°</t>
  </si>
  <si>
    <t>JBJ756</t>
  </si>
  <si>
    <t>JBJ756  TRW - РљСѓР»СЊРѕРІР° РѕРїРѕСЂР°</t>
  </si>
  <si>
    <t>817.52</t>
  </si>
  <si>
    <t>MB W639 (Vito, Viano)  03-, L/R (part of JTC1329, JTC1330)</t>
  </si>
  <si>
    <t>JBJ759</t>
  </si>
  <si>
    <t>JBJ759  TRW - РљСѓР»СЊРѕРІР° РѕРїРѕСЂР°</t>
  </si>
  <si>
    <t>588.90</t>
  </si>
  <si>
    <t>MB Vito (W638)  96-03, L/R (part of JTC1119, JTC1120)</t>
  </si>
  <si>
    <t>JBJ760</t>
  </si>
  <si>
    <t>JBJ760  TRW - РљСѓР»СЊРѕРІР° РѕРїРѕСЂР°</t>
  </si>
  <si>
    <t>402.15</t>
  </si>
  <si>
    <t>OPEL Movano, RENAULT Master  98- (inner), L/R</t>
  </si>
  <si>
    <t>JBJ761</t>
  </si>
  <si>
    <t>JBJ761  TRW - РљСѓР»СЊРѕРІР° РѕРїРѕСЂР°</t>
  </si>
  <si>
    <t>301.23</t>
  </si>
  <si>
    <t>RENAULT Kangoo  02-, L/R (part of JTC1113, JTC1114, JTC330, JTC331, JTC404, JTC405)</t>
  </si>
  <si>
    <t>JBJ769</t>
  </si>
  <si>
    <t>JBJ769  TRW - РљСѓР»СЊРѕРІР° РѕРїРѕСЂР°</t>
  </si>
  <si>
    <t>279.09</t>
  </si>
  <si>
    <t>MB W220, W211/S211  98- (РґРѕ СЃС‚Р°Р±С–Р»С–Р·Р°С‚РѕСЂР°), L/R (part of JTC1104, JTC1105, JTC1157, JTC1158)</t>
  </si>
  <si>
    <t>JBJ778</t>
  </si>
  <si>
    <t>JBJ778  TRW - РљСѓР»СЊРѕРІР° РѕРїРѕСЂР°</t>
  </si>
  <si>
    <t>OPEL Movano, RENAULT Master  07-, L/R РЅРёР·</t>
  </si>
  <si>
    <t>JBJ791</t>
  </si>
  <si>
    <t>JBJ791  TRW - РљСѓР»СЊРѕРІР° РѕРїРѕСЂР°</t>
  </si>
  <si>
    <t>JBJ804</t>
  </si>
  <si>
    <t>JBJ804  TRW - РљСѓР»СЊРѕРІР° РѕРїРѕСЂР°</t>
  </si>
  <si>
    <t>600.57</t>
  </si>
  <si>
    <t>JBJ807</t>
  </si>
  <si>
    <t>JBJ807  TRW - РљСѓР»СЊРѕРІР° РѕРїРѕСЂР°</t>
  </si>
  <si>
    <t>FIAT Stilo, Bravo  06-, L/R</t>
  </si>
  <si>
    <t>JBJ810</t>
  </si>
  <si>
    <t>JBJ810  TRW - РљСѓР»СЊРѕРІР° РѕРїРѕСЂР°</t>
  </si>
  <si>
    <t>RENAULT Fluence, Megane III, Scenic III  08-, L/R</t>
  </si>
  <si>
    <t>JBJ813</t>
  </si>
  <si>
    <t>JBJ813  TRW - РљСѓР»СЊРѕРІР° РѕРїРѕСЂР°</t>
  </si>
  <si>
    <t>RENAULT Kangoo  08-, Front, L</t>
  </si>
  <si>
    <t>JBJ817</t>
  </si>
  <si>
    <t>JBJ817  TRW - РљСѓР»СЊРѕРІР° РѕРїРѕСЂР°</t>
  </si>
  <si>
    <t>OPEL Movano, RENAULT Master  10-, L/R</t>
  </si>
  <si>
    <t>JBU100</t>
  </si>
  <si>
    <t>JBU100  TRW - РЎР°Р№Р»РµРЅС‚Р±Р»РѕРє</t>
  </si>
  <si>
    <t>VAG  97- (part of JTC1042, JTC1043, JTC1205, JTC1206, JTC348, JTC350)</t>
  </si>
  <si>
    <t>JBU108</t>
  </si>
  <si>
    <t>JBU108  TRW - РЎР°Р№Р»РµРЅС‚Р±Р»РѕРє</t>
  </si>
  <si>
    <t>167.18</t>
  </si>
  <si>
    <t>FORD Mondeo  96-99 (60mm, part of JTC164/JTC165)</t>
  </si>
  <si>
    <t>JBU116</t>
  </si>
  <si>
    <t>JBU116  TRW - РЎР°Р№Р»РµРЅС‚Р±Р»РѕРє</t>
  </si>
  <si>
    <t>CITROEN Berlingo, PEUGEOT Partner  96-02 (part of JTC1054, JTC1055, JTC1056, JTC1057, JTC261, JTC268, JTC301, JTC307, JTC308, JTC367)</t>
  </si>
  <si>
    <t>JBU124</t>
  </si>
  <si>
    <t>JBU124  TRW - РЎР°Р№Р»РµРЅС‚Р±Р»РѕРє</t>
  </si>
  <si>
    <t>OPEL Astra G, Zafira  98-05 (part of JTC197, JTC823)</t>
  </si>
  <si>
    <t>JBU127</t>
  </si>
  <si>
    <t>JBU127  TRW - РЎР°Р№Р»РµРЅС‚Р±Р»РѕРє</t>
  </si>
  <si>
    <t>FORD Escort  91-99 (part of JBU267, JTC166, JTC168, JTC177, JTC178, JTC181, JTC182, JTC183, JTC184, JTC185, JTC186, JTC187, JTC188)</t>
  </si>
  <si>
    <t>JBU129</t>
  </si>
  <si>
    <t>JBU129  TRW - РЎР°Р№Р»РµРЅС‚Р±Р»РѕРє</t>
  </si>
  <si>
    <t>SKODA Octavia  97- (part of JTC342)</t>
  </si>
  <si>
    <t>JBU137</t>
  </si>
  <si>
    <t>JBU137  TRW - РЎР°Р№Р»РµРЅС‚Р±Р»РѕРє</t>
  </si>
  <si>
    <t>121.35</t>
  </si>
  <si>
    <t>OPEL Vectra B  95-03| Vectra C 03-  (part of JTC1000, JTC1001, JTC1271, JTC1272, JTC193, JTC194, JTC197, JTC823)</t>
  </si>
  <si>
    <t>JBU138</t>
  </si>
  <si>
    <t>JBU138  TRW - РЎР°Р№Р»РµРЅС‚Р±Р»РѕРє</t>
  </si>
  <si>
    <t>121.86</t>
  </si>
  <si>
    <t>VAG  97- (part of JTC1136, JTC1137, JTC1138, JTC1139, JTC119, JTC345, JTC347, JTC421)</t>
  </si>
  <si>
    <t>JBU139</t>
  </si>
  <si>
    <t>JBU139  TRW - РЎР°Р№Р»РµРЅС‚Р±Р»РѕРє</t>
  </si>
  <si>
    <t>VAG  97- (part of JTC1041, JTC1279, JTC1297, JTC343, JTC980)</t>
  </si>
  <si>
    <t>JBU152</t>
  </si>
  <si>
    <t>JBU152  TRW - РЎР°Р№Р»РµРЅС‚Р±Р»РѕРє</t>
  </si>
  <si>
    <t>CITROEN Berlingo, PEUGEOT Partner  96-02 (part of JTC1054, JTC1055, JTC1056, JTC1057, JTC1201, JTC1202, JTC261, JTC268, JTC301, JTC307, JTC308, JTC367)</t>
  </si>
  <si>
    <t>JBU160</t>
  </si>
  <si>
    <t>JBU160  TRW - РЎР°Р№Р»РµРЅС‚Р±Р»РѕРє</t>
  </si>
  <si>
    <t>51.66</t>
  </si>
  <si>
    <t>RENAULT 9, 11, 21, Rapid  83-98, front L/R (part of JTC320, JTC321, JTC322, JTC323)</t>
  </si>
  <si>
    <t>JBU167</t>
  </si>
  <si>
    <t>JBU167  TRW - РЎР°Р№Р»РµРЅС‚Р±Р»РѕРє</t>
  </si>
  <si>
    <t>268.62</t>
  </si>
  <si>
    <t>MB W201, W124, W202, W2010 (Р·Р°РґРЅС–С… РЅРёР¶РЅС–С… РІР°Р¶С–Р»С–РІ Р·РѕРІРЅС–С€РЅС–)</t>
  </si>
  <si>
    <t>JBU203</t>
  </si>
  <si>
    <t>JBU203  TRW - РЎР°Р№Р»РµРЅС‚Р±Р»РѕРє</t>
  </si>
  <si>
    <t>69.34</t>
  </si>
  <si>
    <t>FORD Scorpio, Sierra  82-93 (part of JTC284, JTC285)</t>
  </si>
  <si>
    <t>JBU204</t>
  </si>
  <si>
    <t>JBU204  TRW - РЎР°Р№Р»РµРЅС‚Р±Р»РѕРє</t>
  </si>
  <si>
    <t>PEUGEOT 206, 307, 308, Partner  98- (part of JTC310, JTC312)</t>
  </si>
  <si>
    <t>JBU219</t>
  </si>
  <si>
    <t>JBU219  TRW - РЎР°Р№Р»РµРЅС‚Р±Р»РѕРє</t>
  </si>
  <si>
    <t>158.60</t>
  </si>
  <si>
    <t>BMW 5 (E28, E34, E60), 7 (E32) (part of JTC1126, JTC1127, JTC1151, JTC1152, JTC258, JTC259)</t>
  </si>
  <si>
    <t>JBU232</t>
  </si>
  <si>
    <t>JBU232  TRW - РЎР°Р№Р»РµРЅС‚Р±Р»РѕРє</t>
  </si>
  <si>
    <t>53.55</t>
  </si>
  <si>
    <t>FORD Scorpio  85-94</t>
  </si>
  <si>
    <t>JBU235</t>
  </si>
  <si>
    <t>JBU235  TRW - РЎР°Р№Р»РµРЅС‚Р±Р»РѕРє</t>
  </si>
  <si>
    <t>82.04</t>
  </si>
  <si>
    <t>AUDI 100/A6  91-97 (part of JTC254, JTC255)</t>
  </si>
  <si>
    <t>JBU254</t>
  </si>
  <si>
    <t>JBU254  TRW - РЎР°Р№Р»РµРЅС‚Р±Р»РѕРє</t>
  </si>
  <si>
    <t>186.23</t>
  </si>
  <si>
    <t>OPEL Omega B  94-03, front L/R (part of JTC926, JTC927)</t>
  </si>
  <si>
    <t>JBU257</t>
  </si>
  <si>
    <t>JBU257  TRW - РЎР°Р№Р»РµРЅС‚Р±Р»РѕРє</t>
  </si>
  <si>
    <t>330.24</t>
  </si>
  <si>
    <t>JBU415</t>
  </si>
  <si>
    <t>JBU415  TRW - РЎР°Р№Р»РµРЅС‚Р±Р»РѕРє</t>
  </si>
  <si>
    <t>BMW 5 (E39) front L/R (part of JTC924, JTC925)</t>
  </si>
  <si>
    <t>JBU450</t>
  </si>
  <si>
    <t>JBU450  TRW - РЎР°Р№Р»РµРЅС‚Р±Р»РѕРє</t>
  </si>
  <si>
    <t>VW T4  96-\n</t>
  </si>
  <si>
    <t>JBU453</t>
  </si>
  <si>
    <t>JBU453  TRW - РЎР°Р№Р»РµРЅС‚Р±Р»РѕРє</t>
  </si>
  <si>
    <t>CITROEN Jumper, FIAT Ducato, PEUGEOT Boxer  94-02 (part of JTC1012, JTC1013, JTC1014, JTC1015, JTC395, JTC396, JTC397, JTC398)</t>
  </si>
  <si>
    <t>JBU454</t>
  </si>
  <si>
    <t>JBU454  TRW - РЎР°Р№Р»РµРЅС‚Р±Р»РѕРє</t>
  </si>
  <si>
    <t>JBU456</t>
  </si>
  <si>
    <t>JBU456  TRW - РЎР°Р№Р»РµРЅС‚Р±Р»РѕРє</t>
  </si>
  <si>
    <t>FIAT Doblo  02- (part of JTC1149, JTC1150, JTC379, JTC380)</t>
  </si>
  <si>
    <t>JBU478</t>
  </si>
  <si>
    <t>JBU478  TRW - РЎР°Р№Р»РµРЅС‚Р±Р»РѕРє</t>
  </si>
  <si>
    <t>515.09</t>
  </si>
  <si>
    <t>FORD Mondeo III  00-07, front L/R (part of JTC966, JTC967)</t>
  </si>
  <si>
    <t>JBU479</t>
  </si>
  <si>
    <t>JBU479  TRW - РЎР°Р№Р»РµРЅС‚Р±Р»РѕРє</t>
  </si>
  <si>
    <t>JBU480</t>
  </si>
  <si>
    <t>JBU480  TRW - РЎР°Р№Р»РµРЅС‚Р±Р»РѕРє</t>
  </si>
  <si>
    <t>VW Sharan  95- (part of JTC942, JTC943)</t>
  </si>
  <si>
    <t>JBU482</t>
  </si>
  <si>
    <t>JBU482  TRW - РЎР°Р№Р»РµРЅС‚Р±Р»РѕРє</t>
  </si>
  <si>
    <t>HONDA Accord VII  98-03 (part of JTC694, JTC775)</t>
  </si>
  <si>
    <t>JBU488</t>
  </si>
  <si>
    <t>JBU488  TRW - РЎР°Р№Р»РµРЅС‚Р±Р»РѕРє</t>
  </si>
  <si>
    <t>131.30</t>
  </si>
  <si>
    <t>HONDA Civic VI 1.5i, 1.6i Vtec  94-01, front L/R, 10.2mm</t>
  </si>
  <si>
    <t>JBU493</t>
  </si>
  <si>
    <t>JBU493  TRW - РЎР°Р№Р»РµРЅС‚Р±Р»РѕРє</t>
  </si>
  <si>
    <t>HONDA Civic VI 1.5i, 1.6i Vtec  94-01, front L/R, 14.2mm (part of JTC663, JTC668)</t>
  </si>
  <si>
    <t>JBU494</t>
  </si>
  <si>
    <t>JBU494  TRW - РЎР°Р№Р»РµРЅС‚Р±Р»РѕРє</t>
  </si>
  <si>
    <t>HONDA Civic VI 1.5i, 1.6i Vtec  94-01, front L/R, 12.2mm (part of JTC663, JTC668)</t>
  </si>
  <si>
    <t>JBU495</t>
  </si>
  <si>
    <t>JBU495  TRW - РЎР°Р№Р»РµРЅС‚Р±Р»РѕРє</t>
  </si>
  <si>
    <t>218.84</t>
  </si>
  <si>
    <t>NISSAN Micra (K11, K12)  92- (part of JTC225, JTC226)</t>
  </si>
  <si>
    <t>JBU496</t>
  </si>
  <si>
    <t>JBU496  TRW - РЎР°Р№Р»РµРЅС‚Р±Р»РѕРє</t>
  </si>
  <si>
    <t>161.68</t>
  </si>
  <si>
    <t>JBU516</t>
  </si>
  <si>
    <t>JBU516  TRW - РЎР°Р№Р»РµРЅС‚Р±Р»РѕРє</t>
  </si>
  <si>
    <t>AUDI A4, A6  01-, rear L/R</t>
  </si>
  <si>
    <t>JBU517</t>
  </si>
  <si>
    <t>JBU517  TRW - РЎР°Р№Р»РµРЅС‚Р±Р»РѕРє</t>
  </si>
  <si>
    <t>149.50</t>
  </si>
  <si>
    <t>FORD Fiesta  96-01, front L/R rear (part of JTC1037, JTC1038, JTC1242, JTC1243, JTC160, JTC161)</t>
  </si>
  <si>
    <t>JBU544</t>
  </si>
  <si>
    <t>JBU544  TRW - РЎР°Р№Р»РµРЅС‚Р±Р»РѕРє</t>
  </si>
  <si>
    <t>BMW 3 (E36) 90-98</t>
  </si>
  <si>
    <t>JBU601</t>
  </si>
  <si>
    <t>JBU601  TRW - РЎР°Р№Р»РµРЅС‚Р±Р»РѕРє</t>
  </si>
  <si>
    <t>143.66</t>
  </si>
  <si>
    <t>MB Vito (W638, W639)  97- (part of JTC1119, JTC1120, JTC1329, JTC1330)</t>
  </si>
  <si>
    <t>JBU603</t>
  </si>
  <si>
    <t>JBU603  TRW - РЎР°Р№Р»РµРЅС‚Р±Р»РѕРє</t>
  </si>
  <si>
    <t>428.41</t>
  </si>
  <si>
    <t>NISSAN Almera (N16)  00-, front L/R rear (part of JTC7573, JTC7574)</t>
  </si>
  <si>
    <t>JBU604</t>
  </si>
  <si>
    <t>JBU604  TRW - РЎР°Р№Р»РµРЅС‚Р±Р»РѕРє</t>
  </si>
  <si>
    <t>NISSAN Almera (N16)  00-, front L/R front (part of JTC7573, JTC7574)</t>
  </si>
  <si>
    <t>JBU616</t>
  </si>
  <si>
    <t>JBU616  TRW - РЎР°Р№Р»РµРЅС‚Р±Р»РѕРє</t>
  </si>
  <si>
    <t>MB W140, W220  91-05 (part of JTC1161, JTC997)</t>
  </si>
  <si>
    <t>JBU619</t>
  </si>
  <si>
    <t>JBU619  TRW - РЎР°Р№Р»РµРЅС‚Р±Р»РѕРє</t>
  </si>
  <si>
    <t>354.26</t>
  </si>
  <si>
    <t>MB W203, W204  01- (part of JTC968, JTC969)</t>
  </si>
  <si>
    <t>JBU621</t>
  </si>
  <si>
    <t>JBU621  TRW - РЎР°Р№Р»РµРЅС‚Р±Р»РѕРє</t>
  </si>
  <si>
    <t>AUDI A4 00-08 (part of JTC936)</t>
  </si>
  <si>
    <t>JBU625</t>
  </si>
  <si>
    <t>JBU625  TRW - РЎР°Р№Р»РµРЅС‚Р±Р»РѕРє</t>
  </si>
  <si>
    <t>AUDI A4, A6  00-, rear (part of JTC1146, JTC937)</t>
  </si>
  <si>
    <t>JBU626</t>
  </si>
  <si>
    <t>JBU626  TRW - РЎР°Р№Р»РµРЅС‚Р±Р»РѕРє</t>
  </si>
  <si>
    <t>777.70</t>
  </si>
  <si>
    <t>OPEL Vectra C  04-, front L/R rear</t>
  </si>
  <si>
    <t>JBU630</t>
  </si>
  <si>
    <t>JBU630  TRW - РЎР°Р№Р»РµРЅС‚Р±Р»РѕРє</t>
  </si>
  <si>
    <t>CITROEN Berlingo, C4, PEUGEOT 308, Partner  08- (part of JTC974, JTC975)</t>
  </si>
  <si>
    <t>JBU635</t>
  </si>
  <si>
    <t>JBU635  TRW - РЎР°Р№Р»РµРЅС‚Р±Р»РѕРє</t>
  </si>
  <si>
    <t>223.30</t>
  </si>
  <si>
    <t>FORD Focus I/II  98-, rear (part of JTC1290)</t>
  </si>
  <si>
    <t>JBU636</t>
  </si>
  <si>
    <t>JBU636  TRW - РЎР°Р№Р»РµРЅС‚Р±Р»РѕРє</t>
  </si>
  <si>
    <t>JBU642</t>
  </si>
  <si>
    <t>JBU642  TRW - РЎР°Р№Р»РµРЅС‚Р±Р»РѕРє</t>
  </si>
  <si>
    <t>VAG  97- (part of JTC1041, JTC1279, JTC1297, JTC343, JTC936, JTC980)</t>
  </si>
  <si>
    <t>JBU656</t>
  </si>
  <si>
    <t>JBU656  TRW - РљРѕРјРїР»РµРєС‚ СЃР°Р№Р»РµРЅС‚Р±Р»РѕРєС–РІ</t>
  </si>
  <si>
    <t>1001.86</t>
  </si>
  <si>
    <t>BMW 3 (E46)  98-05, front L/R rear (РєРѕРјРїР»РµРєС‚ 2С€С‚.)</t>
  </si>
  <si>
    <t>JBU658</t>
  </si>
  <si>
    <t>JBU658  TRW - РЎР°Р№Р»РµРЅС‚Р±Р»РѕРє</t>
  </si>
  <si>
    <t>153.10</t>
  </si>
  <si>
    <t>MB W211  02- (part of JTC1157, JTC1158)</t>
  </si>
  <si>
    <t>JBU659</t>
  </si>
  <si>
    <t>JBU659  TRW - РЎР°Р№Р»РµРЅС‚Р±Р»РѕРє</t>
  </si>
  <si>
    <t>328.35</t>
  </si>
  <si>
    <t>JBU679</t>
  </si>
  <si>
    <t>JBU679  TRW - РЎР°Р№Р»РµРЅС‚Р±Р»РѕРє</t>
  </si>
  <si>
    <t>AUDI A4, A6, A8  04-, front L/R (part of JTC1036, JTC1089, JTC1224)</t>
  </si>
  <si>
    <t>JBU685</t>
  </si>
  <si>
    <t>JBU685  TRW - РЎР°Р№Р»РµРЅС‚Р±Р»РѕРє</t>
  </si>
  <si>
    <t>BMW 1 (E81, E87), 3 (E90), X3 (E93)  04-, rear</t>
  </si>
  <si>
    <t>JBU690</t>
  </si>
  <si>
    <t>JBU690  TRW - РЎР°Р№Р»РµРЅС‚Р±Р»РѕРє</t>
  </si>
  <si>
    <t>509.60</t>
  </si>
  <si>
    <t>SKODA Octavia (1Z3, 1Z5), VW Golf V, Caddy III  04-, front right (part of JTC1248, JTC1251)</t>
  </si>
  <si>
    <t>JBU691</t>
  </si>
  <si>
    <t>JBU691  TRW - РЎР°Р№Р»РµРЅС‚Р±Р»РѕРє</t>
  </si>
  <si>
    <t>SKODA Octavia (1Z3, 1Z5), VW Golf V, Caddy III  04-, front left (part of JTC1249, JTC1250)</t>
  </si>
  <si>
    <t>JBU692</t>
  </si>
  <si>
    <t>JBU692  TRW - РЎР°Р№Р»РµРЅС‚Р±Р»РѕРє</t>
  </si>
  <si>
    <t>SKODA Octavia (1Z3, 1Z5), VW Golf V, Caddy III  04-, front L/R (part of JTC1248, JTC1249, JTC1250, JTC1251)</t>
  </si>
  <si>
    <t>JBU701</t>
  </si>
  <si>
    <t>JBU701  TRW - РЎР°Р№Р»РµРЅС‚Р±Р»РѕРє</t>
  </si>
  <si>
    <t>CITROEN Berlingo, PEUGEOT Partner 2.0HDI  96-08 (part of JTC959/JTC960)</t>
  </si>
  <si>
    <t>JBU703</t>
  </si>
  <si>
    <t>JBU703  TRW - РЎР°Р№Р»РµРЅС‚Р±Р»РѕРє</t>
  </si>
  <si>
    <t>CITROEN C5  01-08, front L/R front</t>
  </si>
  <si>
    <t>JBU705</t>
  </si>
  <si>
    <t>JBU705  TRW - РЎР°Р№Р»РµРЅС‚Р±Р»РѕРє</t>
  </si>
  <si>
    <t>CITROEN C2, C3  02-, front L/R front</t>
  </si>
  <si>
    <t>JBU711</t>
  </si>
  <si>
    <t>JBU711  TRW - РЎР°Р№Р»РµРЅС‚Р±Р»РѕРє</t>
  </si>
  <si>
    <t>RENAULT Megane II, Scenic II  02-, front L/R rear</t>
  </si>
  <si>
    <t>JBU712</t>
  </si>
  <si>
    <t>JBU712  TRW - РЎР°Р№Р»РµРЅС‚Р±Р»РѕРє</t>
  </si>
  <si>
    <t>JBU724</t>
  </si>
  <si>
    <t>JBU724  TRW - РЎР°Р№Р»РµРЅС‚Р±Р»РѕРє</t>
  </si>
  <si>
    <t>551.31</t>
  </si>
  <si>
    <t>JBU727</t>
  </si>
  <si>
    <t>JBU727  TRW - РЎР°Р№Р»РµРЅС‚Р±Р»РѕРє</t>
  </si>
  <si>
    <t>139.03</t>
  </si>
  <si>
    <t>NISSAN Micra (K12), Note (E11)  03-, front L/R  REAR\n</t>
  </si>
  <si>
    <t>JBU728</t>
  </si>
  <si>
    <t>JBU728  TRW - РЎР°Р№Р»РµРЅС‚Р±Р»РѕРє</t>
  </si>
  <si>
    <t>NISSAN Micra (K12), Note (E11)  03-, front L/R  FRONT</t>
  </si>
  <si>
    <t>JBU729</t>
  </si>
  <si>
    <t>JBU729  TRW - РЎР°Р№Р»РµРЅС‚Р±Р»РѕРє</t>
  </si>
  <si>
    <t>356.50</t>
  </si>
  <si>
    <t>RENAULT Master II, OPEL Movano  98- (part of JTC1092, JTC1093)</t>
  </si>
  <si>
    <t>JBU730</t>
  </si>
  <si>
    <t>JBU730  TRW - РЎР°Р№Р»РµРЅС‚Р±Р»РѕРє</t>
  </si>
  <si>
    <t>JBU731</t>
  </si>
  <si>
    <t>JBU731  TRW - РЎР°Р№Р»РµРЅС‚Р±Р»РѕРє</t>
  </si>
  <si>
    <t>192.92</t>
  </si>
  <si>
    <t>OPEL Vivaro  01-, front L/R front</t>
  </si>
  <si>
    <t>JBU732</t>
  </si>
  <si>
    <t>JBU732  TRW - РЎР°Р№Р»РµРЅС‚Р±Р»РѕРє</t>
  </si>
  <si>
    <t>OPEL Vivaro  01-, front L/R rear</t>
  </si>
  <si>
    <t>JBU733</t>
  </si>
  <si>
    <t>JBU733  TRW - РЎР°Р№Р»РµРЅС‚Р±Р»РѕРє</t>
  </si>
  <si>
    <t>OPEL Astra H, Zafira  04- (part of JTC1271, JTC1272)</t>
  </si>
  <si>
    <t>JBU737</t>
  </si>
  <si>
    <t>JBU737  TRW - РЎР°Р№Р»РµРЅС‚Р±Р»РѕРє</t>
  </si>
  <si>
    <t>277.71</t>
  </si>
  <si>
    <t>FIAT Doblo 01-, front arm rear right</t>
  </si>
  <si>
    <t>JBU738</t>
  </si>
  <si>
    <t>JBU738  TRW - РЎР°Р№Р»РµРЅС‚Р±Р»РѕРє</t>
  </si>
  <si>
    <t>FIAT Doblo 01-, front arm rear left</t>
  </si>
  <si>
    <t>JBU745</t>
  </si>
  <si>
    <t>JBU745  TRW - РЎР°Р№Р»РµРЅС‚Р±Р»РѕРє</t>
  </si>
  <si>
    <t>OPEL Corsa D  06-, front L/R front</t>
  </si>
  <si>
    <t>JBU750</t>
  </si>
  <si>
    <t>JBU750  TRW - РЎР°Р№Р»РµРЅС‚Р±Р»РѕРє</t>
  </si>
  <si>
    <t>355.12</t>
  </si>
  <si>
    <t>OPEL Vectra B  95-02, rear L/R РЅРёР·</t>
  </si>
  <si>
    <t>JBU761</t>
  </si>
  <si>
    <t>JBU761  TRW - РЎР°Р№Р»РµРЅС‚Р±Р»РѕРє</t>
  </si>
  <si>
    <t>135.94</t>
  </si>
  <si>
    <t>CITROEN Berlingo, C4, PEUGEOT 308, Partner  08- (part of JTC974/JTC975)</t>
  </si>
  <si>
    <t>JBU762</t>
  </si>
  <si>
    <t>JBU762  TRW - РЎР°Р№Р»РµРЅС‚Р±Р»РѕРє</t>
  </si>
  <si>
    <t>166.66</t>
  </si>
  <si>
    <t>CHRYSLER Voyager  00-, front L/R rear</t>
  </si>
  <si>
    <t>JBU767</t>
  </si>
  <si>
    <t>JBU767  TRW - РЎР°Р№Р»РµРЅС‚Р±Р»РѕРє</t>
  </si>
  <si>
    <t>JBU768</t>
  </si>
  <si>
    <t>JBU768  TRW - РЎР°Р№Р»РµРЅС‚Р±Р»РѕРє</t>
  </si>
  <si>
    <t>RENAULT Espace IV, Laguna II  01-, front L/R rear</t>
  </si>
  <si>
    <t>JBU775</t>
  </si>
  <si>
    <t>JBU775  TRW - РЎР°Р№Р»РµРЅС‚Р±Р»РѕРє</t>
  </si>
  <si>
    <t>270.85</t>
  </si>
  <si>
    <t>PEUGEOT 407  04-, 508  10-, front L/R rear</t>
  </si>
  <si>
    <t>JBU779</t>
  </si>
  <si>
    <t>JBU779  TRW - РЎР°Р№Р»РµРЅС‚Р±Р»РѕРє</t>
  </si>
  <si>
    <t>MB W211  02- (part of JTC1117, JTC1118)</t>
  </si>
  <si>
    <t>JTC1029</t>
  </si>
  <si>
    <t>JTC1029  TRW - Р’Р°Р¶С–Р»СЊ РїС–РґРІС–СЃРєРё</t>
  </si>
  <si>
    <t>1250.23</t>
  </si>
  <si>
    <t>BMW 1 (E81, E87), 3 (E90, E91)  04-, front right (JBU645)</t>
  </si>
  <si>
    <t>JTC1036</t>
  </si>
  <si>
    <t>JTC1036  TRW - Р’Р°Р¶С–Р»СЊ РїС–РґРІС–СЃРєРё</t>
  </si>
  <si>
    <t>2046.98</t>
  </si>
  <si>
    <t>AUDI A8  03-, front L/R (JBU629 + JBU679)</t>
  </si>
  <si>
    <t>JTC1089</t>
  </si>
  <si>
    <t>JTC1089  TRW - Р’Р°Р¶С–Р»СЊ РїС–РґРІС–СЃРєРё</t>
  </si>
  <si>
    <t>2552.80</t>
  </si>
  <si>
    <t>AUDI A6  03-, front L/R front РЅРёР· (JBU629 + JBU679)</t>
  </si>
  <si>
    <t>JTC1117</t>
  </si>
  <si>
    <t>JTC1117  TRW - Р’Р°Р¶С–Р»СЊ РїС–РґРІС–СЃРєРё  !!! Р—Р°РјС–РЅР° РґР»СЏ  JTC1434</t>
  </si>
  <si>
    <t>1846.67</t>
  </si>
  <si>
    <t>MB W211  02-, front right front (JBU779)</t>
  </si>
  <si>
    <t>JTC1118</t>
  </si>
  <si>
    <t>JTC1118  TRW - Р’Р°Р¶С–Р»СЊ РїС–РґРІС–СЃРєРё  !!! Р—Р°РјС–РЅР° РґР»СЏ  JTC1433</t>
  </si>
  <si>
    <t>MB W211  02-, front left front (JBU779)</t>
  </si>
  <si>
    <t>JTC1152</t>
  </si>
  <si>
    <t>JTC1152  TRW - Р’Р°Р¶С–Р»СЊ РїС–РґРІС–СЃРєРё</t>
  </si>
  <si>
    <t>1087.17</t>
  </si>
  <si>
    <t>BMW X5 (E53)  00-, front left rear (JBU219)</t>
  </si>
  <si>
    <t>JTC1153</t>
  </si>
  <si>
    <t>JTC1153  TRW - Р’Р°Р¶С–Р»СЊ РїС–РґРІС–СЃРєРё</t>
  </si>
  <si>
    <t>1220.19</t>
  </si>
  <si>
    <t>BMW X5 (E53)  00-, front right front</t>
  </si>
  <si>
    <t>JTC1154</t>
  </si>
  <si>
    <t>JTC1154  TRW - Р’Р°Р¶С–Р»СЊ РїС–РґРІС–СЃРєРё</t>
  </si>
  <si>
    <t>BMW X5 (E53)  00-, front left front</t>
  </si>
  <si>
    <t>JTC1183</t>
  </si>
  <si>
    <t>JTC1183  TRW - Р’Р°Р¶С–Р»СЊ РїС–РґРІС–СЃРєРё</t>
  </si>
  <si>
    <t>3224.60</t>
  </si>
  <si>
    <t>AUDI Q7, VW TOUAREG (7LA)  02-, front left, 72mm</t>
  </si>
  <si>
    <t>JTC1240</t>
  </si>
  <si>
    <t>JTC1240  TRW - Р’Р°Р¶С–Р»СЊ РїС–РґРІС–СЃРєРё</t>
  </si>
  <si>
    <t>DACIA/RENAULT Logan, Logan MCV, Sandero  04-, left (JBJ721)</t>
  </si>
  <si>
    <t>JTC1241</t>
  </si>
  <si>
    <t>JTC1241  TRW - Р’Р°Р¶С–Р»СЊ РїС–РґРІС–СЃРєРё</t>
  </si>
  <si>
    <t>DACIA/RENAULT Logan, Logan MCV, Sandero  04-, right (JBJ721)</t>
  </si>
  <si>
    <t>JTC1268</t>
  </si>
  <si>
    <t>JTC1268  TRW - Р’Р°Р¶С–Р»СЊ РїС–РґРІС–СЃРєРё</t>
  </si>
  <si>
    <t>DAEWOO Matiz  98-, front L/R</t>
  </si>
  <si>
    <t>JTC130</t>
  </si>
  <si>
    <t>JTC130  TRW - Р’Р°Р¶С–Р»СЊ РїС–РґРІС–СЃРєРё</t>
  </si>
  <si>
    <t>1561.41</t>
  </si>
  <si>
    <t>BMW 5 (E39) not for 535i, 540i, M5, front left rear</t>
  </si>
  <si>
    <t>JTC1342</t>
  </si>
  <si>
    <t>JTC1342  TRW - Р’Р°Р¶С–Р»СЊ РїС–РґРІС–СЃРєРё</t>
  </si>
  <si>
    <t>2356.79</t>
  </si>
  <si>
    <t>CITROEN Jumpy, FIAT Scudo, PEUGEOT Expert  07-, right</t>
  </si>
  <si>
    <t>JTC1399</t>
  </si>
  <si>
    <t>JTC1399  TRW - Р’Р°Р¶С–Р»СЊ РїС–РґРІС–СЃРєРё</t>
  </si>
  <si>
    <t>634.21</t>
  </si>
  <si>
    <t>VAG  03-, rear right</t>
  </si>
  <si>
    <t>JTC1400</t>
  </si>
  <si>
    <t>JTC1400  TRW - Р’Р°Р¶С–Р»СЊ РїС–РґРІС–СЃРєРё</t>
  </si>
  <si>
    <t>VAG  03-, rear left</t>
  </si>
  <si>
    <t>JTC1401</t>
  </si>
  <si>
    <t>JTC1401  TRW - Р’Р°Р¶С–Р»СЊ РїС–РґРІС–СЃРєРё</t>
  </si>
  <si>
    <t>860.60</t>
  </si>
  <si>
    <t>VAG  03-, rear L/R</t>
  </si>
  <si>
    <t>JTC1453</t>
  </si>
  <si>
    <t>JTC1453  TRW - Р’Р°Р¶С–Р»СЊ РїС–РґРІС–СЃРєРё</t>
  </si>
  <si>
    <t>2128.85</t>
  </si>
  <si>
    <t>BMW X5 (E70), X6 (E71, E72)  08-, front right rear РЅРёР·</t>
  </si>
  <si>
    <t>JTC1454</t>
  </si>
  <si>
    <t>JTC1454  TRW - Р’Р°Р¶С–Р»СЊ РїС–РґРІС–СЃРєРё</t>
  </si>
  <si>
    <t>BMW X5 (E70), X6 (E71, E72)  08-, front left rear РЅРёР·</t>
  </si>
  <si>
    <t>JTC1456</t>
  </si>
  <si>
    <t>JTC1456  TRW - Р’Р°Р¶С–Р»СЊ РїС–РґРІС–СЃРєРё</t>
  </si>
  <si>
    <t>1811.83</t>
  </si>
  <si>
    <t>BMW X5 (E70), X6 (E71, E72)  08-, front left front РЅРёР·</t>
  </si>
  <si>
    <t>JTC255</t>
  </si>
  <si>
    <t>JTC255  TRW - Р’Р°Р¶С–Р»СЊ РїС–РґРІС–СЃРєРё</t>
  </si>
  <si>
    <t>1456.71</t>
  </si>
  <si>
    <t>AUDI 100/A6  91-97 front right (2 x JBU235 + JBU365)</t>
  </si>
  <si>
    <t>JTC7573</t>
  </si>
  <si>
    <t>JTC7573  TRW - Р’Р°Р¶С–Р»СЊ РїС–РґРІС–СЃРєРё</t>
  </si>
  <si>
    <t>NISSAN Almera (N16)  02-, front right (JBU603 + JBU604)</t>
  </si>
  <si>
    <t>JTC923</t>
  </si>
  <si>
    <t>JTC923  TRW - Р’Р°Р¶С–Р»СЊ РїС–РґРІС–СЃРєРё</t>
  </si>
  <si>
    <t>574.31</t>
  </si>
  <si>
    <t>MB W201, W124, W202, W210  82-02 rear L/R (JBU654)</t>
  </si>
  <si>
    <t>JTC924</t>
  </si>
  <si>
    <t>JTC924  TRW - Р’Р°Р¶С–Р»СЊ РїС–РґРІС–СЃРєРё</t>
  </si>
  <si>
    <t>1499.28</t>
  </si>
  <si>
    <t>BMW 5 (E39) front right front (JBU415)</t>
  </si>
  <si>
    <t>JTC940</t>
  </si>
  <si>
    <t>JTC940  TRW - Р’Р°Р¶С–Р»СЊ РїС–РґРІС–СЃРєРё</t>
  </si>
  <si>
    <t>978.35</t>
  </si>
  <si>
    <t>SKODA Fabia I/II  99-, L/R (JBU503)</t>
  </si>
  <si>
    <t>JTC959</t>
  </si>
  <si>
    <t>JTC959  TRW - Р’Р°Р¶С–Р»СЊ РїС–РґРІС–СЃРєРё</t>
  </si>
  <si>
    <t>1638.30</t>
  </si>
  <si>
    <t>CITROEN Berlingo, PEUGEOT Partner only for HD susp., 2.0HDi  96-, front left (2 x JBU152 + JBU701)</t>
  </si>
  <si>
    <t>JTC960</t>
  </si>
  <si>
    <t>JTC960  TRW - Р’Р°Р¶С–Р»СЊ РїС–РґРІС–СЃРєРё</t>
  </si>
  <si>
    <t>CITROEN Berlingo, PEUGEOT Partner only for HD susp., 2.0HDi  96-, front right (2 x JBU152 + JBU701)</t>
  </si>
  <si>
    <t>JTE1004</t>
  </si>
  <si>
    <t>JTE1004  TRW - РќР°РєС–РЅРµС‡РЅРёРє РєРµСЂРјРѕРІРѕС— С‚СЏРіРё</t>
  </si>
  <si>
    <t>421.72</t>
  </si>
  <si>
    <t>MB W211 left</t>
  </si>
  <si>
    <t>JTE1011</t>
  </si>
  <si>
    <t>JTE1011  TRW - РќР°РєС–РЅРµС‡РЅРёРє РєРµСЂРјРѕРІРѕС— С‚СЏРіРё</t>
  </si>
  <si>
    <t>RENAULT Modus, Clio III  04-, left</t>
  </si>
  <si>
    <t>JTE1012</t>
  </si>
  <si>
    <t>JTE1012  TRW - РќР°РєС–РЅРµС‡РЅРёРє РєРµСЂРјРѕРІРѕС— С‚СЏРіРё</t>
  </si>
  <si>
    <t>RENAULT Modus, Clio III  04-, right</t>
  </si>
  <si>
    <t>JTE1032</t>
  </si>
  <si>
    <t>JTE1032  TRW - РќР°РєС–РЅРµС‡РЅРёРє РєРµСЂРјРѕРІРѕС— С‚СЏРіРё</t>
  </si>
  <si>
    <t>RENAULT Master II/III  98- right (part of JRA555)</t>
  </si>
  <si>
    <t>JTE1033</t>
  </si>
  <si>
    <t>JTE1033  TRW - РќР°РєС–РЅРµС‡РЅРёРє РєРµСЂРјРѕРІРѕС— С‚СЏРіРё</t>
  </si>
  <si>
    <t>RENAULT Master II/III  98- left (part of JRA556)</t>
  </si>
  <si>
    <t>JTE1034</t>
  </si>
  <si>
    <t>JTE1034  TRW - РќР°РєС–РЅРµС‡РЅРёРє РєРµСЂРјРѕРІРѕС— С‚СЏРіРё</t>
  </si>
  <si>
    <t>336.93</t>
  </si>
  <si>
    <t>CITROEN Jumper, PEUGEOT Boxer  03-, L/R</t>
  </si>
  <si>
    <t>JTE1035</t>
  </si>
  <si>
    <t>JTE1035  TRW - РќР°РєС–РЅРµС‡РЅРёРє РєРµСЂРјРѕРІРѕС— С‚СЏРіРё</t>
  </si>
  <si>
    <t>338.30</t>
  </si>
  <si>
    <t>FORD Transit Connect  02-, L/R</t>
  </si>
  <si>
    <t>JTE1044</t>
  </si>
  <si>
    <t>JTE1044  TRW - РќР°РєС–РЅРµС‡РЅРёРє РєРµСЂРјРѕРІРѕС— С‚СЏРіРё  !!! Р—Р°РјС–РЅР° РґР»СЏ  JTE1162</t>
  </si>
  <si>
    <t>260.38</t>
  </si>
  <si>
    <t>JTE1045</t>
  </si>
  <si>
    <t>JTE1045  TRW - РќР°РєС–РЅРµС‡РЅРёРє РєРµСЂРјРѕРІРѕС— С‚СЏРіРё</t>
  </si>
  <si>
    <t>340.19</t>
  </si>
  <si>
    <t>FIAT Scudo, PEUGEOT Expert  04-, L/R (part of JRA544)</t>
  </si>
  <si>
    <t>JTE1052</t>
  </si>
  <si>
    <t>JTE1052  TRW - РќР°РєС–РЅРµС‡РЅРёРє РєРµСЂРјРѕРІРѕС— С‚СЏРіРё</t>
  </si>
  <si>
    <t>AUDI A3, VW Golf V, Jetta  03-, left</t>
  </si>
  <si>
    <t>JTE1056</t>
  </si>
  <si>
    <t>JTE1056  TRW - РќР°РєС–РЅРµС‡РЅРёРє РєРµСЂРјРѕРІРѕС— С‚СЏРіРё</t>
  </si>
  <si>
    <t>JTE1057</t>
  </si>
  <si>
    <t>JTE1057  TRW - РќР°РєС–РЅРµС‡РЅРёРє РєРµСЂРјРѕРІРѕС— С‚СЏРіРё</t>
  </si>
  <si>
    <t>JTE1060</t>
  </si>
  <si>
    <t>JTE1060  TRW - РќР°РєС–РЅРµС‡РЅРёРє РєРµСЂРјРѕРІРѕС— С‚СЏРіРё</t>
  </si>
  <si>
    <t>RENAULT Megane II, Scenic II  02-, left</t>
  </si>
  <si>
    <t>JTE1061</t>
  </si>
  <si>
    <t>JTE1061  TRW - РќР°РєС–РЅРµС‡РЅРёРє РєРµСЂРјРѕРІРѕС— С‚СЏРіРё</t>
  </si>
  <si>
    <t>RENAULT Megane II, Scenic II  02-, right</t>
  </si>
  <si>
    <t>JTE1062</t>
  </si>
  <si>
    <t>JTE1062  TRW - РќР°РєС–РЅРµС‡РЅРёРє РєРµСЂРјРѕРІРѕС— С‚СЏРіРё</t>
  </si>
  <si>
    <t>MB Sprinter II  06-, L/R (part of JRA541)</t>
  </si>
  <si>
    <t>JTE1078</t>
  </si>
  <si>
    <t>JTE1078  TRW - РќР°РєС–РЅРµС‡РЅРёРє РєРµСЂРјРѕРІРѕС— С‚СЏРіРё</t>
  </si>
  <si>
    <t>743.72</t>
  </si>
  <si>
    <t>MB Vito (W639)  03-, left</t>
  </si>
  <si>
    <t>JTE1079</t>
  </si>
  <si>
    <t>JTE1079  TRW - РќР°РєС–РЅРµС‡РЅРёРє РєРµСЂРјРѕРІРѕС— С‚СЏРіРё</t>
  </si>
  <si>
    <t>MB Vito (W639)  03-, right</t>
  </si>
  <si>
    <t>JTE1086</t>
  </si>
  <si>
    <t>JTE1086  TRW - РќР°РєС–РЅРµС‡РЅРёРє РєРµСЂРјРѕРІРѕС— С‚СЏРіРё</t>
  </si>
  <si>
    <t>FIAT Punto, Grande Punto, OPEL Corsa D  05-, left (part of JRA550)</t>
  </si>
  <si>
    <t>JTE1087</t>
  </si>
  <si>
    <t>JTE1087  TRW - РќР°РєС–РЅРµС‡РЅРёРє РєРµСЂРјРѕРІРѕС— С‚СЏРіРё</t>
  </si>
  <si>
    <t>336.07</t>
  </si>
  <si>
    <t>FIAT Punto, Grande Punto, OPEL Corsa D  05-, right (part of JRA551)</t>
  </si>
  <si>
    <t>JTE1107</t>
  </si>
  <si>
    <t>JTE1107  TRW - РќР°РєС–РЅРµС‡РЅРёРє РєРµСЂРјРѕРІРѕС— С‚СЏРіРё</t>
  </si>
  <si>
    <t>FORD Focus II, C-Max, VOLVO C30, S40, V50  03-, left</t>
  </si>
  <si>
    <t>JTE1113</t>
  </si>
  <si>
    <t>JTE1113  TRW - РќР°РєС–РЅРµС‡РЅРёРє РєРµСЂРјРѕРІРѕС— С‚СЏРіРё</t>
  </si>
  <si>
    <t>360.96</t>
  </si>
  <si>
    <t>RENAULT Kangoo  08-, left (part of JRA570)</t>
  </si>
  <si>
    <t>JTE1114</t>
  </si>
  <si>
    <t>JTE1114  TRW - РќР°РєС–РЅРµС‡РЅРёРє РєРµСЂРјРѕРІРѕС— С‚СЏРіРё</t>
  </si>
  <si>
    <t>RENAULT Kangoo  08-, right (part of JRA571)</t>
  </si>
  <si>
    <t>JTE1115</t>
  </si>
  <si>
    <t>JTE1115  TRW - РќР°РєС–РЅРµС‡РЅРёРє РєРµСЂРјРѕРІРѕС— С‚СЏРіРё</t>
  </si>
  <si>
    <t>380.01</t>
  </si>
  <si>
    <t>JTE1116</t>
  </si>
  <si>
    <t>JTE1116  TRW - РќР°РєС–РЅРµС‡РЅРёРє РєРµСЂРјРѕРІРѕС— С‚СЏРіРё</t>
  </si>
  <si>
    <t>CITROEN Nemo, FIAT Fiorino, Linea, Qubo, PEUGEOT Bipper  08-, right</t>
  </si>
  <si>
    <t>JTE1131</t>
  </si>
  <si>
    <t>JTE1131  TRW - РќР°РєС–РЅРµС‡РЅРёРє РєРµСЂРјРѕРІРѕС— С‚СЏРіРё</t>
  </si>
  <si>
    <t>548.22</t>
  </si>
  <si>
    <t>FORD Kuga  08-, left</t>
  </si>
  <si>
    <t>JTE1133</t>
  </si>
  <si>
    <t>JTE1133  TRW - РќР°РєС–РЅРµС‡РЅРёРє РєРµСЂРјРѕРІРѕС— С‚СЏРіРё</t>
  </si>
  <si>
    <t>RENAULT Fluence, Megane III, Scenic III  08-, left (part of JRA575)</t>
  </si>
  <si>
    <t>JTE1135</t>
  </si>
  <si>
    <t>JTE1135  TRW - РќР°РєС–РЅРµС‡РЅРёРє РєРµСЂРјРѕРІРѕС— С‚СЏРіРё</t>
  </si>
  <si>
    <t>DACIA/RENAULT Logan, Logan MCV  04-, right</t>
  </si>
  <si>
    <t>JTE1142</t>
  </si>
  <si>
    <t>JTE1142  TRW - РќР°РєС–РЅРµС‡РЅРёРє РєРµСЂРјРѕРІРѕС— С‚СЏРіРё</t>
  </si>
  <si>
    <t>543.58</t>
  </si>
  <si>
    <t>LAND ROVER Discovery III/IV Ch. --9A-xxxxxx  04-, L/R, 20mm (part of JRA593, JRA594)</t>
  </si>
  <si>
    <t>JTE143</t>
  </si>
  <si>
    <t>JTE143  TRW - РќР°РєС–РЅРµС‡РЅРёРє РєРµСЂРјРѕРІРѕС— С‚СЏРіРё</t>
  </si>
  <si>
    <t>JTE1573</t>
  </si>
  <si>
    <t>JTE1573  TRW - РќР°РєС–РЅРµС‡РЅРёРє РєРµСЂРјРѕРІРѕС— С‚СЏРіРё</t>
  </si>
  <si>
    <t>OPEL Adam, Corsa D 0,9-1,9  10-  (Right)</t>
  </si>
  <si>
    <t>JTE1574</t>
  </si>
  <si>
    <t>JTE1574  TRW - РќР°РєС–РЅРµС‡РЅРёРє РєРµСЂРјРѕРІРѕС— С‚СЏРіРё</t>
  </si>
  <si>
    <t>OPEL Adam, Corsa D 0,9-1,9  10-  (Left)</t>
  </si>
  <si>
    <t>JTE161</t>
  </si>
  <si>
    <t>JTE161  TRW - РќР°РєС–РЅРµС‡РЅРёРє РєРµСЂРјРѕРІРѕС— С‚СЏРіРё</t>
  </si>
  <si>
    <t>198.42</t>
  </si>
  <si>
    <t>CITROEN Berlingo, PEUGEOT Partner  96-, L/R (part of JRA161, JRA177, JRA181, JRA409)</t>
  </si>
  <si>
    <t>JTE162</t>
  </si>
  <si>
    <t>JTE162  TRW - РќР°РєС–РЅРµС‡РЅРёРє РєРµСЂРјРѕРІРѕС— С‚СЏРіРё</t>
  </si>
  <si>
    <t>PEUGEOT 106, 206, 305, 307, 605  82-, right (part of JRA162)</t>
  </si>
  <si>
    <t>JTE163</t>
  </si>
  <si>
    <t>JTE163  TRW - РќР°РєС–РЅРµС‡РЅРёРє РєРµСЂРјРѕРІРѕС— С‚СЏРіРё</t>
  </si>
  <si>
    <t>PEUGEOT 106, 206, 305, 307, 605  82-, left (part of JRA163)</t>
  </si>
  <si>
    <t>JTE168</t>
  </si>
  <si>
    <t>JTE168  TRW - РќР°РєС–РЅРµС‡РЅРёРє РєРµСЂРјРѕРІРѕС— С‚СЏРіРё</t>
  </si>
  <si>
    <t>JTE231</t>
  </si>
  <si>
    <t>JTE231  TRW - РќР°РєС–РЅРµС‡РЅРёРє РєРµСЂРјРѕРІРѕС— С‚СЏРіРё</t>
  </si>
  <si>
    <t>210.09</t>
  </si>
  <si>
    <t>VAZ 2108-21099, right</t>
  </si>
  <si>
    <t>JTE232</t>
  </si>
  <si>
    <t>JTE232  TRW - РќР°РєС–РЅРµС‡РЅРёРє РєРµСЂРјРѕРІРѕС— С‚СЏРіРё</t>
  </si>
  <si>
    <t>VAZ 2108-21099, left</t>
  </si>
  <si>
    <t>JTE237</t>
  </si>
  <si>
    <t>JTE237  TRW - РќР°РєС–РЅРµС‡РЅРёРє РєРµСЂРјРѕРІРѕС— С‚СЏРіРё</t>
  </si>
  <si>
    <t>FIAT Uno Exc. 0.9,  83-00 (+P/S), L/R</t>
  </si>
  <si>
    <t>JTE248</t>
  </si>
  <si>
    <t>JTE248  TRW - РќР°РєС–РЅРµС‡РЅРёРє РєРµСЂРјРѕРІРѕС— С‚СЏРіРё</t>
  </si>
  <si>
    <t>429.44</t>
  </si>
  <si>
    <t>MB W210 not 4-matic, left</t>
  </si>
  <si>
    <t>JTE249</t>
  </si>
  <si>
    <t>JTE249  TRW - РќР°РєС–РЅРµС‡РЅРёРє РєРµСЂРјРѕРІРѕС— С‚СЏРіРё</t>
  </si>
  <si>
    <t>MB W210 not 4-matic, right</t>
  </si>
  <si>
    <t>JTE260</t>
  </si>
  <si>
    <t>JTE260  TRW - РќР°РєС–РЅРµС‡РЅРёРє РєРµСЂРјРѕРІРѕС— С‚СЏРіРё</t>
  </si>
  <si>
    <t>JTE288</t>
  </si>
  <si>
    <t>JTE288  TRW - РќР°РєС–РЅРµС‡РЅРёРє РєРµСЂРјРѕРІРѕС— С‚СЏРіРё</t>
  </si>
  <si>
    <t>205.62</t>
  </si>
  <si>
    <t>RENAULT 19  88-96, right (part of JRA206)</t>
  </si>
  <si>
    <t>JTE292</t>
  </si>
  <si>
    <t>JTE292  TRW - РќР°РєС–РЅРµС‡РЅРёРє РєРµСЂРјРѕРІРѕС— С‚СЏРіРё</t>
  </si>
  <si>
    <t>RENAULT Kangoo  98-99, left</t>
  </si>
  <si>
    <t>JTE293</t>
  </si>
  <si>
    <t>JTE293  TRW - РќР°РєС–РЅРµС‡РЅРёРє РєРµСЂРјРѕРІРѕС— С‚СЏРіРё</t>
  </si>
  <si>
    <t>RENAULT Kangoo  98-99, right</t>
  </si>
  <si>
    <t>JTE359</t>
  </si>
  <si>
    <t>JTE359  TRW - РќР°РєС–РЅРµС‡РЅРёРє РєРµСЂРјРѕРІРѕС— С‚СЏРіРё</t>
  </si>
  <si>
    <t>707.33</t>
  </si>
  <si>
    <t>VW T4 Ch.70-M-096449 - -70-S-002791  90-03, left (16mm, part of JRA241, JRA247)</t>
  </si>
  <si>
    <t>JTE361</t>
  </si>
  <si>
    <t>JTE361  TRW - РќР°РєС–РЅРµС‡РЅРёРє РєРµСЂРјРѕРІРѕС— С‚СЏРіРё</t>
  </si>
  <si>
    <t>VW T4 Ch.70-M-096449 - -70-S-002791  90-03, right (16mm, part of JRA245, JRA248)</t>
  </si>
  <si>
    <t>JTE397</t>
  </si>
  <si>
    <t>JTE397  TRW - РќР°РєС–РЅРµС‡РЅРёРє РєРµСЂРјРѕРІРѕС— С‚СЏРіРё</t>
  </si>
  <si>
    <t>189.83</t>
  </si>
  <si>
    <t>MB W124  84-98, outer L/R (part of JRA167, JRA367)</t>
  </si>
  <si>
    <t>JTE414</t>
  </si>
  <si>
    <t>JTE414  TRW - РќР°РєС–РЅРµС‡РЅРёРє РєРµСЂРјРѕРІРѕС— С‚СЏРіРё</t>
  </si>
  <si>
    <t>#NISSAN X-TRAIL 2007-</t>
  </si>
  <si>
    <t>JTE450</t>
  </si>
  <si>
    <t>JTE450  TRW - РќР°РєС–РЅРµС‡РЅРёРє РєРµСЂРјРѕРІРѕС— С‚СЏРіРё</t>
  </si>
  <si>
    <t>222.79</t>
  </si>
  <si>
    <t>FIAT Scudo, PEUGEOT Expert  96-03, L/R (-PS, d=14mm)</t>
  </si>
  <si>
    <t>JTE457</t>
  </si>
  <si>
    <t>JTE457  TRW - РќР°РєС–РЅРµС‡РЅРёРє РєРµСЂРјРѕРІРѕС— С‚СЏРіРё</t>
  </si>
  <si>
    <t>SKODA Octavia (1U2) Ch.1U-W-061001&gt;&gt;  96-, left (part of JRA511)</t>
  </si>
  <si>
    <t>JTE458</t>
  </si>
  <si>
    <t>JTE458  TRW - РќР°РєС–РЅРµС‡РЅРёРє РєРµСЂРјРѕРІРѕС— С‚СЏРіРё</t>
  </si>
  <si>
    <t>SKODA Octavia (1U2) Ch.1U-W-061001&gt;&gt;  96-, right (part of JRA512)</t>
  </si>
  <si>
    <t>JTE7534</t>
  </si>
  <si>
    <t>JTE7534  TRW - РќР°РєС–РЅРµС‡РЅРёРє РєРµСЂРјРѕРІРѕС— С‚СЏРіРё</t>
  </si>
  <si>
    <t>TOYOTA Rav4 II 1.8, 2.0  00-05  (Right)</t>
  </si>
  <si>
    <t>JTE756</t>
  </si>
  <si>
    <t>JTE756  TRW - РќР°РєС–РЅРµС‡РЅРёРє РєРµСЂРјРѕРІРѕС— С‚СЏРіРё</t>
  </si>
  <si>
    <t>213.86</t>
  </si>
  <si>
    <t>SKODA Fabia I Ch. 6Y-2-426101--, 6Y-2X034101--  99-07, left (-P/S) (part of JRA505)</t>
  </si>
  <si>
    <t>JTE7575</t>
  </si>
  <si>
    <t>JTE7575  TRW - РќР°РєС–РЅРµС‡РЅРёРє РєРµСЂРјРѕРІРѕС— С‚СЏРіРё</t>
  </si>
  <si>
    <t>SUBARU Forester, Impreza, Legacy, Outback 1.5-3.0  92-  (L/R)</t>
  </si>
  <si>
    <t>JTE758</t>
  </si>
  <si>
    <t>JTE758  TRW - РќР°РєС–РЅРµС‡РЅРёРє РєРµСЂРјРѕРІРѕС— С‚СЏРіРё</t>
  </si>
  <si>
    <t>352.89</t>
  </si>
  <si>
    <t>JTE759</t>
  </si>
  <si>
    <t>JTE759  TRW - РќР°РєС–РЅРµС‡РЅРёРє РєРµСЂРјРѕРІРѕС— С‚СЏРіРё</t>
  </si>
  <si>
    <t>JTE7593</t>
  </si>
  <si>
    <t>JTE7593  TRW - РќР°РєС–РЅРµС‡РЅРёРє РєРµСЂРјРѕРІРѕС— С‚СЏРіРё</t>
  </si>
  <si>
    <t>317.02</t>
  </si>
  <si>
    <t>HONDA Accord VII 2.0-3.0  03-  (Left)</t>
  </si>
  <si>
    <t>JTE7594</t>
  </si>
  <si>
    <t>JTE7594  TRW - РќР°РєС–РЅРµС‡РЅРёРє РєРµСЂРјРѕРІРѕС— С‚СЏРіРё</t>
  </si>
  <si>
    <t>HONDA Accord VII 2.0-3.0  03-  (Right)\n</t>
  </si>
  <si>
    <t>JTE7600</t>
  </si>
  <si>
    <t>JTE7600  TRW - РќР°РєС–РЅРµС‡РЅРёРє РєРµСЂРјРѕРІРѕС— С‚СЏРіРё</t>
  </si>
  <si>
    <t>HYUNDAI Tucson  06/04-03/10</t>
  </si>
  <si>
    <t>JTE7601</t>
  </si>
  <si>
    <t>JTE7601  TRW - РќР°РєС–РЅРµС‡РЅРёРє РєРµСЂРјРѕРІРѕС— С‚СЏРіРё</t>
  </si>
  <si>
    <t>JTE761</t>
  </si>
  <si>
    <t>JTE761  TRW - РќР°РєС–РЅРµС‡РЅРёРє РєРµСЂРјРѕРІРѕС— С‚СЏРіРё</t>
  </si>
  <si>
    <t>358.73</t>
  </si>
  <si>
    <t>FIAT Bravo II, Stilo  01-, L/R</t>
  </si>
  <si>
    <t>JTE762</t>
  </si>
  <si>
    <t>JTE762  TRW - РќР°РєС–РЅРµС‡РЅРёРє РєРµСЂРјРѕРІРѕС— С‚СЏРіРё</t>
  </si>
  <si>
    <t>CITROEN C2, C3  03-, left</t>
  </si>
  <si>
    <t>JTE763</t>
  </si>
  <si>
    <t>JTE763  TRW - РќР°РєС–РЅРµС‡РЅРёРє РєРµСЂРјРѕРІРѕС— С‚СЏРіРё</t>
  </si>
  <si>
    <t>CITROEN C2, C3  03-, right</t>
  </si>
  <si>
    <t>JTE7700</t>
  </si>
  <si>
    <t>JTE7700  TRW - РќР°РєС–РЅРµС‡РЅРёРє РєРµСЂРјРѕРІРѕС— С‚СЏРіРё</t>
  </si>
  <si>
    <t>TOYOTA Camry 2.4, 3.5  96-  (Left)</t>
  </si>
  <si>
    <t>JTE7731</t>
  </si>
  <si>
    <t>JTE7731  TRW - РќР°РєС–РЅРµС‡РЅРёРє РєРµСЂРјРѕРІРѕС— С‚СЏРіРё</t>
  </si>
  <si>
    <t>CITROEN C-Crosser| MITSUBISHI Outlander II| PEUGEOT 4007  2.0-3.0  06-  (L/R)</t>
  </si>
  <si>
    <t>JTE774</t>
  </si>
  <si>
    <t>JTE774  TRW - РќР°РєС–РЅРµС‡РЅРёРє РєРµСЂРјРѕРІРѕС— С‚СЏРіРё</t>
  </si>
  <si>
    <t>RENAULT Kangoo  99-, left (part of JRA536, JRA538, JRA543)</t>
  </si>
  <si>
    <t>JTE775</t>
  </si>
  <si>
    <t>JTE775  TRW - РќР°РєС–РЅРµС‡РЅРёРє РєРµСЂРјРѕРІРѕС— С‚СЏРіРё</t>
  </si>
  <si>
    <t>RENAULT Kangoo  99-, right (part of JRA537, JRA539)</t>
  </si>
  <si>
    <t>JTE925</t>
  </si>
  <si>
    <t>JTE925  TRW - РќР°РєС–РЅРµС‡РЅРёРє РєРµСЂРјРѕРІРѕС— С‚СЏРіРё</t>
  </si>
  <si>
    <t>228.28</t>
  </si>
  <si>
    <t>DAEWOO Leganza, Nubira (KLAJ)  97-, L/R</t>
  </si>
  <si>
    <t>JTE986</t>
  </si>
  <si>
    <t>JTE986  TRW - РќР°РєС–РЅРµС‡РЅРёРє РєРµСЂРјРѕРІРѕС— С‚СЏРіРё</t>
  </si>
  <si>
    <t>397.17</t>
  </si>
  <si>
    <t>JTE999</t>
  </si>
  <si>
    <t>JTE999  TRW - РќР°РєС–РЅРµС‡РЅРёРє РєРµСЂРјРѕРІРѕС— С‚СЏРіРё</t>
  </si>
  <si>
    <t>IVECO Daily I/II  78-, L/R, 24mm</t>
  </si>
  <si>
    <t>JTF210</t>
  </si>
  <si>
    <t>JTF210  TRW - РќР°РєС–РЅРµС‡РЅРёРє РєРµСЂРјРѕРІРѕС— С‚СЏРіРё</t>
  </si>
  <si>
    <t>VW T4 Ch.70-T-200000&gt;&gt;  -03, right (18mm, part of JRA547)</t>
  </si>
  <si>
    <t>JTS1052</t>
  </si>
  <si>
    <t>JTS1052  TRW - РўСЏРіР° СЃС‚Р°Р±С–Р»С–Р·Р°С‚РѕСЂР°</t>
  </si>
  <si>
    <t>NISSAN Qashqai, X-Trail 07-,  (Front, R)</t>
  </si>
  <si>
    <t>JTS1053</t>
  </si>
  <si>
    <t>JTS1053  TRW - РўСЏРіР° СЃС‚Р°Р±С–Р»С–Р·Р°С‚РѕСЂР°</t>
  </si>
  <si>
    <t>NISSAN Qashqai, X-Trail 07-,  (Front, L)</t>
  </si>
  <si>
    <t>JTS114</t>
  </si>
  <si>
    <t>JTS114  TRW - РўСЏРіР° СЃС‚Р°Р±С–Р»С–Р·Р°С‚РѕСЂР°</t>
  </si>
  <si>
    <t>OPEL Vectra B, Combo, Corsa C  95-, front L/R</t>
  </si>
  <si>
    <t>JTS125</t>
  </si>
  <si>
    <t>JTS125  TRW - РўСЏРіР° СЃС‚Р°Р±С–Р»С–Р·Р°С‚РѕСЂР°</t>
  </si>
  <si>
    <t>308.09</t>
  </si>
  <si>
    <t>CITROEN Berlingo, PEUGEOT Partner  96-, front L/R</t>
  </si>
  <si>
    <t>JTS132</t>
  </si>
  <si>
    <t>JTS132  TRW - РўСЏРіР° СЃС‚Р°Р±С–Р»С–Р·Р°С‚РѕСЂР°</t>
  </si>
  <si>
    <t>JTS136</t>
  </si>
  <si>
    <t>JTS136  TRW - РўСЏРіР° СЃС‚Р°Р±С–Р»С–Р·Р°С‚РѕСЂР°</t>
  </si>
  <si>
    <t>PEUGEOT 306  93-02, front L/R (plastic)</t>
  </si>
  <si>
    <t>JTS202</t>
  </si>
  <si>
    <t>JTS202  TRW - РўСЏРіР° СЃС‚Р°Р±С–Р»С–Р·Р°С‚РѕСЂР°</t>
  </si>
  <si>
    <t>151.21</t>
  </si>
  <si>
    <t>NISSAN Primera (P10, P11)  90-01, front L/R</t>
  </si>
  <si>
    <t>JTS252</t>
  </si>
  <si>
    <t>JTS252  TRW - РўСЏРіР° СЃС‚Р°Р±С–Р»С–Р·Р°С‚РѕСЂР°</t>
  </si>
  <si>
    <t>HONDA Accord IV, V  90-98, front L/R</t>
  </si>
  <si>
    <t>JTS280</t>
  </si>
  <si>
    <t>JTS280  TRW - РўСЏРіР° СЃС‚Р°Р±С–Р»С–Р·Р°С‚РѕСЂР°</t>
  </si>
  <si>
    <t>391.85</t>
  </si>
  <si>
    <t>AUDI A8  94-02, front L/R</t>
  </si>
  <si>
    <t>JTS350</t>
  </si>
  <si>
    <t>JTS350  TRW - РўСЏРіР° СЃС‚Р°Р±С–Р»С–Р·Р°С‚РѕСЂР°</t>
  </si>
  <si>
    <t>VOLVO S40/V40 Kombi  95-04, rear L/R</t>
  </si>
  <si>
    <t>JTS370</t>
  </si>
  <si>
    <t>JTS370  TRW - РўСЏРіР° СЃС‚Р°Р±С–Р»С–Р·Р°С‚РѕСЂР°</t>
  </si>
  <si>
    <t>309.81</t>
  </si>
  <si>
    <t>OPEl Astra G/H, Zafira  98-, front L/R (plastic)</t>
  </si>
  <si>
    <t>JTS382</t>
  </si>
  <si>
    <t>JTS382  TRW - РўСЏРіР° СЃС‚Р°Р±С–Р»С–Р·Р°С‚РѕСЂР°</t>
  </si>
  <si>
    <t>181.60</t>
  </si>
  <si>
    <t>FIAT Bravo, Brava, Tempra, Tipo  90-01, (Front, L/R)</t>
  </si>
  <si>
    <t>JTS387</t>
  </si>
  <si>
    <t>JTS387  TRW - РўСЏРіР° СЃС‚Р°Р±С–Р»С–Р·Р°С‚РѕСЂР°</t>
  </si>
  <si>
    <t>261.41</t>
  </si>
  <si>
    <t>AUDI A3, SKODA Octavia, VW GOLF IV  97-05, front L/R</t>
  </si>
  <si>
    <t>JTS393</t>
  </si>
  <si>
    <t>JTS393  TRW - РўСЏРіР° СЃС‚Р°Р±С–Р»С–Р·Р°С‚РѕСЂР°  !!! Р—Р°РјС–РЅР° РґР»СЏ  JTS365</t>
  </si>
  <si>
    <t>JTS401</t>
  </si>
  <si>
    <t>JTS401  TRW - РўСЏРіР° СЃС‚Р°Р±С–Р»С–Р·Р°С‚РѕСЂР°</t>
  </si>
  <si>
    <t>FIAT Stilo, Bravo II, 500  03-, front L/R</t>
  </si>
  <si>
    <t>JTS402</t>
  </si>
  <si>
    <t>JTS402  TRW - РўСЏРіР° СЃС‚Р°Р±С–Р»С–Р·Р°С‚РѕСЂР°</t>
  </si>
  <si>
    <t>204.42</t>
  </si>
  <si>
    <t>BMW 3 (E30, E36)  82-00, rear L/R</t>
  </si>
  <si>
    <t>JTS405</t>
  </si>
  <si>
    <t>JTS405  TRW - РўСЏРіР° СЃС‚Р°Р±С–Р»С–Р·Р°С‚РѕСЂР°  !!! Р—Р°РјС–РЅР° РґР»СЏ  JTS259</t>
  </si>
  <si>
    <t>JTS407</t>
  </si>
  <si>
    <t>JTS407  TRW - РўСЏРіР° СЃС‚Р°Р±С–Р»С–Р·Р°С‚РѕСЂР°</t>
  </si>
  <si>
    <t>373.32</t>
  </si>
  <si>
    <t>MB W203 (-) Sport Susp., (-) 4-matic  00-, front L/R (M10x1.5)</t>
  </si>
  <si>
    <t>JTS408</t>
  </si>
  <si>
    <t>JTS408  TRW - РўСЏРіР° СЃС‚Р°Р±С–Р»С–Р·Р°С‚РѕСЂР°</t>
  </si>
  <si>
    <t>CITROEN C4, PEUGEOT 307  00-, front L/R</t>
  </si>
  <si>
    <t>JTS425</t>
  </si>
  <si>
    <t>JTS425  TRW - РўСЏРіР° СЃС‚Р°Р±С–Р»С–Р·Р°С‚РѕСЂР°</t>
  </si>
  <si>
    <t>MB W211  02-, rear L/R</t>
  </si>
  <si>
    <t>JTS426</t>
  </si>
  <si>
    <t>JTS426  TRW - РўСЏРіР° СЃС‚Р°Р±С–Р»С–Р·Р°С‚РѕСЂР°</t>
  </si>
  <si>
    <t>BMW 5 (E39) 535i, 540i, M5  95-04, front L/R</t>
  </si>
  <si>
    <t>JTS432</t>
  </si>
  <si>
    <t>JTS432  TRW - РўСЏРіР° СЃС‚Р°Р±С–Р»С–Р·Р°С‚РѕСЂР°</t>
  </si>
  <si>
    <t>284.41</t>
  </si>
  <si>
    <t>JTS433</t>
  </si>
  <si>
    <t>JTS433  TRW - РўСЏРіР° СЃС‚Р°Р±С–Р»С–Р·Р°С‚РѕСЂР°</t>
  </si>
  <si>
    <t>NISSAN Micra (K12), Note, RENAULT Clio  03-, front L/R</t>
  </si>
  <si>
    <t>JTS435</t>
  </si>
  <si>
    <t>JTS435  TRW - РўСЏРіР° СЃС‚Р°Р±С–Р»С–Р·Р°С‚РѕСЂР°</t>
  </si>
  <si>
    <t>873.30</t>
  </si>
  <si>
    <t>JTS451</t>
  </si>
  <si>
    <t>JTS451  TRW - РўСЏРіР° СЃС‚Р°Р±С–Р»С–Р·Р°С‚РѕСЂР°</t>
  </si>
  <si>
    <t>BMW X5 (E53)  00-, rear L/R</t>
  </si>
  <si>
    <t>JTS463</t>
  </si>
  <si>
    <t>JTS463  TRW - РўСЏРіР° СЃС‚Р°Р±С–Р»С–Р·Р°С‚РѕСЂР°</t>
  </si>
  <si>
    <t>JTS480</t>
  </si>
  <si>
    <t>JTS480  TRW - РўСЏРіР° СЃС‚Р°Р±С–Р»С–Р·Р°С‚РѕСЂР°</t>
  </si>
  <si>
    <t>443.52</t>
  </si>
  <si>
    <t>BMW 5 (E60/E61)  03-, front left</t>
  </si>
  <si>
    <t>JTS481</t>
  </si>
  <si>
    <t>JTS481  TRW - РўСЏРіР° СЃС‚Р°Р±С–Р»С–Р·Р°С‚РѕСЂР°</t>
  </si>
  <si>
    <t>454.85</t>
  </si>
  <si>
    <t>BMW 5 (E60/E61)  03-, front right</t>
  </si>
  <si>
    <t>JTS484</t>
  </si>
  <si>
    <t>JTS484  TRW - РўСЏРіР° СЃС‚Р°Р±С–Р»С–Р·Р°С‚РѕСЂР°</t>
  </si>
  <si>
    <t>JTS487</t>
  </si>
  <si>
    <t>JTS487  TRW - РўСЏРіР° СЃС‚Р°Р±С–Р»С–Р·Р°С‚РѕСЂР°</t>
  </si>
  <si>
    <t>JTS488</t>
  </si>
  <si>
    <t>JTS488  TRW - РўСЏРіР° СЃС‚Р°Р±С–Р»С–Р·Р°С‚РѕСЂР°</t>
  </si>
  <si>
    <t>JTS510</t>
  </si>
  <si>
    <t>JTS510  TRW - РўСЏРіР° СЃС‚Р°Р±С–Р»С–Р·Р°С‚РѕСЂР°</t>
  </si>
  <si>
    <t>345.17</t>
  </si>
  <si>
    <t>BMW 1 (E81/E87), 3 (E90/E91)  05-, rear L/R</t>
  </si>
  <si>
    <t>JTS514</t>
  </si>
  <si>
    <t>JTS514  TRW - РўСЏРіР° СЃС‚Р°Р±С–Р»С–Р·Р°С‚РѕСЂР°</t>
  </si>
  <si>
    <t>VW Caddy III  04-, rear L/R</t>
  </si>
  <si>
    <t>JTS525</t>
  </si>
  <si>
    <t>JTS525  TRW - РўСЏРіР° СЃС‚Р°Р±С–Р»С–Р·Р°С‚РѕСЂР°</t>
  </si>
  <si>
    <t>AUDI A8 (4E), VW Phaeton  03-10, rear L/R</t>
  </si>
  <si>
    <t>JTS547</t>
  </si>
  <si>
    <t>JTS547  TRW - РўСЏРіР° СЃС‚Р°Р±С–Р»С–Р·Р°С‚РѕСЂР°</t>
  </si>
  <si>
    <t>OPEL Corsa D, FIAT Punto, Grande Punto  06-, front L/R</t>
  </si>
  <si>
    <t>JTS550</t>
  </si>
  <si>
    <t>JTS550  TRW - РўСЏРіР° СЃС‚Р°Р±С–Р»С–Р·Р°С‚РѕСЂР°</t>
  </si>
  <si>
    <t>340.71</t>
  </si>
  <si>
    <t>RENAULT Laguna  07-, front L/R</t>
  </si>
  <si>
    <t>JTS556</t>
  </si>
  <si>
    <t>JTS556  TRW - РўСЏРіР° СЃС‚Р°Р±С–Р»С–Р·Р°С‚РѕСЂР°</t>
  </si>
  <si>
    <t>226.91</t>
  </si>
  <si>
    <t>PEUGEOT 207  06-, front right</t>
  </si>
  <si>
    <t>JTS557</t>
  </si>
  <si>
    <t>JTS557  TRW - РўСЏРіР° СЃС‚Р°Р±С–Р»С–Р·Р°С‚РѕСЂР°</t>
  </si>
  <si>
    <t>PEUGEOT 207  06-, front left</t>
  </si>
  <si>
    <t>JTS606</t>
  </si>
  <si>
    <t>JTS606  TRW - РўСЏРіР° СЃС‚Р°Р±С–Р»С–Р·Р°С‚РѕСЂР°</t>
  </si>
  <si>
    <t>JTS610</t>
  </si>
  <si>
    <t>JTS610  TRW - РўСЏРіР° СЃС‚Р°Р±С–Р»С–Р·Р°С‚РѕСЂР°</t>
  </si>
  <si>
    <t>DACIA/RENAULT Logan, Logan MCV  04-, front L/R</t>
  </si>
  <si>
    <t>JTS7505</t>
  </si>
  <si>
    <t>JTS7505  TRW - РўСЏРіР° СЃС‚Р°Р±С–Р»С–Р·Р°С‚РѕСЂР°</t>
  </si>
  <si>
    <t>HONDA Civic, CR-V  91-01, front L/R</t>
  </si>
  <si>
    <t>JTS7538</t>
  </si>
  <si>
    <t>JTS7538  TRW - РўСЏРіР° СЃС‚Р°Р±С–Р»С–Р·Р°С‚РѕСЂР°</t>
  </si>
  <si>
    <t>LEXUS RX300/350, TOYOTA Camry (V30)  01-, front L/R</t>
  </si>
  <si>
    <t>JTS7556</t>
  </si>
  <si>
    <t>JTS7556  TRW - РўСЏРіР° СЃС‚Р°Р±С–Р»С–Р·Р°С‚РѕСЂР°</t>
  </si>
  <si>
    <t>232.40</t>
  </si>
  <si>
    <t>MAZDA 323F/S (BJ), Premacy  00-04, front L/R</t>
  </si>
  <si>
    <t>JTS7564</t>
  </si>
  <si>
    <t>JTS7564  TRW - РўСЏРіР° СЃС‚Р°Р±С–Р»С–Р·Р°С‚РѕСЂР°</t>
  </si>
  <si>
    <t>350.15</t>
  </si>
  <si>
    <t>TOYOTA Land Cruiser (J12, J15)  02-, front left</t>
  </si>
  <si>
    <t>JTS7565</t>
  </si>
  <si>
    <t>JTS7565  TRW - РўСЏРіР° СЃС‚Р°Р±С–Р»С–Р·Р°С‚РѕСЂР°</t>
  </si>
  <si>
    <t>TOYOTA Land Cruiser (J12, J15)  02-, front right</t>
  </si>
  <si>
    <t>JTS7618</t>
  </si>
  <si>
    <t>JTS7618  TRW - РўСЏРіР° СЃС‚Р°Р±С–Р»С–Р·Р°С‚РѕСЂР°</t>
  </si>
  <si>
    <t>PFB425</t>
  </si>
  <si>
    <t>PFB425  TRW - Р“Р°Р»СЊРјС–РІРЅР° СЂС–РґРёРЅР° DOT-4 0.25L</t>
  </si>
  <si>
    <t>38.10</t>
  </si>
  <si>
    <t>TRW DOT-4  0,25L</t>
  </si>
  <si>
    <t>PFK241</t>
  </si>
  <si>
    <t>PFK241  TRW - РљРѕРјРїР»РµРєС‚ РґР»СЏ РјРѕРЅС‚Р°Р¶Сѓ РґРёСЃРєРѕРІРёС… РіР°Р»СЊРјС–РІРЅРёС… РєРѕР»РѕРґРѕРє</t>
  </si>
  <si>
    <t># OPEL Calibra/Combo/Kadett/Omega/Vectra/Astra)|DAEWOO ESPERO (KLEJ) (1.5L| 1.8L| 2.0L)</t>
  </si>
  <si>
    <t>PHA262</t>
  </si>
  <si>
    <t>PHA262  TRW - Р“Р°Р»СЊРјС–РІРЅРёР№ С€Р»Р°РЅРі</t>
  </si>
  <si>
    <t>VW Golf II/Passat -96</t>
  </si>
  <si>
    <t>PHB101</t>
  </si>
  <si>
    <t>PHB101  TRW - Р“Р°Р»СЊРјС–РІРЅРёР№ С€Р»Р°РЅРі</t>
  </si>
  <si>
    <t>PHB113</t>
  </si>
  <si>
    <t>PHB113  TRW - Р“Р°Р»СЊРјС–РІРЅРёР№ С€Р»Р°РЅРі</t>
  </si>
  <si>
    <t>PHB177</t>
  </si>
  <si>
    <t>PHB177  TRW - Р“Р°Р»СЊРјС–РІРЅРёР№ С€Р»Р°РЅРі</t>
  </si>
  <si>
    <t>PHB353</t>
  </si>
  <si>
    <t>PHB353  TRW - Р“Р°Р»СЊРјС–РІРЅРёР№ С€Р»Р°РЅРі</t>
  </si>
  <si>
    <t>193.78</t>
  </si>
  <si>
    <t>MERCEDES C Klasse (W202)  93-00</t>
  </si>
  <si>
    <t>PHB525</t>
  </si>
  <si>
    <t>PHB525  TRW - Р“Р°Р»СЊРјС–РІРЅРёР№ С€Р»Р°РЅРі</t>
  </si>
  <si>
    <t># MERCEDES-BENZ CLS (C219) (3.0L| 3.0L| 3.5L| 5.0L| 5.4L| 5.5L| 6.2L) |MERCEDES-BENZ E-CLASS (W211) (1.8L| 2.1L| 2.5L| 2.6L| 2.7L| 3.0L| 3.0L| 3.2L| 3.2L| 3.5L| 4.0L| 5.0L| 5.4L| 5.5L| 6.2L) |MERCEDES</t>
  </si>
  <si>
    <t>PHB526</t>
  </si>
  <si>
    <t>PHB526  TRW - Р“Р°Р»СЊРјС–РІРЅРёР№ С€Р»Р°РЅРі</t>
  </si>
  <si>
    <t>304.32</t>
  </si>
  <si>
    <t>PHC204</t>
  </si>
  <si>
    <t>PHC204  TRW - Р“Р°Р»СЊРјС–РІРЅРёР№ С€Р»Р°РЅРі</t>
  </si>
  <si>
    <t>167.52</t>
  </si>
  <si>
    <t>Ford Sierra  87- all|  Scorpio -94</t>
  </si>
  <si>
    <t>PJK730</t>
  </si>
  <si>
    <t>PJK730  TRW - Р¦РёР»С–РЅРґСЂ Р·С‡РµРїР»РµРЅРЅСЏ СЂРѕР±РѕС‡РёР№</t>
  </si>
  <si>
    <t>DAEWOO Espero 1.5 16V ,1.8,2.0 93-99, Lanos 1.4, 1.5 , 1.6 16V 97-</t>
  </si>
  <si>
    <t>PJQ108</t>
  </si>
  <si>
    <t>PJQ108  TRW - Р¦РёР»С–РЅРґСЂ Р·С‡РµРїР»РµРЅРЅСЏ СЂРѕР±РѕС‡РёР№</t>
  </si>
  <si>
    <t>1427.19</t>
  </si>
  <si>
    <t xml:space="preserve">AudiI A1, A3| Ford Galaxy| VW Bora, Caddy, Eos, Golf, Multivan, Passat, Touran, T5  1,4-3,2TDI  95- </t>
  </si>
  <si>
    <t>PMF562</t>
  </si>
  <si>
    <t>PMF562  TRW - Р¦РёР»С–РЅРґСЂ РіР°Р»СЊРјС–РІРЅРёР№ РіРѕР»РѕРІРЅРёР№</t>
  </si>
  <si>
    <t>1534.29</t>
  </si>
  <si>
    <t xml:space="preserve">Opel Vivaro 2.0-2.5CDTI   01-06  (+ ABS) </t>
  </si>
  <si>
    <t>PMF563</t>
  </si>
  <si>
    <t>PMF563  TRW - Р¦РёР»С–РЅРґСЂ РіР°Р»СЊРјС–РІРЅРёР№ РіРѕР»РѕРІРЅРёР№</t>
  </si>
  <si>
    <t>1554.03</t>
  </si>
  <si>
    <t>Opel Vivaro 2.0-2.5CDTI 2007-  (+ ASR)</t>
  </si>
  <si>
    <t>PMH690</t>
  </si>
  <si>
    <t>PMH690  TRW - Р¦РёР»С–РЅРґСЂ РіР°Р»СЊРјС–РІРЅРёР№ РіРѕР»РѕРІРЅРёР№</t>
  </si>
  <si>
    <t>871.93</t>
  </si>
  <si>
    <t>CITROГ‹N JUMPY 95-06, FIAT SCUDO 96-06, PEUGEOT 605, 806, EXPERT 90-06</t>
  </si>
  <si>
    <t>PMK574</t>
  </si>
  <si>
    <t>PMK574  TRW - Р¦РёР»С–РЅРґСЂ РіР°Р»СЊРјС–РІРЅРёР№ РіРѕР»РѕРІРЅРёР№</t>
  </si>
  <si>
    <t>1620.11</t>
  </si>
  <si>
    <t>VW   LT 28-35 II 1996 - 2006, LT 28-46 II 1996 - 2006</t>
  </si>
  <si>
    <t>PML440</t>
  </si>
  <si>
    <t>PML440  TRW - Р¦РёР»С–РЅРґСЂ РіР°Р»СЊРјС–РІРЅРёР№ РіРѕР»РѕРІРЅРёР№</t>
  </si>
  <si>
    <t>1327.12</t>
  </si>
  <si>
    <t># MERCEDES BENZ SPRINTER 3-t 2000 - 2006, SPRINTER 4,6-t 2006 &gt;&gt;, SPRINTER 4-t 1996 - 2006</t>
  </si>
  <si>
    <t>SFK116</t>
  </si>
  <si>
    <t>SFK116  TRW - РљРѕРјРїР»РµРєС‚ РґР»СЏ РјРѕРЅС‚Р°Р¶Сѓ РєРѕР»РѕРґРѕРє РґРѕ Р±Р°СЂР°Р±Р°РЅС–РІ</t>
  </si>
  <si>
    <t>95.60</t>
  </si>
  <si>
    <t>#  OPEL ASCONA, OPEL KADET</t>
  </si>
  <si>
    <t>SFK138</t>
  </si>
  <si>
    <t>SFK138  TRW - РљРѕРјРїР»РµРєС‚ РґР»СЏ РјРѕРЅС‚Р°Р¶Сѓ РєРѕР»РѕРґРѕРє РґРѕ Р±Р°СЂР°Р±Р°РЅС–РІ</t>
  </si>
  <si>
    <t># RENAULT 11 (B/C37_) (1.2L| 1.4L| 1.6L| 1.7L) |RENAULT 11 С„СѓСЂРіРѕРЅ (S37_) (1.2L| 1.6L) |RENAULT 19 I (B/C53_) (1.2L| 1.4L| 1.4L| 1.7L| 1.9L) |RENAULT 19 I Cabriolet (D53_) (1.7L) |RENAULT 19 I Chamade</t>
  </si>
  <si>
    <t>SFK166</t>
  </si>
  <si>
    <t>SFK166  TRW - РљРѕРјРїР»РµРєС‚ РґР»СЏ РјРѕРЅС‚Р°Р¶Сѓ РєРѕР»РѕРґРѕРє РґРѕ Р±Р°СЂР°Р±Р°РЅС–РІ</t>
  </si>
  <si>
    <t>144.52</t>
  </si>
  <si>
    <t># PEUGEOT 206 SW (2E/K) (1.1L| 1.4L| 1.4L) |PEUGEOT 206 РќР°РєР»РѕРЅРЅР°СЏ Р·Р°РґРЅСЏСЏ С‡Р°СЃС‚СЊ (2A/C) (1.1L| 1.4L| 1.4L| 1.6L| 1.9L) |PEUGEOT 206 СЃРµРґР°РЅ (1.4L) |FIAT PUNTO (176) (1.1L| 1.2L| 1.6L| 1.7L) |FIAT PUNTO Va</t>
  </si>
  <si>
    <t>SFK211</t>
  </si>
  <si>
    <t>SFK211  TRW - РљРѕРјРїР»РµРєС‚ РґР»СЏ РјРѕРЅС‚Р°Р¶Сѓ РєРѕР»РѕРґРѕРє РґРѕ Р±Р°СЂР°Р±Р°РЅС–РІ</t>
  </si>
  <si>
    <t># AUDI 80 1986 - 1991, 90 1987 - 1991, A4 2008 &gt;&gt;</t>
  </si>
  <si>
    <t>SFK223</t>
  </si>
  <si>
    <t>SFK223  TRW - РљРѕРјРїР»РµРєС‚ РґР»СЏ РјРѕРЅС‚Р°Р¶Сѓ РєРѕР»РѕРґРѕРє РґРѕ Р±Р°СЂР°Р±Р°РЅС–РІ</t>
  </si>
  <si>
    <t>204.77</t>
  </si>
  <si>
    <t>AUDI 80, 100| SEAT INCA| VW CADDY II, GOLF II, PASSAT 1,4-2,8    -04</t>
  </si>
  <si>
    <t>SFK329</t>
  </si>
  <si>
    <t>SFK329  TRW - РљРѕРјРїР»РµРєС‚ РґР»СЏ РјРѕРЅС‚Р°Р¶Сѓ РєРѕР»РѕРґРѕРє РґРѕ Р±Р°СЂР°Р±Р°РЅС–РІ</t>
  </si>
  <si>
    <t># CHEVROLET MATIZ (1.0L) |DAEWOO MATIZ (KLYA) (0.8L| 1.0L)</t>
  </si>
  <si>
    <t>SFK335</t>
  </si>
  <si>
    <t>SFK335  TRW - РљРѕРјРїР»РµРєС‚ РґР»СЏ РјРѕРЅС‚Р°Р¶Сѓ РєРѕР»РѕРґРѕРє РґРѕ Р±Р°СЂР°Р±Р°РЅС–РІ</t>
  </si>
  <si>
    <t>BMW 1 (E81, E87)  1,6-2,0 |BMW 3 (E46, E90)|  4 (F32), Z4 (E85) 1,6-3,0  98-12</t>
  </si>
  <si>
    <t>SFK384</t>
  </si>
  <si>
    <t>SFK384  TRW - РљРѕРјРїР»РµРєС‚ РґР»СЏ РјРѕРЅС‚Р°Р¶Сѓ РєРѕР»РѕРґРѕРє РґРѕ Р±Р°СЂР°Р±Р°РЅС–РІ</t>
  </si>
  <si>
    <t>CHEVROLET AVEO, LACETTI| DAEWOO  ESPERO, KALOS,  LANOS, NUBIRA,  1,2-3,2   94-</t>
  </si>
  <si>
    <t>VERSACHEM</t>
  </si>
  <si>
    <t>DV800 (80050)</t>
  </si>
  <si>
    <t>SUPER YELLOW 148ml - РЎСѓРїРµСЂ РєР»РµР№</t>
  </si>
  <si>
    <t>168.27</t>
  </si>
  <si>
    <t>VERSACHEM SG</t>
  </si>
  <si>
    <t xml:space="preserve">VERSACHEM  EXHAUST SYSTEM JOINT &amp; CRACK SEALER, 142g. РўРµСЂРјРѕСЃС‚С–Р№РєРёР№ РіРµСЂРјРµС‚РёРє </t>
  </si>
  <si>
    <t>69.72</t>
  </si>
  <si>
    <t>Versachem</t>
  </si>
  <si>
    <t xml:space="preserve">VERSACHEM   TIGER PATCH MUFFLER REPAIR TAPE СЃС‚СЂС–С‡РєР° (5СЃРј С… 91СЃРј) </t>
  </si>
  <si>
    <t>VERSACHEM Р”РІРѕРєРѕРјРїРѕРЅРµРЅС‚РЅРёР№ РєР»РµР№ РґР»СЏ СЃРєР»РµСЋРІР°РЅРЅСЏ РґР·РµСЂРєР°Р»Р° Р·Р°РґРЅСЊРѕРіРѕ РІРёРіР»СЏРґСѓ РґРѕ Р»РѕР±РѕРІРѕРіРѕ СЃРєР»Р°.</t>
  </si>
  <si>
    <t>11109 Rear View Mirror Adhesive\nРћРџРРЎ РџР РћР”РЈРљРўРЈ: Р”РІРѕРєРѕРјРїРѕРЅРµРЅС‚РЅРёР№ РєР»РµР№, РґР»СЏ СЃРєР»РµСЋРІР°РЅРЅСЏ РґР·РµСЂРєР°Р»Р° Р·Р°РґРЅСЊРѕРіРѕ РІРёРіР»СЏРґСѓ РґРѕ Р»РѕР±РѕРІРѕРіРѕ СЃРєР»Р°. РќР°Р№РєСЂР°С‰Рµ РІРёРєРѕСЂРёСЃС‚РѕРІСѓРІР°С‚Рё РґР»СЏ РјРµС‚Р°Р»РµРІРѕРіРѕ РєСЂС–РїР»РµРЅРЅСЏ РґР·РµСЂРєР°Р» Р·Р°РґРЅСЊРѕРіРѕ РІРёРґСѓ. \nРќР• Р Р•РљРћРњР•РќР”РЈР„РўР¬РЎРЇ РІРёРєРѕСЂРёСЃС‚РѕРІСѓРІР°С‚Рё  РґР»СЏ РїР»Р°СЃС‚РјР°СЃРѕРІРёС… РєСЂС–РїР»РµРЅСЊ.\nР’Р›РђРЎРўРР’РћРЎРўР†: РњС–С†РЅС–СЃС‚СЊ РЅР° СЂРѕР·СЂРёРІ: 176 РєРі/СЃРјВІ. РљРѕР»С–СЂ: РїСЂРѕР·РѕСЂРёР№. Р’РѕРґРѕСЃС‚С–Р№РєРёР№. Р§Р°СЃ РІРёСЃРёС…Р°РЅРЅСЏ: 1-60 СЃРµРєСѓРЅРґ. Р§Р°СЃ Р·Р°С‚РІРµСЂРґС–РЅРЅСЏ: 30 С…РІРёР»РёРЅ. РўРµРјРїРµСЂР°С‚СѓСЂРЅРёР№ РґС–Р°РїР°Р·РѕРЅ: -50В°РЎ РґРѕ 94В°РЎ.\nРҐР†РњР†Р§РќРђ РЎРўР†Р™РљР†РЎРўР¬: РљР»РµР№ РґР·РµСЂРєР°Р»Р° Р·Р°РґРЅСЊРѕРіРѕ РІРёРґСѓ РЅРµ СЂРµРєРѕРјРµРЅРґСѓС”С‚СЊСЃСЏ РїС–РґРґР°РІР°С‚Рё С‚СЂРёРІР°Р»С–Р№ РІР·Р°С”РјРѕРґС–С— Р· С…С–РјС–С‡РЅРёРјРё СЂРµС‡РѕРІРёРЅР°РјРё С– СЂРѕР·С‡РёРЅРЅРёРєР°РјРё. \nР—Р‘Р•Р Р†Р“РђРќРќРЇ: РІ СЃСѓС…РѕРјСѓ, РїСЂРѕС…РѕР»РѕРґРЅРѕРјСѓ РјС–СЃС†С–.\nРџР†Р”Р“РћРўРћР’РљРђ РџРћР’Р•Р РҐРќР†: РѕС‡РёСЃС‚РёС‚Рё РїРѕРІРµСЂС…РЅСЋ РїРµСЂРµРґ РїРѕС‡Р°С‚РєРѕРј СЂРµРјРѕРЅС‚Сѓ. Р’С–РґвЂ™С”РґРЅР°С‚Рё РєСЂРѕРЅС€С‚РµР№РЅ С‚СЂРёРјР°С‡Р° РІС–Рґ РґР·РµСЂРєР°Р»Р°. РќР° Р·РѕРІРЅС–С€РЅС–Р№ СЃС‚РѕСЂРѕРЅС– Р»РѕР±РѕРІРѕРіРѕ СЃРєР»Р° РІС–РґР·РЅР°С‡РёС‚Рё РјС–СЃС†Рµ РєСЂС–РїР»РµРЅРЅСЏ С‚СЂРёРјР°С‡Р° РѕР»С–РІС†РµРј Р°Р±Рѕ РјР°СЂРєРµСЂРѕРј.\nР’РЎРўРђРќРћР’Р›Р•РќРќРЇ: РќР°РЅРµСЃС–С‚СЊ Т‘СЂСѓРЅС‚РѕРІРєСѓ С‚РѕРЅРєРёРј С€Р°СЂРѕРј РЅР° С‚СЂРёРјР°С‡ РґР·РµСЂРєР°Р»Р°, РґР°Р№С‚Рµ РІРёСЃРѕС…РЅСѓС‚Рё РїСЂРѕС‚СЏРіРѕРј 1-2 С…РІРёР»РёРЅ, РїРѕС‚С–Рј РєР°РїРЅС–С‚СЊ РєР»РµСЋ РЅР° Р·Р°Т‘СЂСѓРЅС‚РѕРІР°РЅСѓ РґС–Р»СЏРЅРєСѓ, РїСЂРёС‚РёСЃРЅС–С‚СЊ РЅС–Р¶РєСѓ РґРѕ СЃРєР»Р° С– С‚СЂРёРјР°Р№С‚Рµ 60 СЃРµРєСѓРЅРґ. Р”Р·РµСЂРєР°Р»Рѕ РјРѕР¶РЅР° Р±СѓРґРµ РІСЃС‚Р°РІРёС‚Рё РІ С‚СЂРёРјР°С‡ С‡РµСЂРµР· 30 С…РІРёР»РёРЅ.\n</t>
  </si>
  <si>
    <t>VERSACHEM  ANTI-SEIZE THREAD LUBRICANT (4g),РІРёСЃРѕРєРѕС‚РµРјРїРµСЂР°С‚СѓСЂРЅР° Р·РјР°Р·РєР° РґР»СЏ СЂС–Р·СЊР±Рё,(24С€С‚./СѓРї.)</t>
  </si>
  <si>
    <t>25.64</t>
  </si>
  <si>
    <t>VERSACHEM  METAL GRINDING COMPOUND, 42.5g. Р—Р°СЃС–Р± РґР»СЏ С‡РёСЃС‚РєРё С‚Р° РїРѕР»С–СЂСѓРІР°РЅРЅСЏ РєР»Р°РїР°РЅС–РІ РЅР° Р°РІС‚РѕРјРѕР±С–Р»СЊРЅРёС…</t>
  </si>
  <si>
    <t>73.72</t>
  </si>
  <si>
    <t>VERSACHEM  HEAVY DUTY RADIATOR STOP LEAK, 21g. РџРѕСЂРѕС€РєРѕРІРёР№ РіРµСЂРјРµС‚РёРє СЂР°РґС–Р°С‚РѕСЂР° Р· РІРёСЃРѕРєРѕСЏРєС–СЃРЅРѕС— РјС–РґС– РґР»</t>
  </si>
  <si>
    <t>VERSACHEM  H2 HOLDВ® ALL-PURPOSE EPOXY, 25ml РЈРЅС–РІРµСЂСЃР°Р»СЊРЅРёР№ РґРІРѕС…РєРѕРјРїРѕРµРЅС‚РЅРёР№ РµРїРѕРєСЃРёРґРЅРёР№ РµР»Р°СЃС‚РёС‡РЅРёР№ РєР»РµР№</t>
  </si>
  <si>
    <t>116.36</t>
  </si>
  <si>
    <t xml:space="preserve">VERSACHEM  THREADLOCK BLUE, 36ml РЎРёРЅС–Р№ РєР»РµР№-С„С–РєСЃР°С‚РѕСЂ СЂС–Р·Р±РѕРІРёС… Р·С”РґРЅР°РЅСЊ, СЃРµСЂРµРґРЅСЊРѕС— СЃРёР»Рё. </t>
  </si>
  <si>
    <t>171.33</t>
  </si>
  <si>
    <t xml:space="preserve">VERSACHEM  THREADLOCK BLUE, 6ml РЎРёРЅС–Р№ РєР»РµР№-С„С–РєСЃР°С‚РѕСЂ СЂС–Р·Р±РѕРІРёС… Р·С”РґРЅР°РЅСЊ, СЃРµСЂРµРґРЅСЊРѕС— СЃРёР»Рё. </t>
  </si>
  <si>
    <t>57.22</t>
  </si>
  <si>
    <t>VERSACHEM SYNTHETIC CALIPER GREASE (4g), Р·РјР°Р·РєР° РґР»СЏ С‡Р°СЃС‚РёРЅ РіР°Р»СЊРјС–РІРЅРѕС— СЃРёСЃС‚РµРјРё,(24С€С‚./СѓРї.)</t>
  </si>
  <si>
    <t>21.64</t>
  </si>
  <si>
    <t>VERSACHEM  BLACK SILICONE O.E.M LOW VOLATILE, 85g. РЎРёР»С–РєРѕРЅРѕРІРёР№ РІРёСЃРѕРєРѕС‚РµРјРїРµСЂР°С‚СѓСЂРЅРёР№ РіРµСЂРјРµС‚РёРє, С‡РѕСЂРЅРёР№.</t>
  </si>
  <si>
    <t>VERSACHEM  THREADLOCK RED, 36ml Р§РµСЂРІРѕРЅРёР№ РєР»РµР№-С„С–РєСЃР°С‚РѕСЂ СЂС–Р·Р±РѕРІРёС… Р·С”РґРЅР°РЅСЊ.Р’РёСЃРѕРєР° РјС–С†РЅС–СЃС‚СЊ. РџСЂРѕС‚РёРґС–С” РІРё</t>
  </si>
  <si>
    <t>VERSACHEM  THREADLOCK RED, 6ml Р§РµСЂРІРѕРЅРёР№ РєР»РµР№-С„С–РєСЃР°С‚РѕСЂ СЂС–Р·Р±РѕРІРёС… Р·С”РґРЅР°РЅСЊ.Р’РёСЃРѕРєР° РјС–С†РЅС–СЃС‚СЊ. РџСЂРѕС‚РёРґС–С” РІРёС‚</t>
  </si>
  <si>
    <t>VERSACHEM  4 MINUTE STEEL EPOXY, 56.7g. Р•РїРѕРєСЃРёРґРЅРёР№ РєР»РµР№ С‚РёРїСѓ Quick Set Steel РїСЂРёР·РЅР°С‡РµРЅРёР№ РґР»СЏ СЃРєР»РµСЋРІР°</t>
  </si>
  <si>
    <t>57.70</t>
  </si>
  <si>
    <t>VERSACHEM  60 SECOND EPOXY, 25 ml. РЈРЅС–РІРµСЂСЃР°Р»СЊРЅРёР№ РµРїРѕРєСЃРёРґРЅРёР№ РґРІРѕС…РєРѕРјРїРѕРЅРµРЅС‚РЅРёР№ РєР»РµР№, СЃРєР»РµСЋС” Р·Р° 60 СЃРµРєСѓ</t>
  </si>
  <si>
    <t>60.42</t>
  </si>
  <si>
    <t>VERSACHEM  5 MINUTEВ® CLEAR EPOXY, 25 ml РЈРЅС–РІРµСЂСЃР°Р»СЊРЅРёР№ РµРїРѕРєСЃРёРґРЅРёР№ РґРІРѕС…РєРѕРјРїРѕРЅРµРЅС‚РЅРёР№ 5-С‚Рё С…РІРёР»РёРЅРЅРёР№ РєР»Рµ</t>
  </si>
  <si>
    <t>VERSACHEM  5 MINUTEВ® EPOXY GEL, 25ml. РЈРЅС–РІРµСЂСЃР°Р»СЊРЅРёР№ РµРїРѕРєСЃРёРґРЅРёР№ РґРІРѕРєРѕРјРїРѕРЅРµРЅС‚РЅРёР№ РєР»РµР№ РґР»СЏ С€РІРёРґРєРѕС— РіРµСЂРј</t>
  </si>
  <si>
    <t>79.81</t>
  </si>
  <si>
    <t>VERSACHEM  CLEAR WELD EPOXY, 25ml. Р•РїРѕРєСЃРёРґРЅРёР№ 2-С… РєРѕРјРїРѕРЅРµРЅС‚РЅРёР№ РєР»РµР№ РїСЂРёР·РЅР°С‡РµРЅРёР№ РґР»СЏ СЃРєР»РµСЋРІР°РЅРЅСЏ РјРµС‚Р°Р»</t>
  </si>
  <si>
    <t>VERSACHEM  STEEL WELDВ® EPOXY, 25ml. Р•РїРѕРєСЃРёРґРЅРёР№ 2-С… РєРѕРјРїРѕРЅРµРЅС‚С–РІ РєР»РµР№ РґР»СЏ РјРµС‚Р°Р»С–РІ: Р°Р»СЋРјС–РЅС–СЋ, Р»Р°С‚СѓРЅС–, Рј</t>
  </si>
  <si>
    <t xml:space="preserve">VERSACHEM  PLASTIC WELDERв„ў, 25ml. 2-С… РєРѕРјРїРѕРЅРµРЅС‚РЅРµ В«С…РѕР»РѕРґРЅРµ Р·РІР°СЂСЋРІР°РЅРЅСЏВ» РґР»СЏ РїР»Р°СЃС‚РёРєСѓ. Р”Р»СЏ СЃРєР»РµСЋРІР°РЅРЅСЏ </t>
  </si>
  <si>
    <t>VERSACHEM  TITANIUM 5В® EPOXY, 25ml. РЈРЅС–РІРµСЂСЃР°Р»СЊРЅРёР№ С‚РёС‚Р°РЅРѕРІРёР№ РµРїРѕРєСЃРёРґРЅРёР№ 2-С… РєРѕРјРїРѕРЅРµРЅС‚РЅРёР№ РєР»РµР№ РґР»СЏ СЃРєР»</t>
  </si>
  <si>
    <t xml:space="preserve">VERSACHEM  SUPER BLUEВ® SILICONE, 85 g Р’РѕРґРѕСЃС‚С–Р№РєРёР№ СЃРёР»С–РєРѕРЅРѕРІРёР№ РіРµСЂРјРµС‚РёРє, СЃРёРЅС–Р№. Р’РёС‚СЂРёРјСѓС” С‚РµРјРїРµСЂР°С‚СѓСЂСѓ </t>
  </si>
  <si>
    <t>VERSACHEM  HI-TEMP RED SILICONE, 85g Р§РµСЂРІРѕРЅРёР№ СЃРёР»С–РєРѕРЅРѕРІРёР№ РіРµСЂРјРµС‚РёРє РїСЂРѕРєР»Р°РґРѕРє. Р’РёРєРѕСЂРёСЃС‚РѕРІСѓС”С‚СЊСЃСЏ РґР»СЏ Р·</t>
  </si>
  <si>
    <t>VERSACHEM  SUPER CLEAR SILICONE, 85g РџСЂРѕР·РѕСЂРёР№ СЃРёР»С–РєРѕРЅРѕРІРёР№ РіРµСЂРјРµС‚РёРє. Р’РёС‚СЂРёРјСѓС” С‚РµРјРїРµСЂР°С‚СѓСЂСѓ РІС–Рґ -73 В° РЎ</t>
  </si>
  <si>
    <t>VERSACHEM  FLOWABLE SILICONE, 42g РџСЂРѕР·РѕСЂРёР№ СЃРёР»С–РєРѕРЅРѕРІРёР№ РіРµСЂРјРµС‚РёРє РґР»СЏ СЃРєР»Р°. Р”РѕР·РІРѕР»СЏС” Р·РЅР°Р№С‚Рё РїСЂРѕС‚С–РєР°РЅРЅСЏ</t>
  </si>
  <si>
    <t>VERSACHEM  EXHAUST SYSTEM REPAIR TAPE 5 cm x 101.6 cm Р РµРјРѕРЅС‚РЅР° СЃС‚СЂС–С‡РєР° РґР»СЏ РіР»СѓС€РЅРёРєС–РІ. РќРµ РІРёРјР°РіР°С” РґРµРј</t>
  </si>
  <si>
    <t>VERSACHEM  INFERNO METAL REPAIR, 85g Р’РёСЃРѕРєРѕ С‚РµРјРїРµСЂР°С‚СѓСЂРЅРёР№ РіРµСЂРјРµС‚РёРє. Р’РёРєРѕСЂРёСЃС‚РѕРІСѓС”С‚СЊСЃСЏ РґР»СЏ РєРѕР»РµРєС‚РѕСЂС–РІ,</t>
  </si>
  <si>
    <t>131.42</t>
  </si>
  <si>
    <t xml:space="preserve">VERSACHEM  MEGA COPPERВ® SILICONE, 85g Р’РёСЃРѕРєРѕС‚РµРјРїРµСЂР°С‚СѓСЂРЅРёР№ РіРµСЂРјРµС‚РёРє РїСЂРѕРєР»Р°РґРѕРє Р· РјС–РґРЅРёРј РЅР°РїРѕРІРЅСЋРІР°С‡РµРј. </t>
  </si>
  <si>
    <t>75.33</t>
  </si>
  <si>
    <t>VERSACHEM  PLASTIC TANK AND RADIATOR REPAIR KIT РєРѕРјРїР»РµРєС‚ РґР»СЏ СЂРµРјРѕРЅС‚Сѓ РїР»Р°СЃС‚РёРєРѕРІРёС… СЂРµР·РµСЂРІСѓР°СЂС–РІ С‚Р° СЂР°РґС–</t>
  </si>
  <si>
    <t>91.99</t>
  </si>
  <si>
    <t xml:space="preserve">VERSACHEM MEGA BLACK SILICONE O.E.M. 85g,РіРµСЂРјРµС‚РёРє С‡РѕСЂРЅРёР№ РґР»СЏ СЂРµРјРѕРЅС‚Сѓ Р±-СЏ.РґРІРёРіСѓРЅС–РІ.Р‘РµР·РїРµС‡РЅРёР№ РґР»СЏ </t>
  </si>
  <si>
    <t>58.34</t>
  </si>
  <si>
    <t>VERSACHEM  MEGA GREY SILICONE, 85g РЎС–СЂРёР№ РіРµСЂРјРµС‚РёРє РІРёРєРѕСЂРёСЃС‚РѕРІСѓС”С‚СЊСЃСЏ РґР»СЏ РІС–РґРЅРѕРІР»РµРЅРЅСЏ Р±С–Р»СЊС€РѕСЃС‚С– РїСЂРѕРєР»Р°Рґ</t>
  </si>
  <si>
    <t>VC90110</t>
  </si>
  <si>
    <t>VERSACHEM WINDSHIELD REPAIR KIT РЅР°Р±С–СЂ РґР»СЏ СЂРµРјРѕРЅС‚Сѓ РІС–С‚СЂРѕРІРѕРіРѕ СЃРєР»Р°</t>
  </si>
  <si>
    <t>229.19</t>
  </si>
  <si>
    <t>VC90180</t>
  </si>
  <si>
    <t xml:space="preserve">VERSACHEM FUIL TANK REPAIR РєРѕРјРїР»РµРєС‚ РґР»СЏ СЂРµРјРѕРЅС‚Сѓ Р±РµРЅР·РѕР±Р°РєСѓ </t>
  </si>
  <si>
    <t>100.01</t>
  </si>
  <si>
    <t>VIPOIL</t>
  </si>
  <si>
    <t>VipOil  DOT4 375 Рі x24</t>
  </si>
  <si>
    <t>26.22</t>
  </si>
  <si>
    <t>VipOil  DOT4 780 Рі x18</t>
  </si>
  <si>
    <t>50.48</t>
  </si>
  <si>
    <t>VipOil Р›С–С‚РѕР»-24Рњ, 10Р»</t>
  </si>
  <si>
    <t>498.52</t>
  </si>
  <si>
    <t>VipOil Р›С–С‚РѕР»-24Рњ, 20Р»</t>
  </si>
  <si>
    <t>952.21</t>
  </si>
  <si>
    <t>VipOil Р›С–С‚РѕР»-24Рњ, 5Р»</t>
  </si>
  <si>
    <t>227.11</t>
  </si>
  <si>
    <t>РћРјРёРІР°С‡ СЃРєР»Р° VipOil (Р»С–С‚РЅС–Р№) Р”РёРЅСЏ, 3Р»</t>
  </si>
  <si>
    <t>14.18</t>
  </si>
  <si>
    <t>РћРјРёРІР°С‡ СЃРєР»Р° VipOil (Р»С–С‚РЅС–Р№) Р”РёРЅСЏ, 5Р»</t>
  </si>
  <si>
    <t>19.64</t>
  </si>
  <si>
    <t>РћРјРёРІР°С‡ СЃРєР»Р° VipOil (Р»С–С‚РЅС–Р№) РњРѕСЂСЃСЊРєР° СЃРІС–Р¶С–СЃС‚СЊ, 5Р»</t>
  </si>
  <si>
    <t>РћРјРёРІР°С‡ СЃРєР»Р° VipOil (Р»С–С‚РЅС–Р№) РЇР±Р»СѓРєРѕ, 3Р»</t>
  </si>
  <si>
    <t>РћРјРёРІР°С‡ СЃРєР»Р° VipOil (Р»С–С‚РЅС–Р№) РЇР±Р»СѓРєРѕ, 5Р»</t>
  </si>
  <si>
    <t>VipOil Professional 10W40 SL/CF, 1L x14</t>
  </si>
  <si>
    <t>48.01</t>
  </si>
  <si>
    <t>VipOil Professional 10W40 SL/CF, 4L x5</t>
  </si>
  <si>
    <t>166.04</t>
  </si>
  <si>
    <t>VipOil Professional 10W40 SL/CF, 5L x4</t>
  </si>
  <si>
    <t>204.59</t>
  </si>
  <si>
    <t>VipOil Professional 10W40 SL/CF, 20L</t>
  </si>
  <si>
    <t>779.00</t>
  </si>
  <si>
    <t>VipOil Professional 10W40 SL/CF, 200L</t>
  </si>
  <si>
    <t>7713.37</t>
  </si>
  <si>
    <t>VipOil Classic 10W40 SG/CD, 1L x14</t>
  </si>
  <si>
    <t>45.25</t>
  </si>
  <si>
    <t>VipOil Classic 10W40 SG/CD, 4L x5</t>
  </si>
  <si>
    <t>159.89</t>
  </si>
  <si>
    <t>VipOil Classic 10W40 SG/CD, 5L x4</t>
  </si>
  <si>
    <t>191.15</t>
  </si>
  <si>
    <t>VipOil Classic 10W40 SG/CD, 20L</t>
  </si>
  <si>
    <t>728.68</t>
  </si>
  <si>
    <t>VipOil Professional TDI 10W40 CI-4/SL, 1L x14</t>
  </si>
  <si>
    <t>49.43</t>
  </si>
  <si>
    <t>VipOil Professional TDI 10W40 CI-4/SL, 5L x4</t>
  </si>
  <si>
    <t>211.90</t>
  </si>
  <si>
    <t>VipOil Professional TDI 10W40 CI-4/SL, 10L</t>
  </si>
  <si>
    <t>411.07</t>
  </si>
  <si>
    <t>VipOil Professional TDI 10W40 CI-4/SL, 200L</t>
  </si>
  <si>
    <t>8125.68</t>
  </si>
  <si>
    <t>VipOil Professional 15W40 SG/CD, 1L x14</t>
  </si>
  <si>
    <t>45.38</t>
  </si>
  <si>
    <t>VipOil Professional 15W40 SG/CD, 5L x4</t>
  </si>
  <si>
    <t>192.50</t>
  </si>
  <si>
    <t>VipOil Professional TD 15W40 CD/SF, 1L x15</t>
  </si>
  <si>
    <t>47.83</t>
  </si>
  <si>
    <t>VipOil Professional TD 15W40 CD/SF, 5L x4</t>
  </si>
  <si>
    <t>204.89</t>
  </si>
  <si>
    <t>VipOil MOTO HP 2T API TC, 1L x14</t>
  </si>
  <si>
    <t>43.15</t>
  </si>
  <si>
    <t>VipOil Professional Promo, 3,5L x5</t>
  </si>
  <si>
    <t>VipOil Differential 80W90 GL-5, 1L x14</t>
  </si>
  <si>
    <t>50.65</t>
  </si>
  <si>
    <t>VipOil Differential 80W90 GL-5, 4L x5</t>
  </si>
  <si>
    <t>177.71</t>
  </si>
  <si>
    <t>VipOil РўРђР”-17Рј, 1L x14</t>
  </si>
  <si>
    <t>44.92</t>
  </si>
  <si>
    <t>VipOil РўРђР”-17Рј, 3,5L x5</t>
  </si>
  <si>
    <t>144.74</t>
  </si>
  <si>
    <t>VipOil РўРђР”-17Рј, 10L</t>
  </si>
  <si>
    <t>361.73</t>
  </si>
  <si>
    <t>VipOil РўРђР”-17Рј, 20L</t>
  </si>
  <si>
    <t>719.71</t>
  </si>
  <si>
    <t>VipOil РњР“Р•-46РІ, 20L</t>
  </si>
  <si>
    <t>684.82</t>
  </si>
  <si>
    <t>VipOil РњР“Р•-46РІ, 200L</t>
  </si>
  <si>
    <t>6713.93</t>
  </si>
  <si>
    <t>VipOil Automatic ATF DEXRON II D, 1L x14</t>
  </si>
  <si>
    <t>45.83</t>
  </si>
  <si>
    <t>VipOil РЎРѕР»С–РґРѕР» Р–, 0,4 kg (x24)</t>
  </si>
  <si>
    <t>VipOil Р›С–С‚РѕР»-24, 0,4 kg (x24)</t>
  </si>
  <si>
    <t>44.18</t>
  </si>
  <si>
    <t>VipOil Р›С–С‚РѕР»-24, 4 kg</t>
  </si>
  <si>
    <t>265.58</t>
  </si>
  <si>
    <t>VipOil Р›С–С‚РѕР»-24, 9 kg</t>
  </si>
  <si>
    <t>575.08</t>
  </si>
  <si>
    <t>VipOil Р›С–С‚РѕР»-24, 17 kg</t>
  </si>
  <si>
    <t>1076.20</t>
  </si>
  <si>
    <t>VipOil Рњ-10Р“2Рє, 10L</t>
  </si>
  <si>
    <t>344.11</t>
  </si>
  <si>
    <t>VipOil Рњ-10Р“2Рє, 20L</t>
  </si>
  <si>
    <t>681.53</t>
  </si>
  <si>
    <t>VipOil Рњ-10Р”Рњ, 10L</t>
  </si>
  <si>
    <t>357.33</t>
  </si>
  <si>
    <t>VipOil Рњ-10Р”Рњ, 20L</t>
  </si>
  <si>
    <t>707.73</t>
  </si>
  <si>
    <t>VipOil Рњ-8Р’, 20L</t>
  </si>
  <si>
    <t>715.46</t>
  </si>
  <si>
    <t>VipOil MOTO XT 4T 10W40, 1L x14</t>
  </si>
  <si>
    <t>Р’РѕРґР° РґРёСЃС‚РёР»СЊРѕРІР°РЅР° VipOil 1Р»</t>
  </si>
  <si>
    <t>Р’РѕРґР° РґРёСЃС‚РёР»СЊРѕРІР°РЅР° VipOil 5Р»</t>
  </si>
  <si>
    <t>15.00</t>
  </si>
  <si>
    <t>РћРјРёРІР°С‡ СЃРєР»Р° VipOil (Р»С–С‚РЅС–Р№) РњРѕСЂСЃСЊРєР° СЃРІС–Р¶С–СЃС‚СЊ, 3Р»</t>
  </si>
  <si>
    <t>РђРЅС‚РёС„СЂРёР· VipOil Profi 30 Red 1РєРі С…8</t>
  </si>
  <si>
    <t>22.92</t>
  </si>
  <si>
    <t>РђРЅС‚РёС„СЂРёР· VipOil Profi 30 Red 10РєРі С…2</t>
  </si>
  <si>
    <t>177.98</t>
  </si>
  <si>
    <t>РђРЅС‚РёС„СЂРёР· VipOil Profi 30 Green 1РєРі С…8</t>
  </si>
  <si>
    <t>РђРЅС‚РёС„СЂРёР· VipOil Profi 30 Green 5РєРі С…4</t>
  </si>
  <si>
    <t>90.39</t>
  </si>
  <si>
    <t>РђРЅС‚РёС„СЂРёР· VipOil Profi 30 Blue 1РєРі С…8</t>
  </si>
  <si>
    <t>21.60</t>
  </si>
  <si>
    <t>РђРЅС‚РёС„СЂРёР· VipOil Profi 30 Blue 5РєРі С…4</t>
  </si>
  <si>
    <t>86.91</t>
  </si>
  <si>
    <t>РђРЅС‚РёС„СЂРёР· VipOil Profi 30 Blue 10РєРі С…2</t>
  </si>
  <si>
    <t>167.78</t>
  </si>
  <si>
    <t>РђРЅС‚РёС„СЂРёР· VipOil G11 Profi 40 (СЃРёРЅС–Р№), 1РєРі С…8</t>
  </si>
  <si>
    <t>23.46</t>
  </si>
  <si>
    <t>РђРЅС‚РёС„СЂРёР· VipOil G11 Profi 40 (СЃРёРЅС–Р№), 5РєРі С…4</t>
  </si>
  <si>
    <t>96.33</t>
  </si>
  <si>
    <t>РђРЅС‚РёС„СЂРёР· VipOil G11 Profi 40 (СЃРёРЅС–Р№), 10РєРі С…2</t>
  </si>
  <si>
    <t>192.87</t>
  </si>
  <si>
    <t>РђРЅС‚РёС„СЂРёР· VipOil G12 Profi 40 (С‡РµСЂРІРѕРЅРёР№), 5РєРі С…4</t>
  </si>
  <si>
    <t>102.76</t>
  </si>
  <si>
    <t>РђРЅС‚РёС„СЂРёР· VipOil G12 Profi 40 (С‡РµСЂРІРѕРЅРёР№), 10РєРі С…2</t>
  </si>
  <si>
    <t>198.76</t>
  </si>
  <si>
    <t>РђРЅС‚РёС„СЂРёР· VipOil ECO Profi 40 (Р·РµР»РµРЅРёР№), 1РєРі С…8</t>
  </si>
  <si>
    <t>24.40</t>
  </si>
  <si>
    <t>РђРЅС‚РёС„СЂРёР· VipOil ECO Profi 40 (Р·РµР»РµРЅРёР№), 5РєРі С…4</t>
  </si>
  <si>
    <t>102.68</t>
  </si>
  <si>
    <t>РђРЅС‚РёС„СЂРёР· VipOil ECO Profi 40 (Р·РµР»РµРЅРёР№), 10РєРі С…2</t>
  </si>
  <si>
    <t>198.77</t>
  </si>
  <si>
    <t>WD-40</t>
  </si>
  <si>
    <t>124W700016</t>
  </si>
  <si>
    <t>Р—РјР°Р·РєРё РїСЂРѕРЅРёРєР°СЋС‡Рё WD-40 100ml. / 24</t>
  </si>
  <si>
    <t>62.04</t>
  </si>
  <si>
    <t>124W700018</t>
  </si>
  <si>
    <t>Р—РјР°Р·РєРё РїСЂРѕРЅРёРєР°СЋС‡Рё WD-40 100ml. / 12 (РђРљР¦Р†РЇ)</t>
  </si>
  <si>
    <t>50.25</t>
  </si>
  <si>
    <t>124W700021</t>
  </si>
  <si>
    <t>Р—РјР°Р·РєРё РїСЂРѕРЅРёРєР°СЋС‡Рё WD-40 200ml. / 36</t>
  </si>
  <si>
    <t>124W700038</t>
  </si>
  <si>
    <t>Р—РјР°Р·РєРё РїСЂРѕРЅРёРєР°СЋС‡Рё WD-40 300ml. / 12</t>
  </si>
  <si>
    <t>103.14</t>
  </si>
  <si>
    <t>124W700049</t>
  </si>
  <si>
    <t>Р—РјР°Р·РєРё РїСЂРѕРЅРёРєР°СЋС‡Рё WD-40 400ml. / 24</t>
  </si>
  <si>
    <t>128.73</t>
  </si>
  <si>
    <t>WIX</t>
  </si>
  <si>
    <t>6161   (002)</t>
  </si>
  <si>
    <t>86.18</t>
  </si>
  <si>
    <t>WIX FILTERS</t>
  </si>
  <si>
    <t>WA6161</t>
  </si>
  <si>
    <t>VW GOLF 1.3i 87-92, 1.8 84-88, JETTA 1.8 86-91FordEscort 1.6i  -90</t>
  </si>
  <si>
    <t>6162   (003)</t>
  </si>
  <si>
    <t>94.63</t>
  </si>
  <si>
    <t>WA6162</t>
  </si>
  <si>
    <t>VW GOLF 1.6 76-82, JETTA 1.8 84-88, CADDY 1.8 85-92</t>
  </si>
  <si>
    <t>6163   (003/1)</t>
  </si>
  <si>
    <t>113.22</t>
  </si>
  <si>
    <t>WA6163</t>
  </si>
  <si>
    <t>Chrysler Neon 2.0/ Voyager 2.5td</t>
  </si>
  <si>
    <t>9491   (003/8)</t>
  </si>
  <si>
    <t>163.54</t>
  </si>
  <si>
    <t>WA9491</t>
  </si>
  <si>
    <t>CHEROKEE/LIBERTY 03-&gt;(LX1272)</t>
  </si>
  <si>
    <t>6166   (004)</t>
  </si>
  <si>
    <t>65.53</t>
  </si>
  <si>
    <t>WA6166</t>
  </si>
  <si>
    <t>VW/AUDI 1.6D/TD -91, AUDI 80  2.0 16V, 2.3E -96</t>
  </si>
  <si>
    <t>6537   (004/2)</t>
  </si>
  <si>
    <t>201.65</t>
  </si>
  <si>
    <t>WA6537</t>
  </si>
  <si>
    <t>AUDI A6 3.7 99-, 4.2 S6 96-12/97, A8 2.8-4.2 95-</t>
  </si>
  <si>
    <t>9515   (004/3)</t>
  </si>
  <si>
    <t>202.78</t>
  </si>
  <si>
    <t>WA9515</t>
  </si>
  <si>
    <t>Q7/CAYENNE/TOUAREG (LX792)</t>
  </si>
  <si>
    <t>9721   (004/5)</t>
  </si>
  <si>
    <t>234.70</t>
  </si>
  <si>
    <t>WA9721</t>
  </si>
  <si>
    <t>Volkswagen Amarok 2.0TDI, 2.0BiTDI</t>
  </si>
  <si>
    <t>6167   (005)</t>
  </si>
  <si>
    <t>82.05</t>
  </si>
  <si>
    <t>WA6167</t>
  </si>
  <si>
    <t>6168   (006)</t>
  </si>
  <si>
    <t>66.09</t>
  </si>
  <si>
    <t>WA6168</t>
  </si>
  <si>
    <t xml:space="preserve">LADA 2109-2112 РёРЅР¶РµРєС‚РѕСЂ, VW TRANSPORTER 1.6-2.1 -92, AUDI 100 1.8i-2.3i  -90 </t>
  </si>
  <si>
    <t>6172   (010)</t>
  </si>
  <si>
    <t>116.97</t>
  </si>
  <si>
    <t>WA6172</t>
  </si>
  <si>
    <t>W201 190D/ W124 E200D 93- , SsangYoung Korando, Musso 2.3D 96- (LX95)</t>
  </si>
  <si>
    <t>6173   (010/1)</t>
  </si>
  <si>
    <t>141.01</t>
  </si>
  <si>
    <t>WA6173</t>
  </si>
  <si>
    <t>MB W124 (E200, E220) 93-98\n</t>
  </si>
  <si>
    <t>6581   (010/3)</t>
  </si>
  <si>
    <t>WA6581</t>
  </si>
  <si>
    <t>MB W140 (S300TD, S350TD)  93-98</t>
  </si>
  <si>
    <t>6174   (011)</t>
  </si>
  <si>
    <t>WA6174</t>
  </si>
  <si>
    <t>W124 250D/ TD 85-6/ 93 (LX96)</t>
  </si>
  <si>
    <t>6175   (012)</t>
  </si>
  <si>
    <t>WA6175</t>
  </si>
  <si>
    <t>W124 300D -93/ G 300TD 97- (LX97)</t>
  </si>
  <si>
    <t>6176   (013)</t>
  </si>
  <si>
    <t>37.55</t>
  </si>
  <si>
    <t>WA6176</t>
  </si>
  <si>
    <t>6178   (015)</t>
  </si>
  <si>
    <t>89.37</t>
  </si>
  <si>
    <t>WA6178</t>
  </si>
  <si>
    <t>Opel Kadett D/ E 1.6D (LX35)</t>
  </si>
  <si>
    <t>6179   (016)</t>
  </si>
  <si>
    <t>88.81</t>
  </si>
  <si>
    <t>WA6179</t>
  </si>
  <si>
    <t>ESCORT 1.6D 84-&gt;90 (LX118)</t>
  </si>
  <si>
    <t>6185   (021)</t>
  </si>
  <si>
    <t>79.99</t>
  </si>
  <si>
    <t>WA6185</t>
  </si>
  <si>
    <t xml:space="preserve">CITROEN Bx 1.5-1.9D 82- 94 , C5 1.8-3.0HDI 01- 04 , C8 2.0- 2.2 HDI 02-,  JUMPY 1.6-2.0TD, 95-  FIAT Scudo 1.6-2.0 96-,  Expert 1.6-2.0 TD/HDI 96- </t>
  </si>
  <si>
    <t>6186   (022)</t>
  </si>
  <si>
    <t>46.38</t>
  </si>
  <si>
    <t>WA6186</t>
  </si>
  <si>
    <t>CINQUECENTO/SEICENTO (LX532)</t>
  </si>
  <si>
    <t>9400   (022/1)</t>
  </si>
  <si>
    <t>94.82</t>
  </si>
  <si>
    <t>WA9400</t>
  </si>
  <si>
    <t>Fiat Panda 03-</t>
  </si>
  <si>
    <t>9556   (022/2)</t>
  </si>
  <si>
    <t>74.35</t>
  </si>
  <si>
    <t>WA9556</t>
  </si>
  <si>
    <t>Fiat 500 1.2 8V, Grande Punto 1.2 8V, 1.4 8V, Idea 1.2 8V| Lancia Musa, Ypsilon| Ford Ka II 1.2 8V (РћР• 55192012)</t>
  </si>
  <si>
    <t>6187   (023)</t>
  </si>
  <si>
    <t>WA6187</t>
  </si>
  <si>
    <t>FORD TRANSIT 2.5D/TD/DI 88-00</t>
  </si>
  <si>
    <t>6583   (023/2)</t>
  </si>
  <si>
    <t>101.96</t>
  </si>
  <si>
    <t>WA6583</t>
  </si>
  <si>
    <t>FORD TRANSIT 2.5TD (4HA/HD) 98-00</t>
  </si>
  <si>
    <t>6675   (023/3)</t>
  </si>
  <si>
    <t>93.88</t>
  </si>
  <si>
    <t>WA6675</t>
  </si>
  <si>
    <t>9558   (023/4)</t>
  </si>
  <si>
    <t>WA9558</t>
  </si>
  <si>
    <t>Ford Transit 2.2TDCI 06- (РћР• 1373667, 6C119601CB)</t>
  </si>
  <si>
    <t>6189   (025)</t>
  </si>
  <si>
    <t>153.97</t>
  </si>
  <si>
    <t>WA6189</t>
  </si>
  <si>
    <t>BMW E23/ E28/ E30 1, 8i-3, 5i mot.M30/ M10 -&gt;92</t>
  </si>
  <si>
    <t>6190   (026)</t>
  </si>
  <si>
    <t>105.15</t>
  </si>
  <si>
    <t>WA6190</t>
  </si>
  <si>
    <t>BMW E30/ E36/ E28/ E34 1, 8i-2, 5i mot.M20/ M40/ M43 -&gt;08/ 95</t>
  </si>
  <si>
    <t>6192   (028)</t>
  </si>
  <si>
    <t>103.45</t>
  </si>
  <si>
    <t>WA6192</t>
  </si>
  <si>
    <t>BMW 320i 90-98, 325i 90-, 525i, 530i 00- /Р°РЅР°Р»РѕРі LX343/</t>
  </si>
  <si>
    <t>6194   (029)</t>
  </si>
  <si>
    <t>WA6194</t>
  </si>
  <si>
    <t>E30 324TD/E28 524D/TD (LX109)</t>
  </si>
  <si>
    <t>9661   (030/2)</t>
  </si>
  <si>
    <t>WA9661</t>
  </si>
  <si>
    <t>BMW X3 (F25), X5 (E70), X6 (E71), 535i (F10/F11/F18), 735i (F01/F02)</t>
  </si>
  <si>
    <t>6196   (031)</t>
  </si>
  <si>
    <t>131.24</t>
  </si>
  <si>
    <t>WA6196</t>
  </si>
  <si>
    <t>E34 520/525 M50 / M5 E34 (LX408)</t>
  </si>
  <si>
    <t>6197   (032)</t>
  </si>
  <si>
    <t>137.44</t>
  </si>
  <si>
    <t>WA6197</t>
  </si>
  <si>
    <t>BMW 530i, 535i, 730i/iL, 735i/iL  86-95 (M30 - engines)</t>
  </si>
  <si>
    <t>6655   (032/1)</t>
  </si>
  <si>
    <t>145.14</t>
  </si>
  <si>
    <t>WA6655</t>
  </si>
  <si>
    <t>BMW E38 750i mot.M70 С‚СЂРµР±СѓРµС‚СЃСЏ 2 С€С‚./ E53 X5 3, 0i 05/ 00-</t>
  </si>
  <si>
    <t>6377   (033)</t>
  </si>
  <si>
    <t>158.09</t>
  </si>
  <si>
    <t>WA6377</t>
  </si>
  <si>
    <t>MB W124 (230E 85-88), W201 (E2.0 -88)</t>
  </si>
  <si>
    <t>6198   (034)</t>
  </si>
  <si>
    <t>184.38</t>
  </si>
  <si>
    <t>WA6198</t>
  </si>
  <si>
    <t>MB W201 (D2.5 TURBO) 89-93, W124 (E250D/TD) 93-95</t>
  </si>
  <si>
    <t>9504   (034/4-2x)</t>
  </si>
  <si>
    <t>450.06</t>
  </si>
  <si>
    <t>WA9504</t>
  </si>
  <si>
    <t>MB W203/W211/W164 (LX1850/S)</t>
  </si>
  <si>
    <t>6378   (036)</t>
  </si>
  <si>
    <t>179.87</t>
  </si>
  <si>
    <t>WA6378</t>
  </si>
  <si>
    <t>MB W201 (E1.8, E2.0, E2.3) 89-93, W124 (200E, 230E) 89-93</t>
  </si>
  <si>
    <t>6379   (037)</t>
  </si>
  <si>
    <t>153.21</t>
  </si>
  <si>
    <t>WA6379</t>
  </si>
  <si>
    <t>MB W124 (260E, 300E) 85-93, W126 (260SE, 300SE) 85-91</t>
  </si>
  <si>
    <t>6203   (041)</t>
  </si>
  <si>
    <t>72.47</t>
  </si>
  <si>
    <t>WA6203</t>
  </si>
  <si>
    <t>FIAT TIPO, TEMPRA 1.8i, 2.0i 90-95, 1.9D/TD 92-95</t>
  </si>
  <si>
    <t>6204   (042)</t>
  </si>
  <si>
    <t>51.07</t>
  </si>
  <si>
    <t>WA6204</t>
  </si>
  <si>
    <t xml:space="preserve">FIAT TEMPRA 1.4i 91-96, TIPO,UNO 1.4i 89-95, Tavria/Slavuta 1.2i, 1.3i </t>
  </si>
  <si>
    <t>6208   (046)</t>
  </si>
  <si>
    <t>52.20</t>
  </si>
  <si>
    <t>WA6208</t>
  </si>
  <si>
    <t>FORD SCORPIO 2.0-2.9 86-93, 2.5TD -98, SIERRA 2.0, 1.8TD 86-93</t>
  </si>
  <si>
    <t>6209   (046/1)</t>
  </si>
  <si>
    <t>167.10</t>
  </si>
  <si>
    <t>WA6209</t>
  </si>
  <si>
    <t>FORD SCORPIO 2.0i, 2.3i, 2.9i 94-98, SIERRA 2.0, 1.8TD 86-93</t>
  </si>
  <si>
    <t>6211   (048)</t>
  </si>
  <si>
    <t>92.75</t>
  </si>
  <si>
    <t>WA6211</t>
  </si>
  <si>
    <t>OPEL ASCONA 1.8i, 2.0i  82-88, KADETT 1.8  87-90</t>
  </si>
  <si>
    <t>6212   (049)</t>
  </si>
  <si>
    <t>91.44</t>
  </si>
  <si>
    <t>WA6212</t>
  </si>
  <si>
    <t>6213   (050)</t>
  </si>
  <si>
    <t>85.25</t>
  </si>
  <si>
    <t>WA6213</t>
  </si>
  <si>
    <t>OPEL ASTRA 1.4-1.8 (C**NZ - engines) 91-98 (MANN: C3167/4)</t>
  </si>
  <si>
    <t>6214   (051)</t>
  </si>
  <si>
    <t>WA6214</t>
  </si>
  <si>
    <t>OPEL ASTRA (all engines) 98-, ZAFIRA (all engines) 99-</t>
  </si>
  <si>
    <t>6699   (051/1)</t>
  </si>
  <si>
    <t>115.09</t>
  </si>
  <si>
    <t>WA6699</t>
  </si>
  <si>
    <t>9402   (051/5)</t>
  </si>
  <si>
    <t>133.31</t>
  </si>
  <si>
    <t>WA9402</t>
  </si>
  <si>
    <t>OPEL Corsa C/ Tigra II 1, 3CDTI/ 1, 7DTI/ CDTI 09/ 00-&gt; 0835627/ 0835632</t>
  </si>
  <si>
    <t>9653   (051/7)</t>
  </si>
  <si>
    <t>191.52</t>
  </si>
  <si>
    <t>WA9653</t>
  </si>
  <si>
    <t>Chevrolet Cruze| Opel Astra J</t>
  </si>
  <si>
    <t>9654   (051/8)</t>
  </si>
  <si>
    <t>184.94</t>
  </si>
  <si>
    <t>WA9654</t>
  </si>
  <si>
    <t>Chevrolet Cruze| Opel Astra J 1.4-1.8, 09-</t>
  </si>
  <si>
    <t>6220   (056)</t>
  </si>
  <si>
    <t>106.46</t>
  </si>
  <si>
    <t>WA6220</t>
  </si>
  <si>
    <t>OPEL Omega A, Frontera A 2.3D/TD 86-94, 2.4i-3.0i 88-98</t>
  </si>
  <si>
    <t>6221   (057)</t>
  </si>
  <si>
    <t>69.85</t>
  </si>
  <si>
    <t>WA6221</t>
  </si>
  <si>
    <t xml:space="preserve">OPEL Calibra A, Vectra A 1.7D -95, 1.6-2.0i  -95 </t>
  </si>
  <si>
    <t>6222   (057/1)</t>
  </si>
  <si>
    <t>147.95</t>
  </si>
  <si>
    <t>WA6222</t>
  </si>
  <si>
    <t>OPEL SINTRA all eng.  96-99,  CHEVROLET TRANS SPORT 3.4  96-</t>
  </si>
  <si>
    <t>6223   (058)</t>
  </si>
  <si>
    <t>121.67</t>
  </si>
  <si>
    <t>WA6223</t>
  </si>
  <si>
    <t>CITROEN XM 89-00, PEUGEOT 605 89-99 (ALL ENGINES)</t>
  </si>
  <si>
    <t>9452   (058/2)</t>
  </si>
  <si>
    <t>164.29</t>
  </si>
  <si>
    <t>WA9452</t>
  </si>
  <si>
    <t>PEUGEOT 206/ 307 1.4 16V</t>
  </si>
  <si>
    <t>9503   (058/3)</t>
  </si>
  <si>
    <t>165.98</t>
  </si>
  <si>
    <t>WA9503</t>
  </si>
  <si>
    <t>C4 1.6 I (LX1745)</t>
  </si>
  <si>
    <t>9526   (058/4)</t>
  </si>
  <si>
    <t>106.83</t>
  </si>
  <si>
    <t>WA9526</t>
  </si>
  <si>
    <t>Citroen C4 2.0i 16V 10/04--&gt;, C4 Picasso| Peugeot 307 2.0i 16V 4/05--&gt;</t>
  </si>
  <si>
    <t>9596   (058/8)</t>
  </si>
  <si>
    <t>161.66</t>
  </si>
  <si>
    <t>WA9596</t>
  </si>
  <si>
    <t>9748   (058/9)</t>
  </si>
  <si>
    <t>86.56</t>
  </si>
  <si>
    <t>WA9748</t>
  </si>
  <si>
    <t>Citroen C4, C4 Picasso 1.4i 16V, Mini One II, Peugeot 207, 3008, 308 1.4VTi, 1.6VTI</t>
  </si>
  <si>
    <t>6225   (060)</t>
  </si>
  <si>
    <t>96.51</t>
  </si>
  <si>
    <t>WA6225</t>
  </si>
  <si>
    <t>SEAT TOLEDO 1.6-2.0 91-96, VW CADDY 1.6 95-, POLO 1.8  97-01</t>
  </si>
  <si>
    <t>6226   (061)</t>
  </si>
  <si>
    <t>WA6226</t>
  </si>
  <si>
    <t>FORD TRANSIT 2.5DI/TD 92-00 /Р°РЅР°Р»РѕРі LX583/</t>
  </si>
  <si>
    <t>9766   (062/1)</t>
  </si>
  <si>
    <t>296.10</t>
  </si>
  <si>
    <t>WA9766</t>
  </si>
  <si>
    <t>Audi A3 III| Seat Leon III| Skoda Octavia III| Volkswagen Golf VII 1.2-1.4 TSI, 12-  / E1105L , LX3525/</t>
  </si>
  <si>
    <t>6228   (063)</t>
  </si>
  <si>
    <t>WA6228</t>
  </si>
  <si>
    <t>9405   (063/1)</t>
  </si>
  <si>
    <t>98.57</t>
  </si>
  <si>
    <t>WA9405</t>
  </si>
  <si>
    <t>BMW 535i, 540i, 735i, 740i (M62 - eng.) 96- /Р°РЅР°Р»РѕРі LX422/</t>
  </si>
  <si>
    <t>6229   (064)</t>
  </si>
  <si>
    <t>97.26</t>
  </si>
  <si>
    <t>WA6229</t>
  </si>
  <si>
    <t>LX59 VOLVO 240  2.0, 2.3 80-89,  360  2.0 80-90</t>
  </si>
  <si>
    <t>6231   (066)</t>
  </si>
  <si>
    <t>178.37</t>
  </si>
  <si>
    <t>WA6231</t>
  </si>
  <si>
    <t>VOLVO 740 2.0T, 2.3T, 2.4D/TD, 940 2.0T, 2.3T, 2.4D/TD 90-98</t>
  </si>
  <si>
    <t>93323E   (068)</t>
  </si>
  <si>
    <t>368.01</t>
  </si>
  <si>
    <t>93323E</t>
  </si>
  <si>
    <t>MB 510, 507D, 609D, 709D  86-</t>
  </si>
  <si>
    <t>93324E   (069)</t>
  </si>
  <si>
    <t>93324E</t>
  </si>
  <si>
    <t>MB 611D, 614D, 711, 711D, 714, 714D, 811D, 814D  86-</t>
  </si>
  <si>
    <t>6236   (071)</t>
  </si>
  <si>
    <t>63.84</t>
  </si>
  <si>
    <t>WA6236</t>
  </si>
  <si>
    <t>OPEL CORSA, COMBO 1.2i, 1.4i  94-01</t>
  </si>
  <si>
    <t>6238   (072)</t>
  </si>
  <si>
    <t>86.75</t>
  </si>
  <si>
    <t>WA6238</t>
  </si>
  <si>
    <t>9507   (072/1)</t>
  </si>
  <si>
    <t>WA9507</t>
  </si>
  <si>
    <t>CORSA D 06-&gt;</t>
  </si>
  <si>
    <t>9734   (072/4)</t>
  </si>
  <si>
    <t>264.55</t>
  </si>
  <si>
    <t>WA9734</t>
  </si>
  <si>
    <t>Opel Meriva B 1.3CDTI, 1.7CDTI</t>
  </si>
  <si>
    <t>6239   (073)</t>
  </si>
  <si>
    <t>WA6239</t>
  </si>
  <si>
    <t>6240   (074)</t>
  </si>
  <si>
    <t>106.65</t>
  </si>
  <si>
    <t>WA6240</t>
  </si>
  <si>
    <t>FORD MONDEO 1.6-2.0 93-00</t>
  </si>
  <si>
    <t>6535   (074/1)</t>
  </si>
  <si>
    <t>WA6535</t>
  </si>
  <si>
    <t xml:space="preserve"> FORD Fiesta IV Focus, Connect 1.6-2.0i, 1.8TD  98-</t>
  </si>
  <si>
    <t>6674   (074/3)</t>
  </si>
  <si>
    <t>123.54</t>
  </si>
  <si>
    <t>WA6674</t>
  </si>
  <si>
    <t>FORD MONDEO all engines 11/00-</t>
  </si>
  <si>
    <t>9406   (074/4)</t>
  </si>
  <si>
    <t>146.83</t>
  </si>
  <si>
    <t>WA9406</t>
  </si>
  <si>
    <t>Mondeo I/ II 1, 6...2, 5L 16V / 93-00</t>
  </si>
  <si>
    <t>9666   (078/1)</t>
  </si>
  <si>
    <t>181.00</t>
  </si>
  <si>
    <t>WA9666</t>
  </si>
  <si>
    <t>Fiat Punto EVO, Doblo, Panda 1,3 Multijet 10/09-&gt;</t>
  </si>
  <si>
    <t>6246   (080)</t>
  </si>
  <si>
    <t>81.67</t>
  </si>
  <si>
    <t>WA6246</t>
  </si>
  <si>
    <t>PEUGEOT/CITROEN BERLINGO 1.8i 97-, RENAULT KANGOO 1.4i 98-</t>
  </si>
  <si>
    <t>6528   (080/1)</t>
  </si>
  <si>
    <t>122.04</t>
  </si>
  <si>
    <t>WA6528</t>
  </si>
  <si>
    <t>PEUGEOT 106, CITROEN SAXO 1.6i  96-</t>
  </si>
  <si>
    <t>9409   (080/10)</t>
  </si>
  <si>
    <t>WA9409</t>
  </si>
  <si>
    <t>Citroen Berlingo II, Peugeot Partner II  1.9D, 2.0HDI 11/02-&gt;</t>
  </si>
  <si>
    <t>6539   (080/2)</t>
  </si>
  <si>
    <t>79.80</t>
  </si>
  <si>
    <t>WA6539</t>
  </si>
  <si>
    <t>PEUGEOT 206 1.1i - 1.6i  98-, CITROEN XSARA 1.4i, 1.6i 00-</t>
  </si>
  <si>
    <t>6669   (080/8)</t>
  </si>
  <si>
    <t>143.26</t>
  </si>
  <si>
    <t>WA6669</t>
  </si>
  <si>
    <t>6249   (082)</t>
  </si>
  <si>
    <t>83.74</t>
  </si>
  <si>
    <t>WA6249</t>
  </si>
  <si>
    <t>OPEL KADETT 2.0i 88-91, DAEWOO ESPERO -99, NEXIA -97</t>
  </si>
  <si>
    <t>6250   (082/1)</t>
  </si>
  <si>
    <t>WA6250</t>
  </si>
  <si>
    <t>LANOS 1.4-1.6 97-</t>
  </si>
  <si>
    <t>6251   (082/2)</t>
  </si>
  <si>
    <t>103.64</t>
  </si>
  <si>
    <t>WA6251</t>
  </si>
  <si>
    <t>DAEWOO NUBIRA 1.6i, 2.0i 97-</t>
  </si>
  <si>
    <t>6253   (082/4)</t>
  </si>
  <si>
    <t>84.68</t>
  </si>
  <si>
    <t>WA6253</t>
  </si>
  <si>
    <t>9439   (082/5)</t>
  </si>
  <si>
    <t>107.78</t>
  </si>
  <si>
    <t>WA9439</t>
  </si>
  <si>
    <t>Aveo / Kalos 1.2-1.6  02-&gt; 96536697/ 96536696</t>
  </si>
  <si>
    <t>9440   (082/6)</t>
  </si>
  <si>
    <t>121.29</t>
  </si>
  <si>
    <t>WA9440</t>
  </si>
  <si>
    <t>9639   (082/8)</t>
  </si>
  <si>
    <t>WA9639</t>
  </si>
  <si>
    <t>Chevrolet Matiz 06/05--&gt;</t>
  </si>
  <si>
    <t>6257   (086)</t>
  </si>
  <si>
    <t>WA6257</t>
  </si>
  <si>
    <t>FIAT FIORINO 1.4i, 1.6i, 1.7D  93-</t>
  </si>
  <si>
    <t>6259   (088)</t>
  </si>
  <si>
    <t>WA6259</t>
  </si>
  <si>
    <t>BMW 316i, 318i, 318is, 318ti (M42, M43, M44 - engines) 95-00</t>
  </si>
  <si>
    <t>6260   (089)</t>
  </si>
  <si>
    <t>211.42</t>
  </si>
  <si>
    <t>WA6260</t>
  </si>
  <si>
    <t>6262   (090)</t>
  </si>
  <si>
    <t>122.60</t>
  </si>
  <si>
    <t>WA6262</t>
  </si>
  <si>
    <t>FIAT SCUDO, PEUGEOT EXPERT, CITROEN JUMPY 1.6, 1.9D/TD 96- /Р°РЅР°Р»РѕРі LX572/</t>
  </si>
  <si>
    <t>9470   (090/3)</t>
  </si>
  <si>
    <t>WA9470</t>
  </si>
  <si>
    <t>Citroen C5 1.6HDI 16V 9/04--&gt;| Peugeot 407 1.6HDI 16V 4/04--&gt;</t>
  </si>
  <si>
    <t>9559   (090/6)</t>
  </si>
  <si>
    <t>139.51</t>
  </si>
  <si>
    <t>WA9559</t>
  </si>
  <si>
    <t>6769   (092/3)</t>
  </si>
  <si>
    <t>WA6769</t>
  </si>
  <si>
    <t>FIAT STILO 1.2i  02-</t>
  </si>
  <si>
    <t>9459   (092/6)</t>
  </si>
  <si>
    <t>WA9459</t>
  </si>
  <si>
    <t>Fiat Punto II 1.3JTD (nr cz??ci oryginalnej 55183265)</t>
  </si>
  <si>
    <t>6269   (093)</t>
  </si>
  <si>
    <t>WA6269</t>
  </si>
  <si>
    <t>FIAT FIORINO 1.7D 91-93, PUNTO 1.7D (176D3 - eng.) 94-00</t>
  </si>
  <si>
    <t>9747   (093/3)</t>
  </si>
  <si>
    <t>175.93</t>
  </si>
  <si>
    <t>WA9747</t>
  </si>
  <si>
    <t>Jeep Compass, Patriot 06-</t>
  </si>
  <si>
    <t>6271   (095)</t>
  </si>
  <si>
    <t>91.63</t>
  </si>
  <si>
    <t>WA6271</t>
  </si>
  <si>
    <t>FIAT TEMPRA 1.6i, 2.0i  93-96, TIPO 1.6i 92-95</t>
  </si>
  <si>
    <t>9560   (098/3)</t>
  </si>
  <si>
    <t>153.03</t>
  </si>
  <si>
    <t>WA9560</t>
  </si>
  <si>
    <t>Fiat Linea 1.4 T-Jet 10/07-, Grande Punto 1.9JTD 10/05- (РћР• 55184249)</t>
  </si>
  <si>
    <t>6276   (099)</t>
  </si>
  <si>
    <t>WA6276</t>
  </si>
  <si>
    <t>FORD MONDEO 1.8TD 93-00</t>
  </si>
  <si>
    <t>1000 = WP6800</t>
  </si>
  <si>
    <t>6800   (1000)</t>
  </si>
  <si>
    <t>108.34</t>
  </si>
  <si>
    <t>WP6800</t>
  </si>
  <si>
    <t>OPEL ASTRA 91-98, CORSA (+ A/C) 96-00, COMBO (+ A/C) 94-01</t>
  </si>
  <si>
    <t>1001 = WP6802</t>
  </si>
  <si>
    <t>6802   (1001)</t>
  </si>
  <si>
    <t>112.66</t>
  </si>
  <si>
    <t>WP6802</t>
  </si>
  <si>
    <t>OPEL OMEGA 94-</t>
  </si>
  <si>
    <t>1004 = WP6808</t>
  </si>
  <si>
    <t>6808   (1004)</t>
  </si>
  <si>
    <t>122.23</t>
  </si>
  <si>
    <t>WP6808</t>
  </si>
  <si>
    <t>AUDI A4 95-00, VW PASSAT B5  96-00</t>
  </si>
  <si>
    <t>1006 = WP6812</t>
  </si>
  <si>
    <t>6812   (1006)</t>
  </si>
  <si>
    <t>78.67</t>
  </si>
  <si>
    <t>WP6812</t>
  </si>
  <si>
    <t>1006A = WP6813</t>
  </si>
  <si>
    <t>6813   (1006A)</t>
  </si>
  <si>
    <t>197.15</t>
  </si>
  <si>
    <t>WP6813</t>
  </si>
  <si>
    <t>SKODA OCTAVIA 1.4-2.0, 1.9TDI 97-, VW 1.4-2.0, 1.9TDI 97-</t>
  </si>
  <si>
    <t>1008 = WP6816</t>
  </si>
  <si>
    <t>6816   (1008)</t>
  </si>
  <si>
    <t>140.63</t>
  </si>
  <si>
    <t>WP6816</t>
  </si>
  <si>
    <t>FORD MONDEO 94-</t>
  </si>
  <si>
    <t>1009 = WP6818</t>
  </si>
  <si>
    <t>6818   (1009)</t>
  </si>
  <si>
    <t>104.39</t>
  </si>
  <si>
    <t>WP6818</t>
  </si>
  <si>
    <t>OPEL VECTRA 95-02</t>
  </si>
  <si>
    <t>1014 = WP6828</t>
  </si>
  <si>
    <t>6828   (1014)</t>
  </si>
  <si>
    <t>123.92</t>
  </si>
  <si>
    <t>WP6828</t>
  </si>
  <si>
    <t>OPEL ASTRA 02/98-, ZAFIRA 04/99- (DELPHI-HOUSING)</t>
  </si>
  <si>
    <t>1016 = WP6832</t>
  </si>
  <si>
    <t>6832   (1016)</t>
  </si>
  <si>
    <t>223.06</t>
  </si>
  <si>
    <t>WP6832</t>
  </si>
  <si>
    <t>1018 = WP6836</t>
  </si>
  <si>
    <t>6836   (1018)</t>
  </si>
  <si>
    <t>164.67</t>
  </si>
  <si>
    <t>WP6836</t>
  </si>
  <si>
    <t>PEUGEOT 405 87-96</t>
  </si>
  <si>
    <t>102 = WA6278</t>
  </si>
  <si>
    <t>6278   (102)</t>
  </si>
  <si>
    <t>118.29</t>
  </si>
  <si>
    <t>WA6278</t>
  </si>
  <si>
    <t>HONDA ACCORD 2.0i, 2.2i 90-98</t>
  </si>
  <si>
    <t>102/3 = WA9488</t>
  </si>
  <si>
    <t>9488   (102/3)</t>
  </si>
  <si>
    <t>217.24</t>
  </si>
  <si>
    <t>WA9488</t>
  </si>
  <si>
    <t>ACCORD 03-&gt;</t>
  </si>
  <si>
    <t>1029 = 93135E</t>
  </si>
  <si>
    <t>93135E   (1029)</t>
  </si>
  <si>
    <t>146.08</t>
  </si>
  <si>
    <t>93135E</t>
  </si>
  <si>
    <t>Volvo FH12</t>
  </si>
  <si>
    <t>1031 = WP6900</t>
  </si>
  <si>
    <t>6900   (1031)</t>
  </si>
  <si>
    <t>227.00</t>
  </si>
  <si>
    <t>WP6900</t>
  </si>
  <si>
    <t>BMW E34 (+ A/C) 90-, E32</t>
  </si>
  <si>
    <t>1032 = WP6864</t>
  </si>
  <si>
    <t>6864   (1032)</t>
  </si>
  <si>
    <t>WP6864</t>
  </si>
  <si>
    <t>AUDI A6 94-97 (РґР»СЏ Р°РІС‚РѕРјРѕР±РёР»РµР№ Р±РµР· РєРѕРЅРґРёС†РёРѕРЅРµСЂР°)</t>
  </si>
  <si>
    <t>1036 = WP6872</t>
  </si>
  <si>
    <t>6872   (1036)</t>
  </si>
  <si>
    <t>173.12</t>
  </si>
  <si>
    <t>WP6872</t>
  </si>
  <si>
    <t>AUDI A6 94-97 (РґР»СЏ Р°РІС‚РѕРјРѕР±РёР»РµР№ СЃ РєРѕРЅРґРёС†РёРѕРЅРµСЂРѕРј)</t>
  </si>
  <si>
    <t>1037 = WP6874</t>
  </si>
  <si>
    <t>6874   (1037)</t>
  </si>
  <si>
    <t>167.49</t>
  </si>
  <si>
    <t>WP6874</t>
  </si>
  <si>
    <t>104 = WA6280</t>
  </si>
  <si>
    <t>6280   (104)</t>
  </si>
  <si>
    <t>WA6280</t>
  </si>
  <si>
    <t>HONDA CIVIC 1.4i 95-01,  1.5i, 1.6i 91-01, ROVER 416SI 95-00</t>
  </si>
  <si>
    <t>104/7 = WA9584</t>
  </si>
  <si>
    <t>9584   (104/7)</t>
  </si>
  <si>
    <t>150.39</t>
  </si>
  <si>
    <t>WA9584</t>
  </si>
  <si>
    <t>Honda Civic VIII 1.4i, 1.8i 1/06- (РћР• 17220RNAA00)</t>
  </si>
  <si>
    <t>1041 = 93116E</t>
  </si>
  <si>
    <t>93116E   (1041)</t>
  </si>
  <si>
    <t>93116E</t>
  </si>
  <si>
    <t>MAN - trucks F90, F2000, M2000</t>
  </si>
  <si>
    <t>1045 = WP6890</t>
  </si>
  <si>
    <t>6890   (1045)</t>
  </si>
  <si>
    <t>WP6890</t>
  </si>
  <si>
    <t>VW PASSAT B4 94-97 /255 X 180 X 29/</t>
  </si>
  <si>
    <t>1047A = WP6895</t>
  </si>
  <si>
    <t>6895   (1047A)</t>
  </si>
  <si>
    <t>214.61</t>
  </si>
  <si>
    <t>WP6895</t>
  </si>
  <si>
    <t>VW BORA, GOLF IV 08/97- (СѓРіРѕР»СЊРЅС‹Р№)</t>
  </si>
  <si>
    <t>1049 = 93211E</t>
  </si>
  <si>
    <t>93211E   (1049)</t>
  </si>
  <si>
    <t>93211E</t>
  </si>
  <si>
    <t>MAN</t>
  </si>
  <si>
    <t>105/1 = WA9586</t>
  </si>
  <si>
    <t>9586   (105/1)</t>
  </si>
  <si>
    <t>279.20</t>
  </si>
  <si>
    <t>WA9586</t>
  </si>
  <si>
    <t>Honda CR-V III 2.0i V-TEC 1/07-&gt;</t>
  </si>
  <si>
    <t>1052 = WP6928</t>
  </si>
  <si>
    <t>6928   (1052)</t>
  </si>
  <si>
    <t>92.19</t>
  </si>
  <si>
    <t>WP6928</t>
  </si>
  <si>
    <t>RENAULT CLIO, KANGOO (+ A/C), MEGANE (- A/C) 98-</t>
  </si>
  <si>
    <t>1053-2x = WP6934</t>
  </si>
  <si>
    <t>6934   (1053-2x)</t>
  </si>
  <si>
    <t>WP6934</t>
  </si>
  <si>
    <t>MB W210 (СЃ РєР»РёРјР°С‚РєРѕРЅС‚СЂ.) 95-, W220 01-Р¦Р•РќРђ Р—Рђ РљРњРџ(2РЁРў)</t>
  </si>
  <si>
    <t>1054 = WP6936</t>
  </si>
  <si>
    <t>6936   (1054)</t>
  </si>
  <si>
    <t>90.87</t>
  </si>
  <si>
    <t>WP6936</t>
  </si>
  <si>
    <t xml:space="preserve">FORD Focus  98-04, Transit Connect 02- </t>
  </si>
  <si>
    <t>1054A = WP6937</t>
  </si>
  <si>
    <t>6937   (1054A)</t>
  </si>
  <si>
    <t>WP6937</t>
  </si>
  <si>
    <t>FORD Focus I 1.4 -2.0, 98-04, Transit Connect 1.8DCI  02- (РІСѓРіС–Р»СЊРЅРёР№)</t>
  </si>
  <si>
    <t>1055 = WP6918</t>
  </si>
  <si>
    <t>6918   (1055)</t>
  </si>
  <si>
    <t>WP6918</t>
  </si>
  <si>
    <t>OPEL ASTRA 02/98-, ZAFIRA 04/99- (BEHR-HOUSING)</t>
  </si>
  <si>
    <t>1059 = WP6898</t>
  </si>
  <si>
    <t>6898   (1059)</t>
  </si>
  <si>
    <t>224.56</t>
  </si>
  <si>
    <t>WP6898</t>
  </si>
  <si>
    <t>VW GOLF II, JETTA II  83-91, SEAT TOLEDO I 93-99</t>
  </si>
  <si>
    <t>1060 = WP9104</t>
  </si>
  <si>
    <t>9104   (1060)</t>
  </si>
  <si>
    <t>146.45</t>
  </si>
  <si>
    <t>WP9104</t>
  </si>
  <si>
    <t>NISSAN ALMERA 08/00-</t>
  </si>
  <si>
    <t>1065 = WP6914</t>
  </si>
  <si>
    <t>6914   (1065)</t>
  </si>
  <si>
    <t>159.78</t>
  </si>
  <si>
    <t>WP6914</t>
  </si>
  <si>
    <t>MB A - KLASSE 97-</t>
  </si>
  <si>
    <t>1066 = WP6926</t>
  </si>
  <si>
    <t>6926   (1066)</t>
  </si>
  <si>
    <t>WP6926</t>
  </si>
  <si>
    <t>PEUGEOT 206 98-</t>
  </si>
  <si>
    <t>1068 = WP6940</t>
  </si>
  <si>
    <t>6940   (1068)</t>
  </si>
  <si>
    <t>242.02</t>
  </si>
  <si>
    <t>WP6940</t>
  </si>
  <si>
    <t>VW PASSAT B3 08/90-07/94 /192 X 254 X 46/</t>
  </si>
  <si>
    <t>107/10 = WA9712</t>
  </si>
  <si>
    <t>9712   (107/10)</t>
  </si>
  <si>
    <t>158.47</t>
  </si>
  <si>
    <t>WA9712</t>
  </si>
  <si>
    <t>Kia Sorento II , Santa FE II 2.2CRDI,   09-</t>
  </si>
  <si>
    <t>107/7 = WA9709</t>
  </si>
  <si>
    <t>9709   (107/7)</t>
  </si>
  <si>
    <t>WA9709</t>
  </si>
  <si>
    <t>Hyundai i20, KIA Venga Soul 1.4-1.6 10-</t>
  </si>
  <si>
    <t>107/8 = WA9710</t>
  </si>
  <si>
    <t>9710   (107/8)</t>
  </si>
  <si>
    <t>232.45</t>
  </si>
  <si>
    <t>WA9710</t>
  </si>
  <si>
    <t>Hyundai ix35 2.0, 2.0CRDI| Kia Sportage 2.0, 2.0CRDI 7/10-&gt;</t>
  </si>
  <si>
    <t>1075A-2x = WP6955</t>
  </si>
  <si>
    <t>6955   (1075A-2x)</t>
  </si>
  <si>
    <t>348.48</t>
  </si>
  <si>
    <t>WP6955</t>
  </si>
  <si>
    <t>BMW E39 520d - 530d, 96-03 (РІСѓРіС–Р»СЊРЅРёР№) 2С€С‚</t>
  </si>
  <si>
    <t>1079 = WP9036</t>
  </si>
  <si>
    <t>9036   (1079)</t>
  </si>
  <si>
    <t>WP9036</t>
  </si>
  <si>
    <t>1079A = WP9037</t>
  </si>
  <si>
    <t>9037   (1079A)</t>
  </si>
  <si>
    <t>WP9037</t>
  </si>
  <si>
    <t>Audi A2/ Fabia/ Polo 00- (РІСѓРіС–Р»СЊРЅРёР№)</t>
  </si>
  <si>
    <t>108/2 = WA6724</t>
  </si>
  <si>
    <t>6724   (108/2)</t>
  </si>
  <si>
    <t>78.86</t>
  </si>
  <si>
    <t>WA6724</t>
  </si>
  <si>
    <t>HYUNDAI ELANTRA 1.6i, 2.0i, 2.0CRDI 00-, SANTA FE 2.0CRDI 01-</t>
  </si>
  <si>
    <t>108/3 = WA6713</t>
  </si>
  <si>
    <t>6713   (108/3)</t>
  </si>
  <si>
    <t>WA6713</t>
  </si>
  <si>
    <t>HYUNDAI SONATA 2.0i, 2.5i, 2.7i 06/98-, TRAJET (all eng.)</t>
  </si>
  <si>
    <t>108/4 = WA9433</t>
  </si>
  <si>
    <t>9433   (108/4)</t>
  </si>
  <si>
    <t>WA9433</t>
  </si>
  <si>
    <t>HYUNDAI GETZ 02-&gt; (LX1465)</t>
  </si>
  <si>
    <t>108/6 = WA9615</t>
  </si>
  <si>
    <t>9615   (108/6)</t>
  </si>
  <si>
    <t>111.53</t>
  </si>
  <si>
    <t>WA9615</t>
  </si>
  <si>
    <t>Hyundai Accent 11/05--&gt;, Kia Rio II 3/05--&gt;</t>
  </si>
  <si>
    <t>108/9 = WA9667</t>
  </si>
  <si>
    <t>9667   (108/9)</t>
  </si>
  <si>
    <t>WA9667</t>
  </si>
  <si>
    <t>Kia Carens III 2.0CVVT, Magentis II 2.0i, 2.7i 11/05</t>
  </si>
  <si>
    <t>1081 = WP9034</t>
  </si>
  <si>
    <t>9034   (1081)</t>
  </si>
  <si>
    <t>138.00</t>
  </si>
  <si>
    <t>WP9034</t>
  </si>
  <si>
    <t>OPEL CORSA 09/00-, VECTRA 04/02-</t>
  </si>
  <si>
    <t>1083 = WP9026</t>
  </si>
  <si>
    <t>9026   (1083)</t>
  </si>
  <si>
    <t>141.38</t>
  </si>
  <si>
    <t>WP9026</t>
  </si>
  <si>
    <t>SUBARU Legacy IV 2.0 -2.5 03-  TOYOTA Yaris Verso 1.0-1.5  99-05</t>
  </si>
  <si>
    <t>1083A = WP9027</t>
  </si>
  <si>
    <t>9027   (1083A)</t>
  </si>
  <si>
    <t>WP9027</t>
  </si>
  <si>
    <t>SUBARU Outback, Tribeca 2.5-3.0  03-,  TOYOTA Celica II, Landcruiser, Yaris  99 -10 (РІСѓРіС–Р»СЊРЅРёР№)</t>
  </si>
  <si>
    <t>1088 = WP6984</t>
  </si>
  <si>
    <t>6984   (1088)</t>
  </si>
  <si>
    <t>WP6984</t>
  </si>
  <si>
    <t>MB SPRINTER 01/95-, VW LT 05/96-</t>
  </si>
  <si>
    <t>109/3 = WA9682</t>
  </si>
  <si>
    <t>9682   (109/3)</t>
  </si>
  <si>
    <t>202.59</t>
  </si>
  <si>
    <t>WA9682</t>
  </si>
  <si>
    <t>Chevrolet Captiva| Opel Antara</t>
  </si>
  <si>
    <t>109/9 = WA9768</t>
  </si>
  <si>
    <t>9768   (109/9)</t>
  </si>
  <si>
    <t>157.53</t>
  </si>
  <si>
    <t>WA9768</t>
  </si>
  <si>
    <t>Chevrolet Aveo II 11-</t>
  </si>
  <si>
    <t>1091 = 93212E</t>
  </si>
  <si>
    <t>93212E   (1091)</t>
  </si>
  <si>
    <t>156.40</t>
  </si>
  <si>
    <t>93212E</t>
  </si>
  <si>
    <t>DAF - trucks   95XF SERIE  97-02</t>
  </si>
  <si>
    <t>1093 = WP9112</t>
  </si>
  <si>
    <t>9112   (1093)</t>
  </si>
  <si>
    <t>124.11</t>
  </si>
  <si>
    <t>WP9112</t>
  </si>
  <si>
    <t>Citroen C3 &amp; Pegeout 307 / =6447KK</t>
  </si>
  <si>
    <t>1094 = 93221E</t>
  </si>
  <si>
    <t>93221E   (1094)</t>
  </si>
  <si>
    <t>221.18</t>
  </si>
  <si>
    <t>93221E</t>
  </si>
  <si>
    <t>Scania 4-er</t>
  </si>
  <si>
    <t>1101 = WP9130</t>
  </si>
  <si>
    <t>9130   (1101)</t>
  </si>
  <si>
    <t>108.71</t>
  </si>
  <si>
    <t>WP9130</t>
  </si>
  <si>
    <t>FIAT DOBLO/PUNTO 01-&gt;(LA144)</t>
  </si>
  <si>
    <t>1108 = WP6978</t>
  </si>
  <si>
    <t>6978   (1108)</t>
  </si>
  <si>
    <t>352.24</t>
  </si>
  <si>
    <t>WP6978</t>
  </si>
  <si>
    <t>MB VITO 96-03 /360 X 200 X 28/</t>
  </si>
  <si>
    <t>111 = WA6288</t>
  </si>
  <si>
    <t>6288   (111)</t>
  </si>
  <si>
    <t>99.32</t>
  </si>
  <si>
    <t>WA6288</t>
  </si>
  <si>
    <t>MAZDA 323 1.6-2.0 Р±РµРЅР·РёРЅ 89-94, MX5 1.6i 90-98</t>
  </si>
  <si>
    <t>1110 = WP9110</t>
  </si>
  <si>
    <t>9110   (1110)</t>
  </si>
  <si>
    <t>141.19</t>
  </si>
  <si>
    <t>WP9110</t>
  </si>
  <si>
    <t>FORD Ford Fiesta V (02-), Fusion/Fusion Plus</t>
  </si>
  <si>
    <t>1110A = WP9111</t>
  </si>
  <si>
    <t>9111   (1110A)</t>
  </si>
  <si>
    <t>219.87</t>
  </si>
  <si>
    <t>WP9111</t>
  </si>
  <si>
    <t>FORD FIESTA V, FUSION 1.25-1.6 02-</t>
  </si>
  <si>
    <t>1111 = WP9146</t>
  </si>
  <si>
    <t>9146   (1111)</t>
  </si>
  <si>
    <t>WP9146</t>
  </si>
  <si>
    <t>VAG A3/ EOS/ GOLF V/ PASSAT/ TOURAN/ OCTAVIA 1, 4-2, 0L 05/ 03-&gt;</t>
  </si>
  <si>
    <t>1111A = WP9147</t>
  </si>
  <si>
    <t>9147   (1111A)</t>
  </si>
  <si>
    <t>176.12</t>
  </si>
  <si>
    <t>WP9147</t>
  </si>
  <si>
    <t>VAG A3/ Golf 5/ Jetta III/ Polo/ Passat &amp; Skoda Octavia all 04- (РІСѓРіС–Р»СЊРЅРёР№) /AHC328/</t>
  </si>
  <si>
    <t>1113 = WP9096</t>
  </si>
  <si>
    <t>9096   (1113)</t>
  </si>
  <si>
    <t>WP9096</t>
  </si>
  <si>
    <t>FORD Transit 8/ 00-</t>
  </si>
  <si>
    <t>112 = WA6289</t>
  </si>
  <si>
    <t>6289   (112)</t>
  </si>
  <si>
    <t>97.64</t>
  </si>
  <si>
    <t>WA6289</t>
  </si>
  <si>
    <t>MAZDA 626 (2.0 16V 87-92, 2.2i 94-98), 323 (2.0i 94-98)  /Р°РЅР°Р»РѕРі LX547/</t>
  </si>
  <si>
    <t>1121 = WP9246</t>
  </si>
  <si>
    <t>9246   (1121)</t>
  </si>
  <si>
    <t>187.57</t>
  </si>
  <si>
    <t>WP9246</t>
  </si>
  <si>
    <t>1127 = WP9142</t>
  </si>
  <si>
    <t>9142   (1127)</t>
  </si>
  <si>
    <t>WP9142</t>
  </si>
  <si>
    <t>Citroen Berlingo 02-/ Peugeot Partner 02-</t>
  </si>
  <si>
    <t>113 = WA6290</t>
  </si>
  <si>
    <t>6290   (113)</t>
  </si>
  <si>
    <t>WA6290</t>
  </si>
  <si>
    <t>113/1 = WA9441</t>
  </si>
  <si>
    <t>9441   (113/1)</t>
  </si>
  <si>
    <t>148.52</t>
  </si>
  <si>
    <t>WA9441</t>
  </si>
  <si>
    <t>MAZDA 6 1, 8i/ 2, 0i 02-, MPV II 2, 3i 02-</t>
  </si>
  <si>
    <t>113/3 = WA9579</t>
  </si>
  <si>
    <t>9579   (113/3)</t>
  </si>
  <si>
    <t>WA9579</t>
  </si>
  <si>
    <t>Mazda 2, Mazda 3 - 1.3i, 1.4i, 1.5i, 1.6i -  03- (РћР• ZJ0113Z40)</t>
  </si>
  <si>
    <t>1130 = WP9174</t>
  </si>
  <si>
    <t>9174   (1130)</t>
  </si>
  <si>
    <t>249.53</t>
  </si>
  <si>
    <t>WP9174</t>
  </si>
  <si>
    <t>Renault Megane II 03-&gt;</t>
  </si>
  <si>
    <t>1131 = WP9176</t>
  </si>
  <si>
    <t>9176   (1131)</t>
  </si>
  <si>
    <t>238.08</t>
  </si>
  <si>
    <t>WP9176</t>
  </si>
  <si>
    <t>Renault Espace IV 10/02--&gt;</t>
  </si>
  <si>
    <t>1133 = 93227E</t>
  </si>
  <si>
    <t>93227E   (1133)</t>
  </si>
  <si>
    <t>212.92</t>
  </si>
  <si>
    <t>93227E</t>
  </si>
  <si>
    <t>MAN TG-A 00-&gt;, 02-&gt;, 04-&gt;| F18759</t>
  </si>
  <si>
    <t>1136A = WP9003</t>
  </si>
  <si>
    <t>9003   (1136A)</t>
  </si>
  <si>
    <t>264.93</t>
  </si>
  <si>
    <t>WP9003</t>
  </si>
  <si>
    <t>BMW E46 02/98- (СѓРіРѕР»СЊРЅС‹Р№) /674.6 X 104.5 X 20/</t>
  </si>
  <si>
    <t>1141 = WP9398</t>
  </si>
  <si>
    <t>9398   (1141)</t>
  </si>
  <si>
    <t>153.77</t>
  </si>
  <si>
    <t>WP9398</t>
  </si>
  <si>
    <t>LADA 2110, 2111, 2112</t>
  </si>
  <si>
    <t>1146 = WP9148</t>
  </si>
  <si>
    <t>9148   (1146)</t>
  </si>
  <si>
    <t>205.97</t>
  </si>
  <si>
    <t>WP9148</t>
  </si>
  <si>
    <t>1148 = WP9162</t>
  </si>
  <si>
    <t>9162   (1148)</t>
  </si>
  <si>
    <t>156.96</t>
  </si>
  <si>
    <t>WP9162</t>
  </si>
  <si>
    <t>FORD Mondeo III/ Cougar all mot. -&gt;01</t>
  </si>
  <si>
    <t>1149 = WP9200</t>
  </si>
  <si>
    <t>9200   (1149)</t>
  </si>
  <si>
    <t>215.55</t>
  </si>
  <si>
    <t>WP9200</t>
  </si>
  <si>
    <t>HYUNDAI Coupe/Elantra 1.6-2.0  -09  Р°РЅР°Р»РѕРі LA440</t>
  </si>
  <si>
    <t>1150A = WP9231</t>
  </si>
  <si>
    <t>9231   (1150A)</t>
  </si>
  <si>
    <t>230.38</t>
  </si>
  <si>
    <t>WP9231</t>
  </si>
  <si>
    <t>Ford Focus II 1.4-2.0</t>
  </si>
  <si>
    <t>1152 = WP6990</t>
  </si>
  <si>
    <t>6990   (1152)</t>
  </si>
  <si>
    <t>WP6990</t>
  </si>
  <si>
    <t>NISSAN Micra (K12)/ Note(E11) 1, 0-1, 6L 01/ 03-&gt;</t>
  </si>
  <si>
    <t>1154 = WP9164</t>
  </si>
  <si>
    <t>9164   (1154)</t>
  </si>
  <si>
    <t>146.64</t>
  </si>
  <si>
    <t>WP9164</t>
  </si>
  <si>
    <t>FORD Focus C-Max &amp; S-Max 1, 6вЂ¦2, 5L &amp; Diesel 04-</t>
  </si>
  <si>
    <t>1154A = WP9165</t>
  </si>
  <si>
    <t>9165   (1154A)</t>
  </si>
  <si>
    <t>166.17</t>
  </si>
  <si>
    <t>WP9165</t>
  </si>
  <si>
    <t>FORD Focus, C-MAX, S-MAX Galaxy II,  VOLVO S40 II  03-  (РІСѓРіС–Р»СЊРЅРёР№)</t>
  </si>
  <si>
    <t>1155 = WP9166</t>
  </si>
  <si>
    <t>9166   (1155)</t>
  </si>
  <si>
    <t>121.11</t>
  </si>
  <si>
    <t>WP9166</t>
  </si>
  <si>
    <t>VAG Q7/ T5/ Multivan/ Touareg &amp; Porsche Cayenne 2, 5вЂ¦6, 0L &amp; Diesel 03-&gt;</t>
  </si>
  <si>
    <t>1155A = WP9167</t>
  </si>
  <si>
    <t>9167   (1155A)</t>
  </si>
  <si>
    <t>243.33</t>
  </si>
  <si>
    <t>WP9167</t>
  </si>
  <si>
    <t>VAG Q7/ T5/ Multivan/ Touareg &amp; Porsche Cayenne 03- (РІСѓРіС–Р»СЊРЅРёР№)</t>
  </si>
  <si>
    <t>1161 = WP9186</t>
  </si>
  <si>
    <t>9186   (1161)</t>
  </si>
  <si>
    <t>130.87</t>
  </si>
  <si>
    <t>WP9186</t>
  </si>
  <si>
    <t>MAZDA 6 02-&gt;(LA158)</t>
  </si>
  <si>
    <t>1162-2x = WP9188</t>
  </si>
  <si>
    <t>9188   (1162-2x)</t>
  </si>
  <si>
    <t>WP9188</t>
  </si>
  <si>
    <t>AUDI A6 04-&gt; (LA239)</t>
  </si>
  <si>
    <t>1165-2x = WP9168</t>
  </si>
  <si>
    <t>9168   (1165-2x)</t>
  </si>
  <si>
    <t>454.94</t>
  </si>
  <si>
    <t>WP9168</t>
  </si>
  <si>
    <t>BMW E65/ E66 (Р·Р° 2С€С‚.)</t>
  </si>
  <si>
    <t>1166 = WP9238</t>
  </si>
  <si>
    <t>9238   (1166)</t>
  </si>
  <si>
    <t>WP9238</t>
  </si>
  <si>
    <t xml:space="preserve">LACETTI/NUBIRA  /208 РҐ 230 РҐ 26/  03- </t>
  </si>
  <si>
    <t>1178 = WP9254</t>
  </si>
  <si>
    <t>9254   (1178)</t>
  </si>
  <si>
    <t>171.05</t>
  </si>
  <si>
    <t>WP9254</t>
  </si>
  <si>
    <t>AVEO РєСЂРѕРјРµ 1.6 (РљРёС‚Р°Р№) 02-&gt; (LA361)</t>
  </si>
  <si>
    <t>118/1 = WA6297</t>
  </si>
  <si>
    <t>6297   (118/1)</t>
  </si>
  <si>
    <t>149.65</t>
  </si>
  <si>
    <t>WA6297</t>
  </si>
  <si>
    <t>118/4 = WA6588</t>
  </si>
  <si>
    <t>6588   (118/4)</t>
  </si>
  <si>
    <t>176.31</t>
  </si>
  <si>
    <t>WA6588</t>
  </si>
  <si>
    <t>MB W124 (280E, 320E, E280, E320)  92-95, CHERY AMULET</t>
  </si>
  <si>
    <t>118/6 = WA6663</t>
  </si>
  <si>
    <t>6663   (118/6)</t>
  </si>
  <si>
    <t>144.57</t>
  </si>
  <si>
    <t>WA6663</t>
  </si>
  <si>
    <t>MB (W202) C180-C230, C200D-C250D 93-99, (W163) ML230-ML430 98-</t>
  </si>
  <si>
    <t>118/7 = WA6652</t>
  </si>
  <si>
    <t>6652   (118/7)</t>
  </si>
  <si>
    <t>WA6652</t>
  </si>
  <si>
    <t>MB W210 (E200 COMPRESSOR, E240, E280, E320)  99-02</t>
  </si>
  <si>
    <t>118/9 = WA6705</t>
  </si>
  <si>
    <t>6705   (118/9)</t>
  </si>
  <si>
    <t>WA6705</t>
  </si>
  <si>
    <t>MB W203 (C200CDI-C270CDI) 00-, W220 (S320CDI) 01-</t>
  </si>
  <si>
    <t>1183 = WP9192</t>
  </si>
  <si>
    <t>9192   (1183)</t>
  </si>
  <si>
    <t>117.73</t>
  </si>
  <si>
    <t>WP9192</t>
  </si>
  <si>
    <t>TOYOTA PRIUS/YARIS (LA 109)</t>
  </si>
  <si>
    <t>1187 = WP9224</t>
  </si>
  <si>
    <t>9224   (1187)</t>
  </si>
  <si>
    <t>112.28</t>
  </si>
  <si>
    <t>WP9224</t>
  </si>
  <si>
    <t>1187A = WP9225</t>
  </si>
  <si>
    <t>9225   (1187A)</t>
  </si>
  <si>
    <t>149.84</t>
  </si>
  <si>
    <t>WP9225</t>
  </si>
  <si>
    <t>Honda Accord VIII (03-), Accord IX (08-), Civic VIII, Civic IX, CR-V III, CRV IV, Legend</t>
  </si>
  <si>
    <t>1188 = WP9222</t>
  </si>
  <si>
    <t>9222   (1188)</t>
  </si>
  <si>
    <t>185.88</t>
  </si>
  <si>
    <t>WP9222</t>
  </si>
  <si>
    <t>VIANO/VITO 109-122CDI  03-</t>
  </si>
  <si>
    <t>120/2 = WA9589</t>
  </si>
  <si>
    <t>9589   (120/2)</t>
  </si>
  <si>
    <t>218.37</t>
  </si>
  <si>
    <t>WA9589</t>
  </si>
  <si>
    <t>Mitsubishi L200 2.5 DID 5/06- (РћР• 1500A098)  /LX2834/</t>
  </si>
  <si>
    <t>120/4 = WA9623</t>
  </si>
  <si>
    <t>9623   (120/4)</t>
  </si>
  <si>
    <t>187.76</t>
  </si>
  <si>
    <t>WA9623</t>
  </si>
  <si>
    <t>Citroen C-Crosser| Mitsubishi Outlander 2.0 D-iD, 2.2 D-iD| Peugeot 4007 2.2HDI</t>
  </si>
  <si>
    <t>1207 = WP9276</t>
  </si>
  <si>
    <t>9276   (1207)</t>
  </si>
  <si>
    <t>197.71</t>
  </si>
  <si>
    <t>WP9276</t>
  </si>
  <si>
    <t>Citroen C1, Peugeot 107, Toyota Aygo 6/05</t>
  </si>
  <si>
    <t>121/3 = WA9715</t>
  </si>
  <si>
    <t>9715   (121/3)</t>
  </si>
  <si>
    <t>158.66</t>
  </si>
  <si>
    <t>WA9715</t>
  </si>
  <si>
    <t>Subaru Forester, Impreza, Legacy, Outback 2.0-3.0, 09/03-</t>
  </si>
  <si>
    <t>1210 = WP9290</t>
  </si>
  <si>
    <t>9290   (1210)</t>
  </si>
  <si>
    <t>143.64</t>
  </si>
  <si>
    <t>WP9290</t>
  </si>
  <si>
    <t xml:space="preserve">Toyota Auris, Avensis, Camry (V40), Corolla, Rav4  05- </t>
  </si>
  <si>
    <t>1216A = WP9293</t>
  </si>
  <si>
    <t>9293   (1216A)</t>
  </si>
  <si>
    <t>WP9293</t>
  </si>
  <si>
    <t>SMART/COLT 04-&gt;(LAK251)</t>
  </si>
  <si>
    <t>1217 = WP9294</t>
  </si>
  <si>
    <t>9294   (1217)</t>
  </si>
  <si>
    <t>203.15</t>
  </si>
  <si>
    <t>WP9294</t>
  </si>
  <si>
    <t>NISSAN  Nissan Murano, X-Trail  05/01--&gt;, Infiniti FX, G35 (Р±РµР· РєРѕСЂРїСѓСЃР°)</t>
  </si>
  <si>
    <t>1219 = WP9298</t>
  </si>
  <si>
    <t>9298   (1219)</t>
  </si>
  <si>
    <t>178.00</t>
  </si>
  <si>
    <t>WP9298</t>
  </si>
  <si>
    <t>122/6 = WA9717</t>
  </si>
  <si>
    <t>9717   (122/6)</t>
  </si>
  <si>
    <t>162.98</t>
  </si>
  <si>
    <t>WA9717</t>
  </si>
  <si>
    <t>Hyundai Accent, Kia Rio II 1.5CRDI, 05-10</t>
  </si>
  <si>
    <t>122/8 = WA9772</t>
  </si>
  <si>
    <t>9772   (122/8)</t>
  </si>
  <si>
    <t>136.13</t>
  </si>
  <si>
    <t>WA9772</t>
  </si>
  <si>
    <t>Hyundai Solaris, Veloster| Kia Rio III, Soul</t>
  </si>
  <si>
    <t>122/9 = WA9775</t>
  </si>
  <si>
    <t>9775   (122/9)</t>
  </si>
  <si>
    <t>137.63</t>
  </si>
  <si>
    <t>WA9775</t>
  </si>
  <si>
    <t>Hyundai Elantra III, I30 II| Kia Ceed II</t>
  </si>
  <si>
    <t>1223 = WP9356</t>
  </si>
  <si>
    <t>9356   (1223)</t>
  </si>
  <si>
    <t>WP9356</t>
  </si>
  <si>
    <t>Chevrolet Cruze| Opel Astra J, Insignia</t>
  </si>
  <si>
    <t>1223A = WP9357</t>
  </si>
  <si>
    <t>9357   (1223A)</t>
  </si>
  <si>
    <t>221.75</t>
  </si>
  <si>
    <t>WP9357</t>
  </si>
  <si>
    <t>1227-2x = WP9318</t>
  </si>
  <si>
    <t>9318   (1227-2x)</t>
  </si>
  <si>
    <t>WP9318</t>
  </si>
  <si>
    <t>Citroen Berlingo 08--&gt;, C4 Picasso, Peugeot Partner 08--&gt;</t>
  </si>
  <si>
    <t>1228 = WP9320</t>
  </si>
  <si>
    <t>9320   (1228)</t>
  </si>
  <si>
    <t>229.07</t>
  </si>
  <si>
    <t>WP9320</t>
  </si>
  <si>
    <t>Citroen Nemo, Peugeot Bipper, Fiat Linea (РћР• 77364561| PEUGEOT 6479.63)  /LA457/</t>
  </si>
  <si>
    <t>1229 = WP2000</t>
  </si>
  <si>
    <t>2000   (1229)</t>
  </si>
  <si>
    <t>147.76</t>
  </si>
  <si>
    <t>WP2000</t>
  </si>
  <si>
    <t>LADA Kalina (1117 - 1119)</t>
  </si>
  <si>
    <t>1230 = WP2010</t>
  </si>
  <si>
    <t>2010   (1230)</t>
  </si>
  <si>
    <t>WP2010</t>
  </si>
  <si>
    <t>Nissan Juke 1.6, 10-,  Renault Fluence 1.5dCi, 1.6-2.0i 10-</t>
  </si>
  <si>
    <t>1231 = WP9300</t>
  </si>
  <si>
    <t>9300   (1231)</t>
  </si>
  <si>
    <t>85.62</t>
  </si>
  <si>
    <t>WP9300</t>
  </si>
  <si>
    <t>KIA CERATO 04-&gt;</t>
  </si>
  <si>
    <t>1232 = WP9302</t>
  </si>
  <si>
    <t>9302   (1232)    !!Р·Р°РјС–РЅР° РґР»СЏ 9304   (1233)</t>
  </si>
  <si>
    <t>101.39</t>
  </si>
  <si>
    <t>WP9302</t>
  </si>
  <si>
    <t>TUCSON/SPORTAGE 04-&gt;</t>
  </si>
  <si>
    <t>1234 = WP2028</t>
  </si>
  <si>
    <t>2028   (1234)</t>
  </si>
  <si>
    <t>199.77</t>
  </si>
  <si>
    <t>WP2028</t>
  </si>
  <si>
    <t>Chevrolet Aveo CT 07-&gt; (China Shanghai manufacture)</t>
  </si>
  <si>
    <t>1235A-2x = WP9307</t>
  </si>
  <si>
    <t>9307   (1235A-2x)</t>
  </si>
  <si>
    <t>309.80</t>
  </si>
  <si>
    <t>WP9307</t>
  </si>
  <si>
    <t>Renault Laguna III  07-</t>
  </si>
  <si>
    <t>1236 = WP9314</t>
  </si>
  <si>
    <t>9314   (1236)</t>
  </si>
  <si>
    <t>107.21</t>
  </si>
  <si>
    <t>WP9314</t>
  </si>
  <si>
    <t>Fiat Sedici 6/06| Suzuki SX-4 6/06, Swift III (SG) 2/05</t>
  </si>
  <si>
    <t>1237A = WP9309</t>
  </si>
  <si>
    <t>9309   (1237A)</t>
  </si>
  <si>
    <t>322.57</t>
  </si>
  <si>
    <t>WP9309</t>
  </si>
  <si>
    <t>Landrover Freelander, Volvo S80 II, V70 II, XC60 (РћР• 30767024)</t>
  </si>
  <si>
    <t>1238 = WP9310</t>
  </si>
  <si>
    <t>9310   (1238)</t>
  </si>
  <si>
    <t>192.83</t>
  </si>
  <si>
    <t>WP9310</t>
  </si>
  <si>
    <t>Citroen Jumpy II, Fiat Scudo II, Peugeot Expert II 07-</t>
  </si>
  <si>
    <t>1238A = WP9311</t>
  </si>
  <si>
    <t>9311   (1238A)</t>
  </si>
  <si>
    <t>274.32</t>
  </si>
  <si>
    <t>WP9311</t>
  </si>
  <si>
    <t>Citroen Jumpy II, Fiat Scudo II, Peugeot Expert II   07-  /LA410, LAK410/</t>
  </si>
  <si>
    <t>124 = WA6305</t>
  </si>
  <si>
    <t>6305   (124)</t>
  </si>
  <si>
    <t>81.11</t>
  </si>
  <si>
    <t>WA6305</t>
  </si>
  <si>
    <t>NISSAN MICRA 1.0i 16V  92-, 1.3i 16V  92-00, 1.4i 16V  00-</t>
  </si>
  <si>
    <t>124/1 = WA9604</t>
  </si>
  <si>
    <t>9604   (124/1)</t>
  </si>
  <si>
    <t>100.26</t>
  </si>
  <si>
    <t>WA9604</t>
  </si>
  <si>
    <t>Nissan Micra 1.6i 16V, Note 1.6i, Quashqai 1.5DCi, Tiida</t>
  </si>
  <si>
    <t>1241 = WP9322</t>
  </si>
  <si>
    <t>9322   (1241)</t>
  </si>
  <si>
    <t>152.09</t>
  </si>
  <si>
    <t>WP9322</t>
  </si>
  <si>
    <t xml:space="preserve">Citroen C-crosser 07- ,  Mitsubishi ASX, Outlander II, III, 06- , Peugeot 4007, 4008,  07- </t>
  </si>
  <si>
    <t>1245 = WP9324</t>
  </si>
  <si>
    <t>9324   (1245)</t>
  </si>
  <si>
    <t>164.85</t>
  </si>
  <si>
    <t>WP9324</t>
  </si>
  <si>
    <t>Kia Ceed, Hyundai I30 (РћР• 971331H000)  /LA441/</t>
  </si>
  <si>
    <t>1248-2x = WP9336</t>
  </si>
  <si>
    <t>9336   (1248-2x)</t>
  </si>
  <si>
    <t>WP9336</t>
  </si>
  <si>
    <t>Renault Kangoo  08-&gt;  (РћР• 7701209837) /LA468/S/</t>
  </si>
  <si>
    <t>125 = WA6306</t>
  </si>
  <si>
    <t>6306   (125)</t>
  </si>
  <si>
    <t>WA6306</t>
  </si>
  <si>
    <t>TOYOTA CELICA 1.6i 85-89, CAMRY 2.0 86-91, DAIHATSY CHARADE 92-</t>
  </si>
  <si>
    <t>1251 = WP9360</t>
  </si>
  <si>
    <t>9360   (1251)</t>
  </si>
  <si>
    <t>194.52</t>
  </si>
  <si>
    <t>WP9360</t>
  </si>
  <si>
    <t>Ford Fiesta VI 08-&gt;</t>
  </si>
  <si>
    <t>1255 = WP9350</t>
  </si>
  <si>
    <t>9350   (1255)</t>
  </si>
  <si>
    <t>139.32</t>
  </si>
  <si>
    <t>WP9350</t>
  </si>
  <si>
    <t>Nissan Quashqai, X-Trail II</t>
  </si>
  <si>
    <t>1257-2x = WP2002</t>
  </si>
  <si>
    <t>2002   (1257-2x)</t>
  </si>
  <si>
    <t>209.16</t>
  </si>
  <si>
    <t>WP2002</t>
  </si>
  <si>
    <t>Hyundai i20  08-</t>
  </si>
  <si>
    <t>1260A-2x = WP2015</t>
  </si>
  <si>
    <t>2015   (1260A-2x)</t>
  </si>
  <si>
    <t>426.96</t>
  </si>
  <si>
    <t>WP2015</t>
  </si>
  <si>
    <t>BMW 5 (F10/F11/F18), 7 (F01/F02), 10-</t>
  </si>
  <si>
    <t>1261 = WP9368</t>
  </si>
  <si>
    <t>9368   (1261)</t>
  </si>
  <si>
    <t>159.22</t>
  </si>
  <si>
    <t>WP9368</t>
  </si>
  <si>
    <t>Citroen Jumper III| Fiat Ducato| Peugeot Boxer III 7/06--&gt;</t>
  </si>
  <si>
    <t>1269A = WP2017</t>
  </si>
  <si>
    <t>2017   (1269A)</t>
  </si>
  <si>
    <t>230.00</t>
  </si>
  <si>
    <t>WP2017</t>
  </si>
  <si>
    <t>Porsche Cayenne II, VW Touareg II, 3.0-4.8,  10-</t>
  </si>
  <si>
    <t>1270-2x = WP9338</t>
  </si>
  <si>
    <t>9338   (1270-2x)</t>
  </si>
  <si>
    <t>366.32</t>
  </si>
  <si>
    <t>WP9338</t>
  </si>
  <si>
    <t>BMW X5 (E70)  (РћР• 64316945585, 64116945593)</t>
  </si>
  <si>
    <t>1270A-2x = WP9339</t>
  </si>
  <si>
    <t>9339   (1270A-2x)</t>
  </si>
  <si>
    <t>462.26</t>
  </si>
  <si>
    <t>WP9339</t>
  </si>
  <si>
    <t>1273A = WP9373</t>
  </si>
  <si>
    <t>9373   (1273A) !!Р·Р°РјС–РЅР° РґР»СЏ 9372   (1273A)</t>
  </si>
  <si>
    <t>289.33</t>
  </si>
  <si>
    <t>WP9373</t>
  </si>
  <si>
    <t>Mitsubishi Pajero III, IV All eng. 90-95, 00-</t>
  </si>
  <si>
    <t>1277 = WP9352</t>
  </si>
  <si>
    <t>9352   (1277)</t>
  </si>
  <si>
    <t>WP9352</t>
  </si>
  <si>
    <t>Hyundai I30, Kia Ceed - wersje z klimatyzacjД…</t>
  </si>
  <si>
    <t>1278A = WP9329</t>
  </si>
  <si>
    <t>9329   (1278A)</t>
  </si>
  <si>
    <t>WP9329</t>
  </si>
  <si>
    <t>Audi A4 (8K), A5 (8T), Q5 (8R) 08-</t>
  </si>
  <si>
    <t>1281 = WP2032</t>
  </si>
  <si>
    <t>2032   (1281)</t>
  </si>
  <si>
    <t>227.19</t>
  </si>
  <si>
    <t>WP2032</t>
  </si>
  <si>
    <t xml:space="preserve">SUBARU FORESTER II, IMPREZA III  08- </t>
  </si>
  <si>
    <t>1288 = WP9330</t>
  </si>
  <si>
    <t>9330   (1288)</t>
  </si>
  <si>
    <t>WP9330</t>
  </si>
  <si>
    <t>Mercedes Sprinter II, Volkswagen Crafter (РћР• 906.830.02.18|)</t>
  </si>
  <si>
    <t>1288A = WP9331</t>
  </si>
  <si>
    <t>9331   (1288A)</t>
  </si>
  <si>
    <t>225.68</t>
  </si>
  <si>
    <t>WP9331</t>
  </si>
  <si>
    <t>1289-2x = WP9354</t>
  </si>
  <si>
    <t>9354   (1289-2x)</t>
  </si>
  <si>
    <t>WP9354</t>
  </si>
  <si>
    <t>Hyundai Tucson, Kia Sorento 8/06--&gt;, Sportage II - bez klimatyzacji</t>
  </si>
  <si>
    <t>129 = WA6621</t>
  </si>
  <si>
    <t>6621   (129)</t>
  </si>
  <si>
    <t>113.59</t>
  </si>
  <si>
    <t>WA6621</t>
  </si>
  <si>
    <t>OPEL OMEGA B  all engines  94-</t>
  </si>
  <si>
    <t>129/6 = WA9495</t>
  </si>
  <si>
    <t>9495   (129/6)</t>
  </si>
  <si>
    <t>208.79</t>
  </si>
  <si>
    <t>WA9495</t>
  </si>
  <si>
    <t>RANGE ROVER/DISCO 04-&gt;</t>
  </si>
  <si>
    <t>129/7 = WA9612</t>
  </si>
  <si>
    <t>9612   (129/7)</t>
  </si>
  <si>
    <t>133.13</t>
  </si>
  <si>
    <t>WA9612</t>
  </si>
  <si>
    <t>Landrover Freelander II 2.2TD4, 3.2 1/07-&gt;</t>
  </si>
  <si>
    <t>130/3 = WA6738</t>
  </si>
  <si>
    <t>6738   (130/3)</t>
  </si>
  <si>
    <t>WA6738</t>
  </si>
  <si>
    <t>CITROEN C3, PEUGEOT 206  1.4HDI  02-</t>
  </si>
  <si>
    <t>130/7 = WA6779</t>
  </si>
  <si>
    <t>6779   (130/7)</t>
  </si>
  <si>
    <t>WA6779</t>
  </si>
  <si>
    <t>Renault 9 1.1 09/ 81-05/ 87, Super 5 1.0/ 1.1 10/ 8410/ 88/ Citroen C3/ C2/ Berlingo 1.1i/ 1.4i 02-, 7700724629</t>
  </si>
  <si>
    <t>130/8 = WA6784</t>
  </si>
  <si>
    <t>6784   (130/8)</t>
  </si>
  <si>
    <t>WA6784</t>
  </si>
  <si>
    <t>Citroen C3 1.6 16V 02-</t>
  </si>
  <si>
    <t>130/9 = WA9411</t>
  </si>
  <si>
    <t>9411   (130/9)</t>
  </si>
  <si>
    <t>WA9411</t>
  </si>
  <si>
    <t>Citroen C3 1.4HDI 16V, Peugeot 206 1.4HDI 16V 05/02-&gt;</t>
  </si>
  <si>
    <t>1300A = WP2037</t>
  </si>
  <si>
    <t>2037   (1300A)</t>
  </si>
  <si>
    <t>174.99</t>
  </si>
  <si>
    <t>WP2037</t>
  </si>
  <si>
    <t>Renault Megane III 1.5-2.0 08-</t>
  </si>
  <si>
    <t>1303 = WP2062</t>
  </si>
  <si>
    <t>2062   (1303)</t>
  </si>
  <si>
    <t>WP2062</t>
  </si>
  <si>
    <t>Dodge Caliber, FIAT Freemont, JEEP Compass  07-</t>
  </si>
  <si>
    <t>1304-2x = WP2040</t>
  </si>
  <si>
    <t>2040   (1304-2x)</t>
  </si>
  <si>
    <t>168.79</t>
  </si>
  <si>
    <t>WP2040</t>
  </si>
  <si>
    <t>SSANG YONG Rexton 2.7-3.2/TD/XDI 04/02-&gt;/ Rodius 2.7 XDI 05/05-</t>
  </si>
  <si>
    <t>1305 = WP2042</t>
  </si>
  <si>
    <t>2042   (1305)</t>
  </si>
  <si>
    <t>248.78</t>
  </si>
  <si>
    <t>WP2042</t>
  </si>
  <si>
    <t>CHEVROLET Epica 2.0/2.5/D 06/06-&gt;/ Evanda 2.0 03/05-&gt;.DAEWOO Evanda 2.0 08/02-&gt;</t>
  </si>
  <si>
    <t>1307-2x = WP2044</t>
  </si>
  <si>
    <t>2044   (1307-2x)</t>
  </si>
  <si>
    <t>177.80</t>
  </si>
  <si>
    <t>WP2044</t>
  </si>
  <si>
    <t>Hyundai H1 02/08-</t>
  </si>
  <si>
    <t>131/1 = WA6697</t>
  </si>
  <si>
    <t>6697   (131/1)</t>
  </si>
  <si>
    <t>WA6697</t>
  </si>
  <si>
    <t>RENAULT Clio II, Kangoo 1.4i, Megane 1.4 Symbol II 1.4i  07/96-</t>
  </si>
  <si>
    <t>1311A = WP2089</t>
  </si>
  <si>
    <t>2089   (1311A)</t>
  </si>
  <si>
    <t>180.44</t>
  </si>
  <si>
    <t>WP2089</t>
  </si>
  <si>
    <t>Audi A3 III| Seat Leon III| Skoda Octavia III| Volkswagen Golf VII 1.2-1.8TFSI,2.0 TDI 12-</t>
  </si>
  <si>
    <t>1313 = WP2086</t>
  </si>
  <si>
    <t>2086   (1313)</t>
  </si>
  <si>
    <t>WP2086</t>
  </si>
  <si>
    <t>Seat Ibiza V| Skoda Fabia II| VW Polo V , 07-</t>
  </si>
  <si>
    <t>1314 = WP2046</t>
  </si>
  <si>
    <t>2046   (1314)</t>
  </si>
  <si>
    <t>189.07</t>
  </si>
  <si>
    <t>WP2046</t>
  </si>
  <si>
    <t>1315 = WP2056</t>
  </si>
  <si>
    <t>2056   (1315)</t>
  </si>
  <si>
    <t>258.73</t>
  </si>
  <si>
    <t>WP2056</t>
  </si>
  <si>
    <t>Hyundai Santa Fe  10-</t>
  </si>
  <si>
    <t>1316 = WP2108</t>
  </si>
  <si>
    <t>2108   (1316)</t>
  </si>
  <si>
    <t>139.88</t>
  </si>
  <si>
    <t>WP2108</t>
  </si>
  <si>
    <t>Mazda 6 (GJ), CX-5  Mazda3 СЃРµРґР°РЅ III (BM) 2011-\n</t>
  </si>
  <si>
    <t>1318A = WP2075</t>
  </si>
  <si>
    <t>2075   (1318A)</t>
  </si>
  <si>
    <t>WP2075</t>
  </si>
  <si>
    <t>Audi A6 III| A7| A8 III,  09-</t>
  </si>
  <si>
    <t>132 = WA6313</t>
  </si>
  <si>
    <t>6313   (132)</t>
  </si>
  <si>
    <t>WA6313</t>
  </si>
  <si>
    <t>RENAULT LAGUNA 1.8i, 2.0i  93-01</t>
  </si>
  <si>
    <t>1321 = WP2110</t>
  </si>
  <si>
    <t>2110   (1321)</t>
  </si>
  <si>
    <t>61.40</t>
  </si>
  <si>
    <t>WP2110</t>
  </si>
  <si>
    <t>Dacia Logan II, Sandero II| Renault Captur, Clio IV, Logan II, Sandero II</t>
  </si>
  <si>
    <t>1321A = WP2111</t>
  </si>
  <si>
    <t>2111   (1321A)</t>
  </si>
  <si>
    <t>149.45</t>
  </si>
  <si>
    <t>WP2111</t>
  </si>
  <si>
    <t>Dacia Logan II, Sandero II, Renault Captur, Clio IV, Logan II, Sandero II</t>
  </si>
  <si>
    <t>133/2 = WA6728</t>
  </si>
  <si>
    <t>6728   (133/2)</t>
  </si>
  <si>
    <t>87.68</t>
  </si>
  <si>
    <t>WA6728</t>
  </si>
  <si>
    <t>RENAULT CLIO, KANGOO, TWINGO 1.2i 16V  01-</t>
  </si>
  <si>
    <t>1330 = WP2100</t>
  </si>
  <si>
    <t>2100   (1330)</t>
  </si>
  <si>
    <t>80.73</t>
  </si>
  <si>
    <t>WP2100</t>
  </si>
  <si>
    <t>Dacia Dokker, Lodgy| Renault Dokker, Lodgy, Zoe</t>
  </si>
  <si>
    <t>1332 = WP2064</t>
  </si>
  <si>
    <t>2064   (1332)</t>
  </si>
  <si>
    <t>132.19</t>
  </si>
  <si>
    <t>WP2064</t>
  </si>
  <si>
    <t>Hyundai ix35| Kia Sportage III 1.7-2.0 CRDI 10-</t>
  </si>
  <si>
    <t>134/10 = WA9754</t>
  </si>
  <si>
    <t>9754   (134/10)</t>
  </si>
  <si>
    <t>110.78</t>
  </si>
  <si>
    <t>WA9754</t>
  </si>
  <si>
    <t>Dacia Logan  1.4-1.6 04- / LX2061/1 /</t>
  </si>
  <si>
    <t>134/2 = WA6684</t>
  </si>
  <si>
    <t>6684   (134/2)</t>
  </si>
  <si>
    <t>WA6684</t>
  </si>
  <si>
    <t>RENAULT 1.9 diesel engines 99- /312 X 102 X 42.3/</t>
  </si>
  <si>
    <t>134/4 = WA6761</t>
  </si>
  <si>
    <t>6761   (134/4)</t>
  </si>
  <si>
    <t>81.30</t>
  </si>
  <si>
    <t>WA6761</t>
  </si>
  <si>
    <t>Renault Clio/ Kangoo 1.5 mot. K9K700/ 6/ 01-</t>
  </si>
  <si>
    <t>134/6 = WA9425</t>
  </si>
  <si>
    <t>9425   (134/6)</t>
  </si>
  <si>
    <t>127.68</t>
  </si>
  <si>
    <t>WA9425</t>
  </si>
  <si>
    <t>Renault Clio II 1.5dCi, Megane 1.5dCi 9/00-&gt; (wersja z prefiltrem)</t>
  </si>
  <si>
    <t>134/7 = WA9469</t>
  </si>
  <si>
    <t>9469   (134/7)</t>
  </si>
  <si>
    <t>182.12</t>
  </si>
  <si>
    <t>WA9469</t>
  </si>
  <si>
    <t>RENAULT Modus 1.4-1.6L 01/ 03-&gt; 8200216005/ 16546BN701</t>
  </si>
  <si>
    <t>134/8 = WA9496</t>
  </si>
  <si>
    <t>9496   (134/8)</t>
  </si>
  <si>
    <t>WA9496</t>
  </si>
  <si>
    <t>Renault Clio III 1.2i 16V, Modus 1.2i 16V, Twingo 1.2i 16V 7/04--&gt;</t>
  </si>
  <si>
    <t>134/9 = WA9690</t>
  </si>
  <si>
    <t>9690   (134/9)</t>
  </si>
  <si>
    <t>323.70</t>
  </si>
  <si>
    <t>WA9690</t>
  </si>
  <si>
    <t>135/4 = WA9593</t>
  </si>
  <si>
    <t>9593   (135/4)</t>
  </si>
  <si>
    <t>174.05</t>
  </si>
  <si>
    <t>WA9593</t>
  </si>
  <si>
    <t>Renault Laguna III 1.5DCI, 2.0DCI (wersja z prefiltrem)</t>
  </si>
  <si>
    <t>135/6 = WA9706</t>
  </si>
  <si>
    <t>9706   (135/6)</t>
  </si>
  <si>
    <t>353.55</t>
  </si>
  <si>
    <t>WA9706</t>
  </si>
  <si>
    <t>Renault Laguna III 3.0DCI, 3.5 V6</t>
  </si>
  <si>
    <t>137 = WA6318</t>
  </si>
  <si>
    <t>6318   (137)</t>
  </si>
  <si>
    <t>103.83</t>
  </si>
  <si>
    <t>WA6318</t>
  </si>
  <si>
    <t>RENAULT TRAFIC 2.1D  80-94</t>
  </si>
  <si>
    <t>137/1 = WA6562</t>
  </si>
  <si>
    <t>6562   (137/1)</t>
  </si>
  <si>
    <t>155.65</t>
  </si>
  <si>
    <t>WA6562</t>
  </si>
  <si>
    <t>RENAULT MASTER 2.5TD, 2.8DTI 98-, 2.2DCI 00-</t>
  </si>
  <si>
    <t>137/3 = WA9412</t>
  </si>
  <si>
    <t>9412   (137/3)</t>
  </si>
  <si>
    <t>132.74</t>
  </si>
  <si>
    <t>WA9412</t>
  </si>
  <si>
    <t>OPEL Vivaro 2, 5DTI/ CDTI / RENAULT Trafic II 2.0,  2,5 CDI 05/ 03-</t>
  </si>
  <si>
    <t>137/4 = WA9413</t>
  </si>
  <si>
    <t>9413   (137/4)</t>
  </si>
  <si>
    <t>169.55</t>
  </si>
  <si>
    <t>WA9413</t>
  </si>
  <si>
    <t>Renault Master 2.2DCI, 2.5DCI 11/03--&gt;</t>
  </si>
  <si>
    <t>137/6 = WA9670</t>
  </si>
  <si>
    <t>9670   (137/6)</t>
  </si>
  <si>
    <t>282.58</t>
  </si>
  <si>
    <t>WA9670</t>
  </si>
  <si>
    <t>Opel Movano III, Renault Master IV</t>
  </si>
  <si>
    <t>137/8 = 93370E</t>
  </si>
  <si>
    <t>93370E   (137/8)</t>
  </si>
  <si>
    <t>380.21</t>
  </si>
  <si>
    <t>93370E</t>
  </si>
  <si>
    <t>Renault Mascott 120DXi, 160DXi</t>
  </si>
  <si>
    <t>139/1 = WA6704</t>
  </si>
  <si>
    <t>6704   (139/1)</t>
  </si>
  <si>
    <t>135.56</t>
  </si>
  <si>
    <t>WA6704</t>
  </si>
  <si>
    <t>SEAT CORDOBA, IBIZA 1.6i, 1.9SDI/TDI 06/99-</t>
  </si>
  <si>
    <t>139/2 = WA6781</t>
  </si>
  <si>
    <t>6781   (139/2)</t>
  </si>
  <si>
    <t>WA6781</t>
  </si>
  <si>
    <t>A3/G5/TOURAN 1.9-2.0TDI (LX 1211)</t>
  </si>
  <si>
    <t>139/3 = WA6787</t>
  </si>
  <si>
    <t>6787   (139/3)</t>
  </si>
  <si>
    <t>WA6787</t>
  </si>
  <si>
    <t>A3/ G5/ TOURAN/ OCTAVIA 1.9-2.0TDI</t>
  </si>
  <si>
    <t>139/5 = WA9759</t>
  </si>
  <si>
    <t>9759   (139/5)</t>
  </si>
  <si>
    <t>202.40</t>
  </si>
  <si>
    <t>WA9759</t>
  </si>
  <si>
    <t>Audi A3 III| Seat Leon III| Skoda Octavia III| Volkswagen Golf VII 1,6-2,0TDI,  12-</t>
  </si>
  <si>
    <t>140 = WA6321</t>
  </si>
  <si>
    <t>6321   (140)</t>
  </si>
  <si>
    <t>98.76</t>
  </si>
  <si>
    <t>WA6321</t>
  </si>
  <si>
    <t>SEAT TOLEDO 1.9D/TD 93-99, VW CADDY 1.9D 97-, POLO 1.6 95-01</t>
  </si>
  <si>
    <t>142/1 = WA6664</t>
  </si>
  <si>
    <t>6664   (142/1)</t>
  </si>
  <si>
    <t>WA6664</t>
  </si>
  <si>
    <t>TOYOTA YARIS 1.0i 04/99- /248.5 X 119.5 X 52/</t>
  </si>
  <si>
    <t>142/10 = WA9576</t>
  </si>
  <si>
    <t>9576   (142/10)</t>
  </si>
  <si>
    <t>208.42</t>
  </si>
  <si>
    <t>WA9576</t>
  </si>
  <si>
    <t>Toyota RAV 4 III 2.0 VVT-i, 2.4 VVT-i, 3.5 VVT-i  11/05- (РћР• 1780131120, 17801AD010)  /LX2681/</t>
  </si>
  <si>
    <t>142/2 = WA6665</t>
  </si>
  <si>
    <t>6665   (142/2)</t>
  </si>
  <si>
    <t>119.61</t>
  </si>
  <si>
    <t>WA6665</t>
  </si>
  <si>
    <t>TOYOTA YARIS 1.3i 11/99- /248.5 X 119.5 X 52/</t>
  </si>
  <si>
    <t>142/3 = WA6785</t>
  </si>
  <si>
    <t>6785   (142/3)</t>
  </si>
  <si>
    <t>131.06</t>
  </si>
  <si>
    <t>WA6785</t>
  </si>
  <si>
    <t>TOYOTA COROLLA 02-, GEELY Emgrand EC7 1.8-, 10-</t>
  </si>
  <si>
    <t>143 = WA6324</t>
  </si>
  <si>
    <t>6324   (143)</t>
  </si>
  <si>
    <t>WA6324</t>
  </si>
  <si>
    <t>TOYOTA CAMRY 2.2i, 3.0i 91-01, LEXUS 300 RX 00-</t>
  </si>
  <si>
    <t>143/2 = WA9625</t>
  </si>
  <si>
    <t>9625   (143/2)</t>
  </si>
  <si>
    <t>166.92</t>
  </si>
  <si>
    <t>WA9625</t>
  </si>
  <si>
    <t>Toyota Landcruiser 3.0D-4D (1KD-FTV), 02-</t>
  </si>
  <si>
    <t>143/3 = WA9626</t>
  </si>
  <si>
    <t>9626   (143/3)</t>
  </si>
  <si>
    <t>193.96</t>
  </si>
  <si>
    <t>WA9626</t>
  </si>
  <si>
    <t>Toyota Landcruiser 4.7 V8</t>
  </si>
  <si>
    <t>144/1 = WA9599</t>
  </si>
  <si>
    <t>9599   (144/1)</t>
  </si>
  <si>
    <t>171.80</t>
  </si>
  <si>
    <t>WA9599</t>
  </si>
  <si>
    <t>Lexus RX300, RX350| Toyota  (РћР• 1780120040)</t>
  </si>
  <si>
    <t>144/2 = WA9633</t>
  </si>
  <si>
    <t>9633   (144/2)</t>
  </si>
  <si>
    <t>160.16</t>
  </si>
  <si>
    <t>WA9633</t>
  </si>
  <si>
    <t>Toyota Camry 2.4i 1/06-&gt;</t>
  </si>
  <si>
    <t>149 = WA6332</t>
  </si>
  <si>
    <t>6332   (149)</t>
  </si>
  <si>
    <t>134.44</t>
  </si>
  <si>
    <t>WA6332</t>
  </si>
  <si>
    <t>VOLVO 850 2.0i - 2.5i 91-96, S70, V70 Р±РµРЅР·РёРЅ 97-00</t>
  </si>
  <si>
    <t>149/1 = WA6333</t>
  </si>
  <si>
    <t>6333   (149/1)</t>
  </si>
  <si>
    <t>WA6333</t>
  </si>
  <si>
    <t>VW GOLF, AUDI A3, SKODA OCTAVIA 1.8, 1.8T, 1.9TDI/SDI 96- (h=49mm)</t>
  </si>
  <si>
    <t>149/2-2x = WA6692</t>
  </si>
  <si>
    <t>6692   (149/2-2x)</t>
  </si>
  <si>
    <t>WA6692</t>
  </si>
  <si>
    <t>VW LUPO, POLO 1.0i 98-,1.4i 99- Р¦Р•РќРђ Р—Рђ РљРњРџ (2РЁРў)</t>
  </si>
  <si>
    <t>149/3 = WA6688</t>
  </si>
  <si>
    <t>6688   (149/3)</t>
  </si>
  <si>
    <t>102.89</t>
  </si>
  <si>
    <t>WA6688</t>
  </si>
  <si>
    <t>SKODA FABIA 1.4i 16V 99-, VW GOLF,BORA 1.6I 16V 00-</t>
  </si>
  <si>
    <t>149/4 = WA6762</t>
  </si>
  <si>
    <t>6762   (149/4)</t>
  </si>
  <si>
    <t>WA6762</t>
  </si>
  <si>
    <t>VAG Polo/ Fabia 1.2 (AZQ/ BME) 10/ 01-</t>
  </si>
  <si>
    <t>149/5 = WA6693</t>
  </si>
  <si>
    <t>6693   (149/5)</t>
  </si>
  <si>
    <t>WA6693</t>
  </si>
  <si>
    <t>A3 98-/ Toledo 99-/ Octavia 97-/ Bora 99-/ Golf 4 99- (h=57mm)</t>
  </si>
  <si>
    <t>151 = WA6335</t>
  </si>
  <si>
    <t>6335   (151)</t>
  </si>
  <si>
    <t>123.73</t>
  </si>
  <si>
    <t>WA6335</t>
  </si>
  <si>
    <t>FORD FIESTA 1.25, 1.3, 1.4i, 1.8D 95-, MAZDA 121 1.3i, 1.8D 96- /Р°РЅР°Р»РѕРі LX687/</t>
  </si>
  <si>
    <t>151/1 = WA6336</t>
  </si>
  <si>
    <t>6336   (151/1)</t>
  </si>
  <si>
    <t>WA6336</t>
  </si>
  <si>
    <t>FORD FIESTA 1.8D 94-95 (Р°РЅР°Р»РѕРі C2056)</t>
  </si>
  <si>
    <t>151/5 = WA9606</t>
  </si>
  <si>
    <t>9606   (151/5)</t>
  </si>
  <si>
    <t>152.84</t>
  </si>
  <si>
    <t>WA9606</t>
  </si>
  <si>
    <t>Ford Fiesta VI 10/08-&gt;</t>
  </si>
  <si>
    <t>152 = WA6337</t>
  </si>
  <si>
    <t>6337   (152)</t>
  </si>
  <si>
    <t>77.36</t>
  </si>
  <si>
    <t>WA6337</t>
  </si>
  <si>
    <t>OPEL VECTRA 1.6-2.5 95-</t>
  </si>
  <si>
    <t>152/1 = WA6783</t>
  </si>
  <si>
    <t>6783   (152/1)</t>
  </si>
  <si>
    <t>WA6783</t>
  </si>
  <si>
    <t>OPEL Vectra C/ Signum 1, 6-1, 8L(Z16XE/ Z18XE) 03/ 02-&gt; 0835630</t>
  </si>
  <si>
    <t>152/2 = WA6782</t>
  </si>
  <si>
    <t>6782   (152/2)</t>
  </si>
  <si>
    <t>WA6782</t>
  </si>
  <si>
    <t>OPEL Signum, Vectra C 1.9-3.2С–  02-,  FIAT Croma II 1.9D, 2.2i,  05-</t>
  </si>
  <si>
    <t>152/3 = WA9605</t>
  </si>
  <si>
    <t>9605   (152/3)</t>
  </si>
  <si>
    <t>239.20</t>
  </si>
  <si>
    <t>WA9605</t>
  </si>
  <si>
    <t>Opel Insignia 1.4-2.8 08-, SAAB 9-5 2.0-2.8, 10-</t>
  </si>
  <si>
    <t>154 = WA6339</t>
  </si>
  <si>
    <t>6339   (154)</t>
  </si>
  <si>
    <t>WA6339</t>
  </si>
  <si>
    <t>NISSAN ALMERA 1.4, 1.6  95-00 /210 РҐ 168 РҐ 29/</t>
  </si>
  <si>
    <t>154/3 = WA9562</t>
  </si>
  <si>
    <t>9562   (154/3)</t>
  </si>
  <si>
    <t>WA9562</t>
  </si>
  <si>
    <t>Nissan Navara 2.5DCI  (РћР• 16546EB300)</t>
  </si>
  <si>
    <t>155 = WA6340</t>
  </si>
  <si>
    <t>6340   (155)</t>
  </si>
  <si>
    <t>WA6340</t>
  </si>
  <si>
    <t>FIAT PALIO 1.0i, 1.5i, 1.6i  96-</t>
  </si>
  <si>
    <t>157 = WA6342</t>
  </si>
  <si>
    <t>6342   (157)</t>
  </si>
  <si>
    <t>WA6342</t>
  </si>
  <si>
    <t>MB SPRINTER all engines 95-00 /Р°РЅР°Р»РѕРі LX511/1/</t>
  </si>
  <si>
    <t>157/1 = WA6343</t>
  </si>
  <si>
    <t>6343   (157/1)</t>
  </si>
  <si>
    <t>WA6343</t>
  </si>
  <si>
    <t>MB VITO 99-, SPRINTER CDI - eng. 00-/РґР»СЏ Р·Р°РїРёР»РµРЅРёС… СѓРјРѕРІ/</t>
  </si>
  <si>
    <t>157/2 = WA6344</t>
  </si>
  <si>
    <t>6344   (157/2)</t>
  </si>
  <si>
    <t>128.62</t>
  </si>
  <si>
    <t>WA6344</t>
  </si>
  <si>
    <t>157/3 = WA9468</t>
  </si>
  <si>
    <t>9468   (157/3)</t>
  </si>
  <si>
    <t>244.46</t>
  </si>
  <si>
    <t>WA9468</t>
  </si>
  <si>
    <t>VW T4 2.0, 2.5, 2.8 VR6 Р±РµРЅ, 1.9TD, 2.4D, 2.5TDI 96- (РІС‹СЃРѕРєРѕРµРјРєРёР№)</t>
  </si>
  <si>
    <t>157/4 = WA9448</t>
  </si>
  <si>
    <t>9448   (157/4)</t>
  </si>
  <si>
    <t>129.37</t>
  </si>
  <si>
    <t>WA9448</t>
  </si>
  <si>
    <t>157/5 = WA9449</t>
  </si>
  <si>
    <t>9449   (157/5)</t>
  </si>
  <si>
    <t>220.43</t>
  </si>
  <si>
    <t>WA9449</t>
  </si>
  <si>
    <t>VW T5 1.9TDI, 2.5TDI, 2.0, 3.2 V6  03-  (РґР»СЏ Р·Р°РїРёР»РµРЅРёС… СѓРјРѕРІ)</t>
  </si>
  <si>
    <t>157/6 = WA9520</t>
  </si>
  <si>
    <t>9520   (157/6)</t>
  </si>
  <si>
    <t>WA9520</t>
  </si>
  <si>
    <t>SPRINTER/CRAFTER 06-&gt;(LX1845)</t>
  </si>
  <si>
    <t>158 = WA6345</t>
  </si>
  <si>
    <t>6345   (158)</t>
  </si>
  <si>
    <t>175.74</t>
  </si>
  <si>
    <t>WA6345</t>
  </si>
  <si>
    <t>158/1 = WA9420</t>
  </si>
  <si>
    <t>9420   (158/1)</t>
  </si>
  <si>
    <t>164.47</t>
  </si>
  <si>
    <t>WA9420</t>
  </si>
  <si>
    <t>MB VITO/VIANO  -&gt;03</t>
  </si>
  <si>
    <t>159 = WA6346</t>
  </si>
  <si>
    <t>6346   (159)</t>
  </si>
  <si>
    <t>WA6346</t>
  </si>
  <si>
    <t>VW SHARAN, SEAT ALHAMBRA, FORD GALAXY 2.0 Р±РµРЅ., 1.9TDI 95-00</t>
  </si>
  <si>
    <t>160/1 = WA9627</t>
  </si>
  <si>
    <t>9627   (160/1)</t>
  </si>
  <si>
    <t>WA9627</t>
  </si>
  <si>
    <t>Toyota Auris 1.4i, 1.6i, Avensis 1.6i, 1.8i, 2.0i, Corolla X 1.6i 16V 07-</t>
  </si>
  <si>
    <t>161 = WA6348</t>
  </si>
  <si>
    <t>6348   (161)</t>
  </si>
  <si>
    <t>WA6348</t>
  </si>
  <si>
    <t>Mazda 626 2.0 Diesel (Eng. RF-Comprex, 4 cyl. 8V, OHV,FI) 10/87-&gt; (LX433)</t>
  </si>
  <si>
    <t>165 = WA6352</t>
  </si>
  <si>
    <t>6352   (165)</t>
  </si>
  <si>
    <t>117.35</t>
  </si>
  <si>
    <t>WA6352</t>
  </si>
  <si>
    <t>VOLVO S40 1.6i-2.0i 95- /342 X 169.5 X 37.3/</t>
  </si>
  <si>
    <t>165/4 = WA9417</t>
  </si>
  <si>
    <t>9417   (165/4)</t>
  </si>
  <si>
    <t>231.13</t>
  </si>
  <si>
    <t>WA9417</t>
  </si>
  <si>
    <t>Ford Focus II/ Volvo S80 II 2, 5T 07.06-</t>
  </si>
  <si>
    <t>165/5 = WA9505</t>
  </si>
  <si>
    <t>9505   (165/5)</t>
  </si>
  <si>
    <t>WA9505</t>
  </si>
  <si>
    <t>VOLVO S60/XC90 2.4D5 (LX1289/1)</t>
  </si>
  <si>
    <t>166/1 = WA9628</t>
  </si>
  <si>
    <t>9628   (166/1)</t>
  </si>
  <si>
    <t>169.74</t>
  </si>
  <si>
    <t>WA9628</t>
  </si>
  <si>
    <t>Toyota Landcruiser 4.0i (GR) 1/03-&gt;</t>
  </si>
  <si>
    <t>167 = WA6354</t>
  </si>
  <si>
    <t>6354   (167)</t>
  </si>
  <si>
    <t>124.67</t>
  </si>
  <si>
    <t>WA6354</t>
  </si>
  <si>
    <t>TOYOTA COROLLA 1.6 85-87, 1.3i, 1.4i 92-00</t>
  </si>
  <si>
    <t>168 = WA6355</t>
  </si>
  <si>
    <t>6355   (168)</t>
  </si>
  <si>
    <t>102.70</t>
  </si>
  <si>
    <t>WA6355</t>
  </si>
  <si>
    <t>MAZDA 323 1.3i, 1.5i, 1.8i 94-</t>
  </si>
  <si>
    <t>172/1 = WA6556</t>
  </si>
  <si>
    <t>6556   (172/1)</t>
  </si>
  <si>
    <t>126.55</t>
  </si>
  <si>
    <t>WA6556</t>
  </si>
  <si>
    <t>MITSUBISHI PAJERO 2.4i 91-00, 3.0I 90-, SPACE GEAR 2.0i, 2.4i 95-</t>
  </si>
  <si>
    <t>172/3 = WA9481</t>
  </si>
  <si>
    <t>9481   (172/3)</t>
  </si>
  <si>
    <t>WA9481</t>
  </si>
  <si>
    <t>PAJERO III 3,2 DI-D 01-&gt;  /LX2885/</t>
  </si>
  <si>
    <t>173/1 = WA6592</t>
  </si>
  <si>
    <t>6592   (173/1)</t>
  </si>
  <si>
    <t>143.07</t>
  </si>
  <si>
    <t>WA6592</t>
  </si>
  <si>
    <t>SUZUKI VITARA 2.0i, 2.0TD 94-98, GRAND VITARA all eng. 98-</t>
  </si>
  <si>
    <t>173/2 = WA9577</t>
  </si>
  <si>
    <t>9577   (173/2)</t>
  </si>
  <si>
    <t>150.21</t>
  </si>
  <si>
    <t>WA9577</t>
  </si>
  <si>
    <t>Suzuki Grand Vitara 1.6i,1.9DDIS, 2.0i 10/05-  (РћР• 1378065J00)</t>
  </si>
  <si>
    <t>173/3 = WA9648</t>
  </si>
  <si>
    <t>9648   (173/3)</t>
  </si>
  <si>
    <t>WA9648</t>
  </si>
  <si>
    <t>Suzuki Grand Vitara 2.4 09-</t>
  </si>
  <si>
    <t>175 = WA6362</t>
  </si>
  <si>
    <t>6362   (175)</t>
  </si>
  <si>
    <t>WA6362</t>
  </si>
  <si>
    <t>176 = WA6363</t>
  </si>
  <si>
    <t>6363   (176)</t>
  </si>
  <si>
    <t>WA6363</t>
  </si>
  <si>
    <t>SUZUKI BALENO Р±РµРЅР·РёРЅ 96-</t>
  </si>
  <si>
    <t>176/5 = WA9549</t>
  </si>
  <si>
    <t>9549   (176/5)</t>
  </si>
  <si>
    <t>WA9549</t>
  </si>
  <si>
    <t>Fiat Sedici 1.6i 16V 06-, Suzuki SX-4 1.5i, 1.6VVT 06- (РћР• 1378079J00 )</t>
  </si>
  <si>
    <t>177/1 = WA6593</t>
  </si>
  <si>
    <t>6593   (177/1)</t>
  </si>
  <si>
    <t>113.78</t>
  </si>
  <si>
    <t>WA6593</t>
  </si>
  <si>
    <t>HYUNDAI LANTRA 1.6i 16V, 1.8i 16V, 2.0i 16V  95-00</t>
  </si>
  <si>
    <t>177/2 = WA6594</t>
  </si>
  <si>
    <t>6594   (177/2)</t>
  </si>
  <si>
    <t>WA6594</t>
  </si>
  <si>
    <t>HYUNDAI ATOS 1.0i 98-</t>
  </si>
  <si>
    <t>177/7 = WA9581</t>
  </si>
  <si>
    <t>9581   (177/7)</t>
  </si>
  <si>
    <t>108.90</t>
  </si>
  <si>
    <t>WA9581</t>
  </si>
  <si>
    <t>Hyundai i30| Kia Ceed 1.6CRDI,  (РћР• 281132H000) /LX2752/</t>
  </si>
  <si>
    <t>179 = WA6366</t>
  </si>
  <si>
    <t>6366   (179)</t>
  </si>
  <si>
    <t>WA6366</t>
  </si>
  <si>
    <t>180 = WA6367</t>
  </si>
  <si>
    <t>6367   (180)</t>
  </si>
  <si>
    <t>WA6367</t>
  </si>
  <si>
    <t>MITSUBISHI CARISMA 1.6,1.8,1.8GDI 95-, SPACE STAR 1.3i 98-</t>
  </si>
  <si>
    <t>182 = WA6369</t>
  </si>
  <si>
    <t>6369   (182)</t>
  </si>
  <si>
    <t>93.32</t>
  </si>
  <si>
    <t>WA6369</t>
  </si>
  <si>
    <t>KIA SEPHIA II, SHUMA 1.5, 1.8 98-, CARENS 1.8I 00-</t>
  </si>
  <si>
    <t>182/10 = WA9643</t>
  </si>
  <si>
    <t>9643   (182/10)</t>
  </si>
  <si>
    <t>216.86</t>
  </si>
  <si>
    <t>WA9643</t>
  </si>
  <si>
    <t>Kia Sorento 2.5CRDI, 3.3i V6 12/06-</t>
  </si>
  <si>
    <t>182/2 = WA6371</t>
  </si>
  <si>
    <t>6371   (182/2)</t>
  </si>
  <si>
    <t>137.06</t>
  </si>
  <si>
    <t>WA6371</t>
  </si>
  <si>
    <t>KIA CLARUS 1.8i 16V,  2.0i 16V  96-</t>
  </si>
  <si>
    <t>183 = WA6373</t>
  </si>
  <si>
    <t>6373   (183)</t>
  </si>
  <si>
    <t>WA6373</t>
  </si>
  <si>
    <t>VW GOLF IV, POLO, BORA 1.4 16V 96-, GOLF IV, SEAT 1.6 16V 00-</t>
  </si>
  <si>
    <t>183/2 = WA6695</t>
  </si>
  <si>
    <t>6695   (183/2)</t>
  </si>
  <si>
    <t>WA6695</t>
  </si>
  <si>
    <t>Volkswagen Golf IV 1.4i 8/97--&gt;, Lupo 1.4i - wersja z prefiltrem (LX954)</t>
  </si>
  <si>
    <t>183/3 = WA9545</t>
  </si>
  <si>
    <t>9545   (183/3)</t>
  </si>
  <si>
    <t>155.09</t>
  </si>
  <si>
    <t>WA9545</t>
  </si>
  <si>
    <t>Skoda Fabia II, Roomster 1.4i (86HP), 1.6i (105HP)</t>
  </si>
  <si>
    <t>184 = WA6374</t>
  </si>
  <si>
    <t>6374   (184)</t>
  </si>
  <si>
    <t>WA6374</t>
  </si>
  <si>
    <t>TOYOTA CARINA 1.6i-2.0i  94-97, AVENSIS 1.6i-2.0i  97-</t>
  </si>
  <si>
    <t>185 = WA6375</t>
  </si>
  <si>
    <t>6375   (185)</t>
  </si>
  <si>
    <t>WA6375</t>
  </si>
  <si>
    <t>RENAULT KANGOO 1.9D 98-, CLIO 1.9D 00-</t>
  </si>
  <si>
    <t>185/1 = WA6595</t>
  </si>
  <si>
    <t>6595   (185/1)</t>
  </si>
  <si>
    <t>150.02</t>
  </si>
  <si>
    <t>WA6595</t>
  </si>
  <si>
    <t>RENAULT LAGUNA 1.6i, 1.8i 97-, MEGANE 1.4i, 1.6i 99-</t>
  </si>
  <si>
    <t>185/2 = WA9457</t>
  </si>
  <si>
    <t>9457   (185/2)</t>
  </si>
  <si>
    <t>126.36</t>
  </si>
  <si>
    <t>WA9457</t>
  </si>
  <si>
    <t>Renault  Megane II, Scenic II 1.5-2.0DCI  02-</t>
  </si>
  <si>
    <t>185/4 = WA9569</t>
  </si>
  <si>
    <t>9569   (185/4)</t>
  </si>
  <si>
    <t>WA9569</t>
  </si>
  <si>
    <t>Renault Kangoo II 1.5dCI 02/08- (РћР• 8200788425)  /LX2631/</t>
  </si>
  <si>
    <t>185/5 = WA9563</t>
  </si>
  <si>
    <t>9563   (185/5)</t>
  </si>
  <si>
    <t>WA9563</t>
  </si>
  <si>
    <t>Nissan Quashqai 1.6, 2.0, 2.0DCI, X-Trail II 2.0i, 2.0DCI| Renault Koleos (РћР• 16546JD20A, 16546JD20B)</t>
  </si>
  <si>
    <t>185/6 = WA9655</t>
  </si>
  <si>
    <t>9655   (185/6)</t>
  </si>
  <si>
    <t>185.13</t>
  </si>
  <si>
    <t>WA9655</t>
  </si>
  <si>
    <t>Renault Fluence, Megane III, Scenic IV1.6i, 1.5-1.9 dCi  08 -</t>
  </si>
  <si>
    <t>186 = WA6673</t>
  </si>
  <si>
    <t>6673   (186)</t>
  </si>
  <si>
    <t>192.45</t>
  </si>
  <si>
    <t>WA6673</t>
  </si>
  <si>
    <t>VW SHARAN 1.8T, 1.9TDI, 2.8i 04/00-</t>
  </si>
  <si>
    <t>186/1 = WA9521</t>
  </si>
  <si>
    <t>9521   (186/1)</t>
  </si>
  <si>
    <t>180.81</t>
  </si>
  <si>
    <t>WA9521</t>
  </si>
  <si>
    <t>MONDEO IV/S-MAX 1.8-2.0(LX1885)</t>
  </si>
  <si>
    <t>188/3 = WA6717</t>
  </si>
  <si>
    <t>6717   (188/3)</t>
  </si>
  <si>
    <t>WA6717</t>
  </si>
  <si>
    <t>SAAB 9-3  2.0i, 2.3i 01/01-</t>
  </si>
  <si>
    <t>189/1 = WA6702</t>
  </si>
  <si>
    <t>6702   (189/1)</t>
  </si>
  <si>
    <t>WA6702</t>
  </si>
  <si>
    <t>SKODA FABIA 1.9TDI/SDI 00-, VW POLO, SEAT 1.4TDI, 1.9SDI 01-</t>
  </si>
  <si>
    <t>190/9 = WA9730</t>
  </si>
  <si>
    <t>9730   (190/9)</t>
  </si>
  <si>
    <t>WA9730</t>
  </si>
  <si>
    <t>Suzuki Swift III 1.3i, 1.5i, 1.6i  05-</t>
  </si>
  <si>
    <t>192 = WA6706</t>
  </si>
  <si>
    <t>6706   (192)</t>
  </si>
  <si>
    <t>WA6706</t>
  </si>
  <si>
    <t>Ford Fiesta V 1.4i 16V, 1.6i 16V 3/02-&gt;, Mini Cooper 1.6i</t>
  </si>
  <si>
    <t>194/1 = WA9616</t>
  </si>
  <si>
    <t>9616   (194/1)</t>
  </si>
  <si>
    <t>200.72</t>
  </si>
  <si>
    <t>WA9616</t>
  </si>
  <si>
    <t>Ssangyong Rexton 2.7Xdi -2.9TD, 02-</t>
  </si>
  <si>
    <t>195 = WA9522</t>
  </si>
  <si>
    <t>9522   (195)</t>
  </si>
  <si>
    <t>WA9522</t>
  </si>
  <si>
    <t>Mitsubishi Colt VI, Smart Forfour</t>
  </si>
  <si>
    <t>196 = WA9663</t>
  </si>
  <si>
    <t>9663   (196)</t>
  </si>
  <si>
    <t>204.66</t>
  </si>
  <si>
    <t>WA9663</t>
  </si>
  <si>
    <t>196/4 = WA9689</t>
  </si>
  <si>
    <t>9689   (196/4)</t>
  </si>
  <si>
    <t>WA9689</t>
  </si>
  <si>
    <t>Citroen C4 II, Peugeot 308, 3008 1.6THP</t>
  </si>
  <si>
    <t>196/6 = WA9760</t>
  </si>
  <si>
    <t>9760   (196/6)</t>
  </si>
  <si>
    <t>WA9760</t>
  </si>
  <si>
    <t>Peugeot 208, Citroen DS3 1.2, 12-</t>
  </si>
  <si>
    <t>199 = WA6530</t>
  </si>
  <si>
    <t>6530   (199)</t>
  </si>
  <si>
    <t>WA6530</t>
  </si>
  <si>
    <t>FORD EXPLORER 4.0i V6  93-94</t>
  </si>
  <si>
    <t>199/11 = 42420</t>
  </si>
  <si>
    <t>42420   (199/11)</t>
  </si>
  <si>
    <t>63.46</t>
  </si>
  <si>
    <t>42420E</t>
  </si>
  <si>
    <t>Kosiarki ogrodowe Briggs and Stratton (WIX 42420)</t>
  </si>
  <si>
    <t>200/3 = 93213E</t>
  </si>
  <si>
    <t>93213E   (200/3)</t>
  </si>
  <si>
    <t>306.80</t>
  </si>
  <si>
    <t>93213E</t>
  </si>
  <si>
    <t>Massey Ferguson вЂ“ ci?gniki, Lindner - ci?gniki</t>
  </si>
  <si>
    <t>200/7W = 93215E</t>
  </si>
  <si>
    <t>93215E   (200/7W)</t>
  </si>
  <si>
    <t>381.15</t>
  </si>
  <si>
    <t>93215E</t>
  </si>
  <si>
    <t>Wewn?trzny wk?ad filtra (bezpiecznik) w AR 200/7 (РћР• FERGUSON 3901465M1)</t>
  </si>
  <si>
    <t>201 = WA6383</t>
  </si>
  <si>
    <t>6383   (201)</t>
  </si>
  <si>
    <t>65.15</t>
  </si>
  <si>
    <t>WA6383</t>
  </si>
  <si>
    <t>AUDI 80 1.6, 1.8S 87-91, 1.6, 2.0 91-94, VW GOLF III 1.4 91-97</t>
  </si>
  <si>
    <t>202 = WA6384</t>
  </si>
  <si>
    <t>6384   (202)</t>
  </si>
  <si>
    <t>64.96</t>
  </si>
  <si>
    <t>WA6384</t>
  </si>
  <si>
    <t>OPEL ASCONA 1.3, 1.6 81-88, KADETT 1.3, 1.6 85-93  /262 X 204 X 52.5/</t>
  </si>
  <si>
    <t>203 = WA6385</t>
  </si>
  <si>
    <t>6385   (203)</t>
  </si>
  <si>
    <t>75.85</t>
  </si>
  <si>
    <t>WA6385</t>
  </si>
  <si>
    <t>OPEL KADETT,CORSA 1.2, 1.3 -90 (Р°РЅР°Р»РѕРі LX69, C2536)</t>
  </si>
  <si>
    <t>204 = WA6386</t>
  </si>
  <si>
    <t>6386   (204)</t>
  </si>
  <si>
    <t>116.79</t>
  </si>
  <si>
    <t>WA6386</t>
  </si>
  <si>
    <t>MB W123 (200D-300D/TD) -85, T1/T2 210,410 -96 /Р°РЅР°Р»РѕРі LX264/</t>
  </si>
  <si>
    <t>206 = WA6388</t>
  </si>
  <si>
    <t>6388   (206)</t>
  </si>
  <si>
    <t>79.61</t>
  </si>
  <si>
    <t>WA6388</t>
  </si>
  <si>
    <t>FORD FIESTA 1.1i 89-95, ESCORT 1.1 83-90, ORION 1.3 85-88</t>
  </si>
  <si>
    <t>208 = WA6001</t>
  </si>
  <si>
    <t>6001   (208)</t>
  </si>
  <si>
    <t>WA6001</t>
  </si>
  <si>
    <t>FORD SIERRA 2.3D  82-93, SCORPIO 2.5D  85-94</t>
  </si>
  <si>
    <t>210 = WA6391</t>
  </si>
  <si>
    <t>6391   (210)</t>
  </si>
  <si>
    <t>108.52</t>
  </si>
  <si>
    <t>WA6391</t>
  </si>
  <si>
    <t>BMW 316 (M10 - engines) 80-92</t>
  </si>
  <si>
    <t>211 = WA6392</t>
  </si>
  <si>
    <t>6392   (211)</t>
  </si>
  <si>
    <t>WA6392</t>
  </si>
  <si>
    <t>"Skoda 105| Trabant 601"</t>
  </si>
  <si>
    <t>213 = WA6394</t>
  </si>
  <si>
    <t>6394   (213)</t>
  </si>
  <si>
    <t>WA6394</t>
  </si>
  <si>
    <t>Fiat 127,128, Fiorino, Panda -88,  SUZUKI Alto 0.8, 1.0  94-97</t>
  </si>
  <si>
    <t>214 = WA6395</t>
  </si>
  <si>
    <t>6395   (214)</t>
  </si>
  <si>
    <t>WA6395</t>
  </si>
  <si>
    <t>LADA 2101-2109, MOSKVITCH (РЅРµ РёРЅР¶РµРєС‚РѕСЂ)</t>
  </si>
  <si>
    <t>214A = WA6396</t>
  </si>
  <si>
    <t>6396   (214A)</t>
  </si>
  <si>
    <t>WA6396</t>
  </si>
  <si>
    <t>214AT = WA6396-12</t>
  </si>
  <si>
    <t>6396-12   (214AT)</t>
  </si>
  <si>
    <t>34.55</t>
  </si>
  <si>
    <t>WA6396-12</t>
  </si>
  <si>
    <t>214T = WA6395-12</t>
  </si>
  <si>
    <t>6395-12   (214T)</t>
  </si>
  <si>
    <t>33.23</t>
  </si>
  <si>
    <t>WA6395-12</t>
  </si>
  <si>
    <t>215 = WA6397</t>
  </si>
  <si>
    <t>6397   (215)</t>
  </si>
  <si>
    <t>39.25</t>
  </si>
  <si>
    <t>WA6397</t>
  </si>
  <si>
    <t>Fiat 126p 77-96</t>
  </si>
  <si>
    <t>218/1 = WA9443</t>
  </si>
  <si>
    <t>9443   (218/1)</t>
  </si>
  <si>
    <t>335.72</t>
  </si>
  <si>
    <t>WA9443</t>
  </si>
  <si>
    <t>MB C.E-Classe all 1.8L mot.271 02-&gt;</t>
  </si>
  <si>
    <t>218/2 = WA9484</t>
  </si>
  <si>
    <t>9484   (218/2)</t>
  </si>
  <si>
    <t>294.41</t>
  </si>
  <si>
    <t>WA9484</t>
  </si>
  <si>
    <t>MB E200CDI - E270CDI (LX 816/4)</t>
  </si>
  <si>
    <t>218/3 = WA9485</t>
  </si>
  <si>
    <t>9485   (218/3)</t>
  </si>
  <si>
    <t>332.34</t>
  </si>
  <si>
    <t>WA9485</t>
  </si>
  <si>
    <t>MB E270CDI - E320CDI</t>
  </si>
  <si>
    <t>222 = WA6403</t>
  </si>
  <si>
    <t>6403   (222)</t>
  </si>
  <si>
    <t>WA6403</t>
  </si>
  <si>
    <t>FORD FIESTA,ORION,ESCORT 1.4 85-88, ESCORT 1.4 95-</t>
  </si>
  <si>
    <t>223 = WA6404</t>
  </si>
  <si>
    <t>6404   (223)</t>
  </si>
  <si>
    <t>98.38</t>
  </si>
  <si>
    <t>WA6404</t>
  </si>
  <si>
    <t>FORD SIERRA 1.6, 2.0 82-93</t>
  </si>
  <si>
    <t>224 = WA6405</t>
  </si>
  <si>
    <t>6405   (224)</t>
  </si>
  <si>
    <t>102.14</t>
  </si>
  <si>
    <t>WA6405</t>
  </si>
  <si>
    <t>FORD TRANSIT 2.4D  77-86</t>
  </si>
  <si>
    <t>225 = WA6406</t>
  </si>
  <si>
    <t>6406   (225)</t>
  </si>
  <si>
    <t>85.99</t>
  </si>
  <si>
    <t>WA6406</t>
  </si>
  <si>
    <t>FORD TRANSIT 1.6, 2.0 85-92,  2.5D 85-89</t>
  </si>
  <si>
    <t>229 = WA6411</t>
  </si>
  <si>
    <t>6411   (229)</t>
  </si>
  <si>
    <t>84.49</t>
  </si>
  <si>
    <t>WA6411</t>
  </si>
  <si>
    <t>RENAULT 19  1.4i 89-95, RAPID  1.4 86-91</t>
  </si>
  <si>
    <t>232/1 = WA6586</t>
  </si>
  <si>
    <t>6586   (232/1)</t>
  </si>
  <si>
    <t>WA6586</t>
  </si>
  <si>
    <t>FIAT PUNTO 1.2i 99-,  DOBLO 1.2i, 1.6i 01-</t>
  </si>
  <si>
    <t>234/3 = WA6732</t>
  </si>
  <si>
    <t>6732   (234/3)</t>
  </si>
  <si>
    <t>WA6732</t>
  </si>
  <si>
    <t>FIAT Doblo 1.9/D/JTD 03/01-&gt;</t>
  </si>
  <si>
    <t>238 = WA6422</t>
  </si>
  <si>
    <t>6422   (238)</t>
  </si>
  <si>
    <t>122.80</t>
  </si>
  <si>
    <t>WA6422</t>
  </si>
  <si>
    <t>FORD SIERRA 84-88, SCORPIO 1.8 04/85-02/92</t>
  </si>
  <si>
    <t>243 = WA6426</t>
  </si>
  <si>
    <t>6426   (243)</t>
  </si>
  <si>
    <t>105.89</t>
  </si>
  <si>
    <t>WA6426</t>
  </si>
  <si>
    <t>MAZDA 626 2.0 83-92</t>
  </si>
  <si>
    <t>246 = WA6033</t>
  </si>
  <si>
    <t>6033   (246)</t>
  </si>
  <si>
    <t>110.40</t>
  </si>
  <si>
    <t>WA6033</t>
  </si>
  <si>
    <t>CITROEN/PEUGEOT 1.0-1.6 Р±РµРЅР·РёРЅ  85-</t>
  </si>
  <si>
    <t>246/2 = WA9437</t>
  </si>
  <si>
    <t>9437   (246/2)</t>
  </si>
  <si>
    <t>WA9437</t>
  </si>
  <si>
    <t>HONDA CIVIC/CRV II 2.0 01-&gt;</t>
  </si>
  <si>
    <t>247 = WA6429</t>
  </si>
  <si>
    <t>6429   (247)</t>
  </si>
  <si>
    <t>85.05</t>
  </si>
  <si>
    <t>WA6429</t>
  </si>
  <si>
    <t>PEUGEOT 305 1.5-1.9 80-90, 205 1.7D/TD 83-93, 309 1.8D/TD 89-93</t>
  </si>
  <si>
    <t>250 = WA6003</t>
  </si>
  <si>
    <t>6003   (250)</t>
  </si>
  <si>
    <t>83.55</t>
  </si>
  <si>
    <t>WA6003</t>
  </si>
  <si>
    <t>FORD ESCORT,FIESTA,ORION 1.4, 1.6 88-93</t>
  </si>
  <si>
    <t>251 = WA6004</t>
  </si>
  <si>
    <t>6004   (251)</t>
  </si>
  <si>
    <t>87.12</t>
  </si>
  <si>
    <t>WA6004</t>
  </si>
  <si>
    <t>FORD ESCORT 1.3 88-99, FIESTA 1.3 89-96, ORION 1.3 89-93</t>
  </si>
  <si>
    <t>252 = WA6431</t>
  </si>
  <si>
    <t>6431   (252)</t>
  </si>
  <si>
    <t>75.67</t>
  </si>
  <si>
    <t>WA6431</t>
  </si>
  <si>
    <t>Dacia 1.3  83-\n</t>
  </si>
  <si>
    <t>257 = WA6435</t>
  </si>
  <si>
    <t>6435   (257)</t>
  </si>
  <si>
    <t>126.92</t>
  </si>
  <si>
    <t>WA6435</t>
  </si>
  <si>
    <t>JEEP CHEROKEE 2.5TD 88-96, RENAULT MASTER 80-96</t>
  </si>
  <si>
    <t>263 = WA6441</t>
  </si>
  <si>
    <t>6441   (263)</t>
  </si>
  <si>
    <t>WA6441</t>
  </si>
  <si>
    <t>CITROEN/PEUGEOT/FIAT DUCATO 1.9D/TD, 2.5D/TD  88-02</t>
  </si>
  <si>
    <t>275 = WA6456</t>
  </si>
  <si>
    <t>6456   (275)</t>
  </si>
  <si>
    <t>WA6456</t>
  </si>
  <si>
    <t>RENAULT MEGANE 1.6i 96-, TRAFIC 2.0 80-97, 2.2 89-97</t>
  </si>
  <si>
    <t>276 = WA6457</t>
  </si>
  <si>
    <t>6457   (276)</t>
  </si>
  <si>
    <t>90.50</t>
  </si>
  <si>
    <t>WA6457</t>
  </si>
  <si>
    <t>RENAULT CLIO 1.2, 1.4 91-98, RAPID 1.4 91-98, MEGANE 1.4i 96-</t>
  </si>
  <si>
    <t>277 = WA6005</t>
  </si>
  <si>
    <t>6005   (277)</t>
  </si>
  <si>
    <t>137.81</t>
  </si>
  <si>
    <t>WA6005</t>
  </si>
  <si>
    <t>RENAULT R19, R21  1.7i 88-95</t>
  </si>
  <si>
    <t>283 = WA6460</t>
  </si>
  <si>
    <t>6460   (283)</t>
  </si>
  <si>
    <t>WA6460</t>
  </si>
  <si>
    <t>MAZDA 626 2.0D  83-87 (RF-46 - engines)</t>
  </si>
  <si>
    <t>285 = WA6462</t>
  </si>
  <si>
    <t>6462   (285)</t>
  </si>
  <si>
    <t>247.84</t>
  </si>
  <si>
    <t>WA6462</t>
  </si>
  <si>
    <t>Iveco Daily IV/V 99-  | Case| Deutz Fahr| John Deere| Renault Agri (93326E)\n</t>
  </si>
  <si>
    <t>314 = WA6486</t>
  </si>
  <si>
    <t>6486   (314)</t>
  </si>
  <si>
    <t>116.41</t>
  </si>
  <si>
    <t>WA6486</t>
  </si>
  <si>
    <t>CITROEN XANTIA 2.0i TURBO, 3.0i 97-, PEUGEOT 306 1.9DT/TD 93-</t>
  </si>
  <si>
    <t>314/1 = WA6565</t>
  </si>
  <si>
    <t>6565   (314/1)</t>
  </si>
  <si>
    <t>112.47</t>
  </si>
  <si>
    <t>WA6565</t>
  </si>
  <si>
    <t>PEUGEOT 306, CITROEN XSARA 1.9TD  97-</t>
  </si>
  <si>
    <t>316 = WA6487</t>
  </si>
  <si>
    <t>6487   (316)</t>
  </si>
  <si>
    <t>172.74</t>
  </si>
  <si>
    <t>WA6487</t>
  </si>
  <si>
    <t>316/1 = WA9523</t>
  </si>
  <si>
    <t>9523   (316/1)</t>
  </si>
  <si>
    <t>307.92</t>
  </si>
  <si>
    <t>WA9523</t>
  </si>
  <si>
    <t>Citroen Jumper III| Fiat Ducato| Peugeot Boxer III 7/06--</t>
  </si>
  <si>
    <t>327/1 = WA6538</t>
  </si>
  <si>
    <t>6538   (327/1)</t>
  </si>
  <si>
    <t>159.60</t>
  </si>
  <si>
    <t>WA6538</t>
  </si>
  <si>
    <t>MB A - class Р±РµРЅР·РёРЅ 97-,  VANEO Р±РµРЅР·РёРЅ  02-</t>
  </si>
  <si>
    <t>349 = WA6501</t>
  </si>
  <si>
    <t>6501   (349)</t>
  </si>
  <si>
    <t>134.06</t>
  </si>
  <si>
    <t>WA6501</t>
  </si>
  <si>
    <t>RENAULT CLIO, TWINGO 1.2i  96-, KANGOO 1.2i  98- (РІС‹СЃРѕРєРѕРµРјРєРёР№)</t>
  </si>
  <si>
    <t>350/1 = 46438E</t>
  </si>
  <si>
    <t>46438E   (350/1)</t>
  </si>
  <si>
    <t>270.56</t>
  </si>
  <si>
    <t>46438E</t>
  </si>
  <si>
    <t>John Deere-maszyny</t>
  </si>
  <si>
    <t>350/5 = 93382E</t>
  </si>
  <si>
    <t>93382E   (350/5)</t>
  </si>
  <si>
    <t>1020.47</t>
  </si>
  <si>
    <t>93382E</t>
  </si>
  <si>
    <t>Case, Caterpilar, John Deere, Terex, Volvo</t>
  </si>
  <si>
    <t>358 = WA6570</t>
  </si>
  <si>
    <t>6570   (358)</t>
  </si>
  <si>
    <t>265.12</t>
  </si>
  <si>
    <t>WA6570</t>
  </si>
  <si>
    <t>HYUNDAI  H1 2,5 TD 97-&gt;</t>
  </si>
  <si>
    <t>362 = WA6573</t>
  </si>
  <si>
    <t>6573   (362)</t>
  </si>
  <si>
    <t>266.62</t>
  </si>
  <si>
    <t>WA6573</t>
  </si>
  <si>
    <t>362/4 = WA9511</t>
  </si>
  <si>
    <t>9511   (362/4)</t>
  </si>
  <si>
    <t>WA9511</t>
  </si>
  <si>
    <t>BMW E87/ E90 04-&gt;</t>
  </si>
  <si>
    <t>364 = WA6568</t>
  </si>
  <si>
    <t>6568   (364)</t>
  </si>
  <si>
    <t>117.91</t>
  </si>
  <si>
    <t>WA6568</t>
  </si>
  <si>
    <t>Smart 0.6i 8/97-&gt; (nr cz??ci oryginalnej 0001024V001)</t>
  </si>
  <si>
    <t>370/2 = WA9645</t>
  </si>
  <si>
    <t>9645   (370/2)</t>
  </si>
  <si>
    <t>243.72</t>
  </si>
  <si>
    <t>WA9645</t>
  </si>
  <si>
    <t>370/4 = WA9756</t>
  </si>
  <si>
    <t>9756   (370/4)!! Р·Р°РјС–РЅР° РґР»СЏ 9445   (370)</t>
  </si>
  <si>
    <t>WA9756</t>
  </si>
  <si>
    <t>Audi A3 II| Seat Altea, Toledo III| Skoda Octavia II| VW Bora II, Caddy III,Golf V, Passat, Touran 1.6, 2.0FSI  04-</t>
  </si>
  <si>
    <t>371/2 = WA9502</t>
  </si>
  <si>
    <t>9502   (371/2)</t>
  </si>
  <si>
    <t>212.16</t>
  </si>
  <si>
    <t>WA9502</t>
  </si>
  <si>
    <t>AUDI A6 2.0 TDI/TFSI (LX1253)</t>
  </si>
  <si>
    <t>371/3 = WA9548</t>
  </si>
  <si>
    <t>9548   (371/3)</t>
  </si>
  <si>
    <t>343.41</t>
  </si>
  <si>
    <t>WA9548</t>
  </si>
  <si>
    <t>Audi A6 2.4, 2.8FSI, 3.0, 3.2FSI, 4.2, 4.2FSI 5/04- (РћР• 4F0133843, 059133843B)</t>
  </si>
  <si>
    <t>372/1 = WA9567</t>
  </si>
  <si>
    <t>9567   (372/1)</t>
  </si>
  <si>
    <t>WA9567</t>
  </si>
  <si>
    <t>Ford  Focus III, C-Max 3/07-, C-Max II| Volvo C30, S40, V50 (РћР• 1496204, 7M519601AC|)</t>
  </si>
  <si>
    <t>400 = 93344E</t>
  </si>
  <si>
    <t>93344E   (400)</t>
  </si>
  <si>
    <t>359.18</t>
  </si>
  <si>
    <t>93344E</t>
  </si>
  <si>
    <t>KAMAZ</t>
  </si>
  <si>
    <t>400/2 = 93369E</t>
  </si>
  <si>
    <t>93369E   (400/2)</t>
  </si>
  <si>
    <t>567.78</t>
  </si>
  <si>
    <t>93369E</t>
  </si>
  <si>
    <t>BieЕ‚az, Kamaz, Kraz, Maz  /h=474mm, d=255mm/</t>
  </si>
  <si>
    <t>401 = 93346E</t>
  </si>
  <si>
    <t>93346E   (401)</t>
  </si>
  <si>
    <t>469.02</t>
  </si>
  <si>
    <t>93346E</t>
  </si>
  <si>
    <t>"Iveco| Skoda-Liaz| Tatra (zewn.)"</t>
  </si>
  <si>
    <t>401/1 = 46741E</t>
  </si>
  <si>
    <t>46741E   (401/1)</t>
  </si>
  <si>
    <t>579.80</t>
  </si>
  <si>
    <t>46741E</t>
  </si>
  <si>
    <t>IVECO/MAN - trucks (H = 470.5 mm)  /Р°РЅР°Р»РѕРі LX273/</t>
  </si>
  <si>
    <t>401/2 = 93347E</t>
  </si>
  <si>
    <t>93347E   (401/2)</t>
  </si>
  <si>
    <t>681.75</t>
  </si>
  <si>
    <t>93347E</t>
  </si>
  <si>
    <t>RENAULT - trucks (MANAGER)  91-96  (H = 472.5 mm)</t>
  </si>
  <si>
    <t>401W = 42423</t>
  </si>
  <si>
    <t>42423   (401W)</t>
  </si>
  <si>
    <t>472.21</t>
  </si>
  <si>
    <t>42423E</t>
  </si>
  <si>
    <t>Wewn?trzny wk?ad filtra (bezpiecznik) w AM 401 i AM 401/1</t>
  </si>
  <si>
    <t>402 = 42608E</t>
  </si>
  <si>
    <t>42608E   (402)</t>
  </si>
  <si>
    <t>457.01</t>
  </si>
  <si>
    <t>42608E</t>
  </si>
  <si>
    <t>DAF/IVECO/MAN/MB - trucks</t>
  </si>
  <si>
    <t>402W = 42609</t>
  </si>
  <si>
    <t>42609   (402W)</t>
  </si>
  <si>
    <t>600.26</t>
  </si>
  <si>
    <t>42609E</t>
  </si>
  <si>
    <t>DAF - trucks  72-93</t>
  </si>
  <si>
    <t>404 = 42208E</t>
  </si>
  <si>
    <t>42208E   (404)</t>
  </si>
  <si>
    <t>542.81</t>
  </si>
  <si>
    <t>42208E</t>
  </si>
  <si>
    <t>RENAULT - trucks  MANAGER G230, G280  91-96 (H = 415 mm)</t>
  </si>
  <si>
    <t>404/1 = 93085E</t>
  </si>
  <si>
    <t>93085E   (404/1)</t>
  </si>
  <si>
    <t>839.28</t>
  </si>
  <si>
    <t>93085E</t>
  </si>
  <si>
    <t>RENAULT - trucks (MIDLINER, MANAGER, MAGNUM)  88-97</t>
  </si>
  <si>
    <t>405 = 46541E</t>
  </si>
  <si>
    <t>46541E   (405)</t>
  </si>
  <si>
    <t>379.65</t>
  </si>
  <si>
    <t>46541E</t>
  </si>
  <si>
    <t>MB/MAN/DAF/RENAULT - trucks (Р—Р°С… РІСЃС‚Р°РІРєР° 46669)</t>
  </si>
  <si>
    <t>405W = 46669E</t>
  </si>
  <si>
    <t>46669E   (405W)</t>
  </si>
  <si>
    <t>46669E</t>
  </si>
  <si>
    <t>RENAULT - trucks (MIDLINER, MANAGER, MAGNUM)  88-96 (Р—Р°С…РёСЃРЅР° РІСЃС‚Р°РІРєР° РґР»СЏ 46540 С‚Р° 46541)</t>
  </si>
  <si>
    <t>406/1 = WA6069</t>
  </si>
  <si>
    <t>6069   (406/1)</t>
  </si>
  <si>
    <t>240.14</t>
  </si>
  <si>
    <t>WA6069</t>
  </si>
  <si>
    <t>IVECO DAILY "-10", "-12" - series 90- (РїРѕ ? С€Р°СЃСЃРё)</t>
  </si>
  <si>
    <t>406/2 = 93120E</t>
  </si>
  <si>
    <t>93120E   (406/2)</t>
  </si>
  <si>
    <t>303.23</t>
  </si>
  <si>
    <t>93120E</t>
  </si>
  <si>
    <t>IVECO DAILY "-8", "-10", "-12" - series 90- (РїРѕ ? С€Р°СЃСЃРё)</t>
  </si>
  <si>
    <t>407 = WA6071</t>
  </si>
  <si>
    <t>6071   (407)</t>
  </si>
  <si>
    <t>240.52</t>
  </si>
  <si>
    <t>WA6071</t>
  </si>
  <si>
    <t>MB MB-SERIE -93</t>
  </si>
  <si>
    <t>407/1 = WA6072</t>
  </si>
  <si>
    <t>6072   (407/1)</t>
  </si>
  <si>
    <t>356.56</t>
  </si>
  <si>
    <t>WA6072</t>
  </si>
  <si>
    <t>MB 100 93-96</t>
  </si>
  <si>
    <t>412 = WA6081</t>
  </si>
  <si>
    <t>6081   (412)</t>
  </si>
  <si>
    <t>WA6081</t>
  </si>
  <si>
    <t>NISSAN SUNNY 1.7D 82-86, URVAN 2.0 Р±РµРЅР·РёРЅ 81-88, VANETTE 2.0D 86-</t>
  </si>
  <si>
    <t>413 = WA6084</t>
  </si>
  <si>
    <t>6084   (413)</t>
  </si>
  <si>
    <t>WA6084</t>
  </si>
  <si>
    <t>VW TRANSPORTER 1.6TD 84-92, 1.9 Р±РµРЅР·РёРЅ 82-92 (РєСЂСѓРіР»С‹Р№)</t>
  </si>
  <si>
    <t>416 = 42328E</t>
  </si>
  <si>
    <t>42328E   (416)</t>
  </si>
  <si>
    <t>563.09</t>
  </si>
  <si>
    <t>42328E</t>
  </si>
  <si>
    <t>DAF/SCANIA - trucks 90-98</t>
  </si>
  <si>
    <t>416/1 = 93091E</t>
  </si>
  <si>
    <t>93091E   (416/1)</t>
  </si>
  <si>
    <t>651.52</t>
  </si>
  <si>
    <t>93091E</t>
  </si>
  <si>
    <t>SCANIA - trucks (94, 114, 124, 164 - series) 96- (H = 448 mm)</t>
  </si>
  <si>
    <t>416/3 = 93181E</t>
  </si>
  <si>
    <t>93181E   (416/3)</t>
  </si>
  <si>
    <t>696.58</t>
  </si>
  <si>
    <t>93181E</t>
  </si>
  <si>
    <t>SCANIA - trucks  124 - series  95-  (KNECHT - SYSYTEM)</t>
  </si>
  <si>
    <t>418 = 42482E</t>
  </si>
  <si>
    <t>42482E   (418)</t>
  </si>
  <si>
    <t>42482E</t>
  </si>
  <si>
    <t>MB 809, 814, 914, 1114 (OM364, OM356, OM366 - eng.)  84-</t>
  </si>
  <si>
    <t>420 = 46554E</t>
  </si>
  <si>
    <t>46554E   (420)</t>
  </si>
  <si>
    <t>353.74</t>
  </si>
  <si>
    <t>46554E</t>
  </si>
  <si>
    <t>MB/IVECO/MAN - trucks (H = 373.5 mm)</t>
  </si>
  <si>
    <t>433 = WA6108</t>
  </si>
  <si>
    <t>6108   (433)</t>
  </si>
  <si>
    <t>189.26</t>
  </si>
  <si>
    <t>WA6108</t>
  </si>
  <si>
    <t>MITSUBISHI GALANT 1.8, 2.0  87-92, LANCER 1.3i 92-</t>
  </si>
  <si>
    <t>441/1 = WA6118</t>
  </si>
  <si>
    <t>6118   (441/1)</t>
  </si>
  <si>
    <t>223.43</t>
  </si>
  <si>
    <t>WA6118</t>
  </si>
  <si>
    <t>TOYOTA HIACE 2.4D 95-,  2.5D 01-,  HILUX 2.5D 01-</t>
  </si>
  <si>
    <t>446 = 93084E</t>
  </si>
  <si>
    <t>93084E   (446)</t>
  </si>
  <si>
    <t>614.16</t>
  </si>
  <si>
    <t>93084E</t>
  </si>
  <si>
    <t>MAN - trucks F90 94-97, F2000 94-</t>
  </si>
  <si>
    <t>446/2 = 93156E</t>
  </si>
  <si>
    <t>93156E   (446/2)</t>
  </si>
  <si>
    <t>507.14</t>
  </si>
  <si>
    <t>93156E</t>
  </si>
  <si>
    <t>MAN - trucks (L2000, M2000 - series)  95-</t>
  </si>
  <si>
    <t>446/3 = 93236E</t>
  </si>
  <si>
    <t>93236E   (446/3)</t>
  </si>
  <si>
    <t>686.07</t>
  </si>
  <si>
    <t>93236E</t>
  </si>
  <si>
    <t>MAN. seria TG-A 4/ 00, Steyr 4/ 00</t>
  </si>
  <si>
    <t>447/1 = 42803E</t>
  </si>
  <si>
    <t>42803E   (447/1)</t>
  </si>
  <si>
    <t>813.75</t>
  </si>
  <si>
    <t>42803E</t>
  </si>
  <si>
    <t>DAF 95XF</t>
  </si>
  <si>
    <t>447/7 = 93251E</t>
  </si>
  <si>
    <t>93251E   (447/7)</t>
  </si>
  <si>
    <t>529.86</t>
  </si>
  <si>
    <t>93251E</t>
  </si>
  <si>
    <t>Daf LF45, LF55 1/01--&gt;</t>
  </si>
  <si>
    <t>447/9 = 93309E</t>
  </si>
  <si>
    <t>93309E   (447/9)</t>
  </si>
  <si>
    <t>619.61</t>
  </si>
  <si>
    <t>93309E</t>
  </si>
  <si>
    <t>Daf LF55</t>
  </si>
  <si>
    <t>455 = 42410E</t>
  </si>
  <si>
    <t>42410E   (455)</t>
  </si>
  <si>
    <t>512.58</t>
  </si>
  <si>
    <t>42410E</t>
  </si>
  <si>
    <t>MAN - trucks &amp; buses, IVECO - trucks</t>
  </si>
  <si>
    <t>455/2 = 93231E</t>
  </si>
  <si>
    <t>93231E   (455/2)</t>
  </si>
  <si>
    <t>941.24</t>
  </si>
  <si>
    <t>93231E</t>
  </si>
  <si>
    <t>Iveco Eurocargo 9/00-&gt; (sil. Tector) (nr cz?sci oryginalnej 42471161)</t>
  </si>
  <si>
    <t>464 = 42411E</t>
  </si>
  <si>
    <t>42411E   (464)</t>
  </si>
  <si>
    <t>779.20</t>
  </si>
  <si>
    <t>42411E</t>
  </si>
  <si>
    <t>DAF - trucks (65, 75, 85, 85CF - series)  92-98</t>
  </si>
  <si>
    <t>468/4 = WA6579</t>
  </si>
  <si>
    <t>6579   (468/4)</t>
  </si>
  <si>
    <t>228.88</t>
  </si>
  <si>
    <t>WA6579</t>
  </si>
  <si>
    <t>474 = 93342E</t>
  </si>
  <si>
    <t>93342E   (474)</t>
  </si>
  <si>
    <t>358.24</t>
  </si>
  <si>
    <t>93342E</t>
  </si>
  <si>
    <t>ETALON 5.7D (TATA) - РІРЅРµС€РЅРёР№ С„РёР»СЊС‚СЂ</t>
  </si>
  <si>
    <t>500 = 92132E</t>
  </si>
  <si>
    <t>92132E   (500)</t>
  </si>
  <si>
    <t>45.81</t>
  </si>
  <si>
    <t>92132E</t>
  </si>
  <si>
    <t>500/1 = 92133E</t>
  </si>
  <si>
    <t>92133E   (500/1)</t>
  </si>
  <si>
    <t>91.26</t>
  </si>
  <si>
    <t>92133E</t>
  </si>
  <si>
    <t>Super Maz, KAMAZ (EURO 3)</t>
  </si>
  <si>
    <t>501 = 92134E</t>
  </si>
  <si>
    <t>92134E   (501)</t>
  </si>
  <si>
    <t>65.72</t>
  </si>
  <si>
    <t>92134E</t>
  </si>
  <si>
    <t>RENAULT - trucks 91-96</t>
  </si>
  <si>
    <t>502 = 92135E</t>
  </si>
  <si>
    <t>92135E   (502)</t>
  </si>
  <si>
    <t>82.24</t>
  </si>
  <si>
    <t>92135E</t>
  </si>
  <si>
    <t>Tatra 815 (opakowanie zbiorcze) (OX46)</t>
  </si>
  <si>
    <t>503 = 92136E</t>
  </si>
  <si>
    <t>92136E   (503)</t>
  </si>
  <si>
    <t>47.50</t>
  </si>
  <si>
    <t>92136E</t>
  </si>
  <si>
    <t>Autosan OM366A/ LA</t>
  </si>
  <si>
    <t>504A = 92138E</t>
  </si>
  <si>
    <t>92138E   (504A)</t>
  </si>
  <si>
    <t>53.14</t>
  </si>
  <si>
    <t>92138E</t>
  </si>
  <si>
    <t>Jelcz| Autosan| Star| Bizon вЂ“ kombajny  Modyfikacja OM 504 z ko?nierzykiem prowadz?cym (opakowanie zbiorcze)</t>
  </si>
  <si>
    <t>505 = 51835E</t>
  </si>
  <si>
    <t>51835E   (505)</t>
  </si>
  <si>
    <t>55.95</t>
  </si>
  <si>
    <t>51835E</t>
  </si>
  <si>
    <t>DAF/IFA/IKARUS/RENAULT - РёРЅРґСѓСЃС‚СЂРёР°Р»СЊРЅР°СЏ С‚РµС…РЅРёРєР°</t>
  </si>
  <si>
    <t>506 = WL7019</t>
  </si>
  <si>
    <t>7019   (506)</t>
  </si>
  <si>
    <t>WL7019</t>
  </si>
  <si>
    <t>W123 (200,250) 76-85,  W460 (230G) -93 (M115, M123 - engines)</t>
  </si>
  <si>
    <t>509 = WL7023</t>
  </si>
  <si>
    <t>7023   (509)</t>
  </si>
  <si>
    <t>48.07</t>
  </si>
  <si>
    <t>WL7023</t>
  </si>
  <si>
    <t>MB W201 (E2.3-16, E2.6-16) 84-93, T1/T2 210, 410, 510 77-96</t>
  </si>
  <si>
    <t>512 = 57131E</t>
  </si>
  <si>
    <t>57131E   (512)</t>
  </si>
  <si>
    <t>47.88</t>
  </si>
  <si>
    <t>57131E</t>
  </si>
  <si>
    <t>MB/RENAULT/MAN/SCANIA/VOLVO - trucks (= WL7026)</t>
  </si>
  <si>
    <t>512 = WL7026</t>
  </si>
  <si>
    <t>7026   (512)</t>
  </si>
  <si>
    <t>WL7026</t>
  </si>
  <si>
    <t>MB/RENAULT/MAN/SCANIA/VOLVO  (  = 57131E )</t>
  </si>
  <si>
    <t>513 = 51063E</t>
  </si>
  <si>
    <t>51063E   (513)</t>
  </si>
  <si>
    <t>70.60</t>
  </si>
  <si>
    <t>51063E</t>
  </si>
  <si>
    <t>MB trucks 6t-18t (Р°РЅР°Р»РѕРі HU947/1X)</t>
  </si>
  <si>
    <t>513/1-2x = 92021E</t>
  </si>
  <si>
    <t>92021E   (513/1-2x)</t>
  </si>
  <si>
    <t>130.12</t>
  </si>
  <si>
    <t>92021E</t>
  </si>
  <si>
    <t>MB  SK, MK trucks &amp; buses 88-94 (2С€С‚)</t>
  </si>
  <si>
    <t>513/2 = 92022E</t>
  </si>
  <si>
    <t>92022E   (513/2)</t>
  </si>
  <si>
    <t>92022E</t>
  </si>
  <si>
    <t>MB/MAN - trucks</t>
  </si>
  <si>
    <t>514 = 57609E</t>
  </si>
  <si>
    <t>57609E   (514)</t>
  </si>
  <si>
    <t>57609E</t>
  </si>
  <si>
    <t>MB/MAN trucks &amp; buses (Р°РЅР°Р»РѕРі OX69D)</t>
  </si>
  <si>
    <t>514/2 = 51073E</t>
  </si>
  <si>
    <t>51073E   (514/2)</t>
  </si>
  <si>
    <t>51073E</t>
  </si>
  <si>
    <t>MB F90   89-90,  Mercedes trucks 73-96</t>
  </si>
  <si>
    <t>515 = WL7035</t>
  </si>
  <si>
    <t>7035   (515)</t>
  </si>
  <si>
    <t>WL7035</t>
  </si>
  <si>
    <t>FORD TRANSIT 2.4D  -86</t>
  </si>
  <si>
    <t>516 = WL7036</t>
  </si>
  <si>
    <t>7036   (516)</t>
  </si>
  <si>
    <t>WL7036</t>
  </si>
  <si>
    <t>MB trucks 6t-18t (Р°РЅР°Р»РѕРі OX150DOEKO/HU932/4X)</t>
  </si>
  <si>
    <t>518 = WL7064</t>
  </si>
  <si>
    <t>7064   (518)</t>
  </si>
  <si>
    <t>76.61</t>
  </si>
  <si>
    <t>WL7064</t>
  </si>
  <si>
    <t>RENAULT 1.1 - 1.6 Р±РµРЅР·РёРЅ -89</t>
  </si>
  <si>
    <t>520 = WL7067</t>
  </si>
  <si>
    <t>7067   (520)</t>
  </si>
  <si>
    <t>50.13</t>
  </si>
  <si>
    <t>WL7067</t>
  </si>
  <si>
    <t>Lada 2101-2107 (W920/21)</t>
  </si>
  <si>
    <t>520/1 = WL7168</t>
  </si>
  <si>
    <t>7168   (520/1)</t>
  </si>
  <si>
    <t>47.69</t>
  </si>
  <si>
    <t>WL7168</t>
  </si>
  <si>
    <t>ZAZ TAVRIA, SLAVUTA, SENS 1.3i,  Lada 2108-21099</t>
  </si>
  <si>
    <t>520/1T = WL7168-12</t>
  </si>
  <si>
    <t>7168-12   (520/1T)</t>
  </si>
  <si>
    <t>WL7168-12</t>
  </si>
  <si>
    <t>Lada 2108-21099, РћРєР°  (W914/2)</t>
  </si>
  <si>
    <t>520T = WL7067-12</t>
  </si>
  <si>
    <t>7067-12   (520T)</t>
  </si>
  <si>
    <t>49.38</t>
  </si>
  <si>
    <t>WL7067-12</t>
  </si>
  <si>
    <t>Lada 2101-2107  (W920/21)</t>
  </si>
  <si>
    <t>522 = WL7040</t>
  </si>
  <si>
    <t>7040   (522)</t>
  </si>
  <si>
    <t>72.66</t>
  </si>
  <si>
    <t>WL7040</t>
  </si>
  <si>
    <t>523 = WL7042</t>
  </si>
  <si>
    <t>7042   (523)</t>
  </si>
  <si>
    <t>68.53</t>
  </si>
  <si>
    <t>WL7042</t>
  </si>
  <si>
    <t>523/1 = WL7043</t>
  </si>
  <si>
    <t>7043   (523/1)</t>
  </si>
  <si>
    <t>118.67</t>
  </si>
  <si>
    <t>WL7043</t>
  </si>
  <si>
    <t>BMW 325TD/TDS 91-99, 525TD/TDS 91-95 (M51 - eng) (РјРµС‚Р°Р»Р» РєСЂС‹С€РєР°)</t>
  </si>
  <si>
    <t>524 = 92139E</t>
  </si>
  <si>
    <t>92139E   (524)</t>
  </si>
  <si>
    <t>51.63</t>
  </si>
  <si>
    <t>92139E</t>
  </si>
  <si>
    <t>IFA L50 (sil. 4UD), L60 (sil. 6UD) (opakowanie zbiorcze)</t>
  </si>
  <si>
    <t>525 = WL7068</t>
  </si>
  <si>
    <t>7068   (525)</t>
  </si>
  <si>
    <t>75.10</t>
  </si>
  <si>
    <t>WL7068</t>
  </si>
  <si>
    <t>VW/AUDI/SEAT/VOLVO diesel engines</t>
  </si>
  <si>
    <t>525/1 = WL7069</t>
  </si>
  <si>
    <t>7069   (525/1)</t>
  </si>
  <si>
    <t>127.86</t>
  </si>
  <si>
    <t>WL7069</t>
  </si>
  <si>
    <t>AUDI 80 1.9TDI 91-96</t>
  </si>
  <si>
    <t>525/3 = WL7217</t>
  </si>
  <si>
    <t>7217   (525/3)</t>
  </si>
  <si>
    <t>WL7217</t>
  </si>
  <si>
    <t>525/4 = WL7260</t>
  </si>
  <si>
    <t>7260   (525/4)</t>
  </si>
  <si>
    <t>WL7260</t>
  </si>
  <si>
    <t>VW GOLF 93-98, SHARAN 95-00 1.9TDI (AHU,1Z)</t>
  </si>
  <si>
    <t>525T = WL7068-10</t>
  </si>
  <si>
    <t>7068-10   (525T)</t>
  </si>
  <si>
    <t>74.54</t>
  </si>
  <si>
    <t>WL7068-10</t>
  </si>
  <si>
    <t>VW/AUDI/SEAT/VOLVO diesel engines (Р±РµР· СѓРїР°РєРѕРІРєРё)</t>
  </si>
  <si>
    <t>526 = WL7070</t>
  </si>
  <si>
    <t>7070   (526)</t>
  </si>
  <si>
    <t>59.71</t>
  </si>
  <si>
    <t>WL7070</t>
  </si>
  <si>
    <t>526/1 = WL7071</t>
  </si>
  <si>
    <t>7071   (526/1)</t>
  </si>
  <si>
    <t>WL7071</t>
  </si>
  <si>
    <t>VW/AUDI 1.8-2.8 Р±РµРЅР·РёРЅ 91- (Р°РЅР°Р»РѕРі W719/30)</t>
  </si>
  <si>
    <t>526/1T = WL7071-12</t>
  </si>
  <si>
    <t>7071-12   (526/1T)</t>
  </si>
  <si>
    <t>76.04</t>
  </si>
  <si>
    <t>WL7071-12</t>
  </si>
  <si>
    <t>VAG A3/ A4/ A6/ 80/ 100/ Golf 4/ Passat B5/ B6/ Vento/ T4/ Multivan 94-&gt; (=OC264/ OC154/ OC240)</t>
  </si>
  <si>
    <t>526/5 = WL7321</t>
  </si>
  <si>
    <t>7321   (526/5)</t>
  </si>
  <si>
    <t>WL7321</t>
  </si>
  <si>
    <t>AUDI 80 2.6, 2.8  92-96, A4,A6,A8 2.4-3.0  95-</t>
  </si>
  <si>
    <t>526/6 = WL7448</t>
  </si>
  <si>
    <t>7448   (526/6)</t>
  </si>
  <si>
    <t>WL7448</t>
  </si>
  <si>
    <t>Audi A4 1.8T| Skoda Superb 1.8T 20V (AWT), VW Passat  1.8T (РћР• 068115561F)</t>
  </si>
  <si>
    <t>526/7 = WL7466</t>
  </si>
  <si>
    <t>7466   (526/7)</t>
  </si>
  <si>
    <t>WL7466</t>
  </si>
  <si>
    <t>Audi, Seat, Skoda, Volkswagen 1.8TFSI, 2.0TFSI</t>
  </si>
  <si>
    <t>526T = WL7070-12</t>
  </si>
  <si>
    <t>7070-12   (526T)</t>
  </si>
  <si>
    <t>58.20</t>
  </si>
  <si>
    <t>WL7070-12</t>
  </si>
  <si>
    <t>531 = WL7075</t>
  </si>
  <si>
    <t>7075   (531)</t>
  </si>
  <si>
    <t>84.31</t>
  </si>
  <si>
    <t>WL7075</t>
  </si>
  <si>
    <t>NISSAN/OPEL REKORD 2.2D/TD -86, OMEGA A 2.3D 86-94</t>
  </si>
  <si>
    <t>532/1 = WL7077</t>
  </si>
  <si>
    <t>7077   (532/1)</t>
  </si>
  <si>
    <t>WL7077</t>
  </si>
  <si>
    <t>FORD ESCORT,FIESTA,FOCUS,MONDEO 1.6, 1.8 92- /Р°РЅР°Р»РѕРі OC266, h=121.5mm/</t>
  </si>
  <si>
    <t>532/2 = WL7323</t>
  </si>
  <si>
    <t>7323   (532/2)</t>
  </si>
  <si>
    <t>76.23</t>
  </si>
  <si>
    <t>WL7323</t>
  </si>
  <si>
    <t>FORD Focus/ C-Max/ Mondeo III &amp; Mazda 3, 5-Serie/ MPV II 1, 8вЂ¦2, 3L all 2000-&gt; (see OE)</t>
  </si>
  <si>
    <t>533 = WL7078</t>
  </si>
  <si>
    <t>7078   (533)</t>
  </si>
  <si>
    <t>67.03</t>
  </si>
  <si>
    <t>WL7078</t>
  </si>
  <si>
    <t>FORD 1.6-2.9 Р±РµРЅ. -93 (Р°РЅР°Р»РѕРі OC23)</t>
  </si>
  <si>
    <t>533/1 = WL7214</t>
  </si>
  <si>
    <t>7214   (533/1)</t>
  </si>
  <si>
    <t>WL7214</t>
  </si>
  <si>
    <t>FORD MONDEO 2.5i 07/94-11/00, 3.0i 04/02-</t>
  </si>
  <si>
    <t>534 = WL7079</t>
  </si>
  <si>
    <t>7079   (534)</t>
  </si>
  <si>
    <t>WL7079</t>
  </si>
  <si>
    <t>536 = WL7081</t>
  </si>
  <si>
    <t>7081   (536)</t>
  </si>
  <si>
    <t>WL7081</t>
  </si>
  <si>
    <t>MITSUBISHI Colt II,III, GALANT, LANCER IV, L300  1.8, 2.0 87- /Р°РЅР°Р»РѕРі OC230/</t>
  </si>
  <si>
    <t>537 = WL7324</t>
  </si>
  <si>
    <t>7324   (537)</t>
  </si>
  <si>
    <t>WL7324</t>
  </si>
  <si>
    <t>FIAT 1.1-1.6 Р±РµРЅР·РёРЅ 87-94</t>
  </si>
  <si>
    <t>537/1 = WL7083</t>
  </si>
  <si>
    <t>7083   (537/1)</t>
  </si>
  <si>
    <t>WL7083</t>
  </si>
  <si>
    <t>ALFA ROMEO/FIAT  1.6i 16V-2.0i 16V  96-</t>
  </si>
  <si>
    <t>537/2 = WL7308</t>
  </si>
  <si>
    <t>7308   (537/2)</t>
  </si>
  <si>
    <t>89.18</t>
  </si>
  <si>
    <t>WL7308</t>
  </si>
  <si>
    <t>Alfa Romeo 147 1.9JTD, 156 1.9JTD| Fiat Multipla 1.9JTD, Stilo 1.9JTD</t>
  </si>
  <si>
    <t>538 = WL7291</t>
  </si>
  <si>
    <t>7291   (538)</t>
  </si>
  <si>
    <t>95.57</t>
  </si>
  <si>
    <t>WL7291</t>
  </si>
  <si>
    <t>RENAULT TRAFIC,MASTER 2.1D  80-97, LAGUNA 2.2TD 99-01</t>
  </si>
  <si>
    <t>539 = WL7085</t>
  </si>
  <si>
    <t>7085   (539)</t>
  </si>
  <si>
    <t>WL7085</t>
  </si>
  <si>
    <t>SUZUKI SWIFT 1.0-1.6 89-</t>
  </si>
  <si>
    <t>540/1 = WL7086</t>
  </si>
  <si>
    <t>7086   (540/1)</t>
  </si>
  <si>
    <t>69.66</t>
  </si>
  <si>
    <t>WL7086</t>
  </si>
  <si>
    <t>FIAT DUCATO 2.0 -94, PEUGEOT BOXER 1.9D 96-  /Р°РЅР°Р»РѕРі OC100/</t>
  </si>
  <si>
    <t>540/1T = WL7086-12</t>
  </si>
  <si>
    <t>7086-12   (540/1T)</t>
  </si>
  <si>
    <t>61.58</t>
  </si>
  <si>
    <t>WL7086-12</t>
  </si>
  <si>
    <t>FIAT DUCATO 2.0 -94, PEUGEOT BOXER 1.9D 96- Р±РµР· СѓРїР°РєРѕРІРєРё /Р°РЅР°Р»РѕРі OC100/</t>
  </si>
  <si>
    <t>541 = WL7087</t>
  </si>
  <si>
    <t>7087   (541)</t>
  </si>
  <si>
    <t>67.60</t>
  </si>
  <si>
    <t>WL7087</t>
  </si>
  <si>
    <t>OPEL ASCONA,KADETT,VECTRA 1.6D, 1.7D -95 (Р°РЅР°Р»РѕРі W713/18)</t>
  </si>
  <si>
    <t>542 = WL7088</t>
  </si>
  <si>
    <t>7088   (542)</t>
  </si>
  <si>
    <t>79.24</t>
  </si>
  <si>
    <t>WL7088</t>
  </si>
  <si>
    <t>FORD SIERRA 2.3D, SCORPIO 2.5D/TD -93</t>
  </si>
  <si>
    <t>543 = WL7089</t>
  </si>
  <si>
    <t>7089   (543)</t>
  </si>
  <si>
    <t>WL7089</t>
  </si>
  <si>
    <t>FORD Transit  2.5D/TD/DI 83-00</t>
  </si>
  <si>
    <t>544 = WL7090</t>
  </si>
  <si>
    <t>7090   (544)</t>
  </si>
  <si>
    <t>WL7090</t>
  </si>
  <si>
    <t>545 = WL7091</t>
  </si>
  <si>
    <t>7091   (545)</t>
  </si>
  <si>
    <t>WL7091</t>
  </si>
  <si>
    <t>FIAT BRAVA,BRAVO,FIORINO,MAREA,TEMPRA 1.4, 1.6 94- /Р°РЅР°Р»РѕРі OC66/</t>
  </si>
  <si>
    <t>545/2 = WL7252</t>
  </si>
  <si>
    <t>7252   (545/2)</t>
  </si>
  <si>
    <t>71.35</t>
  </si>
  <si>
    <t>WL7252</t>
  </si>
  <si>
    <t>RENAULT CLIO, TWINGO, KANGOO 1.2i 96-, FIAT PUNTO 1.2i 99-</t>
  </si>
  <si>
    <t>546 = WL7093</t>
  </si>
  <si>
    <t>7093   (546)</t>
  </si>
  <si>
    <t>WL7093</t>
  </si>
  <si>
    <t>546/1 = WL7433</t>
  </si>
  <si>
    <t>7433   (546/1)</t>
  </si>
  <si>
    <t>WL7433</t>
  </si>
  <si>
    <t>FOCUS II/MONDEO IV 1.8TDCi 05-&gt;</t>
  </si>
  <si>
    <t>549 = WL7096</t>
  </si>
  <si>
    <t>7096   (549)</t>
  </si>
  <si>
    <t>94.07</t>
  </si>
  <si>
    <t>WL7096</t>
  </si>
  <si>
    <t>FORD EXPLORER 4.0V6 93-, TOYOTA HIACE 2.2D,2.4D -89</t>
  </si>
  <si>
    <t>550 = WL7097</t>
  </si>
  <si>
    <t>7097   (550)</t>
  </si>
  <si>
    <t>80.93</t>
  </si>
  <si>
    <t>WL7097</t>
  </si>
  <si>
    <t>Gazel 2.3i  FS Lublin ?uk (sil. S 16, S 17, S 18, S 19)| Tarpan z sil. S 237 (OC62)</t>
  </si>
  <si>
    <t>551 = WL7098</t>
  </si>
  <si>
    <t>7098   (551)</t>
  </si>
  <si>
    <t>44.12</t>
  </si>
  <si>
    <t>WL7098</t>
  </si>
  <si>
    <t>OPEL ASCONA,CORSA,KADETT 1.2, 1.3 -85</t>
  </si>
  <si>
    <t>554 = WL7101</t>
  </si>
  <si>
    <t>7101   (554)</t>
  </si>
  <si>
    <t>WL7101</t>
  </si>
  <si>
    <t>PEUGEOT 309 1.1, 1.3 85-89</t>
  </si>
  <si>
    <t>556 = WL7105</t>
  </si>
  <si>
    <t>7105   (556)</t>
  </si>
  <si>
    <t>WL7105</t>
  </si>
  <si>
    <t>BMW  316,318,518 (M10B18 eng.) -87</t>
  </si>
  <si>
    <t>557 = WL7107</t>
  </si>
  <si>
    <t>7107   (557)</t>
  </si>
  <si>
    <t>60.46</t>
  </si>
  <si>
    <t>WL7107</t>
  </si>
  <si>
    <t>HONDA 1.5-2.0 Р±РµРЅР·РёРЅ 85-, OPEL VECTRA 1.7TD 90-95  /Р°РЅР°Р»РѕРі OC115/</t>
  </si>
  <si>
    <t>558 = WL7108</t>
  </si>
  <si>
    <t>7108   (558)</t>
  </si>
  <si>
    <t>WL7108</t>
  </si>
  <si>
    <t>MAZDA E2000,E2200, ISUZU MIDI 2.2D 89-, HYUNDAI 1.5-2.5 90-  /Р°РЅР°Р»РѕРі OC205/</t>
  </si>
  <si>
    <t>559 = WL7110</t>
  </si>
  <si>
    <t>7110   (559)</t>
  </si>
  <si>
    <t>WL7110</t>
  </si>
  <si>
    <t>562 = WL7113</t>
  </si>
  <si>
    <t>7113   (562)</t>
  </si>
  <si>
    <t>WL7113</t>
  </si>
  <si>
    <t>FORD 1.6-2.9 Р±РµРЅ. -93  /Р°РЅР°Р»РѕРі OC23/</t>
  </si>
  <si>
    <t>563 = WL7114</t>
  </si>
  <si>
    <t>7114   (563)</t>
  </si>
  <si>
    <t>WL7114</t>
  </si>
  <si>
    <t>Landrover 90, 110, Defender, Discovery, Range Rover| M.A.N. 11.136U, 13.136U| Nissan Bluebird 2.0D 4/80-&gt;9/87, Laurel 2.8D, Vanette Diesel, Patrol, Terrano</t>
  </si>
  <si>
    <t>563/2 = WL7483</t>
  </si>
  <si>
    <t>7483   (563/2)</t>
  </si>
  <si>
    <t>97.45</t>
  </si>
  <si>
    <t>WL7483</t>
  </si>
  <si>
    <t>РњРњР— Р”-245.12РЎ, Р”245.30Р•2, Р”245.7, Р”245.7Р•2, Р”245.9, Р”245.9Р•2, РњРњР— Р”-260 вЂ” Р—РР› В«Р‘С‹С‡РѕРєВ» /117,5 X 97,5 (3/4 - 16 UNF)/\n</t>
  </si>
  <si>
    <t>564 = WL7119</t>
  </si>
  <si>
    <t>7119   (564)</t>
  </si>
  <si>
    <t>WL7119</t>
  </si>
  <si>
    <t>SUZUKI SWIFT 1.0-1.6 89-,  DAEWOO MATIZ  04-</t>
  </si>
  <si>
    <t>566/2 = WL7319</t>
  </si>
  <si>
    <t>7319   (566/2)</t>
  </si>
  <si>
    <t>WL7319</t>
  </si>
  <si>
    <t>568 = WL7124</t>
  </si>
  <si>
    <t>7124   (568)</t>
  </si>
  <si>
    <t>49.19</t>
  </si>
  <si>
    <t>WL7124</t>
  </si>
  <si>
    <t>VOLVO trucks &amp; PKW (PKW: 2.4-2.9 Р±РµРЅР·РёРЅ) 86-</t>
  </si>
  <si>
    <t>569 = 51189E</t>
  </si>
  <si>
    <t>51189E   (569)</t>
  </si>
  <si>
    <t>51189E</t>
  </si>
  <si>
    <t>Iveco Daily, Grinta 28.8, 30.8, 32.8, 35.8, 40.8 -&gt;4/83| Renault Trafic P1400D (2445CC.) Diesel -&gt;6/86| Volkswagen Transporter 1.9 D -&gt;9/90| Massey Ferguson 902, 904, 1002, 1004, 912, 914, 932, 934 1012, 1222, 1224, 1614, 1232, 1234, 1634</t>
  </si>
  <si>
    <t>569 = WL7125</t>
  </si>
  <si>
    <t>7125   (569)</t>
  </si>
  <si>
    <t>WL7125</t>
  </si>
  <si>
    <t>Iveco Daily, Grinta 28.8, 30.8, 32.8, 40.8 -83| Renault Trafic Diesel -86, VW Transporter 1.9 D -90 /H205W01/</t>
  </si>
  <si>
    <t>570 = WL7129</t>
  </si>
  <si>
    <t>7129   (570)</t>
  </si>
  <si>
    <t>40.74</t>
  </si>
  <si>
    <t>WL7129</t>
  </si>
  <si>
    <t>Daewoo Espero, Lanos,Leganza, Nexia, Nubira Opel Astra, Corsa, Vectra</t>
  </si>
  <si>
    <t>570/1 = WL7428</t>
  </si>
  <si>
    <t>7428   (570/1)</t>
  </si>
  <si>
    <t>48.44</t>
  </si>
  <si>
    <t>WL7428</t>
  </si>
  <si>
    <t>ASTRA G/ VECTRA/ ZAFIRA</t>
  </si>
  <si>
    <t>570T = WL7129-12</t>
  </si>
  <si>
    <t>7129-12   (570T)</t>
  </si>
  <si>
    <t>37.17</t>
  </si>
  <si>
    <t>WL7129-12</t>
  </si>
  <si>
    <t>571 = WL7130</t>
  </si>
  <si>
    <t>7130   (571)</t>
  </si>
  <si>
    <t>87.31</t>
  </si>
  <si>
    <t>WL7130</t>
  </si>
  <si>
    <t>HONDA CIVIC 1.2-1.5 -87 (Р°РЅР°Р»РѕРі W815/81)</t>
  </si>
  <si>
    <t>572 = WL7131</t>
  </si>
  <si>
    <t>7131   (572)</t>
  </si>
  <si>
    <t>59.15</t>
  </si>
  <si>
    <t>WL7131</t>
  </si>
  <si>
    <t>TOYOTA 1.3-2.0i  85-, GEELY Emgrand EC7 10-</t>
  </si>
  <si>
    <t>573 = WL7132</t>
  </si>
  <si>
    <t>7132   (573)</t>
  </si>
  <si>
    <t>WL7132</t>
  </si>
  <si>
    <t>MB W201 (E2.0-E2.6) 85-93, W124 (200E-300E) 86-93 /Р°РЅР°Р»РѕРі OC110/</t>
  </si>
  <si>
    <t>574 = WL7133</t>
  </si>
  <si>
    <t>7133   (574)</t>
  </si>
  <si>
    <t>128.05</t>
  </si>
  <si>
    <t>WL7133</t>
  </si>
  <si>
    <t>VW LT 2.4D/TD 78-96, T4 2.4D/TD 92-</t>
  </si>
  <si>
    <t>574/2 = WL7414</t>
  </si>
  <si>
    <t>7414   (574/2)</t>
  </si>
  <si>
    <t>311.12</t>
  </si>
  <si>
    <t>WL7414</t>
  </si>
  <si>
    <t>Volksvagen LT 28, LT 35, LT46 2.8TDI 8/97-</t>
  </si>
  <si>
    <t>575 = WL7134</t>
  </si>
  <si>
    <t>7134   (575)</t>
  </si>
  <si>
    <t>WL7134</t>
  </si>
  <si>
    <t>MAZDA 626 1.6, 2.0 -87, MX6 2.5 24V 92-, XEDOX6 2.0 V6 94- h=85mm</t>
  </si>
  <si>
    <t>576 = WL7135</t>
  </si>
  <si>
    <t>7135   (576)</t>
  </si>
  <si>
    <t>WL7135</t>
  </si>
  <si>
    <t>SCANIA - trucks (Р°РЅР°Р»РѕРі W920/7)</t>
  </si>
  <si>
    <t>577 = 92027E</t>
  </si>
  <si>
    <t>92027E   (577)</t>
  </si>
  <si>
    <t>92027E</t>
  </si>
  <si>
    <t>VOLVO - trucks (Р°РЅР°Р»РѕРі W950/13)</t>
  </si>
  <si>
    <t>580/2 = WL7212</t>
  </si>
  <si>
    <t>7212   (580/2)</t>
  </si>
  <si>
    <t>96.70</t>
  </si>
  <si>
    <t>WL7212</t>
  </si>
  <si>
    <t>ROVER 220,420 2.0SDI 95-00, HONDA ACCORD 2.0TD 96-</t>
  </si>
  <si>
    <t>580/7 = WL7278</t>
  </si>
  <si>
    <t>7278   (580/7)</t>
  </si>
  <si>
    <t>WL7278</t>
  </si>
  <si>
    <t>LAND ROVER Discovery I 2.0 16V 09/93-06/94/ II 2.0 16V 06/94-&gt;/Freelander 1.8/2.5/16V/V6 02/98-&gt;.LOTUS Elise 1.8 11/00-&gt;/Exige 1.8 16V 03/00-&gt;.ROVER 100 1.1/1.4/GTI/16V 03/90-12/98/ 200 1.4-2.0/GTI/T 10/89-03/00/ 25 1.1-1.8/16V 10/99-&gt;/ 400 1.4-2.0/GTI/GS</t>
  </si>
  <si>
    <t>581 = WL7143</t>
  </si>
  <si>
    <t>7143   (581)</t>
  </si>
  <si>
    <t>64.59</t>
  </si>
  <si>
    <t>WL7143</t>
  </si>
  <si>
    <t>NISSAN 1.4-2.0 Р±РµРЅР·РёРЅ 86- /Р°РЅР°Р»РѕРі OC109/1/</t>
  </si>
  <si>
    <t>583 = WL7145</t>
  </si>
  <si>
    <t>7145   (583)</t>
  </si>
  <si>
    <t>70.97</t>
  </si>
  <si>
    <t>WL7145</t>
  </si>
  <si>
    <t>TOYOTA COROLLA 1.6GTI 87-93, 1.4i, 1.6i 01-</t>
  </si>
  <si>
    <t>584 = 51791</t>
  </si>
  <si>
    <t>51791   (584)</t>
  </si>
  <si>
    <t>214.05</t>
  </si>
  <si>
    <t>51791E</t>
  </si>
  <si>
    <t>RENAULT/VOLVO - trucks (FULL FLOW) /Р°РЅР°Р»РѕРі OC121/</t>
  </si>
  <si>
    <t>587 = WL7154</t>
  </si>
  <si>
    <t>7154   (587)</t>
  </si>
  <si>
    <t>168.98</t>
  </si>
  <si>
    <t>WL7154</t>
  </si>
  <si>
    <t>MITSUBISHI L200,L300,L400, PAJERO 2.5D/TD 86-</t>
  </si>
  <si>
    <t>588 = WL7155</t>
  </si>
  <si>
    <t>7155   (588)</t>
  </si>
  <si>
    <t>WL7155</t>
  </si>
  <si>
    <t>NISSAN PATROL 2.8TD 88-00, PRIMERA 2.0D/TD 91-</t>
  </si>
  <si>
    <t>588/1 = WL7222</t>
  </si>
  <si>
    <t>7222   (588/1)</t>
  </si>
  <si>
    <t>WL7222</t>
  </si>
  <si>
    <t>589 = WL7156</t>
  </si>
  <si>
    <t>7156   (589)</t>
  </si>
  <si>
    <t>116.03</t>
  </si>
  <si>
    <t>WL7156</t>
  </si>
  <si>
    <t>MAZDA 323 1.7D -89, 2.0D -87, E2200 2.2D 84- (BY PASS)</t>
  </si>
  <si>
    <t>592 = 51820E</t>
  </si>
  <si>
    <t>51820E   (592)</t>
  </si>
  <si>
    <t>151.33</t>
  </si>
  <si>
    <t>51820E</t>
  </si>
  <si>
    <t>DAF/IVECO - trucks</t>
  </si>
  <si>
    <t>592/1 = 51429E</t>
  </si>
  <si>
    <t>51429E   (592/1)</t>
  </si>
  <si>
    <t>356.74</t>
  </si>
  <si>
    <t>51429E</t>
  </si>
  <si>
    <t>592/2 = 51607</t>
  </si>
  <si>
    <t>51607   (592/2)</t>
  </si>
  <si>
    <t>144.20</t>
  </si>
  <si>
    <t>51607E</t>
  </si>
  <si>
    <t>DAF45,55 91-00</t>
  </si>
  <si>
    <t>592/5 = WL7401</t>
  </si>
  <si>
    <t>7401   (592/5)</t>
  </si>
  <si>
    <t>173.49</t>
  </si>
  <si>
    <t>WL7401</t>
  </si>
  <si>
    <t>Fiat Ducato 2.3JTD 2/02--&gt;, Iveco Turbo Daily 2.3JTD 9/02--&gt;</t>
  </si>
  <si>
    <t>592/6 = 92078E</t>
  </si>
  <si>
    <t>92078E   (592/6)</t>
  </si>
  <si>
    <t>509.02</t>
  </si>
  <si>
    <t>92078E</t>
  </si>
  <si>
    <t>Iveco Eurostar, Eurotech, Eurotrakker, Stralis (sil. Tector)</t>
  </si>
  <si>
    <t>592/7 = WL7421</t>
  </si>
  <si>
    <t>7421   (592/7)</t>
  </si>
  <si>
    <t>WL7421</t>
  </si>
  <si>
    <t>Iveco Daily 3.0HPI 136/166HP (= 92094E)</t>
  </si>
  <si>
    <t>592/8 = WL7443</t>
  </si>
  <si>
    <t>7443   (592/8)</t>
  </si>
  <si>
    <t>125.99</t>
  </si>
  <si>
    <t>WL7443</t>
  </si>
  <si>
    <t>Fiat Ducato 2.3 JTD 06- (РћР• 2995811| FIAT 8094872)</t>
  </si>
  <si>
    <t>592/9 = WL7445</t>
  </si>
  <si>
    <t>7445   (592/9)</t>
  </si>
  <si>
    <t>282.20</t>
  </si>
  <si>
    <t>WL7445</t>
  </si>
  <si>
    <t>CITROEN, FIAT, IVECO, PEUGEOT 3.0D/HDi  06- (h=143mm)</t>
  </si>
  <si>
    <t>594 = WL7160</t>
  </si>
  <si>
    <t>7160   (594)</t>
  </si>
  <si>
    <t>WL7160</t>
  </si>
  <si>
    <t>594/1 = WL7161</t>
  </si>
  <si>
    <t>7161   (594/1)</t>
  </si>
  <si>
    <t>221.56</t>
  </si>
  <si>
    <t>WL7161</t>
  </si>
  <si>
    <t>RENAULT MASTER 2.5TD 88-98, TRAFIC 2.5D 89-01</t>
  </si>
  <si>
    <t>595 = WL7200</t>
  </si>
  <si>
    <t>7200   (595)</t>
  </si>
  <si>
    <t>66.28</t>
  </si>
  <si>
    <t>WL7200</t>
  </si>
  <si>
    <t>MAZDA 323 1.6 85-93, 1.5i 94-01, 626 1.8, 2.0 -99</t>
  </si>
  <si>
    <t>596 = WL7163</t>
  </si>
  <si>
    <t>7163   (596)</t>
  </si>
  <si>
    <t>223.81</t>
  </si>
  <si>
    <t>WL7163</t>
  </si>
  <si>
    <t>MAZDA 626 GC 2.0D -87, E2.2 D 84-, KIA SPORTAGE I, II 2.0D /JCB13006JC/</t>
  </si>
  <si>
    <t>597 = WL7164</t>
  </si>
  <si>
    <t>7164   (597)</t>
  </si>
  <si>
    <t>119.98</t>
  </si>
  <si>
    <t>WL7164</t>
  </si>
  <si>
    <t>NISSAN MAXIMA 2.0, 3.0 95-, KIA SPORTAGE 2.0 16V 94-</t>
  </si>
  <si>
    <t>600 = WL7000</t>
  </si>
  <si>
    <t>7000   (600)</t>
  </si>
  <si>
    <t>72.10</t>
  </si>
  <si>
    <t>WL7000</t>
  </si>
  <si>
    <t>MB (OM615, OM616, OM617 - engines) 68-77 (С‚РѕРЅРєРѕР№ РѕС‡РёСЃС‚РєРё)</t>
  </si>
  <si>
    <t>601 = 51385E</t>
  </si>
  <si>
    <t>51385E   (601)</t>
  </si>
  <si>
    <t>51385E</t>
  </si>
  <si>
    <t>MB W123 (200D-300D) -85, 207D/209D/307D/309D/407D/409D/507D -90</t>
  </si>
  <si>
    <t>601 = WL7001</t>
  </si>
  <si>
    <t>7001   (601)</t>
  </si>
  <si>
    <t>WL7001</t>
  </si>
  <si>
    <t>601/1 = WL7003</t>
  </si>
  <si>
    <t>7003   (601/1)</t>
  </si>
  <si>
    <t>WL7003</t>
  </si>
  <si>
    <t>MB MB - series 88- (Р°РЅР°Р»РѕРі PF1055/1N)</t>
  </si>
  <si>
    <t>602 = WL7004</t>
  </si>
  <si>
    <t>7004   (602)</t>
  </si>
  <si>
    <t>WL7004</t>
  </si>
  <si>
    <t>MB W201 (2.0D, 2.5D/TD), W124 (200D, 300D/TD) -95, 208D-508D -96 (OX38D)</t>
  </si>
  <si>
    <t>604 = 51006E</t>
  </si>
  <si>
    <t>51006E   (604)</t>
  </si>
  <si>
    <t>51006E</t>
  </si>
  <si>
    <t>MB 405D, 508D, 608D  70-77</t>
  </si>
  <si>
    <t>610 = WL7061</t>
  </si>
  <si>
    <t>7061   (610)</t>
  </si>
  <si>
    <t>WL7061</t>
  </si>
  <si>
    <t>612 = WL7166</t>
  </si>
  <si>
    <t>7166   (612)</t>
  </si>
  <si>
    <t>WL7166</t>
  </si>
  <si>
    <t>613 = WL7167</t>
  </si>
  <si>
    <t>7167   (613)</t>
  </si>
  <si>
    <t>78.11</t>
  </si>
  <si>
    <t>WL7167</t>
  </si>
  <si>
    <t>NISSAN MICRA 1.0  82-91,  1.2 86-92</t>
  </si>
  <si>
    <t>614 = WL7063</t>
  </si>
  <si>
    <t>7063   (614)</t>
  </si>
  <si>
    <t>WL7063</t>
  </si>
  <si>
    <t>Wo?ga Gaz 24 (Gazel) 2.4 (OX12)</t>
  </si>
  <si>
    <t>616 = WL7169</t>
  </si>
  <si>
    <t>7169   (616)</t>
  </si>
  <si>
    <t>WL7169</t>
  </si>
  <si>
    <t>VW GOLF,VENTO,POLO,BORA,CADDY 1.4, 1.6 91-</t>
  </si>
  <si>
    <t>616/2 = WL7257</t>
  </si>
  <si>
    <t>7257   (616/2)</t>
  </si>
  <si>
    <t>WL7257</t>
  </si>
  <si>
    <t>SKODA FABIA 1.0i 99-00, 1.4i 01-</t>
  </si>
  <si>
    <t>616/3 = WL7503</t>
  </si>
  <si>
    <t>7503   (616/3)</t>
  </si>
  <si>
    <t>78.48</t>
  </si>
  <si>
    <t>WL7503</t>
  </si>
  <si>
    <t>Audi A3 (8V)| Seat Leon III, Mii| Skoda Citigo, Octavia III, Volkswagen Golf VII, Jetta IV, Polo V, Up</t>
  </si>
  <si>
    <t>617 = WL7171</t>
  </si>
  <si>
    <t>7171   (617)</t>
  </si>
  <si>
    <t>56.90</t>
  </si>
  <si>
    <t>WL7171</t>
  </si>
  <si>
    <t>MAZDA E2000,E2200, ISUZU MIDI 2.2D 89-, HYUNDAI 1.5-2.5 90-</t>
  </si>
  <si>
    <t>617/1 = WL7512</t>
  </si>
  <si>
    <t>7512   (617/1)</t>
  </si>
  <si>
    <t>114.91</t>
  </si>
  <si>
    <t>WL7512</t>
  </si>
  <si>
    <t>Hyundai i30 II, i40, ix20, ix35, Santa Fe III / Grand Santa Fe, Veloster| Kia Carens IV, Ceed II, Rio III, Sorento II, Soul II, Sportage III</t>
  </si>
  <si>
    <t>618 = WL7172</t>
  </si>
  <si>
    <t>7172   (618)</t>
  </si>
  <si>
    <t>70.79</t>
  </si>
  <si>
    <t>WL7172</t>
  </si>
  <si>
    <t>Chrysler| Lexus| Mini| Suzuki| Toyota 4-Runner, Auris, Camry FF, Celica, Corolla IX/X, Cressida, Crown, Hiace, Landcruiser, Previa, Runner, Soarer, Starlet, Supra, Yaris| Volkswagen /Р°РЅР°Р»РѕРі OC235, h=88mm/</t>
  </si>
  <si>
    <t>620 = WL7176</t>
  </si>
  <si>
    <t>7176   (620)</t>
  </si>
  <si>
    <t>109.28</t>
  </si>
  <si>
    <t>WL7176</t>
  </si>
  <si>
    <t>CITROEN/PEUGEOT J5 1.9D, 2.5D/TD 90-, BOXER 2.4D/TD 94- /Р°РЅР°Р»РѕРі OC2/</t>
  </si>
  <si>
    <t>621 = WL7177</t>
  </si>
  <si>
    <t>7177   (621)</t>
  </si>
  <si>
    <t>WL7177</t>
  </si>
  <si>
    <t>622 = WL7178</t>
  </si>
  <si>
    <t>7178   (622)</t>
  </si>
  <si>
    <t>WL7178</t>
  </si>
  <si>
    <t>MAZDA 626 2.0D 87-96, OPEL FRONTERA 2.8TD 95-98</t>
  </si>
  <si>
    <t>625 = WL7183</t>
  </si>
  <si>
    <t>7183   (625)</t>
  </si>
  <si>
    <t>WL7183</t>
  </si>
  <si>
    <t>OPEL OMEGA A 2.3TD 88-94, FRONTERA 2.3TD 92-98</t>
  </si>
  <si>
    <t>626 = 92019E</t>
  </si>
  <si>
    <t>92019E   (626)</t>
  </si>
  <si>
    <t>179.31</t>
  </si>
  <si>
    <t>92019E</t>
  </si>
  <si>
    <t>MAN trucks &amp; buses 87-</t>
  </si>
  <si>
    <t>626/1 = 51095E</t>
  </si>
  <si>
    <t>51095E   (626/1)</t>
  </si>
  <si>
    <t>51095E</t>
  </si>
  <si>
    <t>DAF/RENAULT - trucks</t>
  </si>
  <si>
    <t>626/2 = 92011E</t>
  </si>
  <si>
    <t>92011E   (626/2)</t>
  </si>
  <si>
    <t>420.77</t>
  </si>
  <si>
    <t>92011E</t>
  </si>
  <si>
    <t>DAF 95XF, 85CF  97-02</t>
  </si>
  <si>
    <t>626/6 = 92095E</t>
  </si>
  <si>
    <t>92095E   (626/6)</t>
  </si>
  <si>
    <t>92095E</t>
  </si>
  <si>
    <t>Daf 45LF, 55LF, 65CF| Iveco Capena, Iveco Eurocargo</t>
  </si>
  <si>
    <t>628 = WL7188</t>
  </si>
  <si>
    <t>7188   (628)</t>
  </si>
  <si>
    <t>WL7188</t>
  </si>
  <si>
    <t>JEEP CHEROKEE,WRANGLER 2.5, 4.0 91-</t>
  </si>
  <si>
    <t>629 = WL7074</t>
  </si>
  <si>
    <t>7074   (629)</t>
  </si>
  <si>
    <t>68.91</t>
  </si>
  <si>
    <t>WL7074</t>
  </si>
  <si>
    <t>FORD SIERRA 1.6,1.8 -93, ESCORT 89- /Р°РЅР°Р»РѕРі OC52, h=85mm/</t>
  </si>
  <si>
    <t>629/1 = WL7459</t>
  </si>
  <si>
    <t>7459   (629/1)</t>
  </si>
  <si>
    <t>WL7459</t>
  </si>
  <si>
    <t>Ford C-Max, C-Max II, Grand C-Max, Fiesta VI 08-, LONG LIFE /Р°РЅР°Р»РѕРі OC606, h=76.5mm/</t>
  </si>
  <si>
    <t>629/2 = WL7510</t>
  </si>
  <si>
    <t>7510   (629/2)</t>
  </si>
  <si>
    <t>WL7510</t>
  </si>
  <si>
    <t>Ford B-Max, C-Max/Grand C-Max, Ecosport, Fiesta VI, Focus III, Galaxy II, Mondeo IV, S-Max, Tourneo Connect II, Transit Connect II</t>
  </si>
  <si>
    <t>629T = WL7074-12</t>
  </si>
  <si>
    <t>7074-12   (629T)</t>
  </si>
  <si>
    <t>55.20</t>
  </si>
  <si>
    <t>WL7074-12</t>
  </si>
  <si>
    <t>631 = 51660</t>
  </si>
  <si>
    <t>51660   (631)</t>
  </si>
  <si>
    <t>266.06</t>
  </si>
  <si>
    <t>51660E</t>
  </si>
  <si>
    <t>VOLVO - trucks (BY PASS) Ikarus| Leyland| Renault (RVI), Volvo Bus| Case-IH, John Deere</t>
  </si>
  <si>
    <t>632/4 = WL7409</t>
  </si>
  <si>
    <t>7409   (632/4)</t>
  </si>
  <si>
    <t>180.25</t>
  </si>
  <si>
    <t>WL7409</t>
  </si>
  <si>
    <t>CARNIVAL II/TERRACAN 2.9CRDi  01-</t>
  </si>
  <si>
    <t>632/6 = WL7437</t>
  </si>
  <si>
    <t>7437   (632/6)</t>
  </si>
  <si>
    <t>WL7437</t>
  </si>
  <si>
    <t>Kia Carens III, Cee'd, Sportage II,  Hyundai Santa Fe 2.2CRDI 06-</t>
  </si>
  <si>
    <t>632/7 = WL7450</t>
  </si>
  <si>
    <t>7450   (632/7)</t>
  </si>
  <si>
    <t>WL7450</t>
  </si>
  <si>
    <t>KIA Sorento 2.5 CRDI 02- (РћР• 263104A000, 263104A010)</t>
  </si>
  <si>
    <t>634 = WL7197</t>
  </si>
  <si>
    <t>7197   (634)</t>
  </si>
  <si>
    <t>WL7197</t>
  </si>
  <si>
    <t>ISUZU Trooper 2.8 TD 10/87-12/91.OPEL Campo 2.5 D 08/91-06/94</t>
  </si>
  <si>
    <t>636 = WL7199</t>
  </si>
  <si>
    <t>7199   (636)</t>
  </si>
  <si>
    <t>225.31</t>
  </si>
  <si>
    <t>WL7199</t>
  </si>
  <si>
    <t>636/1 = WL7307</t>
  </si>
  <si>
    <t>7307   (636/1)</t>
  </si>
  <si>
    <t>WL7307</t>
  </si>
  <si>
    <t>ISUZU CAMPO 2.2D 86-96, 2.5D 83-91</t>
  </si>
  <si>
    <t>640/1 = WL7008</t>
  </si>
  <si>
    <t>7008   (640/1)</t>
  </si>
  <si>
    <t>76.80</t>
  </si>
  <si>
    <t>WL7008</t>
  </si>
  <si>
    <t>640/2 = WL7009</t>
  </si>
  <si>
    <t>7009   (640/2)</t>
  </si>
  <si>
    <t>84.12</t>
  </si>
  <si>
    <t>WL7009</t>
  </si>
  <si>
    <t>MB W202/W203/W210/W211/W220 Р±РµРЅР·РёРЅ 96- /Р°РЅР°Р»РѕРі OX153/7DOEKO/</t>
  </si>
  <si>
    <t>640/3 = WL7304</t>
  </si>
  <si>
    <t>7304   (640/3)</t>
  </si>
  <si>
    <t>WL7304</t>
  </si>
  <si>
    <t>MB W202 (C180-C280) -00, SPRINTER,VITO Р±РµРЅР·РёРЅ 95-</t>
  </si>
  <si>
    <t>640/4 = WL7227</t>
  </si>
  <si>
    <t>7227   (640/4)</t>
  </si>
  <si>
    <t>WL7227</t>
  </si>
  <si>
    <t>640/5 = WL7240</t>
  </si>
  <si>
    <t>7240   (640/5)</t>
  </si>
  <si>
    <t>WL7240</t>
  </si>
  <si>
    <t>MB W202/W203/W210 (220CDI) 97-, VITO 108CDI-112CDI 99- /Р°РЅР°Р»РѕРі OX153D3OEKO/</t>
  </si>
  <si>
    <t>640/6 = WL7288</t>
  </si>
  <si>
    <t>7288   (640/6)</t>
  </si>
  <si>
    <t>80.36</t>
  </si>
  <si>
    <t>WL7288</t>
  </si>
  <si>
    <t>MB W168 (A160 CDI, A170 CDI) 98-, VANEO 1.7 CDI 02-</t>
  </si>
  <si>
    <t>640/7 = WL7289</t>
  </si>
  <si>
    <t>7289   (640/7)</t>
  </si>
  <si>
    <t>WL7289</t>
  </si>
  <si>
    <t>641 = WL7203</t>
  </si>
  <si>
    <t>7203   (641)</t>
  </si>
  <si>
    <t>69.10</t>
  </si>
  <si>
    <t>WL7203</t>
  </si>
  <si>
    <t>641/1 = WL7467</t>
  </si>
  <si>
    <t>7467   (641/1)</t>
  </si>
  <si>
    <t>170.30</t>
  </si>
  <si>
    <t>WL7467</t>
  </si>
  <si>
    <t>Audi, Seat, Skoda, Volkswagen 1.2TSI, 1.4TSI</t>
  </si>
  <si>
    <t>641/2 = WL7494</t>
  </si>
  <si>
    <t>7494   (641/2)</t>
  </si>
  <si>
    <t>WL7494</t>
  </si>
  <si>
    <t>Audi, Seat, Skoda, Volkswagen 1.2TSI, 1.4TSI 07-</t>
  </si>
  <si>
    <t>642/2 = WL7204</t>
  </si>
  <si>
    <t>7204   (642/2)</t>
  </si>
  <si>
    <t>WL7204</t>
  </si>
  <si>
    <t>RENAULT CLIO, TWINGO, KANGOO 1.2i 96-, FIAT PUNTO 1.2i 99- h=65mm</t>
  </si>
  <si>
    <t>643/3 = WL7254</t>
  </si>
  <si>
    <t>7254   (643/3)</t>
  </si>
  <si>
    <t>WL7254</t>
  </si>
  <si>
    <t>RENAULT 1.1-2.0 Р±РµРЅР·РёРЅ 86-, 1.9 diesel eng. 96-</t>
  </si>
  <si>
    <t>643/4 = WL7427</t>
  </si>
  <si>
    <t>7427   (643/4)</t>
  </si>
  <si>
    <t>107.02</t>
  </si>
  <si>
    <t>WL7427</t>
  </si>
  <si>
    <t>CLIO/MEGANE 1.9dCi , Duster 1.5dCi 10- , (OC471)</t>
  </si>
  <si>
    <t>645 = WL7207</t>
  </si>
  <si>
    <t>7207   (645)</t>
  </si>
  <si>
    <t>99.89</t>
  </si>
  <si>
    <t>WL7207</t>
  </si>
  <si>
    <t>VOLVO 340, 360, 440, 460, 480 1.4-2.0 86-96</t>
  </si>
  <si>
    <t>646 = 92023E</t>
  </si>
  <si>
    <t>92023E   (646)</t>
  </si>
  <si>
    <t>92023E</t>
  </si>
  <si>
    <t>MAN trucks 95-</t>
  </si>
  <si>
    <t>646/1 = 92026E</t>
  </si>
  <si>
    <t>92026E   (646/1)</t>
  </si>
  <si>
    <t>92026E</t>
  </si>
  <si>
    <t>646/2 = 92093E</t>
  </si>
  <si>
    <t>92093E   (646/2)</t>
  </si>
  <si>
    <t>242.59</t>
  </si>
  <si>
    <t>92093E</t>
  </si>
  <si>
    <t>M.A.N. Serie TG-A 2/04-&gt;</t>
  </si>
  <si>
    <t>647 = 92097E</t>
  </si>
  <si>
    <t>92097E   (647)</t>
  </si>
  <si>
    <t>82.80</t>
  </si>
  <si>
    <t>92097E</t>
  </si>
  <si>
    <t>Ursus C-330, C-335, C-360  /OC26/</t>
  </si>
  <si>
    <t>648 = WL7232</t>
  </si>
  <si>
    <t>7232   (648)</t>
  </si>
  <si>
    <t>73.22</t>
  </si>
  <si>
    <t>WL7232</t>
  </si>
  <si>
    <t>OPEL CORSA 1.0i, 1.2i 96-, ASTRA 1.2i 00-, COMBO 1.7DTI 01-</t>
  </si>
  <si>
    <t>648/1 = WL7228</t>
  </si>
  <si>
    <t>7228   (648/1)</t>
  </si>
  <si>
    <t>97.07</t>
  </si>
  <si>
    <t>WL7228</t>
  </si>
  <si>
    <t>648/3 = WL7295</t>
  </si>
  <si>
    <t>7295   (648/3)</t>
  </si>
  <si>
    <t>WL7295</t>
  </si>
  <si>
    <t>648/4 = WL7294</t>
  </si>
  <si>
    <t>7294   (648/4)</t>
  </si>
  <si>
    <t>WL7294</t>
  </si>
  <si>
    <t>648/5 = WL7402</t>
  </si>
  <si>
    <t>7402   (648/5)</t>
  </si>
  <si>
    <t>WL7402</t>
  </si>
  <si>
    <t>OPEL Astra H/ Zafira B/ Vectra C 1, 9CDTI 04/ 04-&gt;</t>
  </si>
  <si>
    <t>648/6 = WL7422</t>
  </si>
  <si>
    <t>7422   (648/6)</t>
  </si>
  <si>
    <t>WL7422</t>
  </si>
  <si>
    <t>ASTRA/VECTRA Z18XER</t>
  </si>
  <si>
    <t>648/8 = WL7460</t>
  </si>
  <si>
    <t>7460   (648/8)</t>
  </si>
  <si>
    <t>WL7460</t>
  </si>
  <si>
    <t>Opel Astra H, Astra J, Corsa D, Meriva, Zafira B 1.7CDTI 11/06--&gt;</t>
  </si>
  <si>
    <t>649 = WL7220</t>
  </si>
  <si>
    <t>7220   (649)</t>
  </si>
  <si>
    <t>WL7220</t>
  </si>
  <si>
    <t>649/1 = WL7256</t>
  </si>
  <si>
    <t>7256   (649/1)</t>
  </si>
  <si>
    <t>138.75</t>
  </si>
  <si>
    <t>WL7256</t>
  </si>
  <si>
    <t>BMW 325TD/TDS 91-99, 525TD/TDS 91-95 (M51 - eng) (РїР»Р°СЃС‚РёРє)</t>
  </si>
  <si>
    <t>649/2 = WL7236</t>
  </si>
  <si>
    <t>7236   (649/2)</t>
  </si>
  <si>
    <t>WL7236</t>
  </si>
  <si>
    <t>BMW 320D, 520D (M47D20 -engines) 98-</t>
  </si>
  <si>
    <t>649/3 = WL7234</t>
  </si>
  <si>
    <t>7234   (649/3)</t>
  </si>
  <si>
    <t>136.69</t>
  </si>
  <si>
    <t>WL7234</t>
  </si>
  <si>
    <t>649/4 = WL7221</t>
  </si>
  <si>
    <t>7221   (649/4)</t>
  </si>
  <si>
    <t>WL7221</t>
  </si>
  <si>
    <t>BMW 316i 95-02, 318i 95-99, 518i 95-97 (M43 - engine)</t>
  </si>
  <si>
    <t>649/5 = WL7283</t>
  </si>
  <si>
    <t>7283   (649/5)</t>
  </si>
  <si>
    <t>WL7283</t>
  </si>
  <si>
    <t>649/8 = WL7406</t>
  </si>
  <si>
    <t>7406   (649/8)</t>
  </si>
  <si>
    <t>WL7406</t>
  </si>
  <si>
    <t>BMW E46/ E90/ E60/ 61/ E65/ 66/ E53 X5/ E83 X3 3, 0D/ TD 02/ 03-</t>
  </si>
  <si>
    <t>650/1 = WL7296</t>
  </si>
  <si>
    <t>7296   (650/1)</t>
  </si>
  <si>
    <t>WL7296</t>
  </si>
  <si>
    <t>650/2 = WL7410</t>
  </si>
  <si>
    <t>7410   (650/2)</t>
  </si>
  <si>
    <t>131.43</t>
  </si>
  <si>
    <t>WL7410</t>
  </si>
  <si>
    <t>A3/G5/PASSAT 1.4-1.6 FSI</t>
  </si>
  <si>
    <t>650/3 = WL7439</t>
  </si>
  <si>
    <t>7439   (650/3)</t>
  </si>
  <si>
    <t>181.19</t>
  </si>
  <si>
    <t>WL7439</t>
  </si>
  <si>
    <t>Audi A4 II,A5,A6 II, A8 II,Q7 2.7TDI,3.0TDI,4.0TDI,4.2TDI| VW Touareg 3.0TDI (РћР• 057115561L)</t>
  </si>
  <si>
    <t>650/6 = WL7486</t>
  </si>
  <si>
    <t>7486   (650/6)</t>
  </si>
  <si>
    <t>195.45</t>
  </si>
  <si>
    <t>WL7486</t>
  </si>
  <si>
    <t>Audi A4 II,A5,A6 II, A8 II,Q7 2.7TDI, 3.0TDI, 4.0TDI, 4.2TDI</t>
  </si>
  <si>
    <t>651 = 92041E</t>
  </si>
  <si>
    <t>92041E   (651)</t>
  </si>
  <si>
    <t>92041E</t>
  </si>
  <si>
    <t>MB trucks &amp; buses (ASTROS, TRAVEGO) 96-</t>
  </si>
  <si>
    <t>651/1 = 92040E</t>
  </si>
  <si>
    <t>92040E   (651/1)</t>
  </si>
  <si>
    <t>92040E</t>
  </si>
  <si>
    <t>652 = WL7215</t>
  </si>
  <si>
    <t>7215   (652)</t>
  </si>
  <si>
    <t>WL7215</t>
  </si>
  <si>
    <t>VW 2.8 VR6 91- (РїРѕ ? РґРІРёРі.)</t>
  </si>
  <si>
    <t>655 = WL7239</t>
  </si>
  <si>
    <t>7239   (655)</t>
  </si>
  <si>
    <t>67.41</t>
  </si>
  <si>
    <t>WL7239</t>
  </si>
  <si>
    <t>SMART 0.6i 98-</t>
  </si>
  <si>
    <t>662 = WL7261</t>
  </si>
  <si>
    <t>7261   (662)</t>
  </si>
  <si>
    <t>WL7261</t>
  </si>
  <si>
    <t>662/1 = WL7320</t>
  </si>
  <si>
    <t>7320   (662/1)</t>
  </si>
  <si>
    <t>140.44</t>
  </si>
  <si>
    <t>WL7320</t>
  </si>
  <si>
    <t>Ford Mondeo, Volvo S40 II, S60, S80 II, V70,  2,4D 2,5T,  04-</t>
  </si>
  <si>
    <t>665 = WL7292</t>
  </si>
  <si>
    <t>7292   (665)</t>
  </si>
  <si>
    <t>92.00</t>
  </si>
  <si>
    <t>WL7292</t>
  </si>
  <si>
    <t>FORD MONDEO 1.8i, 2.0i 11/00-</t>
  </si>
  <si>
    <t>665/1 = WL7286</t>
  </si>
  <si>
    <t>7286   (665/1)</t>
  </si>
  <si>
    <t>WL7286</t>
  </si>
  <si>
    <t>666 = WL7293</t>
  </si>
  <si>
    <t>7293   (666)</t>
  </si>
  <si>
    <t>WL7293</t>
  </si>
  <si>
    <t>RENAULT CLIO, TWINGO, KANGOO 1.2i 01-</t>
  </si>
  <si>
    <t>666/1 = WL7306</t>
  </si>
  <si>
    <t>7306   (666/1)</t>
  </si>
  <si>
    <t>152.27</t>
  </si>
  <si>
    <t>WL7306</t>
  </si>
  <si>
    <t>RENAULT ESPACE, LAGUNA, MASTER 2.2DCI, OPEL MOVANO 2.2DTI 00-</t>
  </si>
  <si>
    <t>666/2 = WL7424</t>
  </si>
  <si>
    <t>7424   (666/2)</t>
  </si>
  <si>
    <t>WL7424</t>
  </si>
  <si>
    <t>Opel Vivaro 2.0CDTi| Renault Laguna II, Megane II, Trafic II 2.0dCi 16V 8/05-&gt;</t>
  </si>
  <si>
    <t>667 = WL7299</t>
  </si>
  <si>
    <t>7299   (667)</t>
  </si>
  <si>
    <t>WL7299</t>
  </si>
  <si>
    <t xml:space="preserve">CITROEN РЎ2, РЎ3, Berlingo, PEUGEOT 206, 306, 307 Partner 1.1i, 1.4i, 1.6i 93-00, 02- </t>
  </si>
  <si>
    <t>668 = 92017E</t>
  </si>
  <si>
    <t>92017E   (668)</t>
  </si>
  <si>
    <t>386.60</t>
  </si>
  <si>
    <t>92017E</t>
  </si>
  <si>
    <t>РљРџРџ Scania 2/ 3/ 4/ P/ R Series</t>
  </si>
  <si>
    <t>670 = WL7408</t>
  </si>
  <si>
    <t>7408   (670)</t>
  </si>
  <si>
    <t>WL7408</t>
  </si>
  <si>
    <t>OPEL Astra H/ Agila/ Meriva/ Corsa D 1, 3CDTI 09/ 03-&gt; 73500049/ 1651185E00</t>
  </si>
  <si>
    <t>671 = WL7318</t>
  </si>
  <si>
    <t>7318   (671)</t>
  </si>
  <si>
    <t>82.99</t>
  </si>
  <si>
    <t>WL7318</t>
  </si>
  <si>
    <t>VW/AUDI 1.2i 01-</t>
  </si>
  <si>
    <t>671/4 = WL7505</t>
  </si>
  <si>
    <t>7505   (671/4)</t>
  </si>
  <si>
    <t>76.42</t>
  </si>
  <si>
    <t>WL7505</t>
  </si>
  <si>
    <t>Audi A4 II,A5,A6 II, A8 II 2.4, 2.8FSI, 3.2FSI</t>
  </si>
  <si>
    <t>672/1 = WL7449</t>
  </si>
  <si>
    <t>7449   (672/1)</t>
  </si>
  <si>
    <t>WL7449</t>
  </si>
  <si>
    <t>BMW 545i (E60/E61), 645Ci (E63/E64), 735i, 745i (E65/E66), X5 (E53) 4.4i (РћР• 11427511161, 11427506677) /L999/</t>
  </si>
  <si>
    <t>673 = WL7413</t>
  </si>
  <si>
    <t>7413   (673)</t>
  </si>
  <si>
    <t>WL7413</t>
  </si>
  <si>
    <t>Citroen/ Peugeot 206/ 307/ 407/ Volvo S40 1, 4вЂ¦2, 0L &amp; Diesel 96-&gt;</t>
  </si>
  <si>
    <t>674 = WL7412</t>
  </si>
  <si>
    <t>7412   (674)</t>
  </si>
  <si>
    <t>WL7412</t>
  </si>
  <si>
    <t>HYUNDAI Tucson, Santa Fe 2.0 CRDI  03-</t>
  </si>
  <si>
    <t>674/4 = WL7462</t>
  </si>
  <si>
    <t>7462   (674/4)</t>
  </si>
  <si>
    <t>WL7462</t>
  </si>
  <si>
    <t>Hyundai Santa Fe 2.2CRDI 11/05--&gt;, Sonata, Tucson</t>
  </si>
  <si>
    <t>674/5 = WL7477</t>
  </si>
  <si>
    <t>7477   (674/5)</t>
  </si>
  <si>
    <t>89.56</t>
  </si>
  <si>
    <t>WL7477</t>
  </si>
  <si>
    <t>Hyundai i20, i30| Kia Soul, Venga 1.4CRDI, 1.6CRDI 3/08-</t>
  </si>
  <si>
    <t>674/6 = WL7478</t>
  </si>
  <si>
    <t>7478   (674/6)</t>
  </si>
  <si>
    <t>140.82</t>
  </si>
  <si>
    <t>WL7478</t>
  </si>
  <si>
    <t>Hyundai ix35 2.0CRDI| Kia Sorento 2.2CRDI, Sportage 2.0CRDI  10-</t>
  </si>
  <si>
    <t>676/2 = 92129E</t>
  </si>
  <si>
    <t>92129E   (676/2)</t>
  </si>
  <si>
    <t>414.20</t>
  </si>
  <si>
    <t>92129E</t>
  </si>
  <si>
    <t>DAF CF85, XF105</t>
  </si>
  <si>
    <t>677/1 = WL7416</t>
  </si>
  <si>
    <t>7416   (677/1)</t>
  </si>
  <si>
    <t>156.59</t>
  </si>
  <si>
    <t>WL7416</t>
  </si>
  <si>
    <t>677/4 = WL7470</t>
  </si>
  <si>
    <t>7470   (677/4)</t>
  </si>
  <si>
    <t>WL7470</t>
  </si>
  <si>
    <t>680 = 92158E</t>
  </si>
  <si>
    <t>92158E   (680)</t>
  </si>
  <si>
    <t>92158E</t>
  </si>
  <si>
    <t>TATA motors ETALON EURO-II = MICO(india) F002h20032</t>
  </si>
  <si>
    <t>682 = WL7429</t>
  </si>
  <si>
    <t>7429   (682)</t>
  </si>
  <si>
    <t>184.01</t>
  </si>
  <si>
    <t>WL7429</t>
  </si>
  <si>
    <t>Fiat, Opel, Suzuki 1.3JTD/CDTI (UFI housing)</t>
  </si>
  <si>
    <t>682/2 = WL7464</t>
  </si>
  <si>
    <t>7464   (682/2)</t>
  </si>
  <si>
    <t>167.86</t>
  </si>
  <si>
    <t>WL7464</t>
  </si>
  <si>
    <t>Alfa Romeo 159 1.9-2.0JTD  05-11, Fiat Doblo,Punto (GR , EVO), Qubo 1.3-1.9D, 08-&gt; , OPEL Astra, Combo 1.3-1.6 CDTI  12-&gt;</t>
  </si>
  <si>
    <t>682/3 = WL7479</t>
  </si>
  <si>
    <t>7479   (682/3)</t>
  </si>
  <si>
    <t>190.39</t>
  </si>
  <si>
    <t>WL7479</t>
  </si>
  <si>
    <t xml:space="preserve"> Fiat| Lancia 1.6JTDM, 2.0JTDM  Giulietta (New), Mito| Fiat Doblo II\n</t>
  </si>
  <si>
    <t>685 = WL7447</t>
  </si>
  <si>
    <t>7447   (685)</t>
  </si>
  <si>
    <t>WL7447</t>
  </si>
  <si>
    <t>Toyota Auris 2.2D-4D, Avensis 2.2D-4D (sil. 2AD-FHV, 2AD-FTV),  (РћР• 0415238010, 041520R010)  /OX413D1ECO/</t>
  </si>
  <si>
    <t>685/1 = WL7453</t>
  </si>
  <si>
    <t>7453   (685/1)</t>
  </si>
  <si>
    <t>105.33</t>
  </si>
  <si>
    <t>WL7453</t>
  </si>
  <si>
    <t>Lexus IS 250| Toyota Camry 3.5i V6 (sil. 2GR) (РћР• 0415231090, 04152YZZA1) /OX414D1Eco/</t>
  </si>
  <si>
    <t>685/2 = WL7472</t>
  </si>
  <si>
    <t>7472   (685/2)</t>
  </si>
  <si>
    <t>74.92</t>
  </si>
  <si>
    <t>WL7472</t>
  </si>
  <si>
    <t>Toyota Auris 1.6i, Avensis 1.6i, 1.8i, Verso 1.6i, 1.8i (sil. 1ZR, 2ZR)</t>
  </si>
  <si>
    <t>685/5 = WL7481</t>
  </si>
  <si>
    <t>7481   (685/5)</t>
  </si>
  <si>
    <t>WL7481</t>
  </si>
  <si>
    <t>Toyota Yaris 1.4D  06-11-&gt;  ,Verso S 1.4D, 10-  Urban Cruiser 1.4D-4D 09-</t>
  </si>
  <si>
    <t>688 = WL7476</t>
  </si>
  <si>
    <t>7476   (688)</t>
  </si>
  <si>
    <t>WL7476</t>
  </si>
  <si>
    <t>Audi| Seat | Skoda| Volkswagen 1.6TDI, 2.0TDI</t>
  </si>
  <si>
    <t>688/2 = WL7507</t>
  </si>
  <si>
    <t>7507   (688/2)</t>
  </si>
  <si>
    <t>114.35</t>
  </si>
  <si>
    <t>WL7507</t>
  </si>
  <si>
    <t>Audi| Seat | Skoda| Volkswagen 1.8TFSI(180PS), 09-</t>
  </si>
  <si>
    <t>745 = 51417</t>
  </si>
  <si>
    <t>51417   (745)</t>
  </si>
  <si>
    <t>51417E</t>
  </si>
  <si>
    <t>RENAULT - trucks (MANAGER, MAGNUM) 91- (С‚РѕРЅРєРѕР№ РѕС‡РёСЃС‚РєРё)</t>
  </si>
  <si>
    <t>745/1 = 57117</t>
  </si>
  <si>
    <t>57117   (745/1)</t>
  </si>
  <si>
    <t>330.65</t>
  </si>
  <si>
    <t>57117E</t>
  </si>
  <si>
    <t>Renault Kerax 01-&gt;, Magnum 96-&gt;, Premium 00-&gt;</t>
  </si>
  <si>
    <t>745/2 = 57017</t>
  </si>
  <si>
    <t>57017   (745/2)</t>
  </si>
  <si>
    <t>390.73</t>
  </si>
  <si>
    <t>57017E</t>
  </si>
  <si>
    <t>Daf CF75, CF85, XF95, 95XF  99-06</t>
  </si>
  <si>
    <t>750 = 24196</t>
  </si>
  <si>
    <t>24196   (750)</t>
  </si>
  <si>
    <t>218.55</t>
  </si>
  <si>
    <t>24196E</t>
  </si>
  <si>
    <t>Volvo FH12, FH16, FL12, - filtr cieczy ch?odz?cej (nr cz??ci oryg. 1699830-4)</t>
  </si>
  <si>
    <t>751/1 = 24071</t>
  </si>
  <si>
    <t>24071   (751/1)</t>
  </si>
  <si>
    <t>24071E</t>
  </si>
  <si>
    <t>DAF 95XF, Iveco Eurostar</t>
  </si>
  <si>
    <t>785 = 93118E</t>
  </si>
  <si>
    <t>93118E   (785)</t>
  </si>
  <si>
    <t>386.41</t>
  </si>
  <si>
    <t>93118E</t>
  </si>
  <si>
    <t>Osuszacz powietrza sam. ci??. Daf, Iveco, M.A.N., Mercedes, Volvo</t>
  </si>
  <si>
    <t>785/1 = 96005E</t>
  </si>
  <si>
    <t>96005E   (785/1)</t>
  </si>
  <si>
    <t>608.34</t>
  </si>
  <si>
    <t>96005E</t>
  </si>
  <si>
    <t>Renault Midlum 2/00-&gt;, Scania 94, 114, 124, 144, 164 10/95-&gt;  /AL14/</t>
  </si>
  <si>
    <t>785/2 = 96006E</t>
  </si>
  <si>
    <t>96006E   (785/2)</t>
  </si>
  <si>
    <t>596.51</t>
  </si>
  <si>
    <t>96006E</t>
  </si>
  <si>
    <t>Daf Trucks</t>
  </si>
  <si>
    <t>785/5 = 96009E</t>
  </si>
  <si>
    <t>96009E   (785/5)</t>
  </si>
  <si>
    <t>884.72</t>
  </si>
  <si>
    <t>96009E</t>
  </si>
  <si>
    <t>Renault Kerax, Magnum , Midlum II, Premium Lander| Volvo FE II, FL II</t>
  </si>
  <si>
    <t>802 = 95119E</t>
  </si>
  <si>
    <t>95119E   (802)</t>
  </si>
  <si>
    <t>43.56</t>
  </si>
  <si>
    <t>95119E</t>
  </si>
  <si>
    <t>"Iveco| Scania| Skoda Tatra| Volvo| Liaz| Zetor - dok?adnego oczyszczania (opakowanie zbiorcze)"</t>
  </si>
  <si>
    <t>805 = 95123E</t>
  </si>
  <si>
    <t>95123E   (805)</t>
  </si>
  <si>
    <t>33.05</t>
  </si>
  <si>
    <t>95123E</t>
  </si>
  <si>
    <t>Ikarus, Iveco</t>
  </si>
  <si>
    <t>808 = 33112E</t>
  </si>
  <si>
    <t>33112E   (808)</t>
  </si>
  <si>
    <t>50.89</t>
  </si>
  <si>
    <t>33112E</t>
  </si>
  <si>
    <t>MAN trucks &amp; buses</t>
  </si>
  <si>
    <t>809 = 33112FE</t>
  </si>
  <si>
    <t>33112FE   (809)</t>
  </si>
  <si>
    <t>33112FE</t>
  </si>
  <si>
    <t>MAN/SCANIA/VOLVO - trucks (primary)</t>
  </si>
  <si>
    <t>811 = 95127E</t>
  </si>
  <si>
    <t>95127E   (811)</t>
  </si>
  <si>
    <t>46.94</t>
  </si>
  <si>
    <t>95127E</t>
  </si>
  <si>
    <t>"Zetor 5211, 5245, 7211, 7245| Ursus 1604, 1212, 1214"</t>
  </si>
  <si>
    <t>812 = 95128E</t>
  </si>
  <si>
    <t>95128E   (812)</t>
  </si>
  <si>
    <t>38.49</t>
  </si>
  <si>
    <t>95128E</t>
  </si>
  <si>
    <t>813 = 33167FE</t>
  </si>
  <si>
    <t>33167FE   (813)</t>
  </si>
  <si>
    <t>33167FE</t>
  </si>
  <si>
    <t>CLAAS, IVECO, JOHN DEERE, MAN, VOLVO РёРЅРґСѓСЃС‚СЂРёР°Р»СЊРЅР°СЏ Рё СЃ/С… С‚РµС…РЅРёРєР° (KX43, = WF8155)</t>
  </si>
  <si>
    <t>813/1 = 33167E</t>
  </si>
  <si>
    <t>33167E   (813/1)</t>
  </si>
  <si>
    <t>33167E</t>
  </si>
  <si>
    <t>MAN (buses) SG240H,SG242  85-94, (СЃ/С… Рё СЃС‚СЂРѕРёС‚РµР»СЊРЅР°СЏ С‚РµС…РЅРёРєР°)</t>
  </si>
  <si>
    <t>814 = WF8156</t>
  </si>
  <si>
    <t>8156   (814)</t>
  </si>
  <si>
    <t>72.29</t>
  </si>
  <si>
    <t>WF8156</t>
  </si>
  <si>
    <t>815/1 = WF8014</t>
  </si>
  <si>
    <t>8014   (815/1)</t>
  </si>
  <si>
    <t>WF8014</t>
  </si>
  <si>
    <t>RENAULT MEGANE, LAGUNA, KANGOO 1.9D/DTI/DCI  97- (PURFLUX-SYSTEM)</t>
  </si>
  <si>
    <t>815/2 = WF8254</t>
  </si>
  <si>
    <t>8254   (815/2)</t>
  </si>
  <si>
    <t>WF8254</t>
  </si>
  <si>
    <t>RENAULT MEGANE, LAGUNA, KANGOO 1.9D/DTI/DCI  97- (CAV-SYSTEM)</t>
  </si>
  <si>
    <t>815/4 = WF8301</t>
  </si>
  <si>
    <t>8301   (815/4)</t>
  </si>
  <si>
    <t>WF8301</t>
  </si>
  <si>
    <t>OPEL Movano/ Vivaro/ / RENAULT Trafic/ Master II/ / Nissan Primastar/ Interstar 09/ 00-&gt; 1, 9/ 2, 5/ 3, 0L 7701207667/ 93160736/ 1640500QAB</t>
  </si>
  <si>
    <t>815/5 = WF8315</t>
  </si>
  <si>
    <t>8315   (815/5)</t>
  </si>
  <si>
    <t>WF8315</t>
  </si>
  <si>
    <t>PRIMASTAR/MASTER (KX183D)</t>
  </si>
  <si>
    <t>815/6 = WF8367</t>
  </si>
  <si>
    <t>8367   (815/6)</t>
  </si>
  <si>
    <t>122.98</t>
  </si>
  <si>
    <t>WF8367</t>
  </si>
  <si>
    <t>Ford Focus C-Max 1.8TDCI, Focus II 1.8TDCi, Galaxy 1.8TDCi, S-Max 1.8TDCi</t>
  </si>
  <si>
    <t>816 = WF8015</t>
  </si>
  <si>
    <t>8015   (816)</t>
  </si>
  <si>
    <t>WF8015</t>
  </si>
  <si>
    <t>PEUGEOT J5 2.5D/TD 81-, CITROEN C25 2.5D/TD 87-94 (BOSCH-SYSTEM)</t>
  </si>
  <si>
    <t>816/1 = WF8178</t>
  </si>
  <si>
    <t>8178   (816/1)</t>
  </si>
  <si>
    <t>WF8178</t>
  </si>
  <si>
    <t>816/2 = WF8177</t>
  </si>
  <si>
    <t>8177   (816/2)</t>
  </si>
  <si>
    <t>WF8177</t>
  </si>
  <si>
    <t>816/3 = WF8195</t>
  </si>
  <si>
    <t>8195   (816/3)</t>
  </si>
  <si>
    <t>159.03</t>
  </si>
  <si>
    <t>WF8195</t>
  </si>
  <si>
    <t>816/4 = WF8256</t>
  </si>
  <si>
    <t>8256   (816/4)</t>
  </si>
  <si>
    <t>168.23</t>
  </si>
  <si>
    <t>WF8256</t>
  </si>
  <si>
    <t>816/8 = WF8433</t>
  </si>
  <si>
    <t>8433   (816/8)</t>
  </si>
  <si>
    <t>WF8433</t>
  </si>
  <si>
    <t>Citroen C4 II, C5 II, C8| Ford C-Max, C-Max II, Galaxy II, Kuga, Mondeo IV, S-Max| Peugeot Expert II, 308, 3008, 407, 5008, 807 2.0HDI</t>
  </si>
  <si>
    <t>818 = 95130E</t>
  </si>
  <si>
    <t>95130E   (818)</t>
  </si>
  <si>
    <t>95130E</t>
  </si>
  <si>
    <t>"Kraz| Maz"</t>
  </si>
  <si>
    <t>820 = WF8125</t>
  </si>
  <si>
    <t>8125   (820)</t>
  </si>
  <si>
    <t>19.34</t>
  </si>
  <si>
    <t>WF8125</t>
  </si>
  <si>
    <t>MB W123 (240D,300D) -85, W124 (200D,250D,300D) -93 (PRIMARY)</t>
  </si>
  <si>
    <t>821 = WF8126</t>
  </si>
  <si>
    <t>8126   (821)</t>
  </si>
  <si>
    <t>20.28</t>
  </si>
  <si>
    <t>WF8126</t>
  </si>
  <si>
    <t>822 = WF8127</t>
  </si>
  <si>
    <t>8127   (822)</t>
  </si>
  <si>
    <t>19.72</t>
  </si>
  <si>
    <t>WF8127</t>
  </si>
  <si>
    <t>118x48mm  РЈРќРР’Р•Р РЎРђР›Р¬РќР«Р™-Р‘Р•РќР—РРќ</t>
  </si>
  <si>
    <t>823 = 95133E</t>
  </si>
  <si>
    <t>95133E   (823)</t>
  </si>
  <si>
    <t>95133E</t>
  </si>
  <si>
    <t>MB - trucks diesel engines (РїР°С‚СЂРѕРЅ С„РёР»СЊС‚СЂР°)</t>
  </si>
  <si>
    <t>825 = WF8027</t>
  </si>
  <si>
    <t>8027   (825)</t>
  </si>
  <si>
    <t>163.91</t>
  </si>
  <si>
    <t>WF8027</t>
  </si>
  <si>
    <t>FORD SIERRA 1.8, 2.0 -93, SCORPIO 2.0-2.9 -94, ESCORT 1.4, 1.6 -95\nGazel 2.3i (С€С‚СѓС†РµСЂ)</t>
  </si>
  <si>
    <t>827 = WF8029</t>
  </si>
  <si>
    <t>8029   (827)</t>
  </si>
  <si>
    <t>WF8029</t>
  </si>
  <si>
    <t>AUDI 80 1.6-2.8 91-96, A4,A6 1.8-2.7 97-,  A8  2.8, 3.7, 4.2 96-</t>
  </si>
  <si>
    <t>831 = WF8033</t>
  </si>
  <si>
    <t>8033   (831)</t>
  </si>
  <si>
    <t>96.13</t>
  </si>
  <si>
    <t>WF8033</t>
  </si>
  <si>
    <t xml:space="preserve">CITROEN/PEUGEOT 1.3-2.0, OPEL 1.2-3.0 -98, Tavria/Slavuta 1.2i, 1.3i </t>
  </si>
  <si>
    <t>831/1 = WF8034</t>
  </si>
  <si>
    <t>8034   (831/1)</t>
  </si>
  <si>
    <t>WF8034</t>
  </si>
  <si>
    <t>CITROEN BERLINGO, PEUGEOT PARTNER, RENAULT MEGANE 1.4i, 1.8i  96-</t>
  </si>
  <si>
    <t>832/1 = WF8168</t>
  </si>
  <si>
    <t>8168   (832/1)</t>
  </si>
  <si>
    <t>217.42</t>
  </si>
  <si>
    <t>WF8168</t>
  </si>
  <si>
    <t>834 = WF8038</t>
  </si>
  <si>
    <t>8038   (834)</t>
  </si>
  <si>
    <t>171.42</t>
  </si>
  <si>
    <t>WF8038</t>
  </si>
  <si>
    <t>MB W201 (2.3E, 2.5E, 2.6E), W124 (E280-E500), W140 (S280-S600) -94</t>
  </si>
  <si>
    <t>835 = WF8039</t>
  </si>
  <si>
    <t>8039   (835)</t>
  </si>
  <si>
    <t>WF8039</t>
  </si>
  <si>
    <t>MB W123 (230E, 280E) -85, W124 (200-300 - series) -95  (С€С‚СѓС†РµСЂ)</t>
  </si>
  <si>
    <t>836 = WF8040</t>
  </si>
  <si>
    <t>8040   (836)</t>
  </si>
  <si>
    <t>130.49</t>
  </si>
  <si>
    <t>WF8040</t>
  </si>
  <si>
    <t>VW/AUDI 1.6 - 2.8  Р±РµРЅР·РёРЅ 91- (Р°РЅР°Р»РѕРі KL2, WK830/7)\nGazel 2.3i (РЅР° С…РѕРјСѓС‚Р°С…)</t>
  </si>
  <si>
    <t>836/1 = WF8041</t>
  </si>
  <si>
    <t>8041   (836/1)</t>
  </si>
  <si>
    <t>WF8041</t>
  </si>
  <si>
    <t>VW/AUDI 1.6 - 3.0  Р±РµРЅР·РёРЅ 97- (Р°РЅР°Р»РѕРі WK730/1) Gazel 2.3i (РЅР° Р·Р°С‰РµР»РєР°С…)</t>
  </si>
  <si>
    <t>836/2 = WF8386</t>
  </si>
  <si>
    <t>8386   (836/2)</t>
  </si>
  <si>
    <t>341.72</t>
  </si>
  <si>
    <t>WF8386</t>
  </si>
  <si>
    <t>Audi A3 II| Skoda Octavia II| Seat Altea, Toledo III, Volkswagen Golf V, Jetta II (6,4bar)  /KL572/</t>
  </si>
  <si>
    <t>836/3 = WF8311</t>
  </si>
  <si>
    <t>8311   (836/3)</t>
  </si>
  <si>
    <t>328.02</t>
  </si>
  <si>
    <t>WF8311</t>
  </si>
  <si>
    <t>Audi A3 II| Seat Altea, Cordoba III, Ibiza IV, Toledo III| Skoda Fabia, Octavia II| VW Bora II, Caddy III, Golf V, Polo IV, Touran (zaw?r 3bar</t>
  </si>
  <si>
    <t>836/4 = WF8317</t>
  </si>
  <si>
    <t>8317   (836/4)</t>
  </si>
  <si>
    <t>331.58</t>
  </si>
  <si>
    <t>WF8317</t>
  </si>
  <si>
    <t>VAG A3/ Fabia/ Golf V/ Jetta III/ Octavia 1, 2-3, 2L 04/ 00-&gt; KL176/ 1 (4 bar)</t>
  </si>
  <si>
    <t>837 = 33472E</t>
  </si>
  <si>
    <t>33472E   (837) Р·Р°РјС–РЅРµРЅРѕ РЅР° 8042   (837)</t>
  </si>
  <si>
    <t>101.57</t>
  </si>
  <si>
    <t>33472E</t>
  </si>
  <si>
    <t>Audi| DAF| Fiat| Ford| Iveco| Opel| Renault| Seat| Tarpan| VW| Volvo - Diesel</t>
  </si>
  <si>
    <t>837 = WF8042</t>
  </si>
  <si>
    <t>8042   (837)</t>
  </si>
  <si>
    <t>WF8042</t>
  </si>
  <si>
    <t>VW/Audi/Fiat/Citroen/Peugeot  Diesel eng., СЃ РїСЂРѕРєР»Р°РґРєРѕР№ 83-99, Iveco 99-</t>
  </si>
  <si>
    <t>837/1 = 95003E</t>
  </si>
  <si>
    <t>95003E   (837/1)</t>
  </si>
  <si>
    <t>95003E</t>
  </si>
  <si>
    <t>MAN trucks &amp; buses (РЅР°РІРµСЂС‚РЅС‹Р№)</t>
  </si>
  <si>
    <t>838 = WF8043</t>
  </si>
  <si>
    <t>8043   (838)</t>
  </si>
  <si>
    <t>160.91</t>
  </si>
  <si>
    <t>WF8043</t>
  </si>
  <si>
    <t>VW GOLF,JETTA 1.6D/TD -91, TRANSPORTER 1.6TD -92, LT 2.4D/TD -92</t>
  </si>
  <si>
    <t>838/4 = WF8268</t>
  </si>
  <si>
    <t>8268   (838/4)</t>
  </si>
  <si>
    <t>262.86</t>
  </si>
  <si>
    <t>WF8268</t>
  </si>
  <si>
    <t>FORD FOCUS 1.8TDCI  01-</t>
  </si>
  <si>
    <t>838/5 = WF8326</t>
  </si>
  <si>
    <t>8326   (838/5)</t>
  </si>
  <si>
    <t>WF8326</t>
  </si>
  <si>
    <t>FORD FOCUS 1, 8TD 98-04</t>
  </si>
  <si>
    <t>839 = WF8045</t>
  </si>
  <si>
    <t>8045   (839)</t>
  </si>
  <si>
    <t>WF8045</t>
  </si>
  <si>
    <t>839/1 = WF8046</t>
  </si>
  <si>
    <t>8046   (839/1)</t>
  </si>
  <si>
    <t>253.48</t>
  </si>
  <si>
    <t>WF8046</t>
  </si>
  <si>
    <t>AUDI A3,A4,A6, VW 1.9TDI  00-,  LT28-35 2.5SDI/TDI 96-</t>
  </si>
  <si>
    <t>839/10 = WF8389</t>
  </si>
  <si>
    <t>8389   (839/10)</t>
  </si>
  <si>
    <t>203.53</t>
  </si>
  <si>
    <t>WF8389</t>
  </si>
  <si>
    <t>Audi A4 II, A6 II (РћР• 8E0127401D, 8E0127401A)</t>
  </si>
  <si>
    <t>839/4 = WF8199</t>
  </si>
  <si>
    <t>8199   (839/4)</t>
  </si>
  <si>
    <t>374.77</t>
  </si>
  <si>
    <t>WF8199</t>
  </si>
  <si>
    <t>839/6 = WF8264</t>
  </si>
  <si>
    <t>8264   (839/6)</t>
  </si>
  <si>
    <t>WF8264</t>
  </si>
  <si>
    <t>FORD Galaxy,SEAT Alhambra, VW Sharan 1.9TDI 95-00</t>
  </si>
  <si>
    <t>840 = WF8047</t>
  </si>
  <si>
    <t>8047   (840)</t>
  </si>
  <si>
    <t>WF8047</t>
  </si>
  <si>
    <t>MB W123 (OM616), 207D/209D,307D/309D,407D (OM616, OM617)</t>
  </si>
  <si>
    <t>841 = WF8048</t>
  </si>
  <si>
    <t>8048   (841)</t>
  </si>
  <si>
    <t>WF8048</t>
  </si>
  <si>
    <t>MB W201,W124,W202,W210,T1,T2,SPRINTER,VITO (OM601/OM602)</t>
  </si>
  <si>
    <t>841/1 = WF8239</t>
  </si>
  <si>
    <t>8239   (841/1)</t>
  </si>
  <si>
    <t>220.06</t>
  </si>
  <si>
    <t>WF8239</t>
  </si>
  <si>
    <t>MB Sprinter (901, 902, 904) 00-06,  VITO 2.2CDI, VANEO 1.7CDI 02-, A-class A160CDI, A170CDI 01-,</t>
  </si>
  <si>
    <t>841/3 = WF8274</t>
  </si>
  <si>
    <t>8274   (841/3)</t>
  </si>
  <si>
    <t>334.40</t>
  </si>
  <si>
    <t>WF8274</t>
  </si>
  <si>
    <t>MB VITO 108CDI-112CDI 99-, SPRINTER CDI 00- (СЃ РґР°С‚С‡РёРєРѕРј)</t>
  </si>
  <si>
    <t>841/7 = WF8353</t>
  </si>
  <si>
    <t>8353   (841/7)</t>
  </si>
  <si>
    <t>352.99</t>
  </si>
  <si>
    <t>WF8353</t>
  </si>
  <si>
    <t>Mercedes вЂ“ wersja filtra PP 841/6 z gniazdem czujnika wody (РћР• 646.092.06.01)</t>
  </si>
  <si>
    <t>841/8 = WF8425</t>
  </si>
  <si>
    <t>8425   (841/8)</t>
  </si>
  <si>
    <t>485.92</t>
  </si>
  <si>
    <t>WF8425</t>
  </si>
  <si>
    <t>Mercedes C (W204), E (W212), GL (X164), GLK (X204), M (W164), Sprinter II</t>
  </si>
  <si>
    <t>842 = WF8130</t>
  </si>
  <si>
    <t>8130   (842)</t>
  </si>
  <si>
    <t>13.71</t>
  </si>
  <si>
    <t>WF8130</t>
  </si>
  <si>
    <t>108x36mm  РЈРќРР’Р•Р РЎРђР›Р¬РќР«Р™-Р‘Р•РќР—РРќ (WK31/2)</t>
  </si>
  <si>
    <t>843 = WF8049</t>
  </si>
  <si>
    <t>8049   (843)</t>
  </si>
  <si>
    <t>WF8049</t>
  </si>
  <si>
    <t>FIAT FIORINO 1.7D 88-, DUCATO 2.5TDI 94-02 (CAV-SYSTEM)</t>
  </si>
  <si>
    <t>844 = 33196E</t>
  </si>
  <si>
    <t>33196E   (844)</t>
  </si>
  <si>
    <t>33196E</t>
  </si>
  <si>
    <t>CITROEN/PEUGEOT/RENAULT/FORD diesel engines</t>
  </si>
  <si>
    <t>844 = WF8020</t>
  </si>
  <si>
    <t>8020   (844)</t>
  </si>
  <si>
    <t>WF8020</t>
  </si>
  <si>
    <t>845/1 = WF8181</t>
  </si>
  <si>
    <t>8181   (845/1)</t>
  </si>
  <si>
    <t>WF8181</t>
  </si>
  <si>
    <t>FIAT DUCATO 1.9, 2.5 diesel eng. 94-02, RENAULT/SCANIA - trucks (СЃ РїСЂРѕРєР»Р°РґРєРѕР№, РЅР° СЂРµР·СЊР±Рµ)</t>
  </si>
  <si>
    <t>845/2 = 33358SE</t>
  </si>
  <si>
    <t>33358SE   (845/2)</t>
  </si>
  <si>
    <t>33358SE</t>
  </si>
  <si>
    <t>IVECO - trucks /Р°РЅР°Р»РѕРі KC6/</t>
  </si>
  <si>
    <t>848 = WF8052</t>
  </si>
  <si>
    <t>8052   (848)</t>
  </si>
  <si>
    <t>WF8052</t>
  </si>
  <si>
    <t>FORD TRANSIT 2.5D/TD  84-10/97</t>
  </si>
  <si>
    <t>848/1 = WF8053</t>
  </si>
  <si>
    <t>8053   (848/1)</t>
  </si>
  <si>
    <t>WF8053</t>
  </si>
  <si>
    <t>FORD TRANSIT 2.5D/TD 10/97-</t>
  </si>
  <si>
    <t>848/2 = WF8246</t>
  </si>
  <si>
    <t>8246   (848/2)</t>
  </si>
  <si>
    <t>380.96</t>
  </si>
  <si>
    <t>WF8246</t>
  </si>
  <si>
    <t>FORD TRANSIT 2.0D, 2.4D 00 -</t>
  </si>
  <si>
    <t>848/3 = WF8339</t>
  </si>
  <si>
    <t>8339   (848/3)</t>
  </si>
  <si>
    <t>446.31</t>
  </si>
  <si>
    <t>WF8339</t>
  </si>
  <si>
    <t>TRANSIT 2.4DI TDE 01-&gt;</t>
  </si>
  <si>
    <t>848/4 = WF8369</t>
  </si>
  <si>
    <t>8369   (848/4)</t>
  </si>
  <si>
    <t>516.34</t>
  </si>
  <si>
    <t>WF8369</t>
  </si>
  <si>
    <t>Ford Transit 2.4TDCI (137HP) 2004--&gt; (KC223)</t>
  </si>
  <si>
    <t>848/6 = WF8371</t>
  </si>
  <si>
    <t>8371   (848/6)</t>
  </si>
  <si>
    <t>483.48</t>
  </si>
  <si>
    <t>WF8371</t>
  </si>
  <si>
    <t>TRANSIT 06-&gt; 2.4 TDCI</t>
  </si>
  <si>
    <t>849 = WF8054</t>
  </si>
  <si>
    <t>8054   (849)</t>
  </si>
  <si>
    <t>182.69</t>
  </si>
  <si>
    <t>WF8054</t>
  </si>
  <si>
    <t>AUDI 100 2.0, 2.3 -94, A6 1.8-2.8 94-97</t>
  </si>
  <si>
    <t>850 = WF8056</t>
  </si>
  <si>
    <t>8056   (850)</t>
  </si>
  <si>
    <t>269.81</t>
  </si>
  <si>
    <t>WF8056</t>
  </si>
  <si>
    <t>AUDI 80,100,A4,A6  1.6-2.5 diesel eng. 91-</t>
  </si>
  <si>
    <t>852 = WF8058</t>
  </si>
  <si>
    <t>8058   (852)</t>
  </si>
  <si>
    <t>145.70</t>
  </si>
  <si>
    <t>WF8058</t>
  </si>
  <si>
    <t>ISUZU TROOPER 2.8TD 88-92, 3.1TD 91- (Р°РЅР°Р»РѕРі WK920/1)</t>
  </si>
  <si>
    <t>853 = WF8059</t>
  </si>
  <si>
    <t>8059   (853)</t>
  </si>
  <si>
    <t>167.29</t>
  </si>
  <si>
    <t>WF8059</t>
  </si>
  <si>
    <t>MITSUBISHI/ISUZU MIDI 2.0TD, 2.2D 89-, 2.4TD 94-</t>
  </si>
  <si>
    <t>855 = WF8061</t>
  </si>
  <si>
    <t>8061   (855)</t>
  </si>
  <si>
    <t>WF8061</t>
  </si>
  <si>
    <t>857 = WF8063</t>
  </si>
  <si>
    <t>8063   (857)</t>
  </si>
  <si>
    <t>WF8063</t>
  </si>
  <si>
    <t>NISSAN diesel engines, FORD MAVERIC 2.7TD -98</t>
  </si>
  <si>
    <t>857/1 = WF8319</t>
  </si>
  <si>
    <t>8319   (857/1)</t>
  </si>
  <si>
    <t>197.52</t>
  </si>
  <si>
    <t>WF8319</t>
  </si>
  <si>
    <t>Nissan Almera(N16)/ Primera(P12)/ Terrano II 2, 2D-3, 0D/ TD 09/ 96-&gt; 164037F40A</t>
  </si>
  <si>
    <t>857/2 = WF8478</t>
  </si>
  <si>
    <t>8478   (857/2)</t>
  </si>
  <si>
    <t>552.01</t>
  </si>
  <si>
    <t>WF8478</t>
  </si>
  <si>
    <t>Nissan Qashqai, X-Trail| Renault Koleos,2.0dCi,  07-   (Р· РїС–Рґ'С”РґРЅР°РЅРЅСЏРј РґР»СЏ РґР°С‚. РІРѕРґРё)</t>
  </si>
  <si>
    <t>858 = WF8021</t>
  </si>
  <si>
    <t>8021   (858)</t>
  </si>
  <si>
    <t>WF8021</t>
  </si>
  <si>
    <t>859 = WF8064</t>
  </si>
  <si>
    <t>8064   (859)</t>
  </si>
  <si>
    <t>WF8064</t>
  </si>
  <si>
    <t>DAEWOO NEXIA,ESPERO 1.5, 1.8  95-</t>
  </si>
  <si>
    <t>861/2 = 95014E</t>
  </si>
  <si>
    <t>95014E   (861/2)</t>
  </si>
  <si>
    <t>208.23</t>
  </si>
  <si>
    <t>95014E</t>
  </si>
  <si>
    <t>861/4 = 95035E</t>
  </si>
  <si>
    <t>95035E   (861/4)</t>
  </si>
  <si>
    <t>95035E</t>
  </si>
  <si>
    <t>Daf 95XF Euro 3 9/ 99В®10/ 02</t>
  </si>
  <si>
    <t>861/6 = 95041E</t>
  </si>
  <si>
    <t>95041E   (861/6)</t>
  </si>
  <si>
    <t>95041E</t>
  </si>
  <si>
    <t>865 = WF8069</t>
  </si>
  <si>
    <t>8069   (865)</t>
  </si>
  <si>
    <t>WF8069</t>
  </si>
  <si>
    <t>865/2 = WF8194</t>
  </si>
  <si>
    <t>8194   (865/2)</t>
  </si>
  <si>
    <t>WF8194</t>
  </si>
  <si>
    <t>865/4 = WF8266</t>
  </si>
  <si>
    <t>8266   (865/4)</t>
  </si>
  <si>
    <t>161.48</t>
  </si>
  <si>
    <t>WF8266</t>
  </si>
  <si>
    <t>FORD FIESTA 1.25-1.6,  01-, FUSION  02-    /KL458/</t>
  </si>
  <si>
    <t>865/5 = WF8373</t>
  </si>
  <si>
    <t>8373   (865/5)</t>
  </si>
  <si>
    <t>WF8373</t>
  </si>
  <si>
    <t>Ford Focus| Volvo C30, C70 II, S40II, V50 (РћР• 1212739, 2M5C9B072AB, 1224577, 2M5C9155AB, 1465018, 2M5C9155AC, 7N519155AB|)</t>
  </si>
  <si>
    <t>879/1 = 95016E</t>
  </si>
  <si>
    <t>95016E   (879/1)</t>
  </si>
  <si>
    <t>95016E</t>
  </si>
  <si>
    <t>IVECO trucks</t>
  </si>
  <si>
    <t>879/4 = 95028E</t>
  </si>
  <si>
    <t>95028E   (879/4)</t>
  </si>
  <si>
    <t>381.53</t>
  </si>
  <si>
    <t>95028E</t>
  </si>
  <si>
    <t>Iveco Eurostar, Eurotech, Stralis (sil. Tector)</t>
  </si>
  <si>
    <t>903 = WF8099</t>
  </si>
  <si>
    <t>8099   (903)</t>
  </si>
  <si>
    <t>WF8099</t>
  </si>
  <si>
    <t>NISSAN ALMERA,PRIMERA,BLUEBIRD,SUNNY 1.6-2.0</t>
  </si>
  <si>
    <t>905 = WF8101</t>
  </si>
  <si>
    <t>8101   (905)</t>
  </si>
  <si>
    <t>WF8101</t>
  </si>
  <si>
    <t>Daewoo Lanos, OPEL Corsa  93-, Omega B 94-, VECTRA 1.6-2.6 95- , VAZ 1.6, 1.6 16v</t>
  </si>
  <si>
    <t>905/3 = WF8333</t>
  </si>
  <si>
    <t>8333   (905/3)</t>
  </si>
  <si>
    <t>WF8333</t>
  </si>
  <si>
    <t>AVEO 1.2-1.6  96335719/ 96444649  /KL470/</t>
  </si>
  <si>
    <t>921 = WF8152</t>
  </si>
  <si>
    <t>8152   (921)</t>
  </si>
  <si>
    <t>180.06</t>
  </si>
  <si>
    <t>WF8152</t>
  </si>
  <si>
    <t>FIAT Palio 1.0-1.6 04/96-&gt;/Seicento 0.9/1.1 01/98-&gt;/Siena 1.0-1.6 04/96-&gt;/Strada 1.2 06/99-&gt;</t>
  </si>
  <si>
    <t>922 = WF8110</t>
  </si>
  <si>
    <t>8110   (922)</t>
  </si>
  <si>
    <t>148.71</t>
  </si>
  <si>
    <t>WF8110</t>
  </si>
  <si>
    <t>MAZDA E2200 2.2D 84-, 626 2.0D 83-87, B-SERIE 2.5D 96-99</t>
  </si>
  <si>
    <t>935 = 95022E</t>
  </si>
  <si>
    <t>95022E   (935)</t>
  </si>
  <si>
    <t>300.23</t>
  </si>
  <si>
    <t>95022E</t>
  </si>
  <si>
    <t>MERCEDES BENZ ACTROS, AXOR 96-</t>
  </si>
  <si>
    <t>935/1 = 95021E</t>
  </si>
  <si>
    <t>95021E   (935/1)</t>
  </si>
  <si>
    <t>175.55</t>
  </si>
  <si>
    <t>95021E</t>
  </si>
  <si>
    <t>936 = WF8166</t>
  </si>
  <si>
    <t>8166   (936)</t>
  </si>
  <si>
    <t>WF8166</t>
  </si>
  <si>
    <t>936/1 = WF8405</t>
  </si>
  <si>
    <t>8405   (936/1)</t>
  </si>
  <si>
    <t>99.51</t>
  </si>
  <si>
    <t>WF8405</t>
  </si>
  <si>
    <t>Opel Astra H, Corsa C , Zafira 1.7CDTi  04-</t>
  </si>
  <si>
    <t>937 = 95100E</t>
  </si>
  <si>
    <t>95100E   (937)</t>
  </si>
  <si>
    <t>189.64</t>
  </si>
  <si>
    <t>95100E</t>
  </si>
  <si>
    <t>M.A.N. (Trucks) - separator wody (81.12501.0021)  /KX332Eco/</t>
  </si>
  <si>
    <t>937/1 = 95101E</t>
  </si>
  <si>
    <t>95101E   (937/1)</t>
  </si>
  <si>
    <t>95101E</t>
  </si>
  <si>
    <t>M.A.N. (Trucks) - separator wody (81.12501.0022)</t>
  </si>
  <si>
    <t>940/3 = WF8263</t>
  </si>
  <si>
    <t>8263   (940/3)</t>
  </si>
  <si>
    <t>346.60</t>
  </si>
  <si>
    <t>WF8263</t>
  </si>
  <si>
    <t>944 = WF8172</t>
  </si>
  <si>
    <t>8172   (944)</t>
  </si>
  <si>
    <t>WF8172</t>
  </si>
  <si>
    <t>BOGDAN (Isuzu eng.) EURO II/III,  TOYOTA LANDCRUISER 4.0D/TD  80-89</t>
  </si>
  <si>
    <t>946/1 = WF8201</t>
  </si>
  <si>
    <t>8201   (946/1)</t>
  </si>
  <si>
    <t>246.91</t>
  </si>
  <si>
    <t>WF8201</t>
  </si>
  <si>
    <t>Voyager 2.5d -01</t>
  </si>
  <si>
    <t>947/1 = WF8175</t>
  </si>
  <si>
    <t>8175   (947/1)</t>
  </si>
  <si>
    <t>519.35</t>
  </si>
  <si>
    <t>WF8175</t>
  </si>
  <si>
    <t>MB W210 (E280-E430) 96-, W220 (S280-S600) 96-</t>
  </si>
  <si>
    <t>950 = WF8218</t>
  </si>
  <si>
    <t>8218   (950)</t>
  </si>
  <si>
    <t>162.04</t>
  </si>
  <si>
    <t>WF8218</t>
  </si>
  <si>
    <t>TOYOTA/MAZDA 1.9, 2.0 diesel engines 97-</t>
  </si>
  <si>
    <t>960 = WF8213</t>
  </si>
  <si>
    <t>8213   (960)</t>
  </si>
  <si>
    <t>WF8213</t>
  </si>
  <si>
    <t>VW POLO, SEAT IBIZA,CORDOBA 1.9TDI/CDI 99-</t>
  </si>
  <si>
    <t>962 = WF8241</t>
  </si>
  <si>
    <t>8241   (962)</t>
  </si>
  <si>
    <t>109.65</t>
  </si>
  <si>
    <t>WF8241</t>
  </si>
  <si>
    <t>963 = 95008E</t>
  </si>
  <si>
    <t>95008E   (963)</t>
  </si>
  <si>
    <t>95008E</t>
  </si>
  <si>
    <t>SCANIA - trucks /142 X 92 (M24X1.5)/</t>
  </si>
  <si>
    <t>964/1 = 95037E</t>
  </si>
  <si>
    <t>95037E   (964/1)</t>
  </si>
  <si>
    <t>315.43</t>
  </si>
  <si>
    <t>95037E</t>
  </si>
  <si>
    <t>Volvo Bus 8500, 8700, 9700, 9900, Volvo Trucks FH12 11/ 01-&gt; , FH16 6/ 03-&gt;, FM12 11/ 01-&gt;, FM9 11/ 01-&gt;, VN 8/ 02-&gt;</t>
  </si>
  <si>
    <t>965 = 33405</t>
  </si>
  <si>
    <t>33405   (965)</t>
  </si>
  <si>
    <t>224.00</t>
  </si>
  <si>
    <t>33405E</t>
  </si>
  <si>
    <t>966 = WF8262</t>
  </si>
  <si>
    <t>8262   (966)</t>
  </si>
  <si>
    <t>419.27</t>
  </si>
  <si>
    <t>WF8262</t>
  </si>
  <si>
    <t>Fiat Doblo 1.9JTD, Palio 1.9JTD, Punto II 1.9JTD, Strada 1.9JTD 9/99-&gt; (KL474)</t>
  </si>
  <si>
    <t>966/3 = WF8408</t>
  </si>
  <si>
    <t>8408   (966/3)</t>
  </si>
  <si>
    <t>812.06</t>
  </si>
  <si>
    <t>WF8408</t>
  </si>
  <si>
    <t>Alfa Romeo, Fiat, Lancia 1.3JTDM, 1.6JTDM, 1.9JTDM| 2.0JTDM, 2.4JTDM, 05-11</t>
  </si>
  <si>
    <t>967 = 33231</t>
  </si>
  <si>
    <t>33231   (967)</t>
  </si>
  <si>
    <t>446.49</t>
  </si>
  <si>
    <t>33231E</t>
  </si>
  <si>
    <t>Volvo - separator wody</t>
  </si>
  <si>
    <t>967/1 = 95102E</t>
  </si>
  <si>
    <t>95102E   (967/1)</t>
  </si>
  <si>
    <t>666.17</t>
  </si>
  <si>
    <t>95102E</t>
  </si>
  <si>
    <t>Daf CF75, CF85, XF95, XF105 5/02--&gt;, Solaris Bus - separator woda-paliwo</t>
  </si>
  <si>
    <t>968 = WF8277</t>
  </si>
  <si>
    <t>8277   (968)</t>
  </si>
  <si>
    <t>157.16</t>
  </si>
  <si>
    <t>WF8277</t>
  </si>
  <si>
    <t>"Citroen Jumper 2.8HDI 10/00-&gt;| Fiat Doblo 1.9JTD, Ducato 2.8JTD 10/00-&gt;|Peugeot Boxer 2.8HDI 10/00-&gt; (nr cz??ci oryginalnej 46797378)"</t>
  </si>
  <si>
    <t>968/1 = WF8318</t>
  </si>
  <si>
    <t>8318   (968/1)</t>
  </si>
  <si>
    <t>441.42</t>
  </si>
  <si>
    <t>WF8318</t>
  </si>
  <si>
    <t>ALFA147 1.9JTD/16V 01-&gt;,  ALFA156 1.9-2.4JTD 00-05,  ALFA166 2.4 JTD 02-&gt;,  FIAT Stilo 1.9JTD 01-</t>
  </si>
  <si>
    <t>968/2 = WF8327</t>
  </si>
  <si>
    <t>8327   (968/2)</t>
  </si>
  <si>
    <t>WF8327</t>
  </si>
  <si>
    <t>Fiat Multipla 1.9JTD 8/00-&gt;2/03| Punto II 1.9JTD 6/01-&gt;5/03| Kia Sorento 2.5CRDI</t>
  </si>
  <si>
    <t>968/4 = WF8329</t>
  </si>
  <si>
    <t>8329   (968/4)</t>
  </si>
  <si>
    <t>WF8329</t>
  </si>
  <si>
    <t>FIAT DUCATO 02-&gt;(KC196)</t>
  </si>
  <si>
    <t>971 = 95046E</t>
  </si>
  <si>
    <t>95046E   (971)</t>
  </si>
  <si>
    <t>95046E</t>
  </si>
  <si>
    <t>Renault Magnum, Midlum, Premium</t>
  </si>
  <si>
    <t>971/2 = 95114E</t>
  </si>
  <si>
    <t>95114E   (971/2)</t>
  </si>
  <si>
    <t>317.31</t>
  </si>
  <si>
    <t>95114E</t>
  </si>
  <si>
    <t>Renault Mascott 120Dxi, 160Dxi (РћР• вЂћ5001860111вЂќ )</t>
  </si>
  <si>
    <t>973 = WF8308</t>
  </si>
  <si>
    <t>8308   (973)</t>
  </si>
  <si>
    <t>336.09</t>
  </si>
  <si>
    <t>WF8308</t>
  </si>
  <si>
    <t>973/1 = WF8313</t>
  </si>
  <si>
    <t>8313   (973/1)</t>
  </si>
  <si>
    <t>322.38</t>
  </si>
  <si>
    <t>WF8313</t>
  </si>
  <si>
    <t>VW LT 2.8 TDI, 01-06</t>
  </si>
  <si>
    <t>973/2 = WF8355</t>
  </si>
  <si>
    <t>8355   (973/2)</t>
  </si>
  <si>
    <t>269.06</t>
  </si>
  <si>
    <t>WF8355</t>
  </si>
  <si>
    <t>973/3 = WF8388</t>
  </si>
  <si>
    <t>8388   (973/3)</t>
  </si>
  <si>
    <t>135.19</t>
  </si>
  <si>
    <t>WF8388</t>
  </si>
  <si>
    <t>Skoda Octavia II 1.9TDI, 2.0TDI| Volkswagen Golf V (UFI system filtration)</t>
  </si>
  <si>
    <t>973/4 = WF8392</t>
  </si>
  <si>
    <t>8392   (973/4)</t>
  </si>
  <si>
    <t>WF8392</t>
  </si>
  <si>
    <t>VW Crafter 2.5TDI 06-&gt; (РћР• 2E0127177, 2E0127159)</t>
  </si>
  <si>
    <t>973/7 = WF8470</t>
  </si>
  <si>
    <t>8470   (973/7)</t>
  </si>
  <si>
    <t>349.79</t>
  </si>
  <si>
    <t>WF8470</t>
  </si>
  <si>
    <t>Audi Q3| Seat Alahambra| Skoda Octavia| Volkswagen Passat, Sharan 2.0TDI 06/10--&gt;</t>
  </si>
  <si>
    <t>973/8 = WF8473</t>
  </si>
  <si>
    <t>8473   (973/8)</t>
  </si>
  <si>
    <t>414.95</t>
  </si>
  <si>
    <t>WF8473</t>
  </si>
  <si>
    <t>Porsche Cayenne, Volkswagen Touareg 3.0-4.2TDI 10- /E431KP/</t>
  </si>
  <si>
    <t>974 = WF8302</t>
  </si>
  <si>
    <t>8302   (974)</t>
  </si>
  <si>
    <t>672.36</t>
  </si>
  <si>
    <t>WF8302</t>
  </si>
  <si>
    <t>CITROEN C2, 3, 4 1, 41, 6L 01-Рі / Ford FIESTA, FUSION 1, 4TDCi 01-Рі / PEUGEOT 107, 206, 207, 307 1, 4L 01-Рі</t>
  </si>
  <si>
    <t>974/1 = WF8360</t>
  </si>
  <si>
    <t>8360   (974/1)</t>
  </si>
  <si>
    <t>475.40</t>
  </si>
  <si>
    <t>WF8360</t>
  </si>
  <si>
    <t>Citroen 1.4HDI, 1.6HDI 6/04| Peugeot 1.4HDI, 1.6HDI 2/04</t>
  </si>
  <si>
    <t>975 = 95038E</t>
  </si>
  <si>
    <t>95038E   (975)</t>
  </si>
  <si>
    <t>95038E</t>
  </si>
  <si>
    <t>Daf 75CF, 85CF 7/00--&gt;, XF95 10/02--&gt;</t>
  </si>
  <si>
    <t>975/1 = 95040E</t>
  </si>
  <si>
    <t>95040E   (975/1)</t>
  </si>
  <si>
    <t>95040E</t>
  </si>
  <si>
    <t>Daf CF75, CF85, XF95 -Heavy Duty (mann pu966x</t>
  </si>
  <si>
    <t>975/2 = 95139E</t>
  </si>
  <si>
    <t>95139E   (975/2)</t>
  </si>
  <si>
    <t>416.26</t>
  </si>
  <si>
    <t>95139E</t>
  </si>
  <si>
    <t>Daf CF75, CF85, XF95</t>
  </si>
  <si>
    <t>976/2 = WF8365</t>
  </si>
  <si>
    <t>8365   (976/2)</t>
  </si>
  <si>
    <t>375.52</t>
  </si>
  <si>
    <t>WF8365</t>
  </si>
  <si>
    <t>BMW3, 5, X3, X5, X6 (E60/E90/E70)  2.0d-3.0d, 06- /KL169/4D/</t>
  </si>
  <si>
    <t>977 = 95036E</t>
  </si>
  <si>
    <t>95036E   (977)</t>
  </si>
  <si>
    <t>235.26</t>
  </si>
  <si>
    <t>95036E</t>
  </si>
  <si>
    <t>MAN TG-A Truck (see OE)</t>
  </si>
  <si>
    <t>977/1 = 95042E</t>
  </si>
  <si>
    <t>95042E   (977/1)</t>
  </si>
  <si>
    <t>280.33</t>
  </si>
  <si>
    <t>95042E</t>
  </si>
  <si>
    <t>M.A.N. TG-A TG310A, TG350A, TG390A, TG430A 2/04--&gt;  /KX191/1DEco/</t>
  </si>
  <si>
    <t>979/2 = WF8395</t>
  </si>
  <si>
    <t>8395   (979/2)</t>
  </si>
  <si>
    <t>WF8395</t>
  </si>
  <si>
    <t>Kia Ceed 1.6CRDI, Hyundai i30, Santa-Fe, Tucson 1.6CRDI, 2.0CRDI (РћР• 319222E900)</t>
  </si>
  <si>
    <t>979/4 = WF8404</t>
  </si>
  <si>
    <t>8404   (979/4)</t>
  </si>
  <si>
    <t>303.61</t>
  </si>
  <si>
    <t>WF8404</t>
  </si>
  <si>
    <t>Hyundai Accent, Getz 1.5 CRDI 06-&gt;</t>
  </si>
  <si>
    <t>980/2 = WF8362</t>
  </si>
  <si>
    <t>8362   (980/2)</t>
  </si>
  <si>
    <t>366.13</t>
  </si>
  <si>
    <t>WF8362</t>
  </si>
  <si>
    <t>CLIO II/KANGOO 1.5 dCi 02&gt;</t>
  </si>
  <si>
    <t>981/2 = WF8476</t>
  </si>
  <si>
    <t>8476   (981/2) !!Р·Р°РјС–РЅР° РґР»СЏ 8393   (981/1)</t>
  </si>
  <si>
    <t>WF8476</t>
  </si>
  <si>
    <t>Ford Mondeo 2.0TDCI 07-&gt;| Volvo C30, C70 II, S40 II, S80 II, V50, V70 II  2.4D</t>
  </si>
  <si>
    <t>982 = WF8366</t>
  </si>
  <si>
    <t>8366   (982)</t>
  </si>
  <si>
    <t>262.68</t>
  </si>
  <si>
    <t>WF8366</t>
  </si>
  <si>
    <t>FIAT/OPEL 1.3/1.9 CDTi 04-&gt;</t>
  </si>
  <si>
    <t>983 = 95043E</t>
  </si>
  <si>
    <t>95043E   (983)</t>
  </si>
  <si>
    <t>204.10</t>
  </si>
  <si>
    <t>95043E</t>
  </si>
  <si>
    <t>Scania R164 (sil. DC16) 6/ 00</t>
  </si>
  <si>
    <t>983/1 = 95044E</t>
  </si>
  <si>
    <t>95044E   (983/1)</t>
  </si>
  <si>
    <t>293.28</t>
  </si>
  <si>
    <t>95044E</t>
  </si>
  <si>
    <t>Scania Seria P, R, T 6/04--&gt;</t>
  </si>
  <si>
    <t>984 = 33261</t>
  </si>
  <si>
    <t>33261   (984)</t>
  </si>
  <si>
    <t>33261E</t>
  </si>
  <si>
    <t>=KX38  Volvo Bus 9000| Agria 900, 03-</t>
  </si>
  <si>
    <t>985 = WF8358</t>
  </si>
  <si>
    <t>8358   (985)</t>
  </si>
  <si>
    <t>572.67</t>
  </si>
  <si>
    <t>WF8358</t>
  </si>
  <si>
    <t>T5/TOUAREG 2.5 TDI (KL229/4)</t>
  </si>
  <si>
    <t>985/6 = WF8466</t>
  </si>
  <si>
    <t>8466   (985/6)</t>
  </si>
  <si>
    <t>297.98</t>
  </si>
  <si>
    <t>WF8466</t>
  </si>
  <si>
    <t>Volkswagen Crafter</t>
  </si>
  <si>
    <t>986 = WF8379</t>
  </si>
  <si>
    <t>8379   (986)</t>
  </si>
  <si>
    <t>298.54</t>
  </si>
  <si>
    <t>WF8379</t>
  </si>
  <si>
    <t>IBIZA IV/ FABIA / Roomster / POLO  1.4-1.9TDI, 05-</t>
  </si>
  <si>
    <t>988 = WF8403</t>
  </si>
  <si>
    <t>8403   (988)</t>
  </si>
  <si>
    <t>464.33</t>
  </si>
  <si>
    <t>WF8403</t>
  </si>
  <si>
    <t>Renault Kangoo II 1.5 dCi, Laguna III 1.5 dCi, 2.0 dCi - bez gniazda czujnika wody</t>
  </si>
  <si>
    <t>988/2 = WF8438</t>
  </si>
  <si>
    <t>8438   (988/2)</t>
  </si>
  <si>
    <t>522.72</t>
  </si>
  <si>
    <t>WF8438</t>
  </si>
  <si>
    <t>Renault Fluence, Megane III, Scenic IV 1.5dCi, 1.9dCi, 2.0dCi</t>
  </si>
  <si>
    <t>999 = WF8023</t>
  </si>
  <si>
    <t>8023   (999)</t>
  </si>
  <si>
    <t>14.83</t>
  </si>
  <si>
    <t>WF8023</t>
  </si>
  <si>
    <t>LPG gas filter "LOVATO"</t>
  </si>
  <si>
    <t>999/1 = WF8024</t>
  </si>
  <si>
    <t>8024   (999/1)</t>
  </si>
  <si>
    <t>26.28</t>
  </si>
  <si>
    <t>WF8024</t>
  </si>
  <si>
    <t>LPG gas filter "MARINI"</t>
  </si>
  <si>
    <t>999/12 = WF8351</t>
  </si>
  <si>
    <t>8351   (999/12)</t>
  </si>
  <si>
    <t>WF8351</t>
  </si>
  <si>
    <t>LPG gas filter "Tomasetto"</t>
  </si>
  <si>
    <t>999/15 = WF8418</t>
  </si>
  <si>
    <t>8418   (999/15)</t>
  </si>
  <si>
    <t>WF8418</t>
  </si>
  <si>
    <t>Wk?ad filtra do samochodowych instalacji gazowych MATRIX</t>
  </si>
  <si>
    <t>999/2 = WF8342</t>
  </si>
  <si>
    <t>8342   (999/2)</t>
  </si>
  <si>
    <t>WF8342</t>
  </si>
  <si>
    <t>LPG gas filter "LANDI"</t>
  </si>
  <si>
    <t>999/3 = WF8343</t>
  </si>
  <si>
    <t>8343   (999/3)</t>
  </si>
  <si>
    <t>31.73</t>
  </si>
  <si>
    <t>WF8343</t>
  </si>
  <si>
    <t>LPG gas filter "BRC"</t>
  </si>
  <si>
    <t>999/4 = WF8344</t>
  </si>
  <si>
    <t>8344   (999/4)</t>
  </si>
  <si>
    <t>WF8344</t>
  </si>
  <si>
    <t>LPG gas filter "MEDA"</t>
  </si>
  <si>
    <t>999/5 = WF8345</t>
  </si>
  <si>
    <t>8345   (999/5)</t>
  </si>
  <si>
    <t>WF8345</t>
  </si>
  <si>
    <t>LPG gas filter "STEFANELLI"</t>
  </si>
  <si>
    <t>999/6 = WF8346</t>
  </si>
  <si>
    <t>8346   (999/6)</t>
  </si>
  <si>
    <t>26.66</t>
  </si>
  <si>
    <t>WF8346</t>
  </si>
  <si>
    <t>LPG gas filter "EMMA-GAS"</t>
  </si>
  <si>
    <t>999/7 = WF8347</t>
  </si>
  <si>
    <t>8347   (999/7)</t>
  </si>
  <si>
    <t>16.33</t>
  </si>
  <si>
    <t>WF8347</t>
  </si>
  <si>
    <t>LPG gas filter "OMNIA"</t>
  </si>
  <si>
    <t>999/8 = WF8348</t>
  </si>
  <si>
    <t>8348   (999/8)</t>
  </si>
  <si>
    <t>21.22</t>
  </si>
  <si>
    <t>WF8348</t>
  </si>
  <si>
    <t>LPG gas filter "LANDI RENZO"</t>
  </si>
  <si>
    <t>999/9 = WF8349</t>
  </si>
  <si>
    <t>8349   (999/9)</t>
  </si>
  <si>
    <t>WF8349</t>
  </si>
  <si>
    <t>LPG gas filter "ROMANO"</t>
  </si>
  <si>
    <t>SET1</t>
  </si>
  <si>
    <t>601.63</t>
  </si>
  <si>
    <t>SPRINTER CDI 95-06 (РљРѕРјРїР»РµРєС‚: WA6342-S, WL7240, WF8239, WP6984)\n</t>
  </si>
  <si>
    <t>SET2</t>
  </si>
  <si>
    <t>SPRINTER D 95-00 (РљРѕРјРїР»РµРєС‚: WA6342-S, WL7061, WF8048, WP6984)\n</t>
  </si>
  <si>
    <t>SET3</t>
  </si>
  <si>
    <t>583.66</t>
  </si>
  <si>
    <t>VW Transporter IV 2.4/2.5D, 92-03 (РљРѕРјРїР»РµРєС‚: WL7133, WA6344, WF8045, WP6874)\n</t>
  </si>
  <si>
    <t>SET4</t>
  </si>
  <si>
    <t>470.30</t>
  </si>
  <si>
    <t>OPEL Vivaro/ RENAULT Trafic/ NISSAN Primastar 1,9DCI/DTI/CDTI, 01-,  (РљРѕРјРїР»РµРєС‚: WA6684, WL7427, WF8301, WP9246)\n</t>
  </si>
  <si>
    <t>SET5</t>
  </si>
  <si>
    <t>551.76</t>
  </si>
  <si>
    <t>Vivaro/ Trafic/ Primastar 2.0-2.5 DCI/DTI/CDTI, 06-  (РљРѕРјРїР»РµРєС‚: WA9412, WL7424, WF8301, WP9246)\n</t>
  </si>
  <si>
    <t>WOLF</t>
  </si>
  <si>
    <t>VITALTECH 5W30 5Lx4</t>
  </si>
  <si>
    <t>517.64</t>
  </si>
  <si>
    <t>в–Є ACEA A3/B4-12 в–Є API SL/CF в–Є MB 229.3 в–Є OPEL GM-LL-B-025 в–Є VW 502 00 в–Є VW 505 00</t>
  </si>
  <si>
    <t>EXTENDTECH 80W90 LS GL 5 1Lx12</t>
  </si>
  <si>
    <t>133.21</t>
  </si>
  <si>
    <t>в–Є API GL-5 в–Є MIL MIL-L-2105 C в–Є MIL MIL-L-2105 D</t>
  </si>
  <si>
    <t>VITALTECH 15W40 5Lx4</t>
  </si>
  <si>
    <t>391.27</t>
  </si>
  <si>
    <t>в–Є ACEA E7-08 Issue 2 в–Є API CI-4/SL в–Є MAN M3275-1 в–Є MB 228.3 в–Є RENAULT RLD-2 в–Є VOLVO VDS-3</t>
  </si>
  <si>
    <t>SEMI-SYNTH 2T 1Lx12</t>
  </si>
  <si>
    <t>в–Є API TC в–Є JASO FB в–Є ISO L-EGB</t>
  </si>
  <si>
    <t>OUTBOARD 2T TC-W3 1Lx12</t>
  </si>
  <si>
    <t>138.15</t>
  </si>
  <si>
    <t>NMMA TC-W3</t>
  </si>
  <si>
    <t>EXTENDTECH ATF DII 20L</t>
  </si>
  <si>
    <t>1650.79</t>
  </si>
  <si>
    <t>ALLISON  C4 в–Є FORD M2C-138CJ, Mercon в–Є GM 6137-M DEXRON II-D в–Є MAN 339 V1/Z1 в–Є MB 236.7 в–Є VOITH H55.6335xx</t>
  </si>
  <si>
    <t>OUTBOARD 4T 10W30 1Lx12</t>
  </si>
  <si>
    <t>в–Є API SJ в–Є API SL в–Є NMMA FC-W</t>
  </si>
  <si>
    <t>VITALTECH 5W30 ASIA/US 1Lx12</t>
  </si>
  <si>
    <t>в–Є API SN в–Є CHRYSLER MS 6395 в–Є FORD WSS-M2C946-A в–Є GM dexos 1 в–Є ILSAC GF-5</t>
  </si>
  <si>
    <t>VITALTECH 5W30 ASIA/US 4Lx4</t>
  </si>
  <si>
    <t>407.04</t>
  </si>
  <si>
    <t>VITALTECH 5W40 PI C3 1Lx12</t>
  </si>
  <si>
    <t>127.32</t>
  </si>
  <si>
    <t>в–Є ACEA C3-12 в–Є API SN/CF в–Є BMW LONGLIFE-04 в–Є GM dexos 2 в–Є MB 229.31 в–Є VW 505 01</t>
  </si>
  <si>
    <t>VITALTECH ATF DIII 20L</t>
  </si>
  <si>
    <t>1874.46</t>
  </si>
  <si>
    <t>FORD MERCON в–Є GM 6417-M DEXRON III-G в–Є MAN 339 V1/Z1 в–Є MB 236.5 в–Є MB 236.9 в–Є VOITH H55.6335xx</t>
  </si>
  <si>
    <t>VITALTECH 5W40 PI C3 4Lx4</t>
  </si>
  <si>
    <t>429.66</t>
  </si>
  <si>
    <t>VITALTECH 5W40 PI C3 5Lx4</t>
  </si>
  <si>
    <t>517.45</t>
  </si>
  <si>
    <t>GUARDTECH SAE 80W GL 4 1Lx12</t>
  </si>
  <si>
    <t>в–Є API GL-4 в–Є MIL MIL-L-2105</t>
  </si>
  <si>
    <t>EXTENDTECH 75W90 GL 5 1Lx12</t>
  </si>
  <si>
    <t>132.07</t>
  </si>
  <si>
    <t>в–Є API GL-5 в–Є MIL MIL-L-2105 D</t>
  </si>
  <si>
    <t>GUARDTECH 10W40 B4 DIESEL 1Lx12</t>
  </si>
  <si>
    <t>89.88</t>
  </si>
  <si>
    <t>в–Є ACEA A3/B3-10 в–Є ACEA A3/B4-08 в–Є API SL/CF в–Є MB 229.1 в–Є VW 505 00</t>
  </si>
  <si>
    <t>VITALTECH 75W80 MULTI VEHICLE  1Lx12</t>
  </si>
  <si>
    <t>182.62</t>
  </si>
  <si>
    <t>в–Є API GL-4 + в–Є FORD WSD-M2C200-D в–Є GM 1940182 в–Є HONDA MTF 94 в–Є MB 235.10 в–Є PSA B71 2330</t>
  </si>
  <si>
    <t>GUARDTECH 10W40 B4 1Lx12</t>
  </si>
  <si>
    <t>86.84</t>
  </si>
  <si>
    <t>в–Є ACEA A3/B3-10 в–Є ACEA A3/B4-08 в–Є API SL/CF в–Є MB 229.1 в–Є VW 501 01 Level в–Є VW 505 00 Level</t>
  </si>
  <si>
    <t>GUARDTECH 10W40 B4 DIESEL 4Lx4</t>
  </si>
  <si>
    <t>311.65</t>
  </si>
  <si>
    <t>GUARDTECH 10W40 B4 4Lx4</t>
  </si>
  <si>
    <t>300.82</t>
  </si>
  <si>
    <t>VITALTECH 75W90 GL 5 1Lx12</t>
  </si>
  <si>
    <t>277.82</t>
  </si>
  <si>
    <t>в–Є API GL-5 в–Є API MT-1 в–Є MAN 341 Z-2 в–Є MAN 342 M-3 в–Є MB 235.8 в–Є SCANIA STO 1:0</t>
  </si>
  <si>
    <t>GUARDTECH 10W40 B4 DIESEL 5Lx4</t>
  </si>
  <si>
    <t>369.80</t>
  </si>
  <si>
    <t>GUARDTECH 10W40 B4 5Lx4</t>
  </si>
  <si>
    <t>356.88</t>
  </si>
  <si>
    <t>OFFICIALTECH 75W90 G50 1Lx12</t>
  </si>
  <si>
    <t>250.27</t>
  </si>
  <si>
    <t>в–Є API GL-4 + в–Є BMW MTF LT-4 в–Є FORD WSD-M2C200-C в–Є VW 501 50</t>
  </si>
  <si>
    <t>OFFICIALTECH 75W140 LS GL 5 1Lx12</t>
  </si>
  <si>
    <t>212.83</t>
  </si>
  <si>
    <t>в–Є API GL-5 в–Є BMW MSP/A в–Є MIL MIL-L-2105 C в–Є MIL MIL-L-2105 D</t>
  </si>
  <si>
    <t>EXTENDTECH 80W90 GL 5 1Lx12</t>
  </si>
  <si>
    <t>114.21</t>
  </si>
  <si>
    <t>в–Є API GL-5 в–Є MAN 342 M-1 в–Є MAN 342 M-2 в–Є ZF TE-ML 05A в–Є ZF TE-ML 16C в–Є ZF TE-ML 19B</t>
  </si>
  <si>
    <t>EXTENDTECH ATF DII 1Lx12</t>
  </si>
  <si>
    <t>118.58</t>
  </si>
  <si>
    <t>VITALTECH ATF DIII 1Lx12</t>
  </si>
  <si>
    <t>OFFICIALTECH ATF DVI 1Lx12</t>
  </si>
  <si>
    <t>143.09</t>
  </si>
  <si>
    <t>GM DEXRON VI в–Є MB 236.41 в–Є VOITH H55.6335xx</t>
  </si>
  <si>
    <t>VITALTECH MULTI VEHICLE ATF 1Lx12</t>
  </si>
  <si>
    <t>AISIN-WARNER JWS 3309 в–Є CHRYSLER ATF +3 AND +4 в–Є FORD MERCON V в–Є GM DEXRON III-H в–Є TOYOTA TYPE T-IV в–Є VW G 055 025</t>
  </si>
  <si>
    <t>EXTENDTECH 80W90 GL 5 20L</t>
  </si>
  <si>
    <t>1562.24</t>
  </si>
  <si>
    <t>OFFICIALTECH 5W30 LL III 1Lx12</t>
  </si>
  <si>
    <t>174.45</t>
  </si>
  <si>
    <t>в–Є ACEA C2* в–Є ACEA C3-12 в–Є BMW LONGLIFE-04 в–Є MB 229.51 в–Є PORSCHE C30 в–Є VW 504 00/507 00</t>
  </si>
  <si>
    <t>OFFICIALTECH 5W30 LL III 4Lx4</t>
  </si>
  <si>
    <t>616.46</t>
  </si>
  <si>
    <t>OFFICIALTECH 5W30 LL III 5Lx4</t>
  </si>
  <si>
    <t>750.62</t>
  </si>
  <si>
    <t>OFFICIALTECH 5W30 C3 1Lx12</t>
  </si>
  <si>
    <t>124.09</t>
  </si>
  <si>
    <t>в–Є ACEA C3-12 в–Є API SN/CF в–Є BMW LONGLIFE-04 в–Є GM dexos 2 в–Є MB 229.51 в–Є VW 502 00</t>
  </si>
  <si>
    <t>OFFICIALTECH 5W30 C3 4Lx4</t>
  </si>
  <si>
    <t>421.30</t>
  </si>
  <si>
    <t>8308116 + H90W03</t>
  </si>
  <si>
    <t>OFFICIALTECH 5W30 C3 4L + H90W03 (HENGST)</t>
  </si>
  <si>
    <t>OFFICIALTECH 5W30 C3 5Lx4</t>
  </si>
  <si>
    <t>492.18</t>
  </si>
  <si>
    <t>8308215 + H90W03</t>
  </si>
  <si>
    <t>OFFICIALTECH 5W30 C3 5L + H90W03 (HENGST)</t>
  </si>
  <si>
    <t>OFFICIALTECH 5W30 C4 1Lx12</t>
  </si>
  <si>
    <t>155.25</t>
  </si>
  <si>
    <t>в–Є ACEA C4-12 в–Є MB 226.51 в–Є MB 229.51 в–Є RENAULT RN 0720</t>
  </si>
  <si>
    <t>OFFICIALTECH 5W30 C4 4Lx4</t>
  </si>
  <si>
    <t>532.27</t>
  </si>
  <si>
    <t>OFFICIALTECH 5W30 C4 5Lx4</t>
  </si>
  <si>
    <t>642.11</t>
  </si>
  <si>
    <t>OFFICIALTECH 5W30 MS-F 1Lx12</t>
  </si>
  <si>
    <t>136.25</t>
  </si>
  <si>
    <t>в–Є ACEA A1/B1-12 в–Є ACEA A5/B5-12 в–Є API SL/CF в–Є FORD WSS-M2C913-C/D в–Є  RENAULT RN 0700</t>
  </si>
  <si>
    <t>OFFICIALTECH 5W30 MS-F 4Lx4</t>
  </si>
  <si>
    <t>VITALTECH 5W30 1Lx12</t>
  </si>
  <si>
    <t>130.36</t>
  </si>
  <si>
    <t>VITALTECH 5W30 4Lx4</t>
  </si>
  <si>
    <t>431.56</t>
  </si>
  <si>
    <t>VITALTECH  5W40 1Lx12</t>
  </si>
  <si>
    <t>115.54</t>
  </si>
  <si>
    <t>в–Є ACEA A3/B4-12 в–Є API SN/CF в–Є BMW LONGLIFE-01 в–Є MB 229.3 в–Є PSA B71 2296 в–Є VW 505 00</t>
  </si>
  <si>
    <t>VITALTECH  5W40 4Lx4</t>
  </si>
  <si>
    <t>416.55</t>
  </si>
  <si>
    <t>VITALTECH  5W40 5Lx4</t>
  </si>
  <si>
    <t>504.34</t>
  </si>
  <si>
    <t>VITALTECH  5W40 20L</t>
  </si>
  <si>
    <t>1891.37</t>
  </si>
  <si>
    <t>VITALTECH  5W40 60L</t>
  </si>
  <si>
    <t>5412.24</t>
  </si>
  <si>
    <t>GUARDTECH 10W40 B4 DIESEL 20L</t>
  </si>
  <si>
    <t>1396.53</t>
  </si>
  <si>
    <t>GUARDTECH 10W40 B4 DIESEL 60L</t>
  </si>
  <si>
    <t>3950.15</t>
  </si>
  <si>
    <t>GUARDTECH 10W40 DIESEL B4 205L</t>
  </si>
  <si>
    <t>12938.76</t>
  </si>
  <si>
    <t>GUARDTECH 10W40 B4 20L</t>
  </si>
  <si>
    <t>1347.31</t>
  </si>
  <si>
    <t>GUARDTECH 10W40 B4 60L</t>
  </si>
  <si>
    <t>3810.29</t>
  </si>
  <si>
    <t>GUARDTECH 10W40 B4 205L</t>
  </si>
  <si>
    <t>12470.72</t>
  </si>
  <si>
    <t>VITALTECH 5W50 1Lx12</t>
  </si>
  <si>
    <t>в–Є ACEA A3/B4-08 в–Є API SN/CF в–Є BMW LONGLIFE-01 в–Є MB 229.3 в–Є VW 501 01 в–Є VW 505 00</t>
  </si>
  <si>
    <t>VITALTECH 10W40 20L</t>
  </si>
  <si>
    <t>1575.35</t>
  </si>
  <si>
    <t>VITALTECH 10W40 60L</t>
  </si>
  <si>
    <t>4598.35</t>
  </si>
  <si>
    <t>VITALTECH 15W40 205L</t>
  </si>
  <si>
    <t>14051.39</t>
  </si>
  <si>
    <t>ANTI-FREEZE LONGLIFE G12+ 1Lx12</t>
  </si>
  <si>
    <t>104.90</t>
  </si>
  <si>
    <t>ASTM D3306 в–Є ASTM D4985 в–Є MAN 324 SNF в–Є MB 325.3 в–Є SAE J1034 в–Є VW TL 774-F</t>
  </si>
  <si>
    <t>ANTI-FREEZE LONGLIFE G12+ 4Lx4</t>
  </si>
  <si>
    <t>396.40</t>
  </si>
  <si>
    <t>OFFICIALTECH 5W30 LL III 60L</t>
  </si>
  <si>
    <t>7655.36</t>
  </si>
  <si>
    <t>MULTI MOLY GREASE 2 400GRx24</t>
  </si>
  <si>
    <t>DIN 51502 в–Є DIN KPF2K-30 в–Є ISO 6743 в–Є ISO L-XCCIB2</t>
  </si>
  <si>
    <t>LITHIUM GREASE EP 2 400GRx24</t>
  </si>
  <si>
    <t>79.62</t>
  </si>
  <si>
    <t>DIN 51502 в–Є DIN KP2K-30 в–Є ISO 6743 в–Є ISO L-XCCIB2</t>
  </si>
  <si>
    <t>ANTI-FREEZE STANDARD G11 1Lx12</t>
  </si>
  <si>
    <t>90.26</t>
  </si>
  <si>
    <t>ASTM D3306 в–Є ASTM D4985 в–Є MAN 324 NF в–Є MB 325.0 в–Є SAE J1034 в–Є VW TL 774-C</t>
  </si>
  <si>
    <t>ANTI-FREEZE STANDARD G11 4Lx4</t>
  </si>
  <si>
    <t>355.36</t>
  </si>
  <si>
    <t>VITALTECH 5W40 B4 DIESEL 1Lx12</t>
  </si>
  <si>
    <t>119.34</t>
  </si>
  <si>
    <t>в–Є ACEA A3/B4-10 в–Є API SN/CF в–Є BMW LONGLIFE-01 в–Є MB 229.3 в–Є PSA B71 2296 в–Є RENAULT RN 0710</t>
  </si>
  <si>
    <t>VITALTECH 5W40 B4 DIESEL 4Lx4</t>
  </si>
  <si>
    <t>422.44</t>
  </si>
  <si>
    <t>WYNN'S</t>
  </si>
  <si>
    <t>W12293</t>
  </si>
  <si>
    <t>W12293 РЎСѓРїРµСЂ РѕС‡РёСЃРЅРёРє РїР°Р»РёРІРЅРѕС— СЃРёСЃС‚РµРјРё РґРёР·РµР»СЊРЅРёС… РґРІРёРіСѓРЅС–РІ 12x500РјР»</t>
  </si>
  <si>
    <t>256.54</t>
  </si>
  <si>
    <t>Wynn's DIESEL EXTREME CLEANER (Diesel Clean 3) РґРѕР±Р°РІРєР° РІ РґРёР·РµР»СЊРЅРµ РїР°Р»РёРІРѕ, СЏРєР° Р·Р°Р±РµР·РїРµС‡СѓС” РїРѕРІРЅРµ РѕС‡РёС‰РµРЅРЅСЏ РїР°Р»РёРІРЅРѕС— СЃРёСЃС‚РµРјРё РґРёР·РµР»СЊРЅРёС… РґРІРёРіСѓРЅС–РІ Р·Р° РѕРґРЅСѓ Р·Р°Р»РёРІРєСѓ.</t>
  </si>
  <si>
    <t>W22810</t>
  </si>
  <si>
    <t>W22810 Supremium Petrol /РџСЂРёСЃР°РґРєР°  РґР»СЏ РїРѕР»С–РїС€РµРЅРЅСЏ СЏРєРѕСЃС‚С– Р±РµРЅР·РёРЅСѓ  12x250РјР»</t>
  </si>
  <si>
    <t>123.21</t>
  </si>
  <si>
    <t>Supremium Petrol  /  РџСЂРёСЃР°РґРєР°  РґР»СЏ Р±РµРЅР·РёРЅРѕРІРёС… РґРІРёРіСѓРЅС–РІ - С†Рµ РєРѕРјРїР»РµРєСЃ РїСЂРёСЃР°РґРѕРє, С‰Рѕ СЃР»СѓР¶Р°С‚СЊ РґР»СЏ РїРѕР»С–РїС€РµРЅРЅСЏ СЏРєРѕСЃС‚С– Р±РµРЅР·РёРЅСѓ РґРѕ РµРєСЃС‚СЂР° РєР»Р°СЃСѓ|\nР°РґР°РїС‚РѕРІР°РЅР° РґР»СЏ Р·Р°С…РёСЃС‚Сѓ РїР°Р»РёРІРЅРѕС— СЃРёСЃС‚РµРјРё РІС–Рґ РЅР°СЃР»С–РґРєС–РІ РІРёРєРѕСЂРёСЃС‚Р°РЅРЅСЏ РµС‚РёР»РѕРІР°РЅРѕРіРѕ РїР°Р»РёРІР° Р•10.</t>
  </si>
  <si>
    <t>W22911</t>
  </si>
  <si>
    <t>W22911 Supremium Diesel  / РџСЂРёСЃР°РґРєР° РґР»СЏ РїРѕР»С–РїС€РµРЅРЅСЏ СЏРєРѕСЃС‚С– РґРёР·РµР»СЊРЅРѕРіРѕ РїР°Р»РёРІР° 12x250РјР»</t>
  </si>
  <si>
    <t>Wynn's SupremiumВ® (РЎСѓРїСЂРµРјС–СѓРј) РґР»СЏ РґРёР·РµР»СЊРЅРёС… РґРІРёРіСѓРЅС–РІ - С†Рµ РєРѕРјРїР»РµРєСЃ РїСЂРёСЃР°РґРѕРє, РґР»СЏ РїРѕР»С–РїС€РµРЅРЅСЏ СЏРєРѕСЃС‚С– РґРёР·РµР»СЊРЅРѕРіРѕ РїР°Р»РёРІР° РґРѕ РµРєСЃС‚СЂР° РєР»Р°СЃСѓ. РџС–РґРІРёС‰СѓС” С†РµС‚Р°РЅРѕРІРµ С‡РёСЃР»Рѕ.</t>
  </si>
  <si>
    <t>W23379</t>
  </si>
  <si>
    <t>W23379 РћС‡РёСЃРЅРёРє РІРїСѓСЃРєРЅРѕРіРѕ С‚СЂР°РєС‚Сѓ (Р°РµСЂРѕР·РѕР»СЊ) 12x200РјР»</t>
  </si>
  <si>
    <t>130.57</t>
  </si>
  <si>
    <t>Wynn's Diesel EGR 3 - Р°РµСЂРѕР·РѕР»СЊРЅРёР№ РїСЂРѕРґСѓРєС‚ СЂРѕР·СЂРѕР±Р»РµРЅРёР№ РґР»СЏ РѕС‡РёС‰РµРЅРЅСЏ РїРѕРІС–С‚СЂСЏРїСЂРёР№РјР°Р»СЊРЅРѕС— СЃРёСЃС‚РµРјРё РІСЃС–С… РґРёР·РµР»СЊРЅРёС… РґРІРёРіСѓРЅС–РІ.Р—Р°Р±РµР·РїРµС‡СѓС” РЅРµРіР°Р№РЅРµ РѕС‡РёС‰РµРЅРЅСЏ РїРѕРІС–С‚СЂСЏРїСЂРёР№РјР°Р»СЊРЅРѕС— СЃРёСЃС‚РµРјРё, РґР°С‚С‡РёРєР° РІРёС‚СЂР°С‚Рё РїРѕРІС–С‚СЂСЏ, РІРїСѓСЃРєРЅРёС… РєР»Р°РїР°РЅС–РІ, СЃРёСЃС‚РµРјРё EGR.Р РѕР·С‡РёРЅСЏС” СЃРјРѕР»Сѓ, СЃР°Р¶Сѓ, РіСЂР°С„С–С‚.Р’С–РґРЅРѕРІР»СЋС” С–РґРµР°Р»СЊРЅСѓ РїРѕРґР°С‡Сѓ РїРѕРІС–С‚СЂСЏ РІ РєР°РјРµСЂСѓ Р·РіРѕСЂСЏРЅРЅСЏ.Р’С–РґРЅРѕРІР»СЋС” С– РїС–РґС‚СЂРёРјСѓС” РѕРїС‚РёРјР°Р»СЊРЅСѓ СЂРѕР±РѕС‚Сѓ РґРІРёРіСѓРЅР° С– РІРёС‚СЂР°С‚Сѓ РїР°Р»РёРІР°, Р‘РµР·РїРµС‡РЅРёР№ РґР»СЏ РєР°С‚Р°Р»С–С‚РёС‡РЅРёС… РЅРµР№С‚СЂР°Р»С–Р·Р°С‚РѕСЂС–РІ С– СЃР°Р¶ С„С–Р»СЊС‚СЂС–РІ (DPF)</t>
  </si>
  <si>
    <t>W25241</t>
  </si>
  <si>
    <t>W25241 РћС‡РёСЃРЅРёРє РїР°Р»РёРІРЅРѕС— СЃРёСЃС‚РµРјРё РґРёР·РµР»СЊ 24x325РјР»</t>
  </si>
  <si>
    <t>83.12</t>
  </si>
  <si>
    <t>Wynn's Diesel Clean-Up РєРѕРЅС†РµРЅС‚СЂРѕРІР°РЅРёР№ РїСЂРѕРґСѓРєС‚ РґР»СЏ РѕС‡РёС‰РµРЅРЅСЏ РґРёР·РµР»СЊРЅРѕС— РїР°Р»РёРІРЅРѕС— СЃРёСЃС‚РµРјРё, СЏРєРёР№ РґРѕРґР°С”С‚СЊСЃСЏ РІ С„С–Р»СЊС‚СЂ С‚РѕРЅРєРѕРіРѕ РѕС‡РёС‰РµРЅРЅСЏ.Р—РЅРёР¶СѓС” РІРёРєРёРґРё С‡РѕСЂРЅРѕРіРѕ РґРёРјСѓ, СЃР°Р¶С– С– РІРёС…Р»РѕРїСѓ.Р’С–РґРЅРѕРІР»СЋС” РїР°СЂР°РјРµС‚СЂРё СЂРѕР·РїРёР»Сѓ РїР°Р»РёРІР°.Р’РёРґР°Р»СЏС” РЅР°РіР°СЂ РІСЃРµСЂРµРґРёРЅС– РєР°РјРµСЂРё Р·РіРѕСЂСЏРЅРЅСЏ.Р’С–РґРЅРѕРІР»СЋС” РєРѕРјРїСЂРµСЃС–СЋ С– РїРѕРєСЂР°С‰СѓС” Р·РіРѕСЂР°РЅРЅСЏ.РћС‡РёС‰Р°С” С‚Р° Р·РјР°С‰СѓС” РїР°Р»РёРІРЅРёР№ РЅР°СЃРѕСЃ РІРёСЃРѕРєРѕРіРѕ С‚РёСЃРєСѓ .</t>
  </si>
  <si>
    <t>W25541</t>
  </si>
  <si>
    <t>W25541 РћС‡РёСЃРЅРёРє СЃРёСЃС‚РµРјРё РѕС…РѕР»РѕРґР¶РµРЅРЅСЏ  24x325РјР»</t>
  </si>
  <si>
    <t>105.74</t>
  </si>
  <si>
    <t>Wynn's Extreme Cooling System Degreaser РІРёРґР°Р»СЏС” РјР°СЃР»Рѕ РІ СЃРёСЃС‚РµРјС– РѕС…РѕР»РѕРґР¶РµРЅРЅСЏ. Р—РЅРµР¶РёСЂСЋС” С– РѕС‡РёС‰Р°С” РІСЃСЋ СЃРёСЃС‚РµРјСѓ РѕС…РѕР»РѕРґР¶РµРЅРЅСЏ. Р’С–РґРјС–РЅРЅР° РµС„РµРєС‚РёРІРЅС–СЃС‚СЊ Сѓ РІСЃС–С… С‚РёРїР°С… РѕС…РѕР»РѕРґР¶СѓСЋС‡РёС… СЂС–РґРёРЅ, РІ С‚РѕРјСѓ С‡РёСЃР»С– РІ РћРђРў Р°РЅС‚РёС„СЂРёР·Р°С… (Р°РЅС‚РёС„СЂРёР·Рё РЅР° РѕСЃРЅРѕРІС– РѕСЂРіР°РЅС–С‡РЅРёС… РєР°СЂР±РѕРЅРѕРІРёС… РєРёСЃР»РѕС‚).Р’РёРґР°Р»СЏС” РјР°СЃР»Рѕ С– С€Р»Р°Рј РІ СЃРёСЃС‚РµРјР°С… РѕС…РѕР»РѕРґР¶РµРЅРЅСЏ (РІРёРєР»РёРєР°РЅС– РїСЂРѕС‚С–РєР°РЅРЅСЏРј РјР°СЃР»Р° С‡РµСЂРµР· С‚РµРїР»РѕРѕР±РјС–РЅРЅРёРє Р°Р±Рѕ РїСЂРѕРєР»Р°РґРєСѓ РіРѕР»РѕРІРєРё Р±Р»РѕРєСѓ).Р—РЅРµР¶РёСЂСЋС” С– РѕС‡РёС‰Р°С” РІСЃСЋ СЃРёСЃС‚РµРјСѓ РѕС…РѕР»РѕРґР¶РµРЅРЅСЏ.Р’С–РґРЅРѕРІР»СЋС” С‚РµРїР»РѕРѕР±РјС–РЅ С– РѕРїС‚РёРјР°Р»СЊРЅСѓ СЂРѕР±РѕС‚Сѓ РІСЃС–С”С— СЃРёСЃС‚РµРјРё РѕС…РѕР»РѕРґР¶РµРЅРЅСЏ.РџРѕРІРЅС–СЃС‚СЋ СЂРѕР·С‡РёРЅРЅРёР№ Сѓ РІРѕРґС–.Р‘РµР·РїРµС‡РЅРёР№ РґР»СЏ РіСѓРјРѕРІРёС… С€Р»Р°РЅРіС–РІ, СѓС‰С–Р»СЊРЅРµРЅСЊ С– РІСЃС–С… РјРµС‚Р°Р»РµРІРёС… С‡Р°СЃС‚РёРЅ СЃРёСЃС‚РµРјРё РѕС…РѕР»РѕРґР¶РµРЅРЅСЏ.\n</t>
  </si>
  <si>
    <t>W25544</t>
  </si>
  <si>
    <t>W25544 РћС‡РёСЃРЅРёРє СЃРёСЃС‚РµРјРё РѕС…РѕР»РѕРґР¶РµРЅРЅСЏ  24x325РјР»</t>
  </si>
  <si>
    <t>W25692</t>
  </si>
  <si>
    <t>W25692 РћС‡РёСЃРЅРёРє РєР°С‚Р°Р»С–Р·Р°С‚РѕСЂР° 12x500РјР»</t>
  </si>
  <si>
    <t>Wynn's Catalytic Converter &amp; Oxygen Sensor Cleaner- С…С–РјС–С‡РЅР° РґРѕР±Р°РІРєР° РґР»СЏ Р±РµРЅР·РёРЅРѕРІРёС… С– РіС–Р±СЂРёРґРЅРёС… РґРІРёРіСѓРЅС–РІ, РѕРїС‚РёРјС–Р·СѓС” РµС„РµРєС‚РёРІРЅС–СЃС‚СЊ СЂРѕР±РѕС‚Рё РєР°С‚Р°Р»С–С‚РёС‡РЅРёС… РЅРµР№С‚СЂР°Р»С–Р·Р°С‚РѕСЂС–РІ С– Р·Р°Р±РµР·РїРµС‡СѓС” РѕРїС‚РёРјР°Р»СЊРЅСѓ СЂРѕР±РѕС‚Сѓ Р»СЏРјР±РґР° (РєРёСЃРЅРµРІРёС…) РґР°С‚С‡РёРєС–РІ.Р’РёРґР°Р»СЏС” РІС–РґРєР»Р°РґРµРЅРЅСЏ (РјР°СЃР»Рѕ С– РЅРµ Р·РіРѕСЂС–Р»Рё С‡Р°СЃС‚РєРё РїР°Р»РёРІР°) С– Р·РЅРёР¶СѓС” РІРёРєРёРґРё.Р—Р°Р±РµР·РїРµС‡СѓС” РѕРїС‚РёРјР°Р»СЊРЅСѓ СЂРѕР±РѕС‚Сѓ С‚Р° РїСЂРѕРґРѕРІР¶СѓС” С‚РµСЂРјС–РЅ СЃР»СѓР¶Р±Рё РєР°С‚Р°Р»С–С‚РёС‡РЅРѕРіРѕ РЅРµР№С‚СЂР°Р»С–Р·Р°С‚РѕСЂР° С– РґР°С‚С‡РёРєС–РІ РєРёСЃРЅСЋ.Р’С–РґРЅРѕРІР»СЋС” РѕРїС‚РёРјР°Р»СЊРЅРёР№ СЂРµР¶РёРј Р·РіРѕСЂСЏРЅРЅСЏ РїР°Р»РёРІР° С€Р»СЏС…РѕРј РІС–РґРЅРѕРІР»РµРЅРЅСЏ СЃРїС–РІРІС–РґРЅРѕС€РµРЅРЅСЏ РїР°Р»РёРІРѕ-РїРѕРІС–С‚СЂСЏРЅРѕС— СЃСѓРјС–С€С–. Р†РґРµР°Р»СЊРЅРѕ РїС–РґС…РѕРґРёС‚СЊ РґР»СЏ Р°РІС‚РѕРјРѕР±С–Р»С–РІ, С‰Рѕ РµРєСЃРїР»СѓР°С‚СѓСЋС‚СЊСЃСЏ РІ РјС–СЃС‚С–.\n</t>
  </si>
  <si>
    <t>W26172</t>
  </si>
  <si>
    <t>W26172 РџСЂРёСЃР°РґРєР° РґР»СЏ Р°РІС‚РѕРјРѕР±С–Р»С–РІ РїСЂР°С†СЋСЋС‡РёС… РЅР° РіР°Р·Сѓ 12x325ml</t>
  </si>
  <si>
    <t>91.95</t>
  </si>
  <si>
    <t>W28263</t>
  </si>
  <si>
    <t>W28263 РџСЂРёСЃР°РґРєР° РґРѕ РґРёР·РµР»СЊРЅРѕРіРѕ РїР°Р»РёРІР°(РїСЂРѕС„С–Р»Р°РєС‚РёРєР° СЃР°Р¶РѕРІРёС… С„С–Р»СЊС‚СЂС–РІ) 12x325РјР»</t>
  </si>
  <si>
    <t>133.33</t>
  </si>
  <si>
    <t>Wynn's Diesel Particulate Cleaner РїСЂРёСЃР°РґРєР° РґР»СЏ РґРёР·РµР»СЊРЅРёС… РґРІРёРіСѓРЅС–РІ, СЏРєР° Р·РјРµРЅС€СѓС” РІРёРєРёРґРё СЃР°Р¶С–, РѕС‡РёС‰СѓС” С‚Р° РІС–РґРЅРѕРІР»СЋС” С„С–Р»СЊС‚СЂ РІС–Рґ С‚РІРµСЂРґРёС… С‡Р°СЃС‚РѕРє. РћС‡РёС‰Р°С” С‚Р° РІС–РґРЅРѕРІР»СЋС” Р·Р°Р±Р»РѕРєРѕРІР°РЅС– СЃР°Р¶РµРІС– С„С–Р»СЊС‚СЂРё Р±РµР· РґРµРјРѕРЅС‚Р°Р¶Сѓ.Р—Р°Р±РµР·РїРµС‡СѓС” РїРѕРІРЅРµ РІРёРіРѕСЂР°РЅРЅСЏ С‡Р°СЃС‚РёРЅРѕРє СЃР°Р¶С–.РћРїС‚РёРјС–Р·СѓС” Р·РіРѕСЂР°РЅРЅСЏ С‚Р° Р·РЅРёР¶СѓС” СЃРїРѕР¶РёРІР°РЅРЅСЏ РїР°Р»РёРІР°.РЈР»СЊС‚СЂР°-С€РІРёРґРєРёР№ СЂРµР·СѓР»СЊС‚Р°С‚!</t>
  </si>
  <si>
    <t>W28393</t>
  </si>
  <si>
    <t>W28393 Р—Р°СЃС–Р±  РґР»СЏ РѕС‡РёСЃС‚РєРё СЃР°Р¶РѕРІРёС… С„РёР»СЊС‚СЂРѕРІ РґРёР·РµР»СЊ 12x500РјР»</t>
  </si>
  <si>
    <t>297.00</t>
  </si>
  <si>
    <t>Wynn's Diesel Particulate Filter Regenerator, С…С–РјС–С‡РЅР° РґРѕР±Р°РІРєР° РґР»СЏ РґРёР·РµР»СЊРЅРёС… РґРІРёРіСѓРЅС–РІ СЏРєР° РѕС‡РёС‰Р°С” СЃР°Р¶РѕРІРёР№ С„С–Р»СЊС‚СЂ  С– Р·РјРµРЅС€СѓС” РІРёРєРёРґРё СЃР°Р¶С–.Р›РµРіРєРѕ РѕС‡РёС‰Р°С” С– РІС–РґРЅРѕРІР»СЋС” Р·Р°СЃРјС–С‡РµРЅРёР№ СЃР°Р¶РѕРІРёР№ С„С–Р»СЊС‚СЂ Р±РµР· СЂРѕР·Р±РёСЂР°РЅРЅСЏ.Р’С–РґРЅРѕРІР»СЋС” РїРѕС‚СѓР¶РЅС–СЃС‚СЊ РґРІРёРіСѓРЅР°.Р—РјРµРЅС€СѓС” Р°РєСѓРјСѓР»СЏС†С–СЋ С‡Р°СЃС‚РёРЅРѕРє СЃР°Р¶С– РІ С„С–Р»СЊС‚СЂС–. РџРѕРЅР°Рґ -С€РІРёРґРєРёР№ СЂРµР·СѓР»СЊС‚Р°С‚!\n</t>
  </si>
  <si>
    <t>W28510</t>
  </si>
  <si>
    <t>W28510 РџСЂРёСЃР°РґРєР°  РґР»СЏ  РґРёР·РµР»СЊРЅРѕРіРѕ РїР°Р»РёРІР° WDA (Р°РЅР°Р»РѕРі TDA Castrol) 12x250РјР»</t>
  </si>
  <si>
    <t>WynnвЂ™s Diesel Additive  РїР°РєРµС‚ РїСЂРёСЃР°РґРѕРє СЂРѕР·СЂРѕР±Р»РµРЅРёР№ РґР»СЏ РїС–РґРІРёС‰РµРЅРЅСЏ СЏРєРѕСЃС‚С– Р·РІРёС‡Р°Р№РЅРѕРіРѕ РґРёР·РµР»СЊРЅРѕРіРѕ РїР°Р»РёРІР° РґРѕ РґРёР·РµР»СЊРЅРѕРіРѕ РїР°Р»РёРІР° РїСЂРµРјС–СѓРј-РєР»Р°СЃСѓ, Р° С‚Р°РєРѕР¶ РїРѕР»С–РїС€РµРЅРЅСЏ РїР»РёРЅРЅРѕСЃС‚С– РґРёР·РµР»СЊРЅРѕРіРѕ РїР°Р»РёРІР° РїСЂРё РЅРёР·СЊРєРёС… С‚РµРјРїРµСЂР°С‚СѓСЂР°С….РџРѕРєСЂР°С‰СѓС” СЏРєС–СЃС‚СЊ РґРёР·РµР»СЊРЅРѕРіРѕ РїР°Р»РёРІР° РґРѕ РїСЂРµРјС–СѓРј РєР»Р°СЃСѓ.Р—Р°РїРѕР±С–РіР°С” РїРѕСЏРІС– С– Р·СЂРѕСЃС‚Р°РЅРЅСЏ РїР°СЂР°С„С–РЅРѕРІРёС… РєСЂРёСЃС‚Р°Р»С–РІ.Р§РёСЃС‚РёС‚СЊ С– РїС–РґС‚СЂРёРјСѓС” РІ С‡РёСЃС‚РѕС‚С– С–РЅР¶РµРєС‚РѕСЂРё С– РїР°Р»РёРІРЅСѓ СЃРёСЃС‚РµРјСѓ.Р—РјР°С‰СѓС” С– Р·Р°С…РёС‰Р°С” РїР°Р»РёРІРЅРёР№ РЅР°СЃРѕСЃ С– С–РЅР¶РµРєС‚РѕСЂРё.РџРѕР»РµРіС€СѓС” С…РѕР»РѕРґРЅРёР№ Р·Р°РїСѓСЃРє РґРІРёРіСѓРЅР°.Р—РЅРёР¶СѓС” РІРёС‚СЂР°С‚Сѓ РїР°Р»РёРІР°.Р‘РµР·РїРµС‡РЅРёР№ РґР»СЏ РІСЃС–С… С‚РёРїС–РІ РІРёС…Р»РѕРїРЅРёС… СЃРёСЃС‚РµРј.\n</t>
  </si>
  <si>
    <t>W28679</t>
  </si>
  <si>
    <t>W28679 РћС‡РёСЃРЅРёРє С‚СѓСЂР±РѕРєРѕРјРїСЂРµСЃРѕСЂР° (Р°РµСЂРѕР·РѕР»СЊ) 12x200РјР»</t>
  </si>
  <si>
    <t>132.04</t>
  </si>
  <si>
    <t>Wynn's Turbo Cleaner РѕС‡РёС‰Р°С” С– СЂРѕР·Р±Р»РѕРєСѓС” Р·Р°Р±СЂСѓРґРЅРµРЅС– С‚СѓСЂР±РѕРєРѕРјРїСЂРµСЃРѕСЂРё. РџСЂРё СЂРѕР·РїРёР»СЋРІР°РЅРЅС– СѓС‚РІРѕСЂСЋС”С‚СЊСЃСЏ РїС–РЅР°, СЏРєР° РґРѕР·РІРѕР»СЏС” РїСЂРѕРІРµСЃС‚Рё Р±С–Р»СЊС€ С‚СЂРёРІР°Р»Рµ С– СЏРєС–СЃРЅРµ В«РІС–РґРєС–СЃР°РЅРЅСЏВ» С– РѕС‡РёСЃС‚РєСѓ С‚СѓСЂР±РѕРєРѕРјРїСЂРµСЃРѕСЂР°.РћС‡РёС‰Р°С” С– СЂРѕР·Р±Р»РѕРєСѓС” С‚СѓСЂР±С–РЅРё СЏРє Р· СЂРѕР·Р±РёСЂР°РЅРЅСЏРј С‚Р°Рє С– Р±РµР· РЅСЊРѕРіРѕ. Р РѕР·С‡РёРЅСЏС” СЃРјРѕР»Рё, Р»Р°Рє, РІСѓРіР»РµС†РµРІС– С‚Р° С–РЅС€С– РІС–РґРєР»Р°РґРµРЅРЅСЏ. Р’С–РґРЅРѕРІР»СЋС” РїРѕС‚СѓР¶РЅС–СЃС‚СЊ С‚СѓСЂР±С–РЅРё РґРѕ С—С— Р·Р°РІРѕРґСЃСЊРєРёС… РїР°СЂР°РјРµС‚СЂС–РІ. Р’С–РґРЅРѕРІР»СЋС” РѕРїС‚РёРјР°Р»СЊРЅРµ СЃРїС–РІРІС–РґРЅРѕС€РµРЅРЅСЏ РїРѕРІС–С‚СЂСЏ / РїР°Р»РёРІРѕ. Р‘РµР·РїРµС‡РЅРёР№ РґР»СЏ РІСЃС–С… С‚РёРїС–РІ РІРёС…Р»РѕРїРЅРёС… СЃРёСЃС‚РµРј.\n</t>
  </si>
  <si>
    <t>W29393</t>
  </si>
  <si>
    <t>W29393 РЎСѓРїРµСЂ РѕС‡РёСЃРЅРёРє РїР°Р»РёРІРЅРѕС— СЃРёСЃС‚РµРјРё С–РЅР¶РµРєС‚РѕСЂРЅРёС… Р±РµРЅР·РёРЅРѕРІРёС… РґРІРёРіСѓРЅС–РІ. 12x500РјР»</t>
  </si>
  <si>
    <t>240.91</t>
  </si>
  <si>
    <t>Wynn's PETROL EMISSION REDUCER (Petrol Power 3) С” С…С–РјС–С‡РЅРѕСЋ РїСЂРёСЃР°РґРєРѕСЋ РґР»СЏ РѕР±СЂРѕР±РєРё Р±РµРЅР·РёРЅРѕРІРёС… РґРІРёРіСѓРЅС–РІ, Р·Р°Р±РµР·РїРµС‡СѓС” РїРѕР»С–РїС€РµРЅРЅСЏ СЂРѕР±РѕС‡РёС… РїР°СЂР°РјРµС‚СЂС–РІ, Р·РЅРёР¶СѓС” С€РєС–РґР»РёРІС– РІРёРєРёРґРё С– РІРёС‚СЂР°С‚Р° РїР°Р»РёРІР°, Р·Р°С…РёС‰Р°С” РґРµС‚Р°Р»С– РґРІРёРіСѓРЅР°.Р—РЅРёР¶СѓС” СЂС–РІРµРЅСЊ РІРёРєРёРґС–РІ CO С– CH.РџРѕРєСЂР°С‰СѓС” РїСЂРѕС†РµСЃ Р·РіРѕСЂСЏРЅРЅСЏ РїР°Р»РёРІР°, РїС–РґРІРёС‰СѓС” РїРѕС‚СѓР¶РЅС–СЃС‚СЊ  РґРІРёРіСѓРЅР°.Р—РЅРёР¶СѓС” С‚РµСЂС‚СЏ РјС–Р¶ С‡Р°СЃС‚РёРЅР°РјРё РґРІРёРіСѓРЅР° (РІ Р“Р‘Р¦), С‰Рѕ РІРµРґРµ РґРѕ Р·РЅРёР¶РµРЅРЅСЏ РІРёС‚СЂР°С‚Рё РїР°Р»РёРІР°.РћС‡РёС‰Р°С” С– Р·Р°С…РёС‰Р°С” С–РЅР¶РµРєС‚РѕСЂРё С– РІРїСѓСЃРєРЅС– РєР»Р°РїР°РЅРё.Р—РЅРёР¶СѓС” СѓС‚РІРѕСЂРµРЅРЅСЏ РІС–РґРєР»Р°РґРµРЅСЊ РІ РєР°РјРµСЂС– РІРЅСѓС‚СЂС–С€РЅСЊРѕРіРѕ Р·РіРѕСЂСЏРЅРЅСЏ.</t>
  </si>
  <si>
    <t>W29601</t>
  </si>
  <si>
    <t>W29601 РќРµР№С‚СЂР°Р»С–Р·Р°С‚РѕСЂ РЅРµРїСЂРёС”РјРЅРёС… Р·Р°РїР°С…С–РІ (Р°РµСЂРѕР·РѕР»СЊ) 24x100РјР»</t>
  </si>
  <si>
    <t>73.56</t>
  </si>
  <si>
    <t>Wynn's Clean-Air РІРёРґР°Р»СЏС” С– РЅРµР№С‚СЂР°Р»С–Р·СѓС” РЅРµРїСЂРёС”РјРЅС– Р·Р°РїР°С…Рё РІ Р°РІС‚РѕРјРѕР±С–Р»С–.РќРµР№С‚СЂР°Р»С–Р·СѓС” Р·Р°РїР°С…Рё Р·Р° РґРѕРїРѕРјРѕРіРѕСЋ РјРѕР»РµРєСѓР»СЏСЂРЅРѕС— С…С–РјС–С‡РЅРѕС— СЂРµР°РєС†С–С—.РњРёС‚С‚С”РІРѕ РІРёРґР°Р»СЏС” РЅРµРїСЂРёС”РјРЅС– Р·Р°РїР°С…Рё:С†РёРіР°СЂРєРѕРІРёР№ РґРёРј, Р·Р°РїР°С… С‚РІР°СЂРёРЅ, Р·Р°РїР°С… РїРѕС‚Сѓ С– С‚.Рї.Р”РѕРІРіРѕСЃС‚СЂРѕРєРѕРІРёР№ РµС„РµРєС‚.РњР°С” РґРµР»С–РєР°С‚РЅРёР№ СЃРІС–Р¶РёР№ Р·Р°РїР°С… Рј'СЏС‚РЅРѕС— РїР°СЂС„СѓРјРµСЂС–С—, СЏРєРёР№ РїРѕРІС–Р»СЊРЅРѕ Р·РЅРёРєР°С” РїС–СЃР»СЏ Р·Р°СЃС‚РѕСЃСѓРІР°РЅРЅСЏ.РќРµ Р·Р°Р»РёС€Р°С” РїР»СЏРј.</t>
  </si>
  <si>
    <t>W29793</t>
  </si>
  <si>
    <t>W29793 РЎСѓРїРµСЂ РѕС‡РёСЃРЅРёРє РїР°Р»РёРІРЅРѕС— СЃРёСЃС‚РµРјРё Р±РµРЅР·РёРЅРѕРІРёС… РґРІРёРіСѓРЅС–РІ. 12x500РјР»</t>
  </si>
  <si>
    <t>265.74</t>
  </si>
  <si>
    <t xml:space="preserve">Wynn's PETROL EXTREME CLEANER (Petrol Clean 3) - С…С–РјС–С‡РЅР° РґРѕР±Р°РІРєР° РґР»СЏ Р±РµРЅР·РёРЅРѕРІРёС… РґРІРёРіСѓРЅС–РІ, Р·Р°Р±РµР·РїРµС‡СѓС” РїРѕС‚СѓР¶РЅРµ РѕС‡РёС‰РµРЅРЅСЏ РїР°Р»РёРІРЅРѕС— СЃРёСЃС‚РµРјРё Р±РµРЅР·РёРЅРѕРІРёС… РґРІРёРіСѓРЅС–РІ РІ СЂРµР·СѓР»СЊС‚Р°С‚С– СЂР°Р·РѕРІРѕС— Р·Р°Р»РёРІРєРё РїСЂРѕРґСѓРєС‚Сѓ. РЁРІРёРґРєРѕ РѕС‡РёС‰Р°С” С– Р·Р°С…РёС‰Р°С” С–РЅР¶РµРєС‚РѕСЂРё, РІС–РґРЅРѕРІР»СЋС” С– РїС–РґС‚СЂРёРјСѓС” РѕРїС‚РёРјР°Р»СЊРЅРёР№ СЂРµР¶РёРј СЂРѕР·РїРёР»Сѓ РїР°Р»РёРІРЅРѕС— СЃСѓРјС–С€С– РІ РєР°РјРµСЂС– Р·РіРѕСЂСЏРЅРЅСЏ.РџРѕРІРЅРµ РѕС‡РёС‰РµРЅРЅСЏ РїР°Р»РёРІРЅРѕС— СЃРёСЃС‚РµРјРё РІ СЂРµР·СѓР»СЊС‚Р°С‚С– СЂР°Р·РѕРІРѕС— Р·Р°Р»РёРІРєРё РїСЂРѕРґСѓРєС‚Сѓ.РЁРІРёРґРєРѕ РѕС‡РёС‰Р°С” С– Р·Р°С…РёС‰Р°С” С–РЅР¶РµРєС‚РѕСЂ(РєР°СЂР±СЋСЂР°С‚РѕСЂ) С– РІРїСѓСЃРєРЅС– РєР»Р°РїР°РЅРё, РІС–РґРЅРѕРІР»СЋС” С– РїС–РґС‚СЂРёРјСѓС” РѕРїС‚РёРјР°Р»СЊРЅРёР№ СЂРµР¶РёРј СЂРѕР·РїРёР»Сѓ РїР°Р»РёРІР°.Р’С–РґРЅРѕРІР»СЋС” РѕРїС‚РёРјР°Р»СЊРЅРёР№ СЂРµР¶РёРј Р·РіРѕСЂСЏРЅРЅСЏ РїР°Р»РёРІР°, СѓСЃСѓРІР°С” РїСЂРѕР±Р»РµРјРё С…РѕР»РѕСЃС‚РѕРіРѕ С…РѕРґСѓ.\n  </t>
  </si>
  <si>
    <t>W30205</t>
  </si>
  <si>
    <t>W30205 Р С–РґРёРЅР° РґР»СЏ СѓСЃС‚Р°РЅРѕРІРєРё Aircomatic- РѕС‡РёС‰РµРЅРЅСЏ, РґРµР·С–РЅС„РµРєС†С–СЏ 12x100РјР»</t>
  </si>
  <si>
    <t>334.70</t>
  </si>
  <si>
    <t>Wynn's Airco-CleanВ® - СѓР»СЊС‚СЂР°Р·РІСѓРєРѕРІРёР№ РґРµР·С–РЅС„РµРєС‚РѕСЂ, С‰Рѕ РІРёРґР°Р»СЏС” РЅРµРїСЂРёС”РјРЅС– Р·Р°РїР°С…Рё Р· СЃРёСЃС‚РµРјРё РєРѕРЅРґРёС†С–РѕРЅСѓРІР°РЅРЅСЏ. Р’РёРєРѕСЂРёСЃС‚РѕРІСѓС”С‚СЊСЃСЏ СЂР°Р·РѕРј Р· РѕР±Р»Р°РґРЅР°РЅРЅСЏРј Wynn's AircomaticВ®. РќРµР№С‚СЂР°Р»С–Р·СѓС” Р±Р°РєС‚РµСЂС–Р°Р»СЊРЅС– Р·Р°СЂР°Р¶РµРЅРЅСЏ, РіСЂРёР±РєРё С– Р±Р°РєС‚РµСЂС–С— РІ СЃРёСЃС‚РµРјС– РєРѕРЅРґРёС†С–РѕРЅСѓРІР°РЅРЅСЏ РїРѕРІС–С‚СЂСЏ С– РІРёРјРёРІР°С” С—С… Р· РІРёРїР°СЂРЅРёРєР°.Р’РёРґР°Р»СЏС” Р¶РёСЂРѕРІС– РІС–РґРєР»Р°РґРµРЅРЅСЏ, РїРёР» С‚Р° С–РЅС€РёР№ Р±СЂСѓРґ Р· РІРёРїР°СЂРЅРёРєР° РєРѕРЅРґРёС†С–РѕРЅРµСЂР°.РЈСЃСѓРІР°С” РЅРµРїСЂРёС”РјРЅС– Р·Р°РїР°С…Рё С– Р·Р°РїР°С… СЃРёРіР°СЂРµС‚РЅРѕРіРѕ РґРёРјСѓ РІ СЃРёСЃС‚РµРјР°С… РєРѕРЅРґРёС†С–РѕРЅСѓРІР°РЅРЅСЏ РїРѕРІС–С‚СЂСЏ С– Р·Р°РїРѕР±С–РіР°С” С—С… РїРѕРІС‚РѕСЂРЅС–Р№ РїРѕСЏРІС– РїСЂРѕС‚СЏРіРѕРј С‚СЂРёРІР°Р»РѕРіРѕ РїРµСЂС–РѕРґСѓ С‡Р°СЃСѓ.РќРµР№С‚СЂР°Р»С–Р·СѓС” Р±Р°РєС‚РµСЂС–Р°Р»СЊРЅС– Р·Р°СЂР°Р¶РµРЅРЅСЏ, РіСЂРёР±РєРё С– Р±Р°РєС‚РµСЂС–С— РІ СЃРёСЃС‚РµРјС– РєРѕРЅРґРёС†С–РѕРЅСѓРІР°РЅРЅСЏ РїРѕРІС–С‚СЂСЏ С– РІРёРјРёРІР°С” С—С… Р· РІРёРїР°СЂРЅРёРєР°.Р—Р°Р»РёС€Р°С” РїСЂРёС”РјРЅРёР№ РѕСЃРІС–Р¶Р°СЋС‡РёР№ Р·Р°РїР°С… РІ РјР°С€РёРЅС– РїС–СЃР»СЏ РѕР±СЂРѕР±РєРё.</t>
  </si>
  <si>
    <t>W31705</t>
  </si>
  <si>
    <t>W31705 Р С–РґРёРЅР° РґР»СЏ СѓСЃС‚Р°РЅРѕРІРєРё Aircomatic- СѓСЃСѓРЅРµРЅРЅСЏ Р·Р°РїР°С…С–РІ 12x60РјР»</t>
  </si>
  <si>
    <t>Wynn's Air Purifier - СѓР»СЊС‚СЂР°Р·РІСѓРєРѕРІРёР№ РґРµР·РѕРґРѕСЂР°С‚РѕСЂ, С‰Рѕ РІРёРґР°Р»СЏС” С– РЅРµР№С‚СЂР°Р»С–Р·СѓС” РЅРµРїСЂРёС”РјРЅС– Р·Р°РїР°С…Рё РІ Р°РІС‚РѕРјРѕР±С–Р»СЏС…, РєРѕРЅС‚РµР№РЅРµСЂР°С…, СЏС…С‚Р°С… С‚Р° С–РЅС€РёС… РјС–СЃС†СЏС…. РњРёС‚С‚С”РІРѕ РЅРµР№С‚СЂР°Р»С–Р·СѓС” Р·Р°Р»РёС€РєРѕРІРёР№ РѕР·РѕРЅ РІ СЃР°Р»РѕРЅС– Р°РІС‚РѕРјРѕР±С–Р»СЏ РїС–СЃР»СЏ РѕР±СЂРѕР±РєРё РѕР·РѕРЅРѕРј Р·Р° РґРѕРїРѕРјРѕРіРѕСЋ СѓСЃС‚Р°РЅРѕРІРєРё AircomaticВ® III.РќРµР№С‚СЂР°Р»С–Р·СѓС” РЅРµРїСЂРёС”РјРЅС– Р·Р°РїР°С…Рё Р·Р° РґРѕРїРѕРјРѕРіРѕСЋ С…С–РјС–С‡РЅРёС… СЂРµР°РєС†С–Р№ РЅР° РјРѕР»РµРєСѓР»СЏСЂРЅРѕРјСѓ СЂС–РІРЅС–. Р”РѕРІРіРѕСЃС‚СЂРѕРєРѕРІРёР№ РµС„РµРєС‚ Р·Р°РІРґСЏРєРё РІРёРєРѕСЂРёСЃС‚Р°РЅРЅСЋ РјРѕР»РµРєСѓР»СЏСЂРЅРѕС— С‚РµС…РЅРѕР»РѕРіС–С— Р· РЅРµР№С‚СЂР°Р»С–Р·Р°С†С–С”СЋ РјРѕР»РµРєСѓР» РїСЂРѕРґСѓРєС‚С–РІ-РґР¶РµСЂРµР» Р·Р°РїР°С…Сѓ.РЈСЃСѓРІР°С” РЅРµРїСЂРёС”РјРЅС– Р·Р°РїР°С…Рё Р· РѕР±Р±РёРІРєРё СЃР°Р»РѕРЅСѓ, РЅР°РїСЂРёРєР»Р°Рґ С‚РєР°РЅРёРЅРё, СЃРёРґС–РЅСЊ РІ Р°РІС‚РѕРјРѕР±С–Р»С–, РєРёР»РёРјР°С… С– С‚.Рї.РќР° РІРѕРґРЅС–Р№ РѕСЃРЅРѕРІС–, РЅРµС‚РѕРєСЃРёС‡РЅРёР№, РЅРµРіРѕСЂСЋС‡РёР№, РіРѕС‚РѕРІРёР№ РґРѕ РІРёРєРѕСЂРёСЃС‚Р°РЅРЅСЏ РїСЂРѕРґСѓРєС‚.Р’РёРєРѕСЂРёСЃС‚РѕРІСѓС”С‚СЊСЃСЏ РІРёРєР»СЋС‡РЅРѕ Р· СѓСЃС‚Р°РЅРѕРІРєР°РјРё Wynn's Aircomatic II Р°Р±Рѕ III.</t>
  </si>
  <si>
    <t>W43863</t>
  </si>
  <si>
    <t>W43863 РџСЂРёСЃР°РґРєР° РґР»СЏ РїС–РґРІРёС‰РµРЅРЅСЏ РѕРєС‚Р°РЅРѕРІРѕРіРѕ С‡РёСЃР»Р° Р±РµРЅР·РёРЅ 12x325РјР»</t>
  </si>
  <si>
    <t>W45201</t>
  </si>
  <si>
    <t>W45201 РљРѕРЅС†РµРЅС‚СЂР°С‚  СЂС–РґРёРЅРё РІ Р±Р°С‡РѕРє РѕРјРёРІР°С‡Р°   24x250РјР»</t>
  </si>
  <si>
    <t>21.52</t>
  </si>
  <si>
    <t>Wynn's Anti-Insect Screen-Wash РІРёСЃРѕРєРѕРєРѕРЅС†РµРЅС‚СЂРѕРІР°РЅРёР№ РјРёСЋС‡РёР№ Р·Р°СЃС–Р± РґР»СЏ СЃРёСЃС‚РµРјРё РѕРјРёРІР°С‡Р° РІС–С‚СЂРѕРІРѕРіРѕ СЃРєР»Р°. РћС‡РёС‰Р°С” РІС–С‚СЂРѕРІС– СЃС‚РµРєР»Р° С– С„Р°СЂРё РІС–Рґ РєРѕРјР°С…, Р¶РёСЂРѕРІРѕС— РїР»С–РІРєРё С‚Р° С–РЅС€РёС… Р·Р°Р±СЂСѓРґРЅРµРЅСЊ.РќРµ Р·Р°Р»РёС€Р°С” СЂРѕР·РІРѕРґС–РІ РЅР° Р»Р°РєРѕС„Р°СЂР±РѕРІРёС… РїРѕРєСЂРёС‚С‚СЏС… РєСѓР·РѕРІР°.Р’РЅР°СЃР»С–РґРѕРє РІРёСЃРѕРєРѕС— РєРѕРЅС†РµРЅС‚СЂР°С†С–С— РїСЂРѕРґСѓРєС‚ РЅРµРѕР±С…С–РґРЅРѕ СЂРѕР·Р±Р°РІР»СЏС‚Рё Р· РІРѕРґРѕСЋ.\nР”РѕРґР°Р№С‚Рµ Wynn's Anti-Insect Screen-Wash РІ РїСЂРѕРїРѕСЂС†С–С— 1:20, РІ Р±Р°С‡РѕРє РѕРјРёРІР°С‡Р°, РїСЂРёР±Р»РёР·РЅРѕ 50 РјР» РјРёСЋС‡РѕРіРѕ Р·Р°СЃРѕР±Сѓ РЅР° РѕРґРёРЅ Р»С–С‚СЂ РІРѕРґРё.</t>
  </si>
  <si>
    <t>W45202</t>
  </si>
  <si>
    <t>W45202 РљРѕРЅС†РµРЅС‚СЂР°С‚  СЂС–РґРёРЅРё РІ Р±Р°С‡РѕРє РѕРјРёРІР°С‡Р°  12x1Р»</t>
  </si>
  <si>
    <t>49.65</t>
  </si>
  <si>
    <t>W45644</t>
  </si>
  <si>
    <t>W45644 Р“РµСЂРјРµС‚РёРє СЃРёСЃС‚РµРјРё РѕС…РѕР»РѕРґР¶РµРЅРЅСЏ. 24x325РјР»</t>
  </si>
  <si>
    <t>Wynn's Cooling System Stop Leak С” РіРµСЂРјРµС‚РёРєРѕРј, РїСЂРёР·РЅР°С‡РµРЅРёРј РґР»СЏ Р·СѓРїРёРЅРєРё РЅРµР·РЅР°С‡РЅРѕС— С‚РµС‡С– РІ СЂР°РґС–Р°С‚РѕСЂС– С– СЃРёСЃС‚РµРјС– РѕС…РѕР»РѕРґР¶РµРЅРЅСЏ, Р· Р°РЅС‚РёРєРѕСЂРѕР·С–Р№РЅРёРјРё РїСЂРёСЃР°РґРєР°РјРё.Р—СѓРїРёРЅСЏС” С– Р·Р°РїРѕР±С–РіР°С” РЅРµР·РЅР°С‡РЅС– С‚РµС‡С– РІ СЂР°РґС–Р°С‚РѕСЂС–, СЃРёСЃС‚РµРјР°С… РѕС…РѕР»РѕРґР¶РµРЅРЅСЏ С– РѕР±С–РіСЂС–РІСѓ С‚Р° С‡РµСЂРµР· РїСЂРѕРєР»Р°РґРєРё Р“Р‘Р¦. Р‘РµР·РїРµС‡РЅРёР№ РґР»СЏ РіСѓРјРѕРІРёС… С€Р»Р°РЅРіС–РІ, СѓС‰С–Р»СЊРЅРµРЅСЊ С– РІСЃС–С… С‡Р°СЃС‚РёРЅ СЃРёСЃС‚РµРјРё РѕС…РѕР»РѕРґР¶РµРЅРЅСЏ. РЎСѓРјС–СЃРЅРёР№ Р· СѓСЃС–РјР° Р°РЅС‚РёС„СЂРёР·Р°РјРё С– РѕС…РѕР»РѕРґР¶СѓСЋС‡РёРјРё СЂС–РґРёРЅР°РјРё.Р—Р°РїРѕР±С–РіР°С” СѓС‚РІРѕСЂРµРЅРЅСЋ С–СЂР¶С– С– РєРѕСЂРѕР·С–С—.\n</t>
  </si>
  <si>
    <t>W45944</t>
  </si>
  <si>
    <t>W45944 РџСЂРѕРјРёРІРєР° СЃРёСЃС‚РµРјРё РѕС…РѕР»РѕРґР¶РµРЅРЅСЏ. 24x325РјР»</t>
  </si>
  <si>
    <t>Wynn's Cooling System Flush РєРѕРЅС†РµРЅС‚СЂРѕРІР°РЅРёР№ РїСЂРѕРґСѓРєС‚ РґР»СЏ РѕС‡РёС‰РµРЅРЅСЏ СЃРёСЃС‚РµРјРё РѕС…РѕР»РѕРґР¶РµРЅРЅСЏ Р°РІС‚РѕРјРѕР±С–Р»С–РІ.РџРѕС‚СѓР¶РЅРёР№ Р±РµР·РєРёСЃР»РѕС‚РЅРёР№ РѕС‡РёС‰СѓРІР°С‡ СЂР°РґС–Р°С‚РѕСЂР°.РџРѕРґРІС–Р№РЅР° РґС–СЏ: РћС‡РёС‰Р°С” РІС–Рґ РЅР°РєРёРїСѓ. Р—РЅРёС‰СѓС” С–СЂР¶Сѓ, РІС–РґРєР»Р°РґРµРЅРЅСЏ Р±СЂСѓРґСѓ С– Р·Р°Р»РёС€РєРё РјР°СЃР»Р°.Р‘РµР·РїРµС‡РЅРёР№ РґР»СЏ РіСѓРјРѕРІРёС… С€Р»Р°РЅРіС–РІ, СѓС‰С–Р»СЊРЅРµРЅСЊ С– РІСЃС–С… РјРµС‚Р°Р»РµРІРёС… С‡Р°СЃС‚РёРЅ СЃРёСЃС‚РµРјРё РѕС…РѕР»РѕРґР¶РµРЅРЅСЏ.РќР°РґР·РІРёС‡Р°Р№РЅРѕ РµС„РµРєС‚РёРІРЅРёР№ Сѓ РІСЃС–С… Р·Р°РјРєРЅСѓС‚РёС… СЃРёСЃС‚РµРјР°С… РѕС…РѕР»РѕРґР¶РµРЅРЅСЏ.Р’С–РґРЅРѕРІР»СЋС” РѕРїС‚РёРјР°Р»СЊРЅРёР№ СЂРµР¶РёРј СЂРѕР±РѕС‚Рё СѓРїСЂР°РІР»С–РЅРЅСЏ РІ СЃРёСЃС‚РµРјС– РѕС…РѕР»РѕРґР¶РµРЅРЅСЏ.</t>
  </si>
  <si>
    <t>W46754</t>
  </si>
  <si>
    <t>W46754 РџСЂРёСЃР°РґРєР° РІ РґРёР·РµР»СЊРЅРµ РїР°Р»РёРІРѕ  24x325РјР»</t>
  </si>
  <si>
    <t>96.55</t>
  </si>
  <si>
    <t>DIESEL FUEL SYSTEM CLEANER РґРѕР±Р°РІРєР° РґРѕ РґРёР·РµР»СЊРЅРѕРіРѕ РїР°Р»РёРІР°, СЂРµС‚РµР»СЊРЅРѕ РѕС‡РёС‰Р°С” С– Р·РјР°Р·СѓС” РїР°Р»РёРІРЅС– РЅР°СЃРѕСЃРё С– С–РЅР¶РµРєС‚РѕСЂРё. РћС‡РёС‰СѓС” РїР°Р»РёРІРЅС– РЅР°СЃРѕСЃРё С– С„РѕСЂСЃСѓРЅРєРё.Р’С–РґРЅРѕРІР»СЋС” РїРµСЂРІРёРЅРЅРёР№ СЂРѕР·РїРёР» РїР°Р»РёРІР° Р·Р°Р±РµР·РїРµС‡СѓСЋС‡Рё Р№РѕРіРѕ РєСЂР°С‰Рµ Р·РіРѕСЂСЏРЅРЅСЏ.Р—РЅРёР¶СѓС” РєС–Р»СЊРєС–СЃС‚СЊ С‡РѕСЂРЅРѕРіРѕ РґРёРјСѓ (С‡Р°СЃС‚РѕРє СЃР°Р¶С–) Р·Р° РґРѕРїРѕРјРѕРіРѕСЋ РѕС‡РёС‰РµРЅРЅСЏ СЃРёСЃС‚РµРјРё РІРїРѕСЂСЃРєСѓРІР°РЅРЅСЏ.РљРѕРјРїРµРЅСЃСѓС” РЅРµРґРѕСЃС‚Р°С‚РЅС” Р·РјР°С‰СѓРІР°РЅРЅСЏ РїР°Р»РёРІР° Р· РЅРёР·СЊРєРёРј РІРјС–СЃС‚РѕРј СЃС–СЂРєРё.Р—Р°РїРѕР±С–РіР°С” Р·Р°СЃРјС–С‡РµРЅРЅСЏ РїР°Р»РёРІРЅРѕРіРѕ С„С–Р»СЊС‚СЂР°.Р—РЅРёР¶СѓС” РґРµС‚РѕРЅР°С†С–Р№РЅРёР№ С€СѓРј РІ РґРёР·РµР»СЊРЅРѕРјСѓ РґРІРёРіСѓРЅС–.РќРµ Р·Р°РІРґР°С” С€РєРѕРґРё РєР°С‚Р°Р»С–Р·Р°С‚РѕСЂР°Рј С– СЃР°Р¶РѕРІРёРј С„С–Р»СЊС‚СЂР°Рј.</t>
  </si>
  <si>
    <t>W47244</t>
  </si>
  <si>
    <t>W47244 РџСЂРѕРјРёРІРєР° РјР°СЃР»СЏРЅРѕС— СЃРёСЃС‚РµРјРё (15С…РІ.) 24x325РјР»</t>
  </si>
  <si>
    <t>80.55</t>
  </si>
  <si>
    <t>Wynn's Oil System Cleaner СЂРѕР·С‡РёРЅРЅР° РІ РјР°СЃР»С– РїСЂРёСЃР°РґРєР°, РїСЂРёР·РЅР°С‡РµРЅР° РґР»СЏ РѕС‡РёС‰РµРЅРЅСЏ С– Р·Р°С…РёСЃС‚Сѓ СЃРёСЃС‚РµРј Р·РјР°С‰РµРЅРЅСЏ, Р° С‚Р°РєРѕР¶ РґР»СЏ Р·Р°РїРѕР±С–РіР°РЅРЅСЏ Р·Р°Р±СЂСѓРґРЅРµРЅРЅСЏ "СЃРІС–Р¶РѕРіРѕ" РјР°СЃР»Р° Р·Р°Р»РёС€РєР°РјРё РІС–РґРїСЂР°С†СЊРѕРІР°РЅРѕРіРѕ.Р РѕР·С‡РёРЅСЏС” С€Р»Р°Рј, Р±СЂСѓРґ С– РІС–РґРєР»Р°РґРµРЅРЅСЏ РІ РєР°СЂС‚РµСЂС– РґРІРёРіСѓРЅР°, РјР°СЃР»СЏРЅРёС… РєР°РЅР°Р»Р°С… С– РІСЃС–С… С‡Р°СЃС‚РёРЅР°С… РІ СЃРёСЃС‚РµРјС– С†РёСЂРєСѓР»СЏС†С–С— РјР°СЃР»Р°.РџРµСЂРµС€РєРѕРґР¶Р°С” Р·Р°Р»СЏРіР°РЅРЅСЏ РїРѕСЂС€РЅРµРІРёС… РєС–Р»РµС†СЊ С– Р·Р°С—РґР°РЅРЅСЏ РіС–РґСЂР°РІР»С–С‡РЅРёС… С€С‚РѕРІС…Р°С‡С–РІ РєР»Р°РїР°РЅС–РІ.РџСЂРѕРґРѕРІР¶СѓС” С‚РµСЂРјС–РЅ СЃР»СѓР¶Р±Рё РЅРѕРІРѕРіРѕ РјР°СЃР»Р° Р·Р°РІРґСЏРєРё РїСЂРѕС†РµРґСѓСЂС– РѕС‡РёС‰РµРЅРЅСЏ.РњС–СЃС‚РёС‚СЊ РїСЂРѕС‚РёР·Р°РґРёСЂРЅС– РїСЂРёСЃР°РґРєРё РґР»СЏ РґРѕРґР°С‚РєРѕРІРѕРіРѕ Р·Р°С…РёСЃС‚Сѓ РІС–Рґ Р·РЅРѕСЃСѓ РїС–Рґ С‡Р°СЃ РѕС‡РёС‰РµРЅРЅСЏ СЃРёСЃС‚РµРјРё С– РїРµСЂС€РѕРіРѕ Р·Р°РїСѓСЃРєСѓ.РЎСѓРјС–СЃРЅР° Р· СѓСЃС–РјР° РјС–РЅРµСЂР°Р»СЊРЅРёРјРё, СЃРёРЅС‚РµС‚РёС‡РЅРёРјРё, РЅР°РїС–РІСЃРёРЅС‚РµС‚РёС‡РЅРёРјРё, РѕРґРЅРѕ- С– РІСЃРµСЃРµР·РѕРЅРЅРёРјРё, Р° С‚Р°Рє Р¶Рµ low SAPS РјР°СЃР»Р°РјРё.</t>
  </si>
  <si>
    <t>W50393</t>
  </si>
  <si>
    <t>W50393 РЎСѓРїРµСЂ РѕС‡РёСЃРЅРёРє РїР°Р»РёРІРЅРѕС— СЃРёСЃС‚РµРјРё РґРёР·РµР»СЊРЅРёС… РґРІРёРіСѓРЅС–РІ  12x500РјР»</t>
  </si>
  <si>
    <t>Wynn's Diesel Power 3 - РїСЂРёСЃР°РґРєР° РІ РґРёР·РµР»СЊРЅРµ РїР°Р»РёРІРѕ, СЏРєР° Р·РјРµРЅС€СѓС” РІРёРєРёРґРё СЃР°Р¶С– С– РѕС‡РёС‰Р°С” РїР°Р»РёРІРЅСѓ СЃРёСЃС‚РµРјСѓ.РћС‡РёС‰Р°С” С– Р·Р°С…РёС‰Р°С” РїР°Р»РёРІРЅСѓ СЃРёСЃС‚РµРјСѓ С– С„РѕСЂСЃСѓРЅРєРё.Р”РѕРїРѕРјР°РіР°С” РІС–РґРѕРєСЂРµРјР»СЋРІР°С‚Рё РІРѕРґСѓ РІС–Рґ РїР°Р»РёРІР° РІ РїР°Р»РёРІРЅРѕРјСѓ С„С–Р»СЊС‚СЂС– С– Р·Р°С…РёС‰Р°С” РїР°Р»РёРІРЅСѓ СЃРёСЃС‚РµРјСѓ.РџСЂРѕС„С–Р»Р°РєС‚РёС‡РЅР° РѕР±СЂРѕР±РєР° РґР»СЏ Р·Р°Р±РµР·РїРµС‡РµРЅРЅСЏ РїРѕСЃС‚С–Р№РЅРѕС— РµС„РµРєС‚РёРІРЅРѕСЃС‚С– СЃРёСЃС‚РµРјРё РєРѕРЅС‚СЂРѕР»СЋ РІРёРєРёРґС–РІ.\n</t>
  </si>
  <si>
    <t>W50672</t>
  </si>
  <si>
    <t>W50672 РџСЂРёСЃР°РґРєР°  РјР°СЃС‚РёР»Р° Stop Leak (СЃС‚РѕРї-С‚РµС‡Р°) 12x325РјР»</t>
  </si>
  <si>
    <t>102.06</t>
  </si>
  <si>
    <t>WynnвЂ™s Engine Stop Leak С†Рµ РѕСЃРѕР±Р»РёРІР° СЃСѓРјС–С€ С…С–РјС–С‡РЅРёС… СЂРµС‡РѕРІРёРЅ, РґР»СЏ Р·СѓРїРёРЅРєРё  РІРёС‚РѕРєСѓ  РѕР»РёРІРё Р· РґРІРёРіСѓРЅР°. Р—Р°РїРѕР±С–РіР°С” С– РїСЂРёРїРёРЅСЏС” РІРёС‚С–Рє РјРѕС‚РѕСЂРЅРѕРіРѕ РјР°СЃР»Р° Р±РµР· РґРµРјРѕРЅС‚Р°Р¶Сѓ.\n</t>
  </si>
  <si>
    <t>W51265</t>
  </si>
  <si>
    <t>W51265 РџСЂРѕРјРёРІРєР° РґР»СЏ РІСЃС–С… С‚РёРїС–РІ РјР°СЃР»СЏРЅРёС… СЃРёСЃС‚РµРј 24x425РјР»</t>
  </si>
  <si>
    <t>92.87</t>
  </si>
  <si>
    <t>Wynn's Motor Cleaner РІРёСЃРѕРєРѕРєРѕРЅС†РµРЅС‚СЂРѕРІР°РЅРёР№ РјРёСЋС‡РёР№ Р·Р°СЃС–Р±, РїСЂРёР·РЅР°С‡РµРЅРёР№ РґР»СЏ РѕС‡РёС‰РµРЅРЅСЏ РІСЃС–С… РјР°СЃР»СЏРЅРёС… РјР°СЃС‚РёР»СЊРЅРёС… СЃРёСЃС‚РµРј РїРµСЂРµРґ Р·Р°РјС–РЅРѕСЋ РјР°СЃР»Р°.РћС‡РёС‰Р°С” РІСЃРµСЂРµРґРёРЅС– СЃРёСЃС‚РµРјСѓ Р·РјР°С‰РµРЅРЅСЏ РґРІРёРіСѓРЅР°. Р РѕР·С‡РёРЅСЏС” Р±СЂСѓРґ, РІС–РґРєР»Р°РґРµРЅРЅСЏ РІ РјР°СЃР»СЏРЅРѕРјСѓ РїС–РґРґРѕРЅС– С– РІС–РґРєР»Р°РґРµРЅРЅСЏ РІ Р“Р‘Р¦.Р—Р°РїРѕР±С–РіР°С” Р·Р°Р±СЂСѓРґРЅРµРЅРЅСЋ "СЃРІС–Р¶РѕРіРѕ" РјР°СЃР»Р° Р·Р°Р»РёС€РєР°РјРё РІС–РґРїСЂР°С†СЊРѕРІР°РЅРѕРіРѕ. РЈС‚РІРѕСЂСЋС” Р·Р°С…РёСЃРЅРёР№ Р°РЅС‚РёС„СЂРёРєС†С–Р№РЅРёР№ С€Р°СЂ С– РїСЂРёСЃР°РґРєРё Р·Р°РїРѕР±С–РіР°СЋС‚СЊ Р·РЅРѕСЃ РЅР° РјРµС‚Р°Р»РµРІРёС… РїРѕРІРµСЂС…РЅСЏС….РЎСѓРјС–СЃРЅР° Р· СѓСЃС–РјР° РјС–РЅРµСЂР°Р»СЊРЅРёРјРё, СЃРёРЅС‚РµС‚РёС‡РЅРёРјРё, РЅР°РїС–РІСЃРёРЅС‚РµС‚РёС‡РЅРёРјРё, РѕРґРЅРѕ- С– РІСЃРµСЃРµР·РѕРЅРЅРёРјС–, Р° С‚Р°Рє Р¶Рµ low SAPS РјР°СЃР»Р°РјРё.</t>
  </si>
  <si>
    <t>W51272</t>
  </si>
  <si>
    <t>W51272 РџСЂРѕРјРёРІРєР° РґРІРёРіСѓРЅР° (СЃРёСЃС‚РµРјРё Р·РјР°С‰СѓРІР°РЅРЅСЏ) 12x325РјР»</t>
  </si>
  <si>
    <t>70.25</t>
  </si>
  <si>
    <t>W51351</t>
  </si>
  <si>
    <t>W51351 Р’С–РґРЅРѕРІР»СЋРІР°С‡ РєРѕРјРїСЂРµСЃС–С— РґРІРёРіСѓРЅР° (Р°РЅС‚Рё-РґРёРј) 24x400РјР»</t>
  </si>
  <si>
    <t>Wynn's Super ChargeВ® РїСЂРёСЃР°РґРєР°, СЂРѕР·СЂРѕР±Р»РµРЅР° РґР»СЏ РїРѕР»С–РїС€РµРЅРЅСЏ РІ'СЏР·РєС–СЃРЅРёС… С…Р°СЂР°РєС‚РµСЂРёСЃС‚РёРє РјРѕС‚РѕСЂРЅРёС… РјР°СЃРµР».РџС–РґРІРёС‰СѓС” С–РЅРґРµРєСЃ РІ'СЏР·РєРѕСЃС‚С– РјРѕС‚РѕСЂРЅРёС… РјР°СЃРµР».РЈС‚РІРѕСЂСЋС” РјС–С†РЅСѓ РјР°СЃР»СЏРЅСѓ РїР»С–РІРєСѓ РїСЂРё РІРёСЃРѕРєРёС… С‚РµРјРїРµСЂР°С‚СѓСЂР°С… С– РЅР°РІР°РЅС‚Р°Р¶РµРЅРЅСЏС…. Р’С–РґРЅРѕРІР»СЋС” РєРѕРјРїСЂРµСЃС–СЋ С– С‚РёСЃРє РјР°СЃР»Р°.Р—Р°РїРѕР±С–РіР°С” С‚РµСЂС‚СЏ РјРµС‚Р°Р»-РґРѕ-РјРµС‚Р°Р»Сѓ РїСЂРё РІРёСЃРѕРєРёС… РЅР°РІР°РЅС‚Р°Р¶РµРЅРЅСЏС…. Р—РЅРёР¶СѓС” С€СѓРј РїСЂРё СЂРѕР±РѕС‚С– РґРІРёРіСѓРЅР°.Р—Р°С…РёС‰Р°С” РІС–Рґ РєРѕСЂРѕР·С–С—, РѕРєРёСЃР»РµРЅРЅСЏ, С–СЂР¶С– С– Р·РЅРѕСЃСѓ.</t>
  </si>
  <si>
    <t>W51372</t>
  </si>
  <si>
    <t>W51372 РџСЂРёСЃР°РґРєР° РІ РјРѕС‚РѕСЂРЅРµ РјР°СЃС‚РёР»Рѕ РґР»СЏ СЃС‚Р°СЂРёС… РґРІРёРіСѓРЅС–РІ 12x325РјР»</t>
  </si>
  <si>
    <t>104.27</t>
  </si>
  <si>
    <t>W51668</t>
  </si>
  <si>
    <t>W51668 РћС‡РёСЃРЅРёРє С–РЅР¶РµРєС‚РѕСЂР° РґР»СЏ РґРёР·РµР»СЊРЅРёС… РґРІРёРіСѓРЅС–РІ 12x325РјР»</t>
  </si>
  <si>
    <t>Wynn's Injection Cleaner РґР»СЏ РґРёР·РµР»СЊРЅРёС… РґРІРёРіСѓРЅС–РІ - РїСЂРёСЃР°РґРєР°, СЏРєР° Р·Р±С–Р»СЊС€СѓС” РїСЂРѕРґСѓРєС‚РёРІРЅС–СЃС‚СЊ РґРІРёРіСѓРЅР°, Р·РјРµРЅС€СѓС” С‡РѕСЂРЅРёР№ РґРёРј.РћС‡РёС‰Р°С” С–РЅР¶РµРєС‚РѕСЂРё С‚Р° РІС–РґРЅРѕРІР»СЋС” СЃС…РµРјСѓ СЂРѕР·РїРёР»РµРЅРЅСЏ.РџРѕРєСЂР°С‰СѓС” СЏРєС–СЃС‚СЊ Р·Р°Р№РјР°РЅРЅСЏ С‚Р° СЃРїР°Р»СЋРІР°РЅРЅСЏ РґРёР·РµР»СЊРЅРѕРіРѕ РїР°Р»РёРІР°.РћС‡РёС‰Р°С” С‚Р° Р·Р°С…РёС‰Р°С” РІСЃСЋ РїР°Р»РёРІРЅСѓ СЃРёСЃС‚РµРјСѓ РІС–Рґ С–СЂР¶С– С‚Р° РєРѕСЂРѕР·С–С—. Р—РјР°С‰СѓС” РЅР°СЃРѕСЃРё С‚Р° С–РЅР¶РµРєС‚РѕСЂРё.</t>
  </si>
  <si>
    <t>W52579</t>
  </si>
  <si>
    <t>W52579 РЎРёР»С–РєРѕРЅРѕРІР° Р·РјР°Р·РєР° (Р°РµСЂРѕР·РѕР»СЊ) 12x500РјР»</t>
  </si>
  <si>
    <t>Wynn's Silicone Lubricant РјР°СЃС‚РёР»Рѕ РЅР° РѕСЃРЅРѕРІС– СЃРёР»С–РєРѕРЅСѓ. Р—Р°Р±РµР·РїРµС‡СѓС” СЃСѓС…Рµ Р·РјР°С‰РµРЅРЅСЏ.Р—Р°РїРѕР±С–РіР°С” Р·Р»РёРїР°РЅРЅСЋ РјР°С‚РµСЂС–Р°Р»С–РІ.Р—Р°С…РёС‰Р°С” РІС–Рґ С–СЂР¶С– С– РєРѕСЂРѕР·С–С—.Р’С–РґС€С‚РѕРІС…СѓС” РІРѕРґСѓ С– РІРѕР»РѕРіСѓ.РќРµ РїСЂРёР»РёРїР°С”, РЅРµ Р·Р°Р±СЂСѓРґРЅСЋС”, РЅРµ РѕРєРёСЃР»СЏС” РѕР±СЂРѕР±Р»СЋРІР°РЅС– РїРѕРІРµСЂС…РЅС–.Р—Р°С…РёС‰Р°С” РІС–Рґ Р·РЅРѕСЃСѓ РїСЂРё РІР·Р°С”РјРѕРґС–С— Рј'СЏРєРёС… С– С‚РІРµСЂРґРёС… РјР°С‚РµСЂС–Р°Р»С–РІ.РњР°С” РІРѕРґРѕСЃС‚С–Р№РєС– РІР»Р°СЃС‚РёРІРѕСЃС‚С–.\n</t>
  </si>
  <si>
    <t>W54179</t>
  </si>
  <si>
    <t>W54179 РћС‡РёСЃРЅРёРє РєР°СЂР±СЋСЂР°С‚РѕСЂР° (Р°РµСЂРѕР·РѕР»СЊ) 12x500РјР»</t>
  </si>
  <si>
    <t>Wynn's Air Intake &amp; Carburettor РѕС‡РёС‰СѓРІР°С‡, РїСЂРёР·РЅР°С‡РµРЅРёР№ РґР»СЏ СѓСЃСѓРЅРµРЅРЅСЏ Р·Р°Р±СЂСѓРґРЅРµРЅСЊ С– РІС–РґРєР»Р°РґРµРЅСЊ РІ РїРѕРІС–С‚СЂСЏРЅРёС… РєР°РЅР°Р»Р°С…, Р¶РёРєР»РµСЂР°С… С– СЂРµРіСѓР»СЋРІР°Р»СЊРЅРёС… РіРІРёРЅС‚С–РІ РєР°СЂР±СЋСЂР°С‚РѕСЂР°, Р° С‚Р°РєРѕР¶  РЅР° РІСЃС–С… РІРёРґРёРјРёС… РєРѕРјРїРѕРЅРµРЅС‚Р°С… РєР°СЂР±СЋСЂР°С‚РѕСЂР°.РђРєС‚РёРІРЅС– СЃРѕР»РІРµРЅС‚Рё СЂРѕР·С‡РёРЅСЏСЋС‚СЊ С– РІРёРґР°Р»СЏСЋС‚СЊ Р±СЂСѓРґ РґСѓР¶Рµ С€РІРёРґРєРѕ.РџРѕС‚СѓР¶РЅРµ СЂРѕР·РїРѕСЂРѕС€РµРЅРЅСЏ РїРѕРєСЂР°С‰СѓС” РѕС‡РёС‰Р°СЋС‡Сѓ РґС–СЋ.РћС‡РёС‰Р°С” РєР°СЂР±СЋСЂР°С‚РѕСЂ С– РїРѕРІС–С‚СЂСЏРїСЂРёР№РјР°Р»СЊРЅСѓ СЃРёСЃС‚РµРјСѓ Р±РµР· СЂРѕР·Р±РёСЂР°РЅРЅСЏ.Р РѕР·С‡РёРЅСЏС” СЃРјРѕР»Сѓ, Р»Р°Рє С– РІС–РґРєР»Р°РґРµРЅРЅСЏ.</t>
  </si>
  <si>
    <t>W55872</t>
  </si>
  <si>
    <t>W55872 Р“РµСЂРјРµС‚РёРє СЃРёСЃС‚РµРјРё РѕС…РѕР»РѕРґР¶РµРЅРЅСЏ (СЃС‚РѕРї-С‚РµС‡Р° СЂР°РґС–Р°С‚РѕСЂР°) 12x325РјР»</t>
  </si>
  <si>
    <t>78.16</t>
  </si>
  <si>
    <t>Wynn's Radiator Stop Leak С” РіРµСЂРјРµС‚РёРєРѕРј, РїСЂРёР·РЅР°С‡РµРЅРёРј РґР»СЏ Р·СѓРїРёРЅРєРё РЅРµР·РЅР°С‡РЅРѕС— С‚РµС‡С– РІ СЂР°РґС–Р°С‚РѕСЂС– С– СЃРёСЃС‚РµРјС– РѕС…РѕР»РѕРґР¶РµРЅРЅСЏ, Р· Р°РЅС‚РёРєРѕСЂРѕР·С–Р№РЅРёРјРё РїСЂРёСЃР°РґРєР°РјРё.Р—СѓРїРёРЅСЏС” С– Р·Р°РїРѕР±С–РіР°С” РЅРµР·РЅР°С‡РЅС– С‚РµС‡С– РІ СЂР°РґС–Р°С‚РѕСЂС–, СЃРёСЃС‚РµРјР°С… РѕС…РѕР»РѕРґР¶РµРЅРЅСЏ С– РѕР±С–РіСЂС–РІСѓ. Р—СѓРїРёРЅСЏС” С‚РµС‡С– С‡РµСЂРµР· РїСЂРѕРєР»Р°РґРєРё Р“Р‘Р¦. Р‘РµР·РїРµС‡РЅРёР№ РґР»СЏ РіСѓРјРѕРІРёС… С€Р»Р°РЅРіС–РІ, СѓС‰С–Р»СЊРЅРµРЅСЊ С– РІСЃС–С… С‡Р°СЃС‚РёРЅ СЃРёСЃС‚РµРјРё РѕС…РѕР»РѕРґР¶РµРЅРЅСЏ.РЎСѓРјС–СЃРЅРёР№ Р· СѓСЃС–РјР° Р°РЅС‚РёС„СЂРёР·Р°РјРё С– РѕС…РѕР»РѕРґР¶СѓСЋС‡РёРјРё СЂС–РґРёРЅР°РјРё, РІ С‚РѕРјСѓ С‡РёСЃР»С– РћРђРў Р°РЅС‚РёС„СЂРёР·Р°РјРё (Р°РЅС‚РёС„СЂРёР·Рё РѕСЃРЅРѕРІР°РЅС– РЅР° РѕСЂРіР°РЅС–С‡РЅРёС… РєР°СЂР±РѕРЅРѕРІРёС… РєРёСЃР»РѕС‚Р°С…).РќРµ Р±Р»РѕРєСѓС” С– РЅРµ Р·Р°СЃРјС–С‡СѓС” СЂР°РґС–Р°С‚РѕСЂРё, С€Р»Р°РЅРіРё С– РґР°С‚С‡РёРєРё С‚РµРјРїРµСЂР°С‚СѓСЂРё.Р—Р°РїРѕР±С–РіР°С” СѓС‚РІРѕСЂРµРЅРЅСЋ С–СЂР¶С– С– РєРѕСЂРѕР·С–С—.</t>
  </si>
  <si>
    <t>W55972</t>
  </si>
  <si>
    <t>W55972 РћС‡РёСЃРЅРёРє С„РѕСЂСЃСѓРЅРѕРє(С–РЅР¶РµРєС‚РѕСЂС–РІ) Р±РµРЅР·РёРЅРѕРІРёС… РґРІРёРіСѓРЅС–РІ 12x325РјР»</t>
  </si>
  <si>
    <t>Wynn's Injector Cleaner РґР»СЏ Р±РµРЅР·РёРЅРѕРІРёС… РґРІРёРіСѓРЅС–РІ С” Р±Р°РіР°С‚РѕС„СѓРЅРєС†С–РѕРЅР°Р»СЊРЅРѕСЋ РїСЂРёСЃР°РґРєРѕСЋ РІ РїР°Р»РёРІРѕ РґР»СЏ РїС–РґС‚СЂРёРјРєРё СЃРёСЃС‚РµРјРё РІРїРѕСЂСЃРєСѓРІР°РЅРЅСЏ Р±РµРЅР·РёРЅРѕРІРёС… РґРІРёРіСѓРЅС–РІ РІ РѕРїС‚РёРјР°Р»СЊРЅРѕРјСѓ СЃС‚Р°РЅС–.РћС‡РёС‰Р°С” С–РЅР¶РµРєС‚РѕСЂРё, РїР°Р»РёРІРЅРёР№ РЅР°СЃРѕСЃ С– РїС–РґС‚СЂРёРјСѓС” С—С… С‡РёСЃС‚РѕС‚Сѓ.Р—Р°РїРѕР±С–РіР°С” СѓС‚РІРѕСЂРµРЅРЅСЋ РІС–РґРєР»Р°РґРµРЅСЊ РЅР° РєР»Р°РїР°РЅР°С…, Сѓ РІРїСѓСЃРєРЅРѕРјСѓ РєРѕР»РµРєС‚РѕСЂС– РІРѕР·РґСѓС…РѕРІРѕРґР° С– РєР°РјРµСЂР°С… Р·РіРѕСЂСЏРЅРЅСЏ.Р’С–РґРЅРѕРІР»СЋС” РѕРїС‚РёРјР°Р»СЊРЅС– РїР°СЂР°РјРµС‚СЂРё СЂРѕР·РїРёР»Сѓ РїР°Р»РёРІР°.Р—РјР°С‰СѓС” С–РЅР¶РµРєС‚РѕСЂРё, РєР»Р°РїР°РЅРё, РЅР°СЃРѕСЃ С– РІРµСЂС…РЅСЋ С‡Р°СЃС‚РёРЅСѓ С†РёР»С–РЅРґСЂР°. РџРѕРєСЂР°С‰СѓС” РїСЂРѕС†РµСЃ Р·РіРѕСЂСЏРЅРЅСЏ РїР°Р»РёРІР° С– РїР°СЂР°РјРµС‚СЂРё СЂРѕР±РѕС‚Рё РґРІРёРіСѓРЅР°.Р—Р°С…РёС‰Р°С” РїР°Р»РёРІРЅСѓ СЃРёСЃС‚РµРјСѓ РІС–Рґ СѓС‚РІРѕСЂРµРЅРЅСЏ С–СЂР¶С– С– РєРѕСЂРѕР·С–С—.Р—РјРµРЅС€СѓС” СЂС–РІРµРЅСЊ CO С– CH.РџСЂРѕРґРѕРІР¶СѓС” С‚РµСЂРјС–РЅ СЃР»СѓР¶Р±Рё СЃРёСЃС‚РµРјРё СѓРїРѕСЂСЃРєСѓРІР°РЅРЅСЏ РїР°Р»РёРІР°.</t>
  </si>
  <si>
    <t>W56064</t>
  </si>
  <si>
    <t>W56064 РџСЂРѕРјРёРІРєР°  СЂР°РґС–Р°С‚РѕСЂР° 12x325РјР»</t>
  </si>
  <si>
    <t>84.59</t>
  </si>
  <si>
    <t>Wynn's Radiator Flush С” РєРѕРЅС†РµРЅС‚СЂР°С‚РѕРј РґР»СЏ РѕС‡РёС‰РµРЅРЅСЏ Р°РІС‚РѕРјРѕР±С–Р»СЊРЅРёС… СЃРёСЃС‚РµРј РѕС…РѕР»РѕРґР¶РµРЅРЅСЏ.РџРѕС‚СѓР¶РЅРёР№ РѕС‡РёС‰СѓРІР°С‡ СЂР°РґС–Р°С‚РѕСЂР°, С‰Рѕ РЅРµ РјС–СЃС‚РёС‚СЊ РєРёСЃР»РѕС‚.РџРѕРґРІС–Р№РЅР° РґС–СЏ:1. Р’РёРґР°Р»СЏС” С€Р»Р°Рє.2. РЈСЃСѓРІР°С” С–СЂР¶Сѓ, РІС–РґРєР»Р°РґРµРЅРЅСЏ С‚Р° РјР°СЃР»СЏРЅС– Р·Р°Р»РёС€РєРё.РќР°РґР·РІРёС‡Р°Р№РЅРѕ РµС„РµРєС‚РёРІРЅРёР№ Сѓ РІСЃС–С… СЃРёСЃС‚РµРјР°С… РѕС…РѕР»РѕРґР¶РµРЅРЅСЏ Р·Р°РјРєРЅСѓС‚РѕРіРѕ РєРѕРЅС‚СѓСЂСѓ.</t>
  </si>
  <si>
    <t>W56479</t>
  </si>
  <si>
    <t>W56479 Р‘Р°РіР°С‚РѕС„СѓРЅРєС†С–РѕРЅР°Р»СЊРЅР° Р·РјР°Р·РєР° РІРѕРґРѕРІС–РґС€С‚РѕРІС…СѓРІР°Р»СЊРЅР°, РїСЂРѕРЅРёРєР°СЋС‡Р° (Р°РµСЂРѕР·РѕР»СЊ)  12x500РјР»</t>
  </si>
  <si>
    <t>152.64</t>
  </si>
  <si>
    <t>Wynn's Super Rust Penetrant Р±Р°РіР°С‚РѕС„СѓРЅРєС†С–РѕРЅР°Р»СЊРЅРµ Р·РјР°Р·СѓСЋС‡Рµ С– РїСЂРѕРЅРёРєР°СЋС‡Рµ РјР°СЃС‚РёР»Рѕ.Р РѕР·'С”РґРЅСѓС” Р·Р°РєР»РёРЅРµРЅС–, Р·Р°СЂР¶Р°РІС–Р»С– Р°Р±Рѕ РїРѕРєСЂРёС‚С– РєРѕСЂРѕР·С–С”СЋ РґРµС‚Р°Р»С–.Р—РјР°С‰СѓС” С– РѕС‡РёС‰Р°С” РІРёСЃРѕРєРѕС‚РѕС‡РЅС– РґРµС‚Р°Р»С– С– РјРµС…Р°РЅС–Р·РјРё. Р’С–РґС€С‚РѕРІС…СѓС” РІРѕРґСѓ С– РІРѕР»РѕРіСѓ.РњР°С” РІРёСЃРѕРєСѓ РґС–РµР»РµРєС‚СЂРёС‡РЅСѓ Р·РґР°С‚РЅС–СЃС‚СЊ.Р—Р°С…РёС‰Р°С” РІС–Рґ С–СЂР¶С–, РєРѕСЂРѕР·С–С— Р№ Р·Р°РјРµСЂР·Р°РЅРЅСЏ.Р’РёРґР°Р»СЏС” РјР°СЃР»Рѕ, РєРѕРЅСЃРёСЃС‚РµРЅС‚РЅС– РјР°СЃС‚РёР»Р° С– СЃРјРѕР»СЏРЅС– РїР»СЏРјРё.</t>
  </si>
  <si>
    <t>W59403</t>
  </si>
  <si>
    <t>W59403 РџСЂРёСЃР°РґРєР° РІ РјРµС…Р°РЅС–С‡РЅС–. РљРџРџ С– РјРѕСЃС‚Рё  24x125РјР»</t>
  </si>
  <si>
    <t>Wynn's H.P.L.S. РґРѕР±Р°РІРєР° РґР»СЏ РјРµС…Р°РЅС–С‡РЅРёС… РєРѕСЂРѕР±РѕРє РїРµСЂРµРґР°С‡ РїРѕР»С–РїС€СѓС” РїРµСЂРµРјРёРєР°РЅРЅСЏ РїРµСЂРµРґР°С‡, СѓСЃСѓРЅРµРЅРЅСЏ РІРёС‚РѕРєС–РІ РјР°СЃР»Р° С‡РµСЂРµР· СѓС‰С–Р»СЊРЅРµРЅРЅСЏ, С– Р·РјРµРЅС€РµРЅРЅСЏ РІС–Р±СЂР°С†С–Р№РЅРёС… С€СѓРјС–РІ С€РµСЃС‚РµСЂРµРЅСЊ С– РїС–РґС€РёРїРЅРёРєС–РІ.РџРѕРєСЂР°С‰СѓС” Р°РЅС‚РёС„СЂРёРєС†С–Р№РЅС– РІР»Р°СЃС‚РёРІРѕСЃС‚С–.РџРѕР»РµРіС€СѓС” РїРµСЂРµРјРёРєР°РЅРЅСЏ РїРµСЂРµРґР°С‡.Р—Р°Р±РµР·РїРµС‡СѓС” РіС–РґСЂРѕРґРёРЅР°РјС–С‡РЅРµ  Р·РјР°С‰СѓРІР°РЅРЅСЏ, РїСЂРё СЃРёР»СЊРЅРёС… РЅР°РІР°РЅС‚Р°Р¶РµРЅРЅСЏС… С– РїСЂРё РІРёСЃРѕРєС–Р№ С‚РµРјРїРµСЂР°С‚СѓСЂС–.Р—РЅРёР¶СѓС” В«С…РѕР»РѕРґРЅСѓ РІ'СЏР·РєС–СЃС‚СЊВ» РјР°СЃС‚РёР»Р°, РґР»СЏ Р·Р°Р±РµР·РїРµС‡РµРЅРЅСЏ РЅРµРіР°Р№РЅРѕРіРѕ Р·РјР°С‰СѓРІР°РЅРЅСЏ РїСЂРё С…РѕР»РѕРґРЅРѕРјСѓ СЃС‚Р°СЂС‚С–.Р—СѓРїРёРЅСЏС” С– Р·Р°РїРѕР±С–РіР°С” РІРёС‚РѕРєСѓ РјР°СЃР»Р° С‡РµСЂРµР· СЃР°Р»СЊРЅРёРєРё С– РіСѓРјРѕРІС– СѓС‰С–Р»СЊРЅРµРЅРЅСЏ.РЎСѓРјС–СЃРЅР° Р· СѓСЃС–РјР° СЃРёРЅС‚РµС‚РёС‡РЅРёРјРё С– РјС–РЅРµСЂР°Р»СЊРЅРёРјРё РјР°СЃС‚РёР»Р°РјРё РґР»СЏ РєРѕСЂРѕР±РѕРє РїРµСЂРµРґР°С‡ (РІ С‚РѕРјСѓ С‡РёСЃР»С– ATF Dexron, Mercon) С– РіС–РґСЂР°РІР»С–С‡РЅРёРјРё СЂС–РґРёРЅР°РјРё.</t>
  </si>
  <si>
    <t>W61354</t>
  </si>
  <si>
    <t>W61354 РџСЂРёСЃР°РґРєР° РґР»СЏ Рј'СЏРєРѕРіРѕ РѕС‡РёС‰РµРЅРЅСЏ РїР°Р»РёРІРЅРѕС— СЃРёСЃС‚РµРјРё Р±РµРЅР·РёРЅРѕРІРёС… РґРІРёРіСѓРЅС–РІ  24x325РјР»</t>
  </si>
  <si>
    <t>99.31</t>
  </si>
  <si>
    <t>Wynn's Fuel System Cleaner РїСЂРёР·РЅР°С‡РµРЅРёР№ РґР»СЏ РѕС‡РёС‰РµРЅРЅСЏ Р±РµРЅР·РёРЅРѕРІРёС… СЃРёСЃС‚РµРј РІРїСЂРёСЃРєСѓ.РџС–РґС‚СЂРёРјСѓС” РІ С‡РёСЃС‚РѕС‚С– СЃРёСЃС‚РµРјСѓ РІРїСЂРёСЃРєСѓ.Р—Р°РїРѕР±С–РіР°С” СѓС‚РІРѕСЂРµРЅРЅСЋ РІС–РґРєР»Р°РґРµРЅСЊ РІ С„РѕСЂСЃСѓРЅРєР°С… С– РЅР° РєР»Р°РїР°РЅР°С….Р—РјР°С‰СѓС” С„РѕСЂСЃСѓРЅРєРё, РІРїСѓСЃРєРЅС– РєР»Р°РїР°РЅРё, РїР°Р»РёРІРЅСѓ СЃРёСЃС‚РµРјСѓ С– РІРµСЂС…РЅСЋ С‡Р°СЃС‚РёРЅСѓ С†РёР»С–РЅРґСЂС–РІ.Р—Р°С…РёС‰Р°С” РІС–Рґ РєРѕСЂРѕР·С–С—.РџРѕРєСЂР°С‰СѓС” С…РѕР»РѕРґРЅРёР№ Р·Р°РїСѓСЃРє РґРІРёРіСѓРЅР°.Р”Р»СЏ РІСЃС–С… Р±РµРЅР·РёРЅРѕРІРёС… РґРІРёРіСѓРЅС–РІ Р· С–РЅР¶РµРєС‚РѕСЂРЅРѕС— Р°Р±Рѕ РєР°СЂР±СЋСЂР°С‚РѕСЂРЅРѕС— РїР°Р»РёРІРЅРѕСЋ СЃРёСЃС‚РµРјРѕСЋ.</t>
  </si>
  <si>
    <t>W61479</t>
  </si>
  <si>
    <t>W61479 РћС‡РёС‰СѓРІР°С‡ РіР°Р»СЊРј С– Р·С‡РµРїР»РµРЅРЅСЏ (Р°РµСЂРѕР·РѕР»СЊ) 12x500РјР»</t>
  </si>
  <si>
    <t>67.12</t>
  </si>
  <si>
    <t>Wynn's Brake and Clutch Cleaner РµС„РµРєС‚РёРІРЅРёР№ Р·Р°СЃС–Р± РґР»СЏ РѕС‡РёС‰РµРЅРЅСЏ С– Р·РЅРµР¶РёСЂРµРЅРЅСЏ РјРµС…Р°РЅС–С‡РЅРёС… РґРµС‚Р°Р»РµР№.Р’РёРґР°Р»СЏС” РјР°СЃР»Рѕ, РіР°Р»СЊРјС–РІРЅСѓ СЂС–РґРёРЅСѓ, РєРѕРЅСЃРёСЃС‚РµРЅС‚РЅС– РјР°СЃС‚РёР»Р° С‚Р° С–РЅС€С– Р·Р°Р±СЂСѓРґРЅСЋСЋС‡С– СЂРµС‡РѕРІРёРЅРё Р· РјРµС‚Р°Р»РµРІРёС… РґРµС‚Р°Р»РµР№.Р’РёРґР°Р»СЏС” В«РїРѕСЂРѕС€РєРѕРІРёР№В» РЅР°Р»С–С‚ Р· РґРµС‚Р°Р»РµР№ РіР°Р»СЊРјР° С– Р·С‡РµРїР»РµРЅРЅСЏ.Р’С–РґРЅРѕРІР»СЋС” С„СЂРёРєС†С–Р№РЅС– РІР»Р°СЃС‚РёРІРѕСЃС‚С– РЅР°РєР»Р°РґРѕРє РіР°Р»СЊРј С– Р·С‡РµРїР»РµРЅРЅСЏ.РџСЂРё РѕС‡РёС‰РµРЅРЅС– Р·Р°РїРѕР±С–РіР°С” СѓС‚РІРѕСЂРµРЅРЅСЋ Р°Р·Р±РµСЃС‚РѕРІРѕРіРѕ РїРёР»Сѓ.РќРµ Р·Р°Р»РёС€Р°С” СЃР»С–РґС–РІ.</t>
  </si>
  <si>
    <t>W64503</t>
  </si>
  <si>
    <t>W64503 РџСЂРёСЃР°РґРєР°  РґР»СЏ Р·СѓРїРёРЅРєРё С– Р·Р°РїРѕР±С–РіР°РЅРЅСЏ РІРёС‚РѕРєР°Рј РІ РіС–РґСЂРѕРїС–РґСЃРёР»СЋРІР°С‡С– РєРµСЂРјР°. 24x125РјР»</t>
  </si>
  <si>
    <t>Wynn's Power Steering Stop Leak СЂРѕР·С‡РёРЅРЅР° РІ РјР°СЃР»С– РїСЂРёСЃР°РґРєР°, РїСЂРёР·РЅР°С‡РµРЅР° РґР»СЏ Р·СѓРїРёРЅРєРё С‚Р° Р·Р°РїРѕР±С–РіР°РЅРЅСЏ РІРёС‚РѕРєС–РІ РІ РіС–РґСЂРѕРїС–РґСЃРёР»СЋРІР°С‡С– РєРµСЂРјР°.РџРѕРїРµСЂРµРґР¶СѓС” С– Р·СѓРїРёРЅСЏС” С‚РµС‡С– РјР°СЃР»Р° Р±РµР· РґРµРјРѕРЅС‚Р°Р¶Сѓ РґРµС‚Р°Р»РµР№.Р’С–РґРЅРѕРІР»СЋС” РµР»Р°СЃС‚РёС‡РЅС–СЃС‚СЊ РіСѓРјРѕРІРёС… СѓС‰С–Р»СЊРЅРµРЅСЊ.РџРѕР»РµРіС€СѓС” С– СЂРѕР±РёС‚СЊ С‚РёС…С–С€Рµ СЂРѕР±РѕС‚Сѓ СЂСѓР»СЊРѕРІРѕРіРѕ РіС–РґСЂРѕРїС–РґСЃРёР»СЋРІР°С‡Р°.РџСЂРѕРґРѕРІР¶СѓС” С‚РµСЂРјС–РЅ СЃР»СѓР¶Р±Рё РґРµС‚Р°Р»РµР№.</t>
  </si>
  <si>
    <t>W64544</t>
  </si>
  <si>
    <t>W64544 РџСЂРёСЃР°РґРєР° РІ РђРљРџРџ С– РіС–РґСЂРѕРїС–РґСЃРёР»СЋРІР°С‡ 24x325РјР»</t>
  </si>
  <si>
    <t>Wynn's Automatic Transmission Treatment РїСЂРёСЃР°РґРєР° РґР»СЏ Р°РІС‚РѕРјР°С‚РёС‡РЅРёС… С‚СЂР°РЅСЃРјС–СЃС–Р№, СЃРїРµС†С–Р°Р»СЊРЅРѕ СЂРѕР·СЂРѕР±Р»РµРЅР° РґР»СЏ Р·РЅРёР¶РµРЅРЅСЏ Р·РЅРѕСЃСѓ С– РїРѕР»С–РїС€РµРЅРЅСЏ РїРµСЂРµРјРёРєР°РЅРЅСЏ РїРµСЂРµРґР°С‡.Р—СѓРїРёРЅСЏС” С– Р·Р°РїРѕР±С–РіР°С” С‚РµС‡С–.Р—Р°РїРѕР±С–РіР°С” СЃС‚Р°СЂС–РЅРЅСЋ С– РѕРєРёСЃР»РµРЅРЅСЏ СЂС–РґРёРЅ РґР»СЏ Р°РІС‚РѕРјР°С‚РёС‡РЅРёС… С‚СЂР°РЅСЃРјС–СЃС–Р№.</t>
  </si>
  <si>
    <t>W66479</t>
  </si>
  <si>
    <t>W66479 РњР°СЃС‚РёР»Рѕ РґР»СЏ Р»Р°РЅС†СЋРіС–РІ (Р°РµСЂРѕР·РѕР»СЊ) 12x500РјР»</t>
  </si>
  <si>
    <t>164.96</t>
  </si>
  <si>
    <t>Wynn's Chain Lube С” СЃРёР»СЊРЅРѕ Р°РґРіРµР·С–Р№РЅРёРј РІРѕРґРѕРІС–РґС€С‚РѕРІС…СѓРІР°Р»СЊРЅРёРј РјР°СЃС‚РёР»РѕРј Р· РІРёСЃРѕРєРёРјРё РїСЂРѕРЅРёРєР°СЋС‡РёРјРё РІР»Р°СЃС‚РёРІРѕСЃС‚СЏРјРё. Р—Р°С…РёС‰Р°С” РІС–Рґ С–СЂР¶С– С– РєРѕСЂРѕР·С–С—.Р—РЅРёР¶СѓС” С‚РµСЂС‚СЏ С– Р·РЅРѕСЃ.Р—Р°РїРѕР±С–РіР°С” СЃРєСѓРїС‡РµРЅРЅСЋ Р±СЂСѓРґСѓ С– РІС–РґРєР»Р°РґРµРЅСЊ.РЎС‚С–Р№РєРµ РґРѕ Р±СЂСѓРґСѓ, С…РѕР»РѕРґСѓ, СЃРїРµРєРё С‚Р° СЃРѕР»РѕРЅРѕС— РІРѕРґРё.РќРµ РїСЂРѕРІРѕРґРёС‚СЊ РµР»РµРєС‚СЂРёРєСѓ.\n</t>
  </si>
  <si>
    <t>W66841</t>
  </si>
  <si>
    <t>W66841 РџСЂРёСЃР°РґРєР° РІ РґРІРёРіСѓРЅРё Р· СЃРёСЃС‚РµРјРѕСЋ СЃС‚Р°СЂС‚-СЃС‚РѕРї 24x325РјР»</t>
  </si>
  <si>
    <t>118.00</t>
  </si>
  <si>
    <t>Wynn's Start-Stop - Р·Р°СЃС–Р±, СЏРєРёР№ Р·Р°Р±РµР·РїРµС‡СѓС” Р·Р°С…РёСЃС‚ РјР°СЃР»СЏРЅРѕС— РїР»С–РІРєРё РЅР° С‡Р°СЃС‚РёРЅР°С… РґРІРёРіСѓРЅР° РїС–Рґ С‡Р°СЃ РїСЂРѕС†РµСЃСѓ Р·Р°РїСѓСЃРєСѓ / Р·СѓРїРёРЅРєРё.РћРїС‚РёРјР°Р»СЊРЅРёР№ Р·Р°С…РёСЃС‚ РІС–Рґ  Р·РЅРѕСЃСѓ. Р—Р°С…РёС‰Р°С” РјРѕС‚РѕСЂРЅРµ РјР°СЃР»Рѕ РІС–Рґ РїРµСЂРµРґС‡Р°СЃРЅРѕРіРѕ РѕРєРёСЃР»РµРЅРЅСЏ.Р’С–РґРЅРѕРІР»СЋС” РІС‚СЂР°С‚Сѓ РІ'СЏР·РєРѕСЃС‚С– РјРѕС‚РѕСЂРЅРѕРіРѕ РјР°СЃР»Р°.РџРѕРєСЂР°С‰СѓС” С‡РёСЃС‚РѕС‚Сѓ РјРѕС‚РѕСЂРЅРѕРіРѕ РјР°СЃР»Р° С‚Р° РєРѕРјРїРѕРЅРµРЅС‚С–РІ РґРІРёРіСѓРЅР°.РЎСѓРјС–СЃРЅС–СЃС‚СЊ Р· СѓСЃС–РјР° РјС–РЅРµСЂР°Р»СЊРЅРёРјРё, СЃРёРЅС‚РµС‚РёС‡РЅРёРјРё, РѕРґРЅРѕ- С‚Р° Р±Р°РіР°С‚РѕСЃС‚СѓРїС–РЅС‡Р°СЃС‚РёРјРё РјР°СЃР»Р°РјРё.</t>
  </si>
  <si>
    <t>W70701</t>
  </si>
  <si>
    <t>W70701 РљРѕРјРїР»РµРєСЃРЅР° РґРѕР±Р°РІРєР° РІ РїР°Р»РёРІРЅРёР№ Р±Р°Рє Р±РµРЅР·РёРЅРѕРІРѕРіРѕ РґРІРёРіСѓРЅР° 12x500РјР»</t>
  </si>
  <si>
    <t>204.13</t>
  </si>
  <si>
    <t>Wynn's High Performance Petrol System Treatment С…С–РјС–С‡РЅР° РґРѕР±Р°РІРєР°, РґРѕ СЃРєР»Р°РґСѓ СЏРєРѕС— РІС…РѕРґСЏС‚СЊ РєРѕРјРїРѕРЅРµРЅС‚Рё, С‰Рѕ РїРѕР»С–РїС€СѓСЋС‚СЊ Р·РіРѕСЂР°РЅРЅСЏ РїР°Р»РёРІР°, Р° С‚Р°РєРѕР¶ РїСЂРѕРјРёРІРЅС– С–РЅРіСЂРµРґС–С”РЅС‚Рё, СЏРєС– РЅР°РґР°СЋС‚СЊ РїРѕС‚СЂС–Р№РЅРёР№ РµС„РµРєС‚:\n1) РџС–РґРІРёС‰РµРЅРЅСЏ РµС„РµРєС‚РёРІРЅРѕСЃС‚С– СЂРѕР±РѕС‚Рё РґРІРёРіСѓРЅР°.\n2) Р—РЅРёР¶РµРЅРЅСЏ РІРёС‚СЂР°С‚Рё РїР°Р»РёРІР°.\n3) РћС‡РёС‰РµРЅРЅСЏ СЃРёСЃС‚РµРјРё РІРїСЂРёСЃРєСѓ.</t>
  </si>
  <si>
    <t>W70759</t>
  </si>
  <si>
    <t>W70759 РЎРёР»СЊРЅРёР№ РѕС‡РёС‰СѓРІР°С‡ РїР°Р»РёРІРЅРѕС— СЃРёСЃС‚РµРјРё Р±РµРЅР·РёРЅРѕРІРёС… РґРІРёРіСѓРЅС–РІ 12x325РјР»</t>
  </si>
  <si>
    <t>W71851</t>
  </si>
  <si>
    <t>W71851 РџСЂРёСЃР°РґРєР° РІ РїР°Р»РёРІРѕ (РћСЃСѓС€СѓРІР°С‡ РїР°Р»РёРІР°) 24x325РјР»</t>
  </si>
  <si>
    <t>Wynn's Dry Fuel РІРёРґР°Р»СЏС” РєРѕРЅРґРµРЅСЃР°С‚ РІ РїР°Р»РёРІРЅС–Р№ СЃРёСЃС‚РµРјС– (Р·Р°СЃС‚РѕСЃРѕРІСѓС”С‚СЊСЃСЏ РґР»СЏ Р±РµРЅР·РёРЅРѕРІРёС… С– РґРёР·РµР»СЊРЅРёС… РґРІРёРіСѓРЅС–РІ).РђР±СЃРѕСЂР±СѓС” РІРѕРґСѓ РІ РїР°Р»РёРІРЅС–Р№ СЃРёСЃС‚РµРјС–.Р—Р°С…РёС‰Р°С” РІС–Рґ СѓС‚РІРѕСЂРµРЅРЅСЏ РєРѕСЂРѕР·С–С—.РџРµСЂРµС€РєРѕРґР¶Р°С” СѓС‚РІРѕСЂРµРЅРЅСЋ Р»СЊРѕРґСѓ РІ РїР°Р»РёРІРЅС–Р№ СЃРёСЃС‚РµРјС–.Р—Р°Р±РµР·РїРµС‡СѓС” Рј'СЏРєРµ РѕС‡РёС‰РµРЅРЅСЏ С–РЅР¶РµРєС‚РѕСЂС–РІ.РџРѕРєСЂР°С‰СѓС” С…РѕР»РѕРґРЅРёР№ Р·Р°РїСѓСЃРє РґРІРёРіСѓРЅР°.</t>
  </si>
  <si>
    <t>W71864</t>
  </si>
  <si>
    <t>W71864 РћС‡РёСЃРЅРёРє С–РЅР¶РµРєС‚РѕСЂР° РїР°Р»РёРІРЅР° РґРѕР±Р°РІРєР° РґР»СЏ Р±РµРЅР·РёРЅРѕРІРёС… С– РґРёР·РµР»СЊРЅРёС… РґРІРёРіСѓРЅС–РІ 12x325РјР»</t>
  </si>
  <si>
    <t>Wynn's Injection Cleaner - С†Рµ РїР°Р»РёРІРЅР° РґРѕР±Р°РІРєР° РґР»СЏ Р±РµРЅР·РёРЅРѕРІРёС… С– РґРёР·РµР»СЊРЅРёС… РґРІРёРіСѓРЅС–РІ, РїСЂРёР·РЅР°С‡РµРЅР° РґР»СЏ РЅРµР№С‚СЂР°Р»С–Р·Р°С†С–С— РЅРµРіР°С‚РёРІРЅРёС… РІРїР»РёРІС–РІ РІРѕРґРё РЅР° РїР°Р»РёРІРѕ.РћС‡РёС‰Р°С” С–РЅР¶РµРєС‚РѕСЂРё Р±РµРЅР·РёРЅРѕРІРёС… С– РґРёР·РµР»СЊРЅРёС… РґРІРёРіСѓРЅС–РІ.РќРµР№С‚СЂР°Р»С–Р·СѓС” С– РїРѕРіР»РёРЅР°С” РєРѕРЅРґРµРЅСЃР°С‚РЅСѓ РІРѕРґСѓ РІ РїР°Р»РёРІРЅРѕРјСѓ Р±Р°С†С– С‚Р° РїР°Р»РёРІРЅС–Р№ СЃРёСЃС‚РµРјС– РґР»СЏ РІРёРґР°Р»РµРЅРЅСЏ РІ РїСЂРѕС†РµСЃС– Р·РіРѕСЂСЏРЅРЅСЏ.Р—Р°РїРѕР±С–РіР°С” С–СЂР¶С– С‚Р° РєРѕСЂРѕР·С–С— Сѓ РїРѕРІРЅС–Р№ РїР°Р»РёРІРЅС–Р№ СЃРёСЃС‚РµРјС–. Р—Р°РїРѕР±С–РіР°С” Р·Р°РјРµСЂР·Р°РЅРЅСЏ РІ РєР°СЂР±СЋСЂР°С‚РѕСЂС– С‚Р° РїР°Р»РёРІРЅРѕРјСѓ С„С–Р»СЊС‚СЂС–.\n</t>
  </si>
  <si>
    <t>W71867</t>
  </si>
  <si>
    <t>W71867 РџСЂРёСЃР°РґРєР° РІ РїР°Р»РёРІРѕ РґР»СЏ РїРѕРіР»РёРЅР°РЅРЅСЏ РІРѕРґСЏРЅРѕРіРѕ РєРѕРЅРґРµРЅСЃР°С‚Сѓ 12x325РјР»</t>
  </si>
  <si>
    <t>104.82</t>
  </si>
  <si>
    <t>W72250</t>
  </si>
  <si>
    <t>W72250 Р“РµСЂРјРµС‚РёРє Р±Р»РѕРєСѓ С†РёР»С–РЅРґСЂС–РІ 24x325РјР»</t>
  </si>
  <si>
    <t>W74944</t>
  </si>
  <si>
    <t>W74944 РџСЂРёСЃР°РґРєР° РґР»СЏ Р·Р±С–Р»СЊС€РµРЅРЅСЏ С‚РёСЃРєСѓ РјР°СЃР»Р°  24x325РјР»</t>
  </si>
  <si>
    <t>114.02</t>
  </si>
  <si>
    <t>Wynn's Super ChargeВ® - РїСЂРёСЃР°РґРєР° РїРѕРґРІС–Р№РЅРѕС— РґС–С—, СЂРѕР·СЂРѕР±Р»РµРЅР° РґР»СЏ РїРѕР»С–РїС€РµРЅРЅСЏ РІ'СЏР·РєС–СЃРЅРёС…  С…Р°СЂР°РєС‚РµСЂРёСЃС‚РёРє РјРѕС‚РѕСЂРЅРёС… РјР°СЃРµР» РїСЂРё РІРёСЃРѕРєРёС… С‚РµРјРїРµСЂР°С‚СѓСЂР°С… С– РґР»СЏ Р·Р°РїРѕР±С–РіР°РЅРЅСЏ С‚РµС‡С– РіСѓРјРѕРІРёС… / РЅРµРѕРїСЂРµРЅРѕРІРёС… РїСЂРѕРєР»Р°РґРѕРє.Р—РЅРёР¶СѓС” РЅР°РґРјС–СЂРЅС– РІРёС‚СЂР°С‚Рё РјР°СЃР»Р° С‡РµСЂРµР· РїРѕСЂС€РЅРµРІС– РєС–Р»СЊС†СЏ С– РЅР°РїСЂР°РІР»СЏСЋС‡С– РєР»Р°РїР°РЅС–РІ.Р’С–РґРЅРѕРІР»СЋС” РєРѕРјРїСЂРµСЃС–СЋ С– С‚РёСЃРє РјР°СЃР»Р°.Р—РЅРёР¶СѓС” РєС–Р»СЊРєС–СЃС‚СЊ РґРёРјРЅРѕСЃС‚С– РІРёС…Р»РѕРїРЅРёС… РіР°Р·С–РІ РїСЂРё РїС–РґРІРёС‰РµРЅС–Р№ РІРёС‚СЂР°С‚С– РјР°СЃР»Р°. РЈС‚РІРѕСЂСЋС” РјС–С†РЅСѓ РјР°СЃР»СЏРЅСѓ РїР»С–РІРєСѓ РїСЂРё РІРёСЃРѕРєРёС… С‚РµРјРїРµСЂР°С‚СѓСЂР°С… С– РЅР°РІР°РЅС‚Р°Р¶РµРЅРЅСЏС….\n</t>
  </si>
  <si>
    <t>W76401</t>
  </si>
  <si>
    <t>W76401 РљРѕРјРїР»РµРєСЃРЅР° РґРѕР±Р°РІРєР° РІ РїР°Р»РёРІРЅРёР№ Р±Р°Рє РґРёР·РµР»СЊРЅРѕРіРѕ РґРІРёРіСѓРЅР° 12x500РјР»</t>
  </si>
  <si>
    <t>210.75</t>
  </si>
  <si>
    <t>Wynn's High Performance Diesel System Treatment С…С–РјС–С‡РЅР° РґРѕР±Р°РІРєР°, РґРѕ СЃРєР»Р°РґСѓ СЏРєРѕС— РІС…РѕРґСЏС‚СЊ РїСЂРѕРјРёРІРЅС– С–РЅРіСЂРµРґС–С”РЅС‚Рё С– С†РµСЂС–Р№ , РјС–СЃС‚РёС‚СЊ РєРѕРјРїРѕРЅРµРЅС‚, СЏРєРёР№ РЅР°РґР°С” РїРѕС‚СЂС–Р№РЅСѓ РґС–СЋ:\n1) РџС–РґРІРёС‰РµРЅРЅСЏ РµС„РµРєС‚РёРІРЅРѕСЃС‚С– СЂРѕР±РѕС‚Рё РґРІРёРіСѓРЅР°\n2) Р—РЅРёР¶РµРЅРЅСЏ РІРёС‚СЂР°С‚ РїР°Р»РёРІР°\n3) Р—РјРµРЅС€РµРЅРЅСЏ С‡РѕСЂРЅРѕРіРѕ РІРёС…Р»РѕРїСѓ</t>
  </si>
  <si>
    <t>W76459</t>
  </si>
  <si>
    <t>W76459 РЎРёР»СЊРЅРёР№ РѕС‡РёС‰СѓРІР°С‡ РїР°Р»РёРІРЅРѕС— СЃРёСЃС‚РµРјРё РґРёР·РµР»СЊРЅРёС… РґРІРёРіСѓРЅС–РІ  12x325РјР»</t>
  </si>
  <si>
    <t>Wynn's 3XA РґР»СЏ РґРёР·РµР»СЊРЅРёС… РґРІРёРіСѓРЅС–РІ - С…С–РјС–С‡РЅР° РїСЂРёСЃР°РґРєР° Р· РїРѕС‚СЂС–Р№РЅРѕСЋ РґС–С”СЋ:\n1) Р·РЅР°С‡РЅРѕ Р·РјРµРЅС€СѓС” РІРёРєРёРґ СЃР°Р¶С–\n2) РѕС‡РёС‰Р°С” СЃРёСЃС‚РµРјСѓ РІРїСЂРёСЃРєСѓ С‚Р° РІРёС…Р»РѕРїСѓ\n3) Р·РЅРёР¶СѓС” СЃРїРѕР¶РёРІР°РЅРЅСЏ РїР°Р»РёРІР°</t>
  </si>
  <si>
    <t>W76695</t>
  </si>
  <si>
    <t>W76695 Р С–РґРёРЅР°(РїСЂРѕРјРёРІРєР°) РґР»СЏ СѓСЃС‚Р°РЅРѕРІРєРё FuelServe (Р±РµРЅР·РёРЅ). 12x1Р»</t>
  </si>
  <si>
    <t>190.70</t>
  </si>
  <si>
    <t>Wynn's Injection System Purge Р·Р°СЃС–Р± РґР»СЏ РѕС‡РёС‰РµРЅРЅСЏ, РІРёРґР°Р»РµРЅРЅСЏ Р±СЂСѓРґСѓ С– РІС–РґРєР»Р°РґРµРЅСЊ РІ СЃРёСЃС‚РµРјР°С… Р· Р±РµРЅР·РёРЅРѕРІРёРј РІРїСЂРёСЃРєРѕРј, Р±РµР· СЂРѕР·Р±РёСЂР°РЅРЅСЏ.РћС‡РёС‰Р°С” РєР»Р°РїР°РЅРё, С–РЅР¶РµРєС‚РѕСЂРё, РєР°РјРµСЂРё Р·РіРѕСЂСЏРЅРЅСЏ С– С–РЅС€С– РґРµС‚Р°Р»С– РїР°Р»РёРІРЅРѕС— СЃРёСЃС‚РµРјРё РґРІРёРіСѓРЅР° РІРЅСѓС‚СЂС–С€РЅСЊРѕРіРѕ Р·РіРѕСЂСЏРЅРЅСЏ Р±РµР· РґРµРјРѕРЅС‚Р°Р¶Сѓ РєРѕРјРїРѕРЅРµРЅС‚С–РІ.Р’С–РґРЅРѕРІР»СЋС” СЂРѕР·РїРёР» С„РѕСЂСЃСѓРЅРѕРє.РџРѕРєСЂР°С‰СѓС” СЃРїС–РІРІС–РґРЅРѕС€РµРЅРЅСЏ Р±Р°Р»Р°РЅСЃСѓ РєРѕРјРїСЂРµСЃС–С— С†РёР»С–РЅРґСЂС–РІ.РџРѕРєСЂР°С‰СѓС” СЃРїС–РІРІС–РґРЅРѕС€РµРЅРЅСЏ Р±Р°Р»Р°РЅСЃСѓ РїРѕРІС–С‚СЂСЏРЅРѕ-РїР°Р»РёРІРЅРѕС— СЃСѓРјС–С€С–.Р’С–РґРЅРѕРІР»СЋС” С‡Р°СЃ РІРїСЂРёСЃРєСѓ  РґРѕ РїРѕС‡Р°С‚РєРѕРІРѕРіРѕ Р·РЅР°С‡РµРЅРЅСЏ.Р—РЅРёР¶СѓС” С‚РѕРєСЃРёС‡РЅС–СЃС‚СЊ РІРёС…Р»РѕРїРЅРёС… РіР°Р·С–РІ (CO С– HC). Р‘РµР·РїРµС‡РЅРёР№ РґР»СЏ СЃРІС–С‡РѕРє Р·Р°РїР°Р»СЋРІР°РЅРЅСЏ С– РІСЃС–С”С— СЃРёСЃС‚РµРјРё РІРёС…Р»РѕРїСѓ.</t>
  </si>
  <si>
    <t>W76844</t>
  </si>
  <si>
    <t>W76844 Рњ'СЏРєРёР№ РѕС‡РёСЃРЅРёРє РјР°СЃР»СЏРЅРѕС— СЃРёСЃС‚РµРјРё. (РќР° 500 РєРј.) 24x325РјР»</t>
  </si>
  <si>
    <t>108.50</t>
  </si>
  <si>
    <t>Wynn's Hydraulic Valve Lifter Concentrate РїСЂРёСЃР°РґРєР° РґР»СЏ РІРёРґР°Р»РµРЅРЅСЏ РІС–РґРєР»Р°РґРµРЅСЊ РІ РґРІРёРіСѓРЅС– С– РґР»СЏ РІС–РґРЅРѕРІР»РµРЅРЅСЏ РЅРѕСЂРјР°Р»СЊРЅРѕС— СЂРѕР±РѕС‚Рё РіРёРґСЂРѕРєРѕРјРїРµРЅСЃР°С‚РѕСЂС–РІ  Р—РјРµРЅС€СѓС” С€СѓРј РІС–Рґ РіРёРґСЂРѕРєРѕРјРїРµРЅСЃР°С‚РѕСЂРѕРІ С– РєР»Р°РїР°РЅС–РІ. Р РѕР·С‡РёРЅСЏС” Р±СЂСѓРґ, РЅР°РіР°СЂ С– Р»Р°РєРѕРІС– РІС–РґРєР»Р°РґРµРЅРЅСЏ РІ РјР°СЃР»СЏРЅРёС… РєР°РЅР°Р»Р°С….РЎСѓРјС–СЃРЅР° Р· СѓСЃС–РјР° РјС–РЅРµСЂР°Р»СЊРЅРёРјРё, СЃРёРЅС‚РµС‚РёС‡РЅРёРјРё, РЅР°РїС–РІСЃРёРЅС‚РµС‚РёС‡РЅРёРјРё, РѕРґРЅРѕ- С– РІСЃРµСЃРµР·РѕРЅРЅРёРјС–, Р° С‚Р°Рє Р¶Рµ low SAPS РјР°СЃР»Р°РјРё.</t>
  </si>
  <si>
    <t>W77101</t>
  </si>
  <si>
    <t>W77101 РљРѕРјРїР»РµРєСЃРЅР° РґРѕР±Р°РІРєР° РІ РјРѕС‚РѕСЂРЅРµ РјР°СЃР»Рѕ 12x500РјР»</t>
  </si>
  <si>
    <t>224.73</t>
  </si>
  <si>
    <t>Wynn's High Performance Engine Treatment - С…С–РјС–С‡РЅР° РїСЂРёСЃР°РґРєР° РїРѕРІРЅС–СЃС‚СЋ СЂРѕР·С‡РёРЅРЅР° РІ РјР°СЃР»С–, СЏРєР° РјР°С” РїРѕРґРІС–Р№РЅСѓ РґС–СЋ:\n1) Р—Р±С–Р»СЊС€СѓС” РєРѕРјРїСЂРµСЃС–СЋ. 2) Р—РјРµРЅС€СѓС” Р·РЅРѕСЃ. Р”РѕРїРѕРјР°РіР°С” РїСЂРѕРґРѕРІР¶РёС‚Рё С‚РµСЂРјС–РЅ СЃР»СѓР¶Р±Рё РґРІРёРіСѓРЅР° Р·Р° СЂР°С…СѓРЅРѕРє Р·РЅРёР¶РµРЅРЅСЏ РѕРєРёСЃР»РµРЅРЅСЏ РјР°СЃР»Р°, С‚РµСЂС‚СЏ С– Р·РЅРѕСЃСѓ.РџС–РґРІРёС‰СѓС” РєРѕРјРїСЂРµСЃС–СЋ С– РїРѕРєСЂР°С‰СѓС” С–РЅРґРµРєСЃ РІ'СЏР·РєРѕСЃС‚С– РјР°СЃР»Р°, Р·Р°РїРѕР±С–РіР°С” РїРµСЂРµРґС‡Р°СЃРЅРѕРјСѓ Р·Р°РіСѓСЃС‚С–РЅРЅСЏ Р·Р°Р»РёС‚РѕРіРѕ РјР°СЃР»Р°. Р—Р°РїРѕР±С–РіР°С” СЃРєСѓРїС‡РµРЅРЅСЋ С€Р»Р°РјСѓ С– Р±СЂСѓРґСѓ| РїС–РґС‚СЂРёРјСѓС” С‡РёСЃС‚РѕС‚Сѓ СЃРёСЃС‚РµРјРё Р·РјР°С‰РµРЅРЅСЏ.РЎСѓРјС–СЃРЅР° Р· СѓСЃС–РјР° РІРёРґР°РјРё РјРѕС‚РѕСЂРЅРѕРіРѕ РјР°СЃР»Р°.</t>
  </si>
  <si>
    <t>W77263</t>
  </si>
  <si>
    <t>W77263 РџСЂРёСЃР°РґРєР° РІ РґРІРёРіСѓРЅРё Р· СЃРёСЃС‚РµРјРѕСЋ СЃС‚Р°СЂС‚-СЃС‚РѕРї 12x325РјР»</t>
  </si>
  <si>
    <t>Wynn's Start-Stop Engine Protector С” РїСЂРёСЃР°РґРєР°, СЏРєР° Р·Р°Р±РµР·РїРµС‡СѓС” Р·Р°С…РёСЃС‚ РјР°СЃР»СЏРЅРѕС— РїР»С–РІРєРё РЅР° С‡Р°СЃС‚РёРЅР°С… РґРІРёРіСѓРЅР° РїС–Рґ С‡Р°СЃ РїСЂРѕС†РµСЃСѓ Р·СѓРїРёРЅРєРё / Р·Р°РїСѓСЃРєСѓ.</t>
  </si>
  <si>
    <t>W77441</t>
  </si>
  <si>
    <t>W77441 Р“РµСЂРјРµС‚РёРє Р·РјР°С‰СѓРІР°Р»СЊРЅРѕС— СЃРёСЃС‚РµРјРё  24x325РјР»</t>
  </si>
  <si>
    <t>118.25</t>
  </si>
  <si>
    <t>Wynn's Engine Oil Stop Leak - СЂРѕР·С‡РёРЅРЅР° РїСЂРёСЃР°РґРєР°, РїСЂРёР·РЅР°С‡РµРЅР° РґР»СЏ Р·СѓРїРёРЅРєРё С‚Р° Р·Р°РїРѕР±С–РіР°РЅРЅСЏ РІРёС‚РѕРєСѓ РјРѕС‚РѕСЂРЅРѕРіРѕ РјР°СЃР»Р° Р±РµР· РґРµРјРѕРЅС‚Р°Р¶Сѓ.\n</t>
  </si>
  <si>
    <t>W89195</t>
  </si>
  <si>
    <t>W89195 Р С–РґРёРЅР° (РїСЂРѕРјРёРІРєР°)РґР»СЏ СѓСЃС‚Р°РЅРѕРІРєРё FuelServe (РґРёР·РµР»СЊ).12x 1Р»</t>
  </si>
  <si>
    <t>Wynn's Diesel System Purge СЃС‚РІРѕСЂРµРЅРёР№ РґР»СЏ СѓСЃСѓРЅРµРЅРЅСЏ Р±СЂСѓРґСѓ С– РІС–РґРєР»Р°РґРµРЅСЊ РІ СЃРёСЃС‚РµРјР°С… РІРїСЂРёСЃРєСѓ С‚СЂР°РєС‚РѕСЂС–РІ, РєРѕРјР±Р°Р№РЅС–РІ, СЃРёР»РѕРІРѕС— С‚РµС…РЅС–РєРё С– СЃС‚Р°С†С–РѕРЅР°СЂРЅРѕРіРѕ РѕР±Р»Р°РґРЅР°РЅРЅСЏ Р±РµР· С—С— РґРµРјРѕРЅС‚Р°Р¶Сѓ. РЎРїРµС†С–Р°Р»СЊРЅРµ РѕР±Р»Р°РґРЅР°РЅРЅСЏ РґРѕР·РІРѕР»СЏС” РїСЂРѕРјРёС‚Рё СЃРёСЃС‚РµРјСѓ С€РІРёРґРєРѕ С– РµС„РµРєС‚РёРІРЅРѕ !!!РћС‡РёС‰Р°С” РєР»Р°РїР°РЅРё, С„РѕСЂСЃСѓРЅРєРё, РєР°РјРµСЂРё Р·РіРѕСЂСЏРЅРЅСЏ С– С–РЅС€С– РґРµС‚Р°Р»С– РїР°Р»РёРІРЅРѕС— СЃРёСЃС‚РµРјРё РґРёР·РµР»СЊРЅРѕРіРѕ РґРІРёРіСѓРЅР° Р±РµР· РґРµРјРѕРЅС‚Р°Р¶Сѓ РєРѕРјРїРѕРЅРµРЅС‚С–РІ.Р’С–РґРЅРѕРІР»СЋС” СЂРѕР±РѕС‚Сѓ С„РѕСЂСЃСѓРЅРѕРє, РЅР°СЃРѕСЃС–РІ РІРёСЃРѕРєРѕРіРѕ С‚РёСЃРєСѓ С– РЅР°СЃРѕСЃ-С„РѕСЂСЃСѓРЅРѕРє, Р° С‚Р°РєРѕР¶ РїРѕРєСЂР°С‰СѓС” РїСЂРѕС†РµСЃ Р·РіРѕСЂР°РЅРЅСЏ РїР°Р»РёРІР°. Р РѕР·РєРѕРєСЃРѕРІСѓСЋС‡РёР№ РµС„РµРєС‚.Р‘РµР·РїРµС‡РЅРёР№ РґР»СЏ РІСЃС–С… РІРёС…Р»РѕРїРЅРёС… СЃРёСЃС‚РµРј РІ С‚РѕРјСѓ С‡РёСЃР»С– РґР»СЏ РєР°С‚Р°Р»С–С‚РёС‡РЅРёС… РЅРµР№С‚СЂР°Р»С–Р·Р°С‚РѕСЂС–РІ С– СЃР°Р¶РѕРІРёС… С„С–Р»СЊС‚СЂС–РІ (DPF).</t>
  </si>
  <si>
    <t>WYNN'S OIL</t>
  </si>
  <si>
    <t>WYNN'S 5W40 PLUS COMPETITION 1L (12С…1Р›)</t>
  </si>
  <si>
    <t>119.27</t>
  </si>
  <si>
    <t>API SN/CF - ACEA A3/B4  | VW 505.00, 502.00  | MB 229.3  | RN 0700, RN 0710\nРџРѕРІРЅС–СЃС‚СЋ СЃРёРЅС‚РµС‚РёС‡РЅР° РјРѕС‚РѕСЂРЅР° РѕР»РёРІР° РІРёС‰РѕС— СЏРєРѕСЃС‚С–, СЃРїРµС†С–Р°Р»СЊРЅРѕ СЂРѕР·СЂРѕР±Р»РµРЅР° РґР»СЏ РµРєСЃС‚СЂРµРјР°Р»СЊРЅРѕРіРѕ\nР·Р°С…РёСЃС‚Сѓ РІСЃС–С… С‚РёРїС–РІ РґРІРёРіСѓРЅС–РІ: Р±РµРЅР·РёРЅ, РґРёР·РµР»СЊРЅРµ РїР°Р»РёРІРѕ С– С‚СѓСЂР±Рѕ-РґРёР·РµР»СЊ. Р РѕР·СЂРѕР±Р»РµРЅРѕ РґР»СЏ РґРІРёРіСѓРЅС–РІ Р· РїСЂСЏРјРёРј РІРїСЂРёСЃРєРѕРј.\n</t>
  </si>
  <si>
    <t>WYNN'S 5W40 PLUS COMPETITION 5L (5С…5Р›)</t>
  </si>
  <si>
    <t>523.16</t>
  </si>
  <si>
    <t>API SN/CF - ACEA A3/B4  | VW 505.00, 502.00  | MB 229.3  | RN 0700, RN 0710\nРџРѕРІРЅС–СЃС‚СЋ СЃРёРЅС‚РµС‚РёС‡РЅР° РјРѕС‚РѕСЂРЅР° РѕР»РёРІР° РІРёС‰РѕС— СЏРєРѕСЃС‚С–, СЃРїРµС†С–Р°Р»СЊРЅРѕ СЂРѕР·СЂРѕР±Р»РµРЅР° РґР»СЏ РµРєСЃС‚СЂРµРјР°Р»СЊРЅРѕРіРѕ\nР·Р°С…РёСЃС‚Сѓ РІСЃС–С… С‚РёРїС–РІ РґРІРёРіСѓРЅС–РІ: Р±РµРЅР·РёРЅ, РґРёР·РµР»СЊРЅРµ РїР°Р»РёРІРѕ С– С‚СѓСЂР±Рѕ-РґРёР·РµР»СЊ. Р РѕР·СЂРѕР±Р»РµРЅРѕ РґР»СЏ РґРІРёРіСѓРЅС–РІ Р· РїСЂСЏРјРёРј РІРїСЂРёСЃРєРѕРј.</t>
  </si>
  <si>
    <t>WYNN'S 10W40 ENERGY 1L (12С…1Р›)</t>
  </si>
  <si>
    <t>91.61</t>
  </si>
  <si>
    <t>API SL/CF   ACEA A3/B4     MB 229.1    VW 501.01/505.00\nР’РёСЃРѕРєРѕСЏРєС–cРЅР° РјРѕС‚РѕСЂРЅРѕ РѕР»РёРІР° РЅР° СЃРёРЅС‚РµС‚РёС‡РЅС–Р№ РѕСЃРЅРѕРІС–, СЃРїРµС†С–Р°Р»СЊРЅРѕ СЂРѕР·СЂРѕР±Р»РµРЅР° РґР»СЏ Р·Р°Р±РµР·РїРµС‡РµРЅРЅСЏ РµРєСЃС‚СЂРµРјР°Р»СЊРЅРѕРіРѕ Р·Р°С…РёСЃС‚Сѓ\nС– РїСЂРѕРґСѓРєС‚РёРІРЅРѕСЃС‚С– РґР»СЏ РІСЃС–С… РґРІРёРіСѓРЅС–РІ: Р±РµРЅР·РёРЅ, РґРёР·РµР»СЊРЅРµ РїР°Р»РёРІРѕ С– С‚СѓСЂР±РѕРґРёР·РµР»СЊ.\n</t>
  </si>
  <si>
    <t>WYNN'S 10W40 ENERGY 5L (5С…5Р›)</t>
  </si>
  <si>
    <t>API SL/CF   ACEA A3/B4     MB 229.1    VW 501.01/505.00\nР’РёСЃРѕРєРѕСЏРєС–cРЅР° РјРѕС‚РѕСЂРЅРѕ РѕР»РёРІР° РЅР° СЃРёРЅС‚РµС‚РёС‡РЅС–Р№ РѕСЃРЅРѕРІС–, СЃРїРµС†С–Р°Р»СЊРЅРѕ СЂРѕР·СЂРѕР±Р»РµРЅР° РґР»СЏ Р·Р°Р±РµР·РїРµС‡РµРЅРЅСЏ РµРєСЃС‚СЂРµРјР°Р»СЊРЅРѕРіРѕ Р·Р°С…РёСЃС‚Сѓ\nС– РїСЂРѕРґСѓРєС‚РёРІРЅРѕСЃС‚С– РґР»СЏ РІСЃС–С… РґРІРёРіСѓРЅС–РІ: Р±РµРЅР·РёРЅ, РґРёР·РµР»СЊРЅРµ РїР°Р»РёРІРѕ С– С‚СѓСЂР±РѕРґРёР·РµР»СЊ.</t>
  </si>
  <si>
    <t>WYNN'S 80W90 GEAR SAVER 1L (12С…1Р›)</t>
  </si>
  <si>
    <t>101.81</t>
  </si>
  <si>
    <t>GL-5  |  MIL PRF 2105 D\nР‘Р°РіР°С‚РѕС†С–Р»СЊРѕРІР° С‚СЂР°РЅСЃРјС–СЃС–Р№РЅР° РѕР»РёРІР° Р· РІРёСЃРѕРєРѕСЋ СЃС‚Р°Р±С–Р»СЊРЅС–СЃС‚СЋ, СЂРѕР·СЂРѕР±Р»СЏР»Р°СЃСЏ РґР»СЏ РїСЂРѕРІС–РґРЅРёС… РїРµСЂРµРґР°С‡, Р·Р°РґРЅС–С… РјРѕСЃС‚С–РІ С– РґРёС„РµСЂРµРЅС†С–Р°Р»С–РІ РґР»СЏ СЂС–Р·РЅРёС… С‚СЂР°РЅСЃРїРѕСЂС‚РЅРёС… Р·Р°СЃРѕР±С–РІ (Р»РµРіРєРѕРІС– Р°РІС‚РѕРјРѕР±С–Р»С–, РІР°РЅС‚Р°Р¶С–РІРєРё, С‚СЂР°РЅСЃРїРѕСЂС‚РЅС– Р·Р°СЃРѕР±Рё РїС–РґРїСЂРёС”РјСЃС‚РІР° РєРѕРјСѓРЅР°Р»СЊРЅРѕРіРѕ РѕР±СЃР»СѓРіРѕРІСѓРІР°РЅРЅСЏ).</t>
  </si>
  <si>
    <t>WYNN'S 80W90 GEAR SAVER 5L (5С…5Р›)</t>
  </si>
  <si>
    <t>490.40</t>
  </si>
  <si>
    <t>WYNN'S 75W80 GEAR SAVER 1L (12С…1Р›)</t>
  </si>
  <si>
    <t>GL-5   \nР‘Р°РіР°С‚РѕС†С–Р»СЊРѕРІР° С‚СЂР°РЅСЃРјС–СЃС–Р№РЅР° РѕР»РёРІР° Р· РІРёСЃРѕРєРѕСЋ СЃС‚Р°Р±С–Р»СЊРЅС–СЃС‚СЋ, СЂРѕР·СЂРѕР±Р»СЏР»Р°СЃСЏ РґР»СЏ РїСЂРѕРІС–РґРЅРёС… РїРµСЂРµРґР°С‡, Р·Р°РґРЅС–С… РјРѕСЃС‚С–РІ С– РґРёС„РµСЂРµРЅС†С–Р°Р»С–РІ РґР»СЏ СЂС–Р·РЅРёС… С‚СЂР°РЅСЃРїРѕСЂС‚РЅРёС… Р·Р°СЃРѕР±С–РІ (Р»РµРіРєРѕРІС– Р°РІС‚РѕРјРѕР±С–Р»С–, РІР°РЅС‚Р°Р¶С–РІРєРё, С‚СЂР°РЅСЃРїРѕСЂС‚РЅС– Р·Р°СЃРѕР±Рё РїС–РґРїСЂРёС”РјСЃС‚РІР° РєРѕРјСѓРЅР°Р»СЊРЅРѕРіРѕ РѕР±СЃР»СѓРіРѕРІСѓРІР°РЅРЅСЏ).</t>
  </si>
  <si>
    <t>WYNN'S 75W80 GEAR SAVER 5L (5С…5Р›)</t>
  </si>
  <si>
    <t>457.64</t>
  </si>
  <si>
    <t>WYNN'S 75W90 GEAR SYNTHETIC 1L (12С…1Р›)</t>
  </si>
  <si>
    <t>179.88</t>
  </si>
  <si>
    <t>WYNN'S 5W30 LONGLIFE GOLD 504/507 1L (12С…1Р›)</t>
  </si>
  <si>
    <t>188.31</t>
  </si>
  <si>
    <t>VW 504/507 |  ACEA C3 (A3/B4) | DB 229.51 | BMW LONG LIFE-04 - C30\nРџРѕРІРЅС–СЃС‚СЋ СЃРёРЅС‚РµС‚РёС‡РЅР° СЏРєС–СЃРЅР° РјРѕС‚РѕСЂРЅР° РѕР»РёРІР° РЅРѕРІС–С‚РЅСЊРѕРіРѕ РїРѕРєРѕР»С–РЅРЅСЏ, РѕСЃРѕР±Р»РёРІРѕ РґР»СЏ РґРІРёРіСѓРЅС–РІ, СЏРєС– РјР°СЋС‚СЊ С„С–Р»СЊС‚СЂ СЃР°Р¶С– Р· (DPF) С– РєР°С‚Р°Р»С–С‚РёС‡РЅРёР№ РЅРµР№С‚СЂР°Р»С–Р·Р°С‚РѕСЂ (CAT). "Low SAPS Technology". СЃРїРµС†С–Р°Р»СЊРЅРѕ РґР»СЏ VW-AUDI-SEAT-SKODA.</t>
  </si>
  <si>
    <t>WYNN'S 5W30 LONGLIFE GOLD 504/507 5L (5С…5Р›)</t>
  </si>
  <si>
    <t>829.17</t>
  </si>
  <si>
    <t>WYNN'S 5W30 LONGLIFE 04 1L (12С…1Р›)</t>
  </si>
  <si>
    <t>API SN/CF - ACEA C3(A3/B4)  MB 229.51  BMW LONGLIFE 04 \nVW 502.00, 505.01 - GM DEXOS 2\nРџРѕРІРЅС–СЃС‚СЋ СЃРёРЅС‚РµС‚РёС‡РЅР° СЏРєС–СЃРЅР° РјРѕС‚РѕСЂРЅР° РѕР»РёРІР° РЅРѕРІС–С‚РЅСЊРѕРіРѕ РїРѕРєРѕР»С–РЅРЅСЏ, СЃРїРµС†С–Р°Р»СЊРЅРѕ РґР»СЏ РґРІРёРіСѓРЅС–РІ, СЏРєС– РјР°СЋС‚СЊ С„С–Р»СЊС‚СЂ СЃР°Р¶С–  (DPF)\n С– РєР°С‚Р°Р»С–С‚РёС‡РЅРёР№ РЅРµР№С‚СЂР°Р»С–Р·Р°С‚РѕСЂ (CAT). "Low SAPS Technology".</t>
  </si>
  <si>
    <t>WYNN'S 5W30 LONGLIFE 04 5L (5С…5Р›)</t>
  </si>
  <si>
    <t>719.32</t>
  </si>
  <si>
    <t>WYNN'S 5W30 LONGLIFE ECO ENERGY 1L (12С…1Р›)</t>
  </si>
  <si>
    <t>158.10</t>
  </si>
  <si>
    <t>API SN/CF ACEA C2(A5/B5)\nРџРѕРІРЅС–СЃС‚СЋ СЃРёРЅС‚РµС‚РёС‡РЅР° СЏРєС–СЃРЅР° РјРѕС‚РѕСЂРЅР° РѕР»РёРІР° РЅРѕРІС–С‚РЅСЊРѕРіРѕ РїРѕРєРѕР»С–РЅРЅСЏ, СЃРїРµС†С–Р°Р»СЊРЅРѕ СЂРѕР·СЂРѕР±Р»РµРЅР° РґР»СЏ РѕРїС‚РёРјС–Р·Р°С†С–С— РїР°Р»РёРІРЅРѕС— РµРєРѕРЅРѕРјС–С‡РЅРѕСЃС‚С– С– РµС„РµРєС‚РёРІРЅРѕСЃС‚С– РґРІРёРіСѓРЅС–РІ, СЏРєС– РјР°СЋС‚СЊ С„С–Р»СЊС‚СЂ СЃР°Р¶С– Р· (DPF) С– РєР°С‚Р°Р»С–С‚РёС‡РЅРёР№ РЅРµР№С‚СЂР°Р»С–Р·Р°С‚РѕСЂ (CAT). "Low SAPS Technology". РЎРїРµС†С–Р°Р»СЊРЅРѕ РґР»СЏ PSA.</t>
  </si>
  <si>
    <t>WYNN'S 5W30 LONGLIFE ECO ENERGY 5L (5С…5Р›)</t>
  </si>
  <si>
    <t>621.24</t>
  </si>
  <si>
    <t>WYNN'S 5W40 LONGLIFE 505.01 1L (12С…1Р›)</t>
  </si>
  <si>
    <t>165.17</t>
  </si>
  <si>
    <t>API SN /CF - ACEA C3(A3/B4)  MB 229.51 VW 502.00/505.01 BMW LL-04 - DEXOS 2, A40\nРџРѕРІРЅС–СЃС‚СЋ СЃРёРЅС‚РµС‚РёС‡РЅР° РјРѕС‚РѕСЂРЅР° РѕР»РёРІР° РІРёС‰РѕС— СЏРєРѕСЃС‚С– РЅРѕРІС–С‚РЅСЊРѕРіРѕ РїРѕРєРѕР»С–РЅРЅСЏ, СЃРїРµС†С–Р°Р»СЊРЅРѕ СЂРѕР·СЂРѕР±Р»РµРЅР° РґР»СЏ РґРІРёРіСѓРЅС–РІ Р· С„С–Р»СЊС‚СЂР°РјРё СЃР°Р¶С– (DPF), С–\nРєР°С‚Р°Р»С–С‚РёС‡РЅРёРј РЅРµР№С‚СЂР°Р»С–Р·Р°С‚РѕСЂРѕРј (CAT). В«Low SAPS РўРµС…РЅРѕР»РѕРіС–СЏ В».</t>
  </si>
  <si>
    <t>WYNN'S 5W40 LONGLIFE 505.01 5L (5С…5Р›)</t>
  </si>
  <si>
    <t>738.93</t>
  </si>
  <si>
    <t>WYNN'S 5W40 LONGLIFE 505.01 4L (5С…4Р›)</t>
  </si>
  <si>
    <t>643.99</t>
  </si>
  <si>
    <t>WYNN'S 5W30 LONGLIFE PRO RN 5L (5С…5Р›)</t>
  </si>
  <si>
    <t>840.15</t>
  </si>
  <si>
    <t>ACEA C4  RENAULT RN-0720\nРџРѕРІРЅС–СЃС‚СЋ СЃРёРЅС‚РµС‚РёС‡РЅР° РјРѕС‚РѕСЂРЅР° РѕР»РёРІР° РІРёС‰РѕС— СЏРєРѕСЃС‚С– РЅРѕРІС–С‚РЅСЊРѕРіРѕ РїРѕРєРѕР»С–РЅРЅСЏ, СЃРїРµС†С–Р°Р»СЊРЅРѕ\nСЂРѕР·СЂРѕР±Р»РµРЅР° РґР»СЏ РґРІРёРіСѓРЅС–РІ Р· С„С–Р»СЊС‚СЂР°РјРё СЃР°Р¶С– (DPF), С– РєР°С‚Р°Р»С–С‚РёС‡РЅРёРј РЅРµР№С‚СЂР°Р»С–Р·Р°С‚РѕСЂРѕРј (CAT). В«Low SAPS\nРўРµС…РЅРѕР»РѕРіС–СЏ В». РЎРїРµС†С–Р°Р»СЊРЅРѕ РґР»СЏ Renault.</t>
  </si>
  <si>
    <t>WYNN'S ATF DEXRON-II 1L (12С…1Р›)</t>
  </si>
  <si>
    <t>111.81</t>
  </si>
  <si>
    <t>GM DEXRON II-D - ZF TE-03D/04D/ 05L/11A/14A/17A - MB236.3 - MAN 339 tipo V-1 y Z-1 - VOLVO 97335\nР‘Р°РіР°С‚РѕС„СѓРЅРєС†С–РѕРЅР°Р»СЊРЅР° РѕР»РёРІР°, СЏРєР° Р·Р°Р±РµР·РїРµС‡СѓС” Р±С–Р»СЊС€Сѓ С…С–РјС–С‡РЅСѓ С– С‚РµСЂРјС–С‡РЅСѓ СЃС‚Р°Р±С–Р»СЊРЅС–СЃС‚СЊ, РїСЂРё РІРµР»РёРєРёС… РЅР°РІР°РЅС‚Р°Р¶РµРЅРЅСЏС…,\nР·РјРµРЅС€СѓСЋС‡Рё С‚РµСЂС‚СЏ С– Р·РЅРѕСЃ.</t>
  </si>
  <si>
    <t>WYNN'S 0W40 EXTREME POWER 1L (12С…1Р›)</t>
  </si>
  <si>
    <t>228.92</t>
  </si>
  <si>
    <t>API SN/CF    ACEA A3/B4\nРџРѕРІРЅС–СЃС‚СЋ СЃРёРЅС‚РµС‚РёС‡РЅР° РјРѕС‚РѕСЂРЅР° РѕР»РёРІР° РІРёС‰РѕС— СЏРєРѕСЃС‚С–, РѕСЃРѕР±Р»РёРІРѕ РїС–РґС…РѕРґРёС‚СЊ РґР»СЏ  РІРёСЃРѕРєРѕРЅР°РіСЂСѓР¶РµРЅРёС…  РґРІРёРіСѓРЅС–РІ, С‰Рѕ РІРёРјР°РіР°СЋС‚СЊ С‡СѓРґРѕРІСѓ РІРёСЃРѕРєРѕС‚РµРјРїРµСЂР°С‚СѓСЂРЅСѓ СЃС‚Р°Р±С–Р»СЊРЅС–СЃС‚СЊ, С– Р°РЅС‚Рё-\nРїСЂРѕС‚РёР·РЅРѕСЃРЅС– РІР»Р°СЃС‚РёРІРѕСЃС‚С–.\n</t>
  </si>
  <si>
    <t>WYNN'S 0W40 EXTREME POWER 4L (5С…4Р›)</t>
  </si>
  <si>
    <t>915.48</t>
  </si>
  <si>
    <t>API SN/CF    ACEA A3/B4\nРџРѕРІРЅС–СЃС‚СЋ СЃРёРЅС‚РµС‚РёС‡РЅР° РјРѕС‚РѕСЂРЅР° РѕР»РёРІР° РІРёС‰РѕС— СЏРєРѕСЃС‚С–, РѕСЃРѕР±Р»РёРІРѕ РїС–РґС…РѕРґРёС‚СЊ РґР»СЏ  РІРёСЃРѕРєРѕРЅР°РіСЂСѓР¶РµРЅРёС…  РґРІРёРіСѓРЅС–РІ, С‰Рѕ РІРёРјР°РіР°СЋС‚СЊ С‡СѓРґРѕРІСѓ РІРёСЃРѕРєРѕС‚РµРјРїРµСЂР°С‚СѓСЂРЅСѓ СЃС‚Р°Р±С–Р»СЊРЅС–СЃС‚СЊ, С– Р°РЅС‚Рё-\nРїСЂРѕС‚РёР·РЅРѕСЃРЅС– РІР»Р°СЃС‚РёРІРѕСЃС‚С–.</t>
  </si>
  <si>
    <t>WYNN'S 2T PREMIUM 1L (12С…1Р›)</t>
  </si>
  <si>
    <t>101.41</t>
  </si>
  <si>
    <t>API TC - JASO FC\n2T PREMIUM С” РѕРїС‚РёРјР°Р»СЊРЅР° РѕР»РёРІР°, СЃРїРµС†С–Р°Р»СЊРЅРѕ СЂРѕР·СЂРѕР±Р»РµРЅР° РґР»СЏ 2 С‚Р°РєС‚РЅРёС… СЃСѓС‡Р°СЃРЅРёС… СЃРєСѓС‚РµСЂС–РІ\nС– РјС–СЃСЊРєС–С… РјРѕС‚РѕС†РёРєР»С–РІ, СЂС–РґРёРЅРЅРѕРіРѕ Р°Р±Рѕ РїРѕРІС–С‚СЂСЏРЅРѕРіРѕ РѕС…РѕР»РѕРґР¶РµРЅРЅСЏ. Р’РёСЃРѕРєРёР№ Р·Р°С…РёСЃС‚Сѓ РІС–Рґ Р·РЅРѕСЃСѓ.\n</t>
  </si>
  <si>
    <t>Р†РЅСЃС‚СЂСѓРјРµРЅС‚</t>
  </si>
  <si>
    <t>SD601</t>
  </si>
  <si>
    <t xml:space="preserve">CARLIFE  Р’РёРєСЂСѓС‚РєР° Р· СЃРёР»РѕРІРѕСЋ СЂСѓС‡РєРѕСЋ 6 РІ 1 </t>
  </si>
  <si>
    <t>CARLIFE</t>
  </si>
  <si>
    <t>WR101</t>
  </si>
  <si>
    <t xml:space="preserve">CARLIFE  РљР»СЋС‡ СЃРІС–С‡РЅРёР№ 16РјРј (50С€С‚.,100С€С‚.) </t>
  </si>
  <si>
    <t>31.57</t>
  </si>
  <si>
    <t>WR102</t>
  </si>
  <si>
    <t xml:space="preserve">CARLIFE  РљР»СЋС‡ СЃРІС–С‡РЅРёР№ 21РјРј (50С€С‚.,100С€С‚.) </t>
  </si>
  <si>
    <t>WR121</t>
  </si>
  <si>
    <t xml:space="preserve">CARLIFE  РљР»СЋС‡ СЃРІС–С‡РЅРёР№, РїСЂРѕС„РµСЃС–Р№РЅРёР№ Р· РїС–РґСЃРёР»РµРЅРѕСЋ СЂСѓС‡РєРѕСЋ,16РјРј (50С€С‚.) </t>
  </si>
  <si>
    <t>WR122</t>
  </si>
  <si>
    <t xml:space="preserve">CARLIFE  РљР»СЋС‡ СЃРІС–С‡РЅРёР№, РїСЂРѕС„РµСЃС–Р№РЅРёР№ Р· РїС–РґСЃРёР»РµРЅРѕСЋ СЂСѓС‡РєРѕСЋ, 21РјРј (50С€С‚.,60С€С‚.) </t>
  </si>
  <si>
    <t>55.13</t>
  </si>
  <si>
    <t>WR131</t>
  </si>
  <si>
    <t xml:space="preserve">CARLIFE  РљР»СЋС‡ РєРѕР»С–СЃРЅРёР№, С‚РµР»РµСЃРєРѕРїС–С‡РЅРёР№, РїСЂРѕС„РµСЃС–Р№РЅРёР№,17x19РјРј (10С€С‚.) </t>
  </si>
  <si>
    <t>153.54</t>
  </si>
  <si>
    <t>WR132</t>
  </si>
  <si>
    <t xml:space="preserve">CARLIFE  РљР»СЋС‡ РєРѕР»С–СЃРЅРёР№, С‚РµР»РµСЃРєРѕРїС–С‡РЅРёР№, 17x19РјРј,Р±Р»С–СЃС‚РµСЂ (20С€С‚.) </t>
  </si>
  <si>
    <t>117.64</t>
  </si>
  <si>
    <t>WR151</t>
  </si>
  <si>
    <t xml:space="preserve">CARLIFE  РљР»СЋС‡ С…СЂРµСЃС‚РѕРїРѕРґС–Р±РЅРёР№,РїСЂРѕС„РµСЃС–Р№РЅРёР№,17x19РјРј/21РјРј/1/2" (20С€С‚.) </t>
  </si>
  <si>
    <t>151.62</t>
  </si>
  <si>
    <t>WR152</t>
  </si>
  <si>
    <t xml:space="preserve">CARLIFE  РљР»СЋС‡ С…СЂРµСЃС‚РѕРїРѕРґС–Р±РЅРёР№,17x19РјРј/21РјРј/1/2" (20С€С‚.) </t>
  </si>
  <si>
    <t>88.79</t>
  </si>
  <si>
    <t>WR161</t>
  </si>
  <si>
    <t xml:space="preserve">CARLIFE  РљР»СЋС‡ РєРѕР»С–СЃРЅРёР№, Р“-РїРѕРґС–Р±РЅРёР№, 17РјРј (30С€С‚.,50С€С‚) </t>
  </si>
  <si>
    <t>47.28</t>
  </si>
  <si>
    <t>WR162</t>
  </si>
  <si>
    <t xml:space="preserve">CARLIFE  РљР»СЋС‡ РєРѕР»С–СЃРЅРёР№, Р“-РїРѕРґС–Р±РЅРёР№, 19РјРј (30С€С‚.,50С€С‚.) </t>
  </si>
  <si>
    <t>48.88</t>
  </si>
  <si>
    <t>WR171</t>
  </si>
  <si>
    <t xml:space="preserve">CARLIFE  РљР»СЋС‡ РґР»СЏ Р·РЅСЏС‚С‚СЏ Р°РІС‚РѕРјРѕР±С–Р»СЊРЅРёС… С„С–Р»СЊС‚СЂС–РІ,Р· Р»Р°РЅС†СЋРіРѕРј (100С€С‚.) </t>
  </si>
  <si>
    <t>37.34</t>
  </si>
  <si>
    <t>WR172</t>
  </si>
  <si>
    <t xml:space="preserve">CARLIFE  РљР»СЋС‡ РґР»СЏ Р·РЅСЏС‚С‚СЏ Р°РІС‚РѕРјРѕР±С–Р»СЊРЅРёС… С„С–Р»СЊС‚СЂС–РІ(100С€С‚.) </t>
  </si>
  <si>
    <t>44.07</t>
  </si>
  <si>
    <t>WR174</t>
  </si>
  <si>
    <t xml:space="preserve">CARLIFE  РљР»СЋС‡ РґР»СЏ Р·РЅСЏС‚С‚СЏ Р°РІС‚РѕРјРѕР±С–Р»СЊРЅРёС… С„С–Р»СЊС‚СЂС–РІ (50С€С‚.) </t>
  </si>
  <si>
    <t>52.73</t>
  </si>
  <si>
    <t>РђРІС‚РѕР»Р°РјРїРё BREVIA HALOGEN</t>
  </si>
  <si>
    <t>12010MPC</t>
  </si>
  <si>
    <t>BREVIA РђРІС‚РѕР»Р°РјРїР° H1 12V 55W P14.5s Max Power+100% CP HALOGEN</t>
  </si>
  <si>
    <t>80.30</t>
  </si>
  <si>
    <t>BREVIA</t>
  </si>
  <si>
    <t>12010PC</t>
  </si>
  <si>
    <t>BREVIA РђРІС‚РѕР»Р°РјРїР° H1 12V 55W P14.5s Power+30% CP HALOGEN</t>
  </si>
  <si>
    <t>12010PUC</t>
  </si>
  <si>
    <t>BREVIA РђРІС‚РѕР»Р°РјРїР° H1 12V 55W P14.5s Power Ultra+60% CP HALOGEN</t>
  </si>
  <si>
    <t>66.03</t>
  </si>
  <si>
    <t>12010PUS</t>
  </si>
  <si>
    <t>BREVIA РђРІС‚РѕР»Р°РјРїР° H1 12V 55W P14.5s Power Ultra+60% S2 HALOGEN</t>
  </si>
  <si>
    <t>12010PWC</t>
  </si>
  <si>
    <t>BREVIA РђРІС‚РѕР»Р°РјРїР° H1 12V 55W P14,5s Power White +60% 4300K CP (10/1000 С€С‚.)</t>
  </si>
  <si>
    <t>12010PWS</t>
  </si>
  <si>
    <t>BREVIA РђРІС‚РѕР»Р°РјРїР° H1 12V 55W P14,5s Power White +60% 4300K S2 (9/90 С€С‚.)</t>
  </si>
  <si>
    <t>160.75</t>
  </si>
  <si>
    <t>12010RC</t>
  </si>
  <si>
    <t>BREVIA РђРІС‚РѕР»Р°РјРїР° H1 12V 80W P14.5s Rally CP HALOGEN</t>
  </si>
  <si>
    <t>12011PC</t>
  </si>
  <si>
    <t>BREVIA РђРІС‚РѕР»Р°РјРїР° H11 12V 55W PGJ19-2 Power +30% CP HALOGEN</t>
  </si>
  <si>
    <t>144.40</t>
  </si>
  <si>
    <t>12015PC</t>
  </si>
  <si>
    <t>BREVIA РђРІС‚РѕР»Р°РјРїР° H15 12V 15/55W PGJ23t-1 Power + 30% CP HALOGEN</t>
  </si>
  <si>
    <t>265.57</t>
  </si>
  <si>
    <t>12030MPC</t>
  </si>
  <si>
    <t>BREVIA РђРІС‚РѕР»Р°РјРїР° H3 12V 55W PK22s Max Power+100% CP HALOGEN</t>
  </si>
  <si>
    <t>12030MPS</t>
  </si>
  <si>
    <t>BREVIA РђРІС‚РѕР»Р°РјРїР° H3 12V 55W PK22s Max Power+100% S2 HALOGEN</t>
  </si>
  <si>
    <t>12030PBC</t>
  </si>
  <si>
    <t>BREVIA РђРІС‚РѕР»Р°РјРїР° H3 12V 55W PK22s Power Blue CP HALOGEN</t>
  </si>
  <si>
    <t>58.02</t>
  </si>
  <si>
    <t>12030PBS</t>
  </si>
  <si>
    <t>BREVIA РђРІС‚РѕР»Р°РјРїР° H3 12V 55W PK22s Power Blue S2 HALOGEN</t>
  </si>
  <si>
    <t>116.04</t>
  </si>
  <si>
    <t>12030PUC</t>
  </si>
  <si>
    <t>BREVIA РђРІС‚РѕР»Р°РјРїР° H3 12V 55W PK22s Power Ultra+60% CP HALOGEN</t>
  </si>
  <si>
    <t>12030PUS</t>
  </si>
  <si>
    <t>BREVIA РђРІС‚РѕР»Р°РјРїР° H3 12V 55W PK22s Power Ultra+60% S2 HALOGEN</t>
  </si>
  <si>
    <t>120.84</t>
  </si>
  <si>
    <t>12030PWC</t>
  </si>
  <si>
    <t>BREVIA РђРІС‚РѕР»Р°РјРїР° H3 12V 55W PK22s Power White +60% 4300K CP (10/1000 С€С‚.)</t>
  </si>
  <si>
    <t>12030PWS</t>
  </si>
  <si>
    <t>BREVIA РђРІС‚РѕР»Р°РјРїР° H3 12V 55W PK22s Power White +60% 4300K S2 (9/90 С€С‚.)</t>
  </si>
  <si>
    <t>12030RC</t>
  </si>
  <si>
    <t>BREVIA РђРІС‚РѕР»Р°РјРїР° H3 12V 80W PK22s Rally CP (10/1000 С€С‚.) HALOGEN</t>
  </si>
  <si>
    <t>26.60</t>
  </si>
  <si>
    <t>12040PC</t>
  </si>
  <si>
    <t>BREVIA РђРІС‚РѕР»Р°РјРїР° H4 12V 60/55W P43t Power +30% CP HALOGEN</t>
  </si>
  <si>
    <t>12040PUS</t>
  </si>
  <si>
    <t>BREVIA РђРІС‚РѕР»Р°РјРїР° H4 12V 60/55W P43t Power Ultra +60% S2 * 2С€С‚ HALOGEN</t>
  </si>
  <si>
    <t>170.21</t>
  </si>
  <si>
    <t>12040PWC</t>
  </si>
  <si>
    <t>BREVIA РђРІС‚РѕР»Р°РјРїР° H4 12V 60/55W P43t Power White +60% 4300K CP (10/200 С€С‚.)</t>
  </si>
  <si>
    <t>108.02</t>
  </si>
  <si>
    <t>12040PWS</t>
  </si>
  <si>
    <t>BREVIA РђРІС‚РѕР»Р°РјРїР° H4 12V 60/55W P43t Power White +60% 4300K S2 (9/90 С€С‚.)</t>
  </si>
  <si>
    <t>216.04</t>
  </si>
  <si>
    <t>12070MPC</t>
  </si>
  <si>
    <t>BREVIA РђРІС‚РѕР»Р°РјРїР° H7 12V 55W PX26d Max Power +100% CP HALOGEN</t>
  </si>
  <si>
    <t>131.74</t>
  </si>
  <si>
    <t>12070PWC</t>
  </si>
  <si>
    <t>BREVIA РђРІС‚РѕР»Р°РјРїР° H7 12V 55W PX26d Power White +60% 4300K CP (10/500 С€С‚.)</t>
  </si>
  <si>
    <t>12070PWS</t>
  </si>
  <si>
    <t>BREVIA РђРІС‚РѕР»Р°РјРїР° H7 12V 55W PX26d Power White +60% 4300K S2 (9/90 С€С‚.)</t>
  </si>
  <si>
    <t>263.32</t>
  </si>
  <si>
    <t>12070RC</t>
  </si>
  <si>
    <t>BREVIA РђРІС‚РѕР»Р°РјРїР° H7 12V 100W PX26d Rally CP HALOGEN</t>
  </si>
  <si>
    <t>12104PC</t>
  </si>
  <si>
    <t>BREVIA РђРІС‚РѕР»Р°РјРїР° HB4 12V 55W P22d Power +30% CP HALOGEN</t>
  </si>
  <si>
    <t>12301C</t>
  </si>
  <si>
    <t>BREVIA РђРІС‚РѕР»Р°РјРїР° P21W 12V 21W BA15s CP HALOGEN</t>
  </si>
  <si>
    <t>12302C</t>
  </si>
  <si>
    <t>BREVIA РђРІС‚РѕР»Р°РјРїР° PY21W 12V 21W BAU15s AMBER CP HALOGEN</t>
  </si>
  <si>
    <t>12303C</t>
  </si>
  <si>
    <t>BREVIA РђРІС‚РѕР»Р°РјРїР° P21/5W 12V 21/5W BAY15d CP HALOGEN</t>
  </si>
  <si>
    <t>12304C</t>
  </si>
  <si>
    <t>BREVIA РђРІС‚РѕР»Р°РјРїР° P21/4W 12V 21/4W BAZ15d CP HALOGEN</t>
  </si>
  <si>
    <t>12305C</t>
  </si>
  <si>
    <t>BREVIA РђРІС‚РѕР»Р°РјРїР° R5W 12V 5W BA15s CP HALOGEN</t>
  </si>
  <si>
    <t>12306C</t>
  </si>
  <si>
    <t>BREVIA РђРІС‚РѕР»Р°РјРїР° R10W 12V 10W BA15s CP HALOGEN</t>
  </si>
  <si>
    <t>12307C</t>
  </si>
  <si>
    <t>BREVIA РђРІС‚РѕР»Р°РјРїР° W3W 12V 3W W2.1x9.5d CP HALOGEN</t>
  </si>
  <si>
    <t>12308C</t>
  </si>
  <si>
    <t>BREVIA РђРІС‚РѕР»Р°РјРїР° W5W 12V 5W W2.1x9.5d CP HALOGEN</t>
  </si>
  <si>
    <t>12309C</t>
  </si>
  <si>
    <t>BREVIA РђРІС‚РѕР»Р°РјРїР° WY5W 12V 5W W2.1x9.5d AMBER CP HALOGEN</t>
  </si>
  <si>
    <t>12310C</t>
  </si>
  <si>
    <t>BREVIA РђРІС‚РѕР»Р°РјРїР° W21W 12V 21W W3x16d CP HALOGEN</t>
  </si>
  <si>
    <t>17.31</t>
  </si>
  <si>
    <t>12311C</t>
  </si>
  <si>
    <t>BREVIA РђРІС‚РѕР»Р°РјРїР° W21/5W 12V 21/5W W3x16q CP HALOGEN</t>
  </si>
  <si>
    <t>21.80</t>
  </si>
  <si>
    <t>12312C</t>
  </si>
  <si>
    <t>BREVIA РђРІС‚РѕР»Р°РјРїР° WY21W 12V 21W WX3x16d AMBER CP HALOGEN</t>
  </si>
  <si>
    <t>12314C</t>
  </si>
  <si>
    <t>BREVIA РђРІС‚РѕР»Р°РјРїР° C5W 12V 5W SV8.5 T11x37 CP HALOGEN</t>
  </si>
  <si>
    <t>12315C</t>
  </si>
  <si>
    <t>BREVIA РђРІС‚РѕР»Р°РјРїР° C10W 12V 10W SV8.5 T11x37 CP HALOGEN</t>
  </si>
  <si>
    <t>12317C</t>
  </si>
  <si>
    <t>BREVIA РђРІС‚РѕР»Р°РјРїР° C10W 12V 10W SV8.5 T11x41 CP HALOGEN</t>
  </si>
  <si>
    <t>12318C</t>
  </si>
  <si>
    <t>BREVIA РђРІС‚РѕР»Р°РјРїР° C18W 12V 18W SV8.5 T15x44 CP HALOGEN</t>
  </si>
  <si>
    <t>12319C</t>
  </si>
  <si>
    <t>BREVIA РђРІС‚РѕР»Р°РјРїР° T4W 12V 4W BA9s CP HALOGEN</t>
  </si>
  <si>
    <t>12320C</t>
  </si>
  <si>
    <t>BREVIA РђРІС‚РѕР»Р°РјРїР° BAX 12V 1.2W B8.4d Light Blue CP HALOGEN</t>
  </si>
  <si>
    <t>12321C</t>
  </si>
  <si>
    <t>BREVIA РђРІС‚РѕР»Р°РјРїР° BAX 12V 1.2W B8.5d Black CP HALOGEN</t>
  </si>
  <si>
    <t>12322C</t>
  </si>
  <si>
    <t>BREVIA РђРІС‚РѕР»Р°РјРїР° BAX 12V 1.2W B8.3d Black CP HALOGEN</t>
  </si>
  <si>
    <t>12323C</t>
  </si>
  <si>
    <t>BREVIA РђРІС‚РѕР»Р°РјРїР° BAX 12V 1.2W BX8.5d Light Blue CP HALOGEN</t>
  </si>
  <si>
    <t>12324C</t>
  </si>
  <si>
    <t>BREVIA РђРІС‚РѕР»Р°РјРїР° BAX 12V 1.2W BX8.4d Black CP HALOGEN</t>
  </si>
  <si>
    <t>12325C</t>
  </si>
  <si>
    <t>BREVIA РђРІС‚РѕР»Р°РјРїР° W1.2W 12V 1.2W W2x4.6d CP HALOGEN</t>
  </si>
  <si>
    <t>12328C</t>
  </si>
  <si>
    <t>BREVIA РђРІС‚РѕР»Р°РјРїР° W5W 12V 5W W2.1x9.5d Power Blue CP (10/200 С€С‚.) HALOGEN</t>
  </si>
  <si>
    <t>15.39</t>
  </si>
  <si>
    <t>24070MRC</t>
  </si>
  <si>
    <t>BREVIA РђРІС‚РѕР»Р°РјРїР° H7 24V 100W PX26d Master Rally CP HALOGEN</t>
  </si>
  <si>
    <t>24070PDC</t>
  </si>
  <si>
    <t>BREVIA РђРІС‚РѕР»Р°РјРїР° H7 24V 70W PX26d Power Duty CP HALOGEN</t>
  </si>
  <si>
    <t>92.32</t>
  </si>
  <si>
    <t>24301C</t>
  </si>
  <si>
    <t>BREVIA РђРІС‚РѕР»Р°РјРїР° P21W 24V 21W BA15s CP HALOGEN</t>
  </si>
  <si>
    <t>24302C</t>
  </si>
  <si>
    <t>BREVIA РђРІС‚РѕР»Р°РјРїР° PY21W 24V 21W BAU15s AMBER CP HALOGEN</t>
  </si>
  <si>
    <t>24303C</t>
  </si>
  <si>
    <t>BREVIA РђРІС‚РѕР»Р°РјРїР° P21/5W 24V 21/5W BAY15d CP HALOGEN</t>
  </si>
  <si>
    <t>24305C</t>
  </si>
  <si>
    <t>BREVIA РђРІС‚РѕР»Р°РјРїР° R5W 24V 5W BA15s CP HALOGEN</t>
  </si>
  <si>
    <t>24306C</t>
  </si>
  <si>
    <t>BREVIA РђРІС‚РѕР»Р°РјРїР° R10W 24V 10W BA15s CP HALOGEN</t>
  </si>
  <si>
    <t>24307C</t>
  </si>
  <si>
    <t>BREVIA РђРІС‚РѕР»Р°РјРїР° W3W 24V 3W W2.1x9.5d CP HALOGEN</t>
  </si>
  <si>
    <t>24308C</t>
  </si>
  <si>
    <t>BREVIA РђРІС‚РѕР»Р°РјРїР° W5W 24V 5W W2.1x9.5d CP HALOGEN</t>
  </si>
  <si>
    <t>24314C</t>
  </si>
  <si>
    <t>BREVIA РђРІС‚РѕР»Р°РјРїР° C5W 24V 5W SV8.5 T11x37 CP HALOGEN</t>
  </si>
  <si>
    <t>24316C</t>
  </si>
  <si>
    <t>BREVIA РђРІС‚РѕР»Р°РјРїР° C5W 24V 5W SV8.5 T11x41 CP HALOGEN</t>
  </si>
  <si>
    <t>24317C</t>
  </si>
  <si>
    <t>BREVIA РђРІС‚РѕР»Р°РјРїР° C10W 24V 10W SV8.5 T11x41 CP HALOGEN</t>
  </si>
  <si>
    <t>24319C</t>
  </si>
  <si>
    <t>BREVIA РђРІС‚РѕР»Р°РјРїР° T4W 24V 4W BA9s CP HALOGEN</t>
  </si>
  <si>
    <t>24321C</t>
  </si>
  <si>
    <t>BREVIA РђРІС‚РѕР»Р°РјРїР° BAX 24V 1.2W B8.5d Grey CP HALOGEN</t>
  </si>
  <si>
    <t>24322C</t>
  </si>
  <si>
    <t>BREVIA РђРІС‚РѕР»Р°РјРїР° BAX 24V 1.2W B8.3d Grey CP HALOGEN</t>
  </si>
  <si>
    <t>24325C</t>
  </si>
  <si>
    <t>BREVIA РђРІС‚РѕР»Р°РјРїР° W1.2W 24V 1.2W W2x4.6d CP HALOGEN</t>
  </si>
  <si>
    <t>РђРІС‚РѕР»Р°РјРїРё BREVIA XENON</t>
  </si>
  <si>
    <t>BREVIA РђРІС‚РѕР»Р°РјРїР° H1,6000K,85V,35W P14.5s KET,(2С€С‚.) XENON</t>
  </si>
  <si>
    <t>237.36</t>
  </si>
  <si>
    <t>BREVIA РђРІС‚РѕР»Р°РјРїР° H27/2,5000K,85V,35W PGJ13 KET,(2С€С‚.) XENON</t>
  </si>
  <si>
    <t>BREVIA РђРІС‚РѕР»Р°РјРїР° H27/2,6000K,85V,35W PGJ13 KET, (2С€С‚.) XENON</t>
  </si>
  <si>
    <t>BREVIA РђРІС‚РѕР»Р°РјРїР° H3,4300K,85V,35W PK22s KET,(2С€С‚.) XENON</t>
  </si>
  <si>
    <t>BREVIA РђРІС‚РѕР»Р°РјРїР° H3,5000K,85V,35W PK22s KET,(2С€С‚.) XENON</t>
  </si>
  <si>
    <t>BREVIA РђРІС‚РѕР»Р°РјРїР° H3,6000K,85V,35W PK22s KET,(2С€С‚.) XENON</t>
  </si>
  <si>
    <t>BREVIA РђРІС‚РѕР»Р°РјРїР° H4, 5000K,85V,35W P43t-38 KET,(2С€С‚.) XENON</t>
  </si>
  <si>
    <t>516.07</t>
  </si>
  <si>
    <t>BREVIA РђРІС‚РѕР»Р°РјРїР° HB(9005),4300K,85V,35W P20d KET,(2С€С‚.) XENON</t>
  </si>
  <si>
    <t>257.55</t>
  </si>
  <si>
    <t>BREVIA РђРІС‚РѕР»Р°РјРїР° HB(9005),5000K,85V,35W P20d KET,(2С€С‚.) XENON</t>
  </si>
  <si>
    <t>BREVIA РђРІС‚РѕР»Р°РјРїР° HB(9005),6000K,85V,35W P20d KET, (2С€С‚.) XENON</t>
  </si>
  <si>
    <t>BREVIA РђРІС‚РѕР»Р°РјРїР° HB(9006),4300K,85V,35W P22d KET,(2С€С‚.) XENON</t>
  </si>
  <si>
    <t>BREVIA РђРІС‚РѕР»Р°РјРїР° H7,5000K,85V,35W PX26d KET,(2С€С‚.) XENON</t>
  </si>
  <si>
    <t>BREVIA РђРІС‚РѕР»Р°РјРїР° H8,5000K,85V,35W PGJ19-1 KET,(2С€С‚.) XENON</t>
  </si>
  <si>
    <t>BREVIA РђРІС‚РѕР»Р°РјРїР° H8,6000K,85V,35W PGJ19-1 KET, (2С€С‚.) XENON</t>
  </si>
  <si>
    <t>BREVIA РђРІС‚РѕР»Р°РјРїР° H11,4300K,85V,35W PGJ19-2 KET,(2С€С‚.) XENON</t>
  </si>
  <si>
    <t>BREVIA РђРІС‚РѕР»Р°РјРїР° 12960 H11,6000K,85V,35W PGJ19-2 KET, (2С€С‚.) XENON</t>
  </si>
  <si>
    <t>85114c</t>
  </si>
  <si>
    <t>BREVIA РђРІС‚РѕР»Р°РјРїР° D1S,4300K,85V,35W PK32d-2,(1С€С‚.) XENON</t>
  </si>
  <si>
    <t>488.98</t>
  </si>
  <si>
    <t>85115c</t>
  </si>
  <si>
    <t>BREVIA РђРІС‚РѕР»Р°РјРїР° D1S,5000K,85V,35W PK32d-2,(1С€С‚.) XENON</t>
  </si>
  <si>
    <t>85116c</t>
  </si>
  <si>
    <t>BREVIA РђРІС‚РѕР»Р°РјРїР° D1S,6000K,85V,35W PK32d-2,(1С€С‚.) XENON</t>
  </si>
  <si>
    <t>85216c</t>
  </si>
  <si>
    <t>BREVIA РђРІС‚РѕР»Р°РјРїР° D2S,6000K,85V,35W PK32d-2, (1С€С‚.) XENON</t>
  </si>
  <si>
    <t>201.14</t>
  </si>
  <si>
    <t>85224c</t>
  </si>
  <si>
    <t>BREVIA РђРІС‚РѕР»Р°РјРїР° D2R,4300K,85V,35W PK32d-3,(1С€С‚.) XENON</t>
  </si>
  <si>
    <t>228.22</t>
  </si>
  <si>
    <t>85225c</t>
  </si>
  <si>
    <t>BREVIA РђРІС‚РѕР»Р°РјРїР° D2R,5000K,85V,35W PK32d-3, (1С€С‚.) XENON</t>
  </si>
  <si>
    <t>85414c</t>
  </si>
  <si>
    <t>BREVIA РђРІС‚РѕР»Р°РјРїР° D4S,4300K,85V,35W PK32d-5, (1С€С‚.) XENON</t>
  </si>
  <si>
    <t>277.27</t>
  </si>
  <si>
    <t>85415c</t>
  </si>
  <si>
    <t>BREVIA РђРІС‚РѕР»Р°РјРїР° D4S,5000K,85V,35W PK32d-5, (1С€С‚.) XENON</t>
  </si>
  <si>
    <t>85416c</t>
  </si>
  <si>
    <t>BREVIA РђРІС‚РѕР»Р°РјРїР° D4S,6000K,85V,35W PK32d-5, (1С€С‚.) XENON</t>
  </si>
  <si>
    <t>РђРІС‚РѕР»Р°РјРїРё LED, РїС–РґСЃРІС–С‡СѓРІР°РЅРЅСЏ СЃР°Р»РѕРЅСѓ</t>
  </si>
  <si>
    <t xml:space="preserve">BREVIA РђРІС‚РѕР»Р°РјРїР° LED Wires for H4-3 /РїСЂРѕРІС–Рґ РєРѕРјСѓС‚Р°С†С–Р№РЅРёР№ </t>
  </si>
  <si>
    <t>160.11</t>
  </si>
  <si>
    <t>DL309</t>
  </si>
  <si>
    <t>SOLAR РђРІС‚РѕР»Р°РјРїР° LED  12V 25x20mm 9SMD 3528 white 3 Р°РґР°РїС‚РµСЂР° (25 С€С‚.) , РїС–РґСЃРІС–С‡СѓРІР°РЅРЅСЏ СЃР°Р»РѕРЅСѓ</t>
  </si>
  <si>
    <t>SOLAR</t>
  </si>
  <si>
    <t>DL315</t>
  </si>
  <si>
    <t>SOLAR РђРІС‚РѕР»Р°РјРїР° LED  12V 27x27mm 15SMD 3528 white 3 Р°РґР°РїС‚РµСЂР° (25 С€С‚.) , РїС–РґСЃРІС–С‡СѓРІР°РЅРЅСЏ СЃР°Р»РѕРЅСѓ</t>
  </si>
  <si>
    <t>40.55</t>
  </si>
  <si>
    <t>DL318</t>
  </si>
  <si>
    <t>SOLAR РђРІС‚РѕР»Р°РјРїР° LED  12V 50x20mm 18SMD 3528 white 3 Р°РґР°РїС‚РµСЂР° (25 С€С‚.) , РїС–РґСЃРІС–С‡СѓРІР°РЅРЅСЏ СЃР°Р»РѕРЅСѓ</t>
  </si>
  <si>
    <t>DL324</t>
  </si>
  <si>
    <t>SOLAR РђРІС‚РѕР»Р°РјРїР° LED  12V 50x25mm 24SMD 3528 white 3 Р°РґР°РїС‚РµСЂР° (25 С€С‚.) , РїС–РґСЃРІС–С‡СѓРІР°РЅРЅСЏ СЃР°Р»РѕРЅСѓ</t>
  </si>
  <si>
    <t>DL330</t>
  </si>
  <si>
    <t>SOLAR РђРІС‚РѕР»Р°РјРїР° LED  12V 54x27mm 30SMD 3528 white 3 Р°РґР°РїС‚РµСЂР° (25 С€С‚.) , РїС–РґСЃРІС–С‡СѓРІР°РЅРЅСЏ СЃР°Р»РѕРЅСѓ</t>
  </si>
  <si>
    <t>DL509</t>
  </si>
  <si>
    <t>SOLAR РђРІС‚РѕР»Р°РјРїР° LED  12V 20x25mm 9SMD 5050 white 3 Р°РґР°РїС‚РµСЂР° (25 С€С‚.) , РїС–РґСЃРІС–С‡СѓРІР°РЅРЅСЏ СЃР°Р»РѕРЅСѓ</t>
  </si>
  <si>
    <t>DL512</t>
  </si>
  <si>
    <t>SOLAR РђРІС‚РѕР»Р°РјРїР° LED  12V 27x27mm 12SMD 5050 white 3 Р°РґР°РїС‚РµСЂР° (25 С€С‚.) , РїС–РґСЃРІС–С‡СѓРІР°РЅРЅСЏ СЃР°Р»РѕРЅСѓ</t>
  </si>
  <si>
    <t>54.97</t>
  </si>
  <si>
    <t>DL515</t>
  </si>
  <si>
    <t>SOLAR РђРІС‚РѕР»Р°РјРїР° LED  12V 50x25mm 15SMD 5050 white 3 Р°РґР°РїС‚РµСЂР° (25 С€С‚.) , РїС–РґСЃРІС–С‡СѓРІР°РЅРЅСЏ СЃР°Р»РѕРЅСѓ</t>
  </si>
  <si>
    <t>63.31</t>
  </si>
  <si>
    <t>LF101</t>
  </si>
  <si>
    <t>SOLAR РђРІС‚РѕР»Р°РјРїР° LED 12V T5 W2x4.6d 1leds white 2С€С‚. (90С€С‚.) РїС–РґСЃРІС–С‡СѓРІР°РЅРЅСЏ СЃР°Р»РѕРЅСѓ</t>
  </si>
  <si>
    <t>LF102</t>
  </si>
  <si>
    <t>SOLAR РђРІС‚РѕР»Р°РјРїР° LED 12V T5 W2x4.6d 1leds blue 2С€С‚. (90С€С‚.) РїС–РґСЃРІС–С‡СѓРІР°РЅРЅСЏ СЃР°Р»РѕРЅСѓ</t>
  </si>
  <si>
    <t>LF102(K20)</t>
  </si>
  <si>
    <t>SOLAR РђРІС‚РѕР»Р°РјРїР° LED 12V T5 W2x4.6d 1leds blue 20С€С‚.</t>
  </si>
  <si>
    <t>LF103</t>
  </si>
  <si>
    <t>SOLAR РђРІС‚РѕР»Р°РјРїР° LED 12V T5 W2x4.6d 1leds red 2С€С‚. (90С€С‚.) РїС–РґСЃРІС–С‡СѓРІР°РЅРЅСЏ СЃР°Р»РѕРЅСѓ</t>
  </si>
  <si>
    <t>LF103(K20)</t>
  </si>
  <si>
    <t>SOLAR РђРІС‚РѕР»Р°РјРїР° LED 12V T5 W2x4.6d 1leds red 20С€С‚. (С€С‚.)</t>
  </si>
  <si>
    <t>LF104</t>
  </si>
  <si>
    <t>SOLAR РђРІС‚РѕР»Р°РјРїР° LED 24V T5 W2x4.6d 1leds white 2С€С‚. (90С€С‚.) РїС–РґСЃРІС–С‡СѓРІР°РЅРЅСЏ СЃР°Р»РѕРЅСѓ</t>
  </si>
  <si>
    <t>LF111</t>
  </si>
  <si>
    <t>SOLAR РђРІС‚РѕР»Р°РјРїР° LED 12V T10 W2.1x9.5d 1leds white 2С€С‚. (75С€С‚.) РїС–РґСЃРІС–С‡СѓРІР°РЅРЅСЏ СЃР°Р»РѕРЅСѓ</t>
  </si>
  <si>
    <t>LF112</t>
  </si>
  <si>
    <t>SOLAR РђРІС‚РѕР»Р°РјРїР° LED 12V T10 W2.1x9.5d 1leds blue 2С€С‚. (75С€С‚.) РїС–РґСЃРІС–С‡СѓРІР°РЅРЅСЏ СЃР°Р»РѕРЅСѓ</t>
  </si>
  <si>
    <t>LF113</t>
  </si>
  <si>
    <t>SOLAR РђРІС‚РѕР»Р°РјРїР° LED 24V T10 W2.1x9.5d 1leds white 2С€С‚. (75С€С‚.) РїС–РґСЃРІС–С‡СѓРІР°РЅРЅСЏ СЃР°Р»РѕРЅСѓ</t>
  </si>
  <si>
    <t>LF121</t>
  </si>
  <si>
    <t>SOLAR РђРІС‚РѕР»Р°РјРїР° LED 12V T8.5 BA9s 1leds white 2С€С‚. (70С€С‚.) РїС–РґСЃРІС–С‡СѓРІР°РЅРЅСЏ СЃР°Р»РѕРЅСѓ</t>
  </si>
  <si>
    <t>LF131</t>
  </si>
  <si>
    <t>SOLAR РђРІС‚РѕР»Р°РјРїР° LED 12V T10 W2.1x9.5d 4leds white 2С€С‚. (75С€С‚.) РїС–РґСЃРІС–С‡СѓРІР°РЅРЅСЏ СЃР°Р»РѕРЅСѓ</t>
  </si>
  <si>
    <t>13.14</t>
  </si>
  <si>
    <t>LF132</t>
  </si>
  <si>
    <t>SOLAR РђРІС‚РѕР»Р°РјРїР° LED 12V T10 W2.1x9.5d 4leds blue 2С€С‚. (75С€С‚.) РїС–РґСЃРІС–С‡СѓРІР°РЅРЅСЏ СЃР°Р»РѕРЅСѓ</t>
  </si>
  <si>
    <t>LF133</t>
  </si>
  <si>
    <t>SOLAR РђРІС‚РѕР»Р°РјРїР° LED 12V T10 W2.1x9.5d 7leds white 2С€С‚. (75С€С‚.) РїС–РґСЃРІС–С‡СѓРІР°РЅРЅСЏ СЃР°Р»РѕРЅСѓ</t>
  </si>
  <si>
    <t>17.15</t>
  </si>
  <si>
    <t>LF134</t>
  </si>
  <si>
    <t>SOLAR РђРІС‚РѕР»Р°РјРїР° LED 12V T10 W2.1x9.5d 7leds blue 2С€С‚. (75С€С‚.) РїС–РґСЃРІС–С‡СѓРІР°РЅРЅСЏ СЃР°Р»РѕРЅСѓ</t>
  </si>
  <si>
    <t>LF141</t>
  </si>
  <si>
    <t>SOLAR РђРІС‚РѕР»Р°РјРїР° LED 12V T8.5 BA9s 4leds white 2С€С‚. (70С€С‚.) РїС–РґСЃРІС–С‡СѓРІР°РЅРЅСЏ СЃР°Р»РѕРЅСѓ</t>
  </si>
  <si>
    <t>LF142</t>
  </si>
  <si>
    <t>SOLAR РђРІС‚РѕР»Р°РјРїР° LED 12V T8.5 BA9s 4leds blue 2С€С‚. (70С€С‚.) РїС–РґСЃРІС–С‡СѓРІР°РЅРЅСЏ СЃР°Р»РѕРЅСѓ</t>
  </si>
  <si>
    <t>LF143</t>
  </si>
  <si>
    <t>SOLAR РђРІС‚РѕР»Р°РјРїР° LED 12V T8.5 BA9s 7leds white 2С€С‚. (70С€С‚.) РїС–РґСЃРІС–С‡СѓРІР°РЅРЅСЏ СЃР°Р»РѕРЅСѓ</t>
  </si>
  <si>
    <t>17.95</t>
  </si>
  <si>
    <t>LF144</t>
  </si>
  <si>
    <t>SOLAR РђРІС‚РѕР»Р°РјРїР° LED 12V T8.5 BA9s 7leds blue 2С€С‚. (70С€С‚.) РїС–РґСЃРІС–С‡СѓРІР°РЅРЅСЏ СЃР°Р»РѕРЅСѓ</t>
  </si>
  <si>
    <t>18.75</t>
  </si>
  <si>
    <t>LF171</t>
  </si>
  <si>
    <t>SOLAR РђРІС‚РѕР»Р°РјРїР° LED 12V G18.5 BA15s 9leds white 2С€С‚. (40С€С‚.) РїС–РґСЃРІС–С‡СѓРІР°РЅРЅСЏ СЃР°Р»РѕРЅСѓ</t>
  </si>
  <si>
    <t>30.93</t>
  </si>
  <si>
    <t>LF172</t>
  </si>
  <si>
    <t>SOLAR РђРІС‚РѕР»Р°РјРїР° LED 24V G18.5 BA15s 9leds white 2С€С‚. (40С€С‚.) РїС–РґСЃРІС–С‡СѓРІР°РЅРЅСЏ СЃР°Р»РѕРЅСѓ</t>
  </si>
  <si>
    <t>LF181</t>
  </si>
  <si>
    <t>SOLAR РђРІС‚РѕР»Р°РјРїР° LED 12V S25 BA15s 9leds white 2С€С‚. (32С€С‚.) РїС–РґСЃРІС–С‡СѓРІР°РЅРЅСЏ СЃР°Р»РѕРЅСѓ</t>
  </si>
  <si>
    <t>LF182</t>
  </si>
  <si>
    <t>SOLAR РђРІС‚РѕР»Р°РјРїР° LED 12V S25 BAY15d 9leds white 2С€С‚. (32С€С‚.) РїС–РґСЃРІС–С‡СѓРІР°РЅРЅСЏ СЃР°Р»РѕРЅСѓ</t>
  </si>
  <si>
    <t>LF183</t>
  </si>
  <si>
    <t>SOLAR РђРІС‚РѕР»Р°РјРїР° LED 12V S25 BA15s 12leds white 2С€С‚. (32С€С‚.) РїС–РґСЃРІС–С‡СѓРІР°РЅРЅСЏ СЃР°Р»РѕРЅСѓ</t>
  </si>
  <si>
    <t>37.98</t>
  </si>
  <si>
    <t>LF191</t>
  </si>
  <si>
    <t>SOLAR РђРІС‚РѕР»Р°РјРїР° LED 12V SV8.5 T11x36 6leds white 2С€С‚. (60С€С‚.) РїС–РґСЃРІС–С‡СѓРІР°РЅРЅСЏ СЃР°Р»РѕРЅСѓ</t>
  </si>
  <si>
    <t>23.72</t>
  </si>
  <si>
    <t>LF192</t>
  </si>
  <si>
    <t>SOLAR РђРІС‚РѕР»Р°РјРїР° LED 12V SV8.5 T11x36 6leds blue 2С€С‚. (60С€С‚.) РїС–РґСЃРІС–С‡СѓРІР°РЅРЅСЏ СЃР°Р»РѕРЅСѓ</t>
  </si>
  <si>
    <t>LF193</t>
  </si>
  <si>
    <t>SOLAR РђРІС‚РѕР»Р°РјРїР° LED 12V SV8.5 T11x39 6leds white 2С€С‚. (60С€С‚.) РїС–РґСЃРІС–С‡СѓРІР°РЅРЅСЏ СЃР°Р»РѕРЅСѓ</t>
  </si>
  <si>
    <t>LF195</t>
  </si>
  <si>
    <t>SOLAR РђРІС‚РѕР»Р°РјРїР° LED 24V SV8.5 T11x36 6leds white 2С€С‚. (60С€С‚.) РїС–РґСЃРІС–С‡СѓРІР°РЅРЅСЏ СЃР°Р»РѕРЅСѓ</t>
  </si>
  <si>
    <t>LF196</t>
  </si>
  <si>
    <t>SOLAR РђРІС‚РѕР»Р°РјРїР° LED 24V SV8.5 T11x39 6leds white 2С€С‚. (60С€С‚.) РїС–РґСЃРІС–С‡СѓРІР°РЅРЅСЏ СЃР°Р»РѕРЅСѓ</t>
  </si>
  <si>
    <t>20.35</t>
  </si>
  <si>
    <t>SOLAR РђРІС‚РѕР»Р°РјРїР° LED 12V S25BA15s 9leds RED 2С€С‚. (32С€С‚.) РїС–РґСЃРІС–С‡СѓРІР°РЅРЅСЏ СЃР°Р»РѕРЅСѓ</t>
  </si>
  <si>
    <t>LS201</t>
  </si>
  <si>
    <t>SOLAR РђРІС‚РѕР»Р°РјРїР° LED 12V T5 W2x4.6d 1smd 5050 white 2С€С‚. (90С€С‚.) РїС–РґСЃРІС–С‡СѓРІР°РЅРЅСЏ СЃР°Р»РѕРЅСѓ</t>
  </si>
  <si>
    <t>13.30</t>
  </si>
  <si>
    <t>LS202</t>
  </si>
  <si>
    <t>SOLAR РђРІС‚РѕР»Р°РјРїР° LED 12V T5 W2x4.6d 1smd 3528 white 2С€С‚. (90С€С‚.) РїС–РґСЃРІС–С‡СѓРІР°РЅРЅСЏ СЃР°Р»РѕРЅСѓ</t>
  </si>
  <si>
    <t>LS203</t>
  </si>
  <si>
    <t>SOLAR РђРІС‚РѕР»Р°РјРїР° LED 24V T5 W2x4.6d 1smd 3528 white 2С€С‚. (90С€С‚.) РїС–РґСЃРІС–С‡СѓРІР°РЅРЅСЏ СЃР°Р»РѕРЅСѓ</t>
  </si>
  <si>
    <t>LS211</t>
  </si>
  <si>
    <t>SOLAR РђРІС‚РѕР»Р°РјРїР° LED 12V T20 W3x4.6q 8smd 5050 white 2С€С‚. (40С€С‚.) РїС–РґСЃРІС–С‡СѓРІР°РЅРЅСЏ СЃР°Р»РѕРЅСѓ</t>
  </si>
  <si>
    <t>100.49</t>
  </si>
  <si>
    <t>LS212</t>
  </si>
  <si>
    <t>SOLAR РђРІС‚РѕР»Р°РјРїР° LED 12V T20 W3x4.6d 8smd 5050 white 2С€С‚. (40С€С‚.) РїС–РґСЃРІС–С‡СѓРІР°РЅРЅСЏ СЃР°Р»РѕРЅСѓ</t>
  </si>
  <si>
    <t>LS221</t>
  </si>
  <si>
    <t>SOLAR РђРІС‚РѕР»Р°РјРїР° LED 12V G18.5 BA15s 5smd 5050 white 2С€С‚. (40С€С‚.) РїС–РґСЃРІС–С‡СѓРІР°РЅРЅСЏ СЃР°Р»РѕРЅСѓ</t>
  </si>
  <si>
    <t>LS222</t>
  </si>
  <si>
    <t>SOLAR РђРІС‚РѕР»Р°РјРїР° LED 24V G18.5 BA15s 5smd 5050 white 2С€С‚. (40С€С‚.) РїС–РґСЃРІС–С‡СѓРІР°РЅРЅСЏ СЃР°Р»РѕРЅСѓ</t>
  </si>
  <si>
    <t>LS223</t>
  </si>
  <si>
    <t>SOLAR РђРІС‚РѕР»Р°РјРїР° LED 12V G18.5 BA15s 22smd 3020 white 2С€С‚. (40С€С‚.) РїС–РґСЃРІС–С‡СѓРІР°РЅРЅСЏ СЃР°Р»РѕРЅСѓ</t>
  </si>
  <si>
    <t>LS237</t>
  </si>
  <si>
    <t>SOLAR РђРІС‚РѕР»Р°РјРїР° LED 12V S25 BA15S 4SMD 2W white (32 С€С‚.) РїС–РґСЃРІС–С‡СѓРІР°РЅРЅСЏ СЃР°Р»РѕРЅСѓ</t>
  </si>
  <si>
    <t>179.34</t>
  </si>
  <si>
    <t>LS238</t>
  </si>
  <si>
    <t>SOLAR РђРІС‚РѕР»Р°РјРїР° LED 12V S25 BAY15d 4SMD 2W white (32 С€С‚.) РїС–РґСЃРІС–С‡СѓРІР°РЅРЅСЏ СЃР°Р»РѕРЅСѓ</t>
  </si>
  <si>
    <t>LS239</t>
  </si>
  <si>
    <t>SOLAR РђРІС‚РѕР»Р°РјРїР° LED 12V S25 BA15S 1SMD 1.5W+Lens white (32 С€С‚.) РїС–РґСЃРІС–С‡СѓРІР°РЅРЅСЏ СЃР°Р»РѕРЅСѓ</t>
  </si>
  <si>
    <t>135.91</t>
  </si>
  <si>
    <t>LS240</t>
  </si>
  <si>
    <t>SOLAR РђРІС‚РѕР»Р°РјРїР° LED 12V S25 BAY15D 1SMD 1.5W white (32 С€С‚.) РїС–РґСЃРІС–С‡СѓРІР°РЅРЅСЏ СЃР°Р»РѕРЅСѓ</t>
  </si>
  <si>
    <t>LS241</t>
  </si>
  <si>
    <t>SOLAR РђРІС‚РѕР»Р°РјРїР° LED 12V T10 W2.1x9.5d 1SMD 1W white 2С€С‚. (70С€С‚.) РїС–РґСЃРІС–С‡СѓРІР°РЅРЅСЏ СЃР°Р»РѕРЅСѓ</t>
  </si>
  <si>
    <t>38.14</t>
  </si>
  <si>
    <t>LS242</t>
  </si>
  <si>
    <t>SOLAR РђРІС‚РѕР»Р°РјРїР° LED 12V T8.5 BA9s 1smd 1W white 2С€С‚. (70С€С‚.) РїС–РґСЃРІС–С‡СѓРІР°РЅРЅСЏ СЃР°Р»РѕРЅСѓ</t>
  </si>
  <si>
    <t>LS243</t>
  </si>
  <si>
    <t>SOLAR РђРІС‚РѕР»Р°РјРїР° LED 12V T10 W2.1x9.5d 5smd 5050 white 2С€С‚. (70С€С‚.) РїС–РґСЃРІС–С‡СѓРІР°РЅРЅСЏ СЃР°Р»РѕРЅСѓ</t>
  </si>
  <si>
    <t>35.58</t>
  </si>
  <si>
    <t>LS244</t>
  </si>
  <si>
    <t>SOLAR РђРІС‚РѕР»Р°РјРїР° LED 12V T10 W2.1x9.5d 4smd 3528 white 2С€С‚. (75С€С‚.) РїС–РґСЃРІС–С‡СѓРІР°РЅРЅСЏ СЃР°Р»РѕРЅСѓ</t>
  </si>
  <si>
    <t>LS245</t>
  </si>
  <si>
    <t>SOLAR РђРІС‚РѕР»Р°РјРїР° LED 12V T10 W2.1x9.5d 1smd 5050 white 2С€С‚. (75С€С‚.) РїС–РґСЃРІС–С‡СѓРІР°РЅРЅСЏ СЃР°Р»РѕРЅСѓ</t>
  </si>
  <si>
    <t>LS246</t>
  </si>
  <si>
    <t>SOLAR РђРІС‚РѕР»Р°РјРїР° LED 12V T8.5 BA9s 5smd 5050 white 2С€С‚. (70С€С‚.) РїС–РґСЃРІС–С‡СѓРІР°РЅРЅСЏ СЃР°Р»РѕРЅСѓ</t>
  </si>
  <si>
    <t>37.18</t>
  </si>
  <si>
    <t>LS247</t>
  </si>
  <si>
    <t>SOLAR РђРІС‚РѕР»Р°РјРїР° LED 12V T8.5 BA9s 1smd 5050 white 2С€С‚. (70С€С‚.) РїС–РґСЃРІС–С‡СѓРІР°РЅРЅСЏ СЃР°Р»РѕРЅСѓ</t>
  </si>
  <si>
    <t>15.23</t>
  </si>
  <si>
    <t>LS250</t>
  </si>
  <si>
    <t>SOLAR РђРІС‚РѕР»Р°РјРїР° LED 12V SV8.5 T11x36 4smd 5050 white 2С€С‚. (60С€С‚.) РїС–РґСЃРІС–С‡СѓРІР°РЅРЅСЏ СЃР°Р»РѕРЅСѓ</t>
  </si>
  <si>
    <t>29.97</t>
  </si>
  <si>
    <t>LS251</t>
  </si>
  <si>
    <t>SOLAR РђРІС‚РѕР»Р°РјРїР° LED 12V SV8.5 T11x39 4smd 5050 white 2С€С‚. (60С€С‚.) РїС–РґСЃРІС–С‡СѓРІР°РЅРЅСЏ СЃР°Р»РѕРЅСѓ</t>
  </si>
  <si>
    <t>LS252</t>
  </si>
  <si>
    <t>SOLAR РђРІС‚РѕР»Р°РјРїР° LED 12V SV8.5 T11x36 6smd 5050 white 2С€С‚. (60С€С‚.) РїС–РґСЃРІС–С‡СѓРІР°РЅРЅСЏ СЃР°Р»РѕРЅСѓ</t>
  </si>
  <si>
    <t>LS253</t>
  </si>
  <si>
    <t>SOLAR РђРІС‚РѕР»Р°РјРїР° LED 12V SV8.5 T11x39 6smd 5050 white 2С€С‚. (60С€С‚.) РїС–РґСЃРІС–С‡СѓРІР°РЅРЅСЏ СЃР°Р»РѕРЅСѓ</t>
  </si>
  <si>
    <t>LS254</t>
  </si>
  <si>
    <t>SOLAR РђРІС‚РѕР»Р°РјРїР° LED 12V SV8.5 T11x36 3smd 5050 white 2С€С‚. (60С€С‚.) РїС–РґСЃРІС–С‡СѓРІР°РЅРЅСЏ СЃР°Р»РѕРЅСѓ</t>
  </si>
  <si>
    <t>LS255</t>
  </si>
  <si>
    <t>SOLAR РђРІС‚РѕР»Р°РјРїР° LED 12V SV8.5 T11x39 3smd 5050 white 2С€С‚. (60С€С‚.) РїС–РґСЃРІС–С‡СѓРІР°РЅРЅСЏ СЃР°Р»РѕРЅСѓ</t>
  </si>
  <si>
    <t>LS260</t>
  </si>
  <si>
    <t>SOLAR РђРІС‚РѕР»Р°РјРїР° LED 12V SV8.5 T11*36mm Canbus 5050 3SMD, white (60 С€С‚.) РїС–РґСЃРІС–С‡СѓРІР°РЅРЅСЏ СЃР°Р»РѕРЅСѓ</t>
  </si>
  <si>
    <t>54.81</t>
  </si>
  <si>
    <t>LS261</t>
  </si>
  <si>
    <t>SOLAR РђРІС‚РѕР»Р°РјРїР° LED 24V T10 SMD 1W, white (70 С€С‚.) РїС–РґСЃРІС–С‡СѓРІР°РЅРЅСЏ СЃР°Р»РѕРЅСѓ</t>
  </si>
  <si>
    <t>LS262</t>
  </si>
  <si>
    <t>SOLAR РђРІС‚РѕР»Р°РјРїР° LED 24V T8.5 BA9S SMD 1W, white (70 С€С‚.) РїС–РґСЃРІС–С‡СѓРІР°РЅРЅСЏ СЃР°Р»РѕРЅСѓ</t>
  </si>
  <si>
    <t>34.30</t>
  </si>
  <si>
    <t>LS264</t>
  </si>
  <si>
    <t>SOLAR РђРІС‚РѕР»Р°РјРїР° LED 12V T8.5 BA9S 4SMD 1W+0.2w, white (70 С€С‚.) РїС–РґСЃРІС–С‡СѓРІР°РЅРЅСЏ СЃР°Р»РѕРЅСѓ</t>
  </si>
  <si>
    <t>100.81</t>
  </si>
  <si>
    <t>LS265</t>
  </si>
  <si>
    <t>SOLAR РђРІС‚РѕР»Р°РјРїР° LED 12V T10 SMD 1W+Lens, white (70 С€С‚.) РїС–РґСЃРІС–С‡СѓРІР°РЅРЅСЏ СЃР°Р»РѕРЅСѓ</t>
  </si>
  <si>
    <t>50.00</t>
  </si>
  <si>
    <t>LS266</t>
  </si>
  <si>
    <t>50.16</t>
  </si>
  <si>
    <t>LS267</t>
  </si>
  <si>
    <t>SOLAR РђРІС‚РѕР»Р°РјРїР° LED 12V T8.5 BA9S SMD 1W+Lens, white (70 С€С‚.) РїС–РґСЃРІС–С‡СѓРІР°РЅРЅСЏ СЃР°Р»РѕРЅСѓ</t>
  </si>
  <si>
    <t>58.18</t>
  </si>
  <si>
    <t>LS270</t>
  </si>
  <si>
    <t>SOLAR РђРІС‚РѕР»Р°РјРїР° LED 12V SV8.5 T11x31 4SMD 5050 white (60 С€С‚.) РїС–РґСЃРІС–С‡СѓРІР°РЅРЅСЏ СЃР°Р»РѕРЅСѓ</t>
  </si>
  <si>
    <t>LS271</t>
  </si>
  <si>
    <t>SOLAR РђРІС‚РѕР»Р°РјРїР° LED 24V SV8.5 T11x36 4SMD 5050 white (60 С€С‚.) РїС–РґСЃРІС–С‡СѓРІР°РЅРЅСЏ СЃР°Р»РѕРЅСѓ</t>
  </si>
  <si>
    <t>LS272</t>
  </si>
  <si>
    <t>SOLAR РђРІС‚РѕР»Р°РјРїР° LED 12V SV8.5 T11x36mm 6smd 3528 white (60 С€С‚.) РїС–РґСЃРІС–С‡СѓРІР°РЅРЅСЏ СЃР°Р»РѕРЅСѓ</t>
  </si>
  <si>
    <t>27.57</t>
  </si>
  <si>
    <t>LS276</t>
  </si>
  <si>
    <t>SOLAR РђРІС‚РѕР»Р°РјРїР° LED 12V SV8.5 T11x39mm 6smd 3528 white (60 С€С‚.) РїС–РґСЃРІС–С‡СѓРІР°РЅРЅСЏ СЃР°Р»РѕРЅСѓ</t>
  </si>
  <si>
    <t>LS277</t>
  </si>
  <si>
    <t>SOLAR РђРІС‚РѕР»Р°РјРїР° LED 12V T10 9SMD 5050, white (70 С€С‚.) РїС–РґСЃРІС–С‡СѓРІР°РЅРЅСЏ СЃР°Р»РѕРЅСѓ</t>
  </si>
  <si>
    <t>LS278</t>
  </si>
  <si>
    <t>SOLAR РђРІС‚РѕР»Р°РјРїР° LED 12V T8.5 BA9S 9SMD 5050, white (70 С€С‚.) РїС–РґСЃРІС–С‡СѓРІР°РЅРЅСЏ СЃР°Р»РѕРЅСѓ</t>
  </si>
  <si>
    <t>LS279</t>
  </si>
  <si>
    <t>SOLAR РђРІС‚РѕР»Р°РјРїР° LED 12V T10 Canbus 5050 2smd, white ( С€С‚.) РїС–РґСЃРІС–С‡СѓРІР°РЅРЅСЏ СЃР°Р»РѕРЅСѓ</t>
  </si>
  <si>
    <t>47.76</t>
  </si>
  <si>
    <t>LS280</t>
  </si>
  <si>
    <t>SOLAR РђРІС‚РѕР»Р°РјРїР° LED 12V T10 Canbus 5050 4smd, white ( С€С‚.) РїС–РґСЃРІС–С‡СѓРІР°РЅРЅСЏ СЃР°Р»РѕРЅСѓ</t>
  </si>
  <si>
    <t>61.22</t>
  </si>
  <si>
    <t>РђРІС‚РѕР»Р°РјРїРё NARVA</t>
  </si>
  <si>
    <t>12830WLNVAX1</t>
  </si>
  <si>
    <t>DRL 12830 WLED 12V NVA X1</t>
  </si>
  <si>
    <t>975.16</t>
  </si>
  <si>
    <t>Narva</t>
  </si>
  <si>
    <t>= 18012 NARVA DRL 12v, 4СЃРІ.РґС–РѕРґ \n</t>
  </si>
  <si>
    <t>BAX 1,2W BX8,4d BLACK  12V NARVA  10С€С‚</t>
  </si>
  <si>
    <t>BAX 1,2W BX8,5d BLUE  12V NARVA  10С€С‚</t>
  </si>
  <si>
    <t>BAX 1,2W BAX8,5d/2 BLACK 12V NARVA  10С€С‚</t>
  </si>
  <si>
    <t>BAX 1,2W B8,3d(BAX10s) BLACK  12V NARVA  10С€С‚</t>
  </si>
  <si>
    <t>W1,2W 12V 1,2W W2X4,6d  |WEDGEBASE LAMPS|  10С€С‚</t>
  </si>
  <si>
    <t>W1,2W 24V 1,2W W2X4,6d  |WEDGEBASE LAMPS|  10С€С‚</t>
  </si>
  <si>
    <t>BAX 1,1W BX8,4d ORANGE  12V NARVA  10С€С‚</t>
  </si>
  <si>
    <t>BAX 1,5W BX8,4d BEIGE  12V NARVA  10С€С‚</t>
  </si>
  <si>
    <t>BAX 2W BX8,5d LIGHT GREEN 12V NARVA  10С€С‚</t>
  </si>
  <si>
    <t>BAX 2W BX8,4d LIGHT GREEN  12V NARVA  10С€С‚</t>
  </si>
  <si>
    <t>BAX 2W B8,5d(BAX10d) LIGHT GREEN  12V NARVA  10С€С‚</t>
  </si>
  <si>
    <t>BAX 1,8W BX8,4d BEIGE  12V NARVA  10С€С‚</t>
  </si>
  <si>
    <t>W3W 12V 3W W2,1X9,5d  |WEDGEBASE LAMPS|  10С€С‚</t>
  </si>
  <si>
    <t>T4W 12V 4W BA9s  |CONTROL LAMPS|  10С€С‚</t>
  </si>
  <si>
    <t>C5W 24V 5W SV8,5 11X35  |FESTOON LAMPS|  10С€С‚</t>
  </si>
  <si>
    <t>T4W RPB + 12V 4W BA9s  |CONTROL LAMPS|  10С€С‚</t>
  </si>
  <si>
    <t>30.86</t>
  </si>
  <si>
    <t>T4W 24V 4W BA9s  |CONTROL LAMPS|  10С€С‚</t>
  </si>
  <si>
    <t>WY5W 12V 5W W2,1X9,5d AMBER  10С€С‚</t>
  </si>
  <si>
    <t>R5W 12V 5W BA15s  |AUXILIARY LAMPS|  10С€С‚</t>
  </si>
  <si>
    <t>C5W 12V 5W SV8,5 11X41  |FESTOON LAMPS|  10С€С‚</t>
  </si>
  <si>
    <t>W5W 12V 5W W2,1X9,5d  10С€С‚</t>
  </si>
  <si>
    <t>R5W 24V 5W BA15s  |AUXILIARY LAMPS|  10С€С‚</t>
  </si>
  <si>
    <t>W5W RPB +  12V 5W W2,1X9,5d  10С€С‚</t>
  </si>
  <si>
    <t>27.94</t>
  </si>
  <si>
    <t>W5W 24V 5W W2,1X9,5d  10С€С‚</t>
  </si>
  <si>
    <t>R10W 12V 10W BA15s  |AUXILIARY LAMPS|  10С€С‚</t>
  </si>
  <si>
    <t>C10W 12V 10W SV8,5 11X41  |FESTOON LAMPS|  10С€С‚</t>
  </si>
  <si>
    <t>C10W 12V 10W SV8,5 11X28  |FESTOON LAMPS| NARVA  10С€С‚</t>
  </si>
  <si>
    <t>C10W 12V 10W SV8,5 11X35  |FESTOON LAMPS|  10С€С‚</t>
  </si>
  <si>
    <t>R10W 24V 10W BA15s  |AUXILIARY LAMPS|  10С€С‚</t>
  </si>
  <si>
    <t>W21W 12V 21WW3X16d  10С€С‚</t>
  </si>
  <si>
    <t>21.28</t>
  </si>
  <si>
    <t>P21W 12V 21W BA15s  10С€С‚</t>
  </si>
  <si>
    <t>PY21W 12V 21W BAU15s AMBER  |LAMPS FOR INDICATORS, BREAK LIGHT, FOG AND REVERSE|  10С€С‚</t>
  </si>
  <si>
    <t>P21W 24V 21W BA15s  10С€С‚</t>
  </si>
  <si>
    <t>H10W 12V 10W BA9s  |MINIATURE HALOGEN LAMPS|  10С€С‚</t>
  </si>
  <si>
    <t>31.68</t>
  </si>
  <si>
    <t>P21/4W 12V 21/4W BAZ15d  10С€С‚</t>
  </si>
  <si>
    <t>P21/5W 12V 21/5W BAY15d  10С€С‚</t>
  </si>
  <si>
    <t>W21/5W 12V 21/5WW3X16q  10С€С‚</t>
  </si>
  <si>
    <t>28.43</t>
  </si>
  <si>
    <t>P21/5W 24V 21/5W BAY15d  10С€С‚</t>
  </si>
  <si>
    <t>!!! Р—РЅСЏС‚Рѕ HB1 12,8V 65/45W P29t  |AMERICAN TYPE HALOGENS|</t>
  </si>
  <si>
    <t>HB4/9006 12V 55W P22d</t>
  </si>
  <si>
    <t>65.63</t>
  </si>
  <si>
    <t>H27W/2 12V 27W PGJ13</t>
  </si>
  <si>
    <t>885(US-Typ) 12,8V 50W PG13  12V NARVA</t>
  </si>
  <si>
    <t>68.55</t>
  </si>
  <si>
    <t>H11 LONG LIFE 12V 65W PGJ19-2 NARVA</t>
  </si>
  <si>
    <t>189.90</t>
  </si>
  <si>
    <t>H10(US-Typ) 12V 45W PY20d  NARVA</t>
  </si>
  <si>
    <t>H1 12V 55W P14,5S  NARVA</t>
  </si>
  <si>
    <t>26.97</t>
  </si>
  <si>
    <t>H3 12V 55W PK22s</t>
  </si>
  <si>
    <t>H7 12V 55W PX26d</t>
  </si>
  <si>
    <t>57.02</t>
  </si>
  <si>
    <t>48643S2</t>
  </si>
  <si>
    <t>TWIN SET H1  RPW RALLYE 12V 85W P14,5s</t>
  </si>
  <si>
    <t>176.42</t>
  </si>
  <si>
    <t>H3 24V 70W PK22s</t>
  </si>
  <si>
    <t>41.42</t>
  </si>
  <si>
    <t>H1 24V 70W P14.5s NARVA</t>
  </si>
  <si>
    <t>50.68</t>
  </si>
  <si>
    <t>H7 24V 70W PX26d</t>
  </si>
  <si>
    <t>128.82</t>
  </si>
  <si>
    <t>H4 12V 60/55W P43t</t>
  </si>
  <si>
    <t>H4 RALLY 12V 60/55W P45t</t>
  </si>
  <si>
    <t>34.76</t>
  </si>
  <si>
    <t>H4 24V 75/70W P43t</t>
  </si>
  <si>
    <t>55.39</t>
  </si>
  <si>
    <t>H6W 12V 6W BAX9s  |MINIATURE HALOGEN LAMPS|</t>
  </si>
  <si>
    <t>33.30</t>
  </si>
  <si>
    <t>W5W 12V 5W W2,1X9,5d RANGE POWER BLUE+  |MINIATURE HALOGEN LAMPS|  10С€С‚</t>
  </si>
  <si>
    <t>37.85</t>
  </si>
  <si>
    <t>РђРІС‚РѕР»Р°РјРїРё PHILIPS</t>
  </si>
  <si>
    <t>12066CP</t>
  </si>
  <si>
    <t>12066CP (PHILIPS) W21/5W 12V 21/5W W3X16q</t>
  </si>
  <si>
    <t>32.00</t>
  </si>
  <si>
    <t>Philips</t>
  </si>
  <si>
    <t>12071CP</t>
  </si>
  <si>
    <t>12071CP (PHILIPS) WY21W 12V 21W WX3x16d</t>
  </si>
  <si>
    <t>12256CP</t>
  </si>
  <si>
    <t>12256CP (PHILIPS) W3W 12V 3W W2,1X9,5d</t>
  </si>
  <si>
    <t>12258PRB1</t>
  </si>
  <si>
    <t>12258PRB1 (PHILIPS) H1 Vision (+30%) 12V 55W P14,5s  Blst. 1 pc.</t>
  </si>
  <si>
    <t>44.35</t>
  </si>
  <si>
    <t>РќР° 30% Р±РѕР»СЊС€Рµ СЃРІРµС‚Р°</t>
  </si>
  <si>
    <t>12258PRC1</t>
  </si>
  <si>
    <t>12258PRC1 (PHILIPS) H1 Vision (+30%) 12V 55W P14,5s</t>
  </si>
  <si>
    <t>41.59</t>
  </si>
  <si>
    <t>12258VPB1</t>
  </si>
  <si>
    <t>12258VPB1 (PHILIPS) H1 VisionPlus (+60% ) 12V 55W P14,5s  Blst. 1 pc.</t>
  </si>
  <si>
    <t>102.67</t>
  </si>
  <si>
    <t>РќР° 50% Р±РѕР»СЊС€Рµ СЃРІРµС‚Р°</t>
  </si>
  <si>
    <t>12258XV+S2</t>
  </si>
  <si>
    <t>12258XV+S2 (PHILIPS) H1 X-treme Vision (+130%) 12V 55W P14,5s  Sp 2 pc.</t>
  </si>
  <si>
    <t>354.45</t>
  </si>
  <si>
    <t>РќР° 130% Р±РѕР»СЊС€Рµ СЃРІРµС‚Р° ( РєРјРї - 2С€С‚. )\n</t>
  </si>
  <si>
    <t>12258XVB1</t>
  </si>
  <si>
    <t>12258XVB1 (PHILIPS) H1 X-treme Vision (+100%) 12V 55W P14,5s  Blst. 1 pc.</t>
  </si>
  <si>
    <t>122.48</t>
  </si>
  <si>
    <t xml:space="preserve">РќР° 100% Р±РѕР»СЊС€Рµ СЃРІРµС‚Р° </t>
  </si>
  <si>
    <t>12336PRB1</t>
  </si>
  <si>
    <t>12336PRB1 (PHILIPS) H3 Vision (+30%) 12V 55W PK22s  Blst. 1 pc.</t>
  </si>
  <si>
    <t>44.51</t>
  </si>
  <si>
    <t>12336PRC1</t>
  </si>
  <si>
    <t>12336PRC1 (PHILIPS) H3 (+30%) Vision 12V 55W PK22s</t>
  </si>
  <si>
    <t>12342CVS2</t>
  </si>
  <si>
    <t>12342CVS2 (PHILIPS) H4 Cristal Vision + 2x W5W 12V 60/55W P43t-38</t>
  </si>
  <si>
    <t>385.48</t>
  </si>
  <si>
    <t>12342DVS2</t>
  </si>
  <si>
    <t>12342DVS2 (PHILIPS) H4 Diamond Vision 12V 60/55W P43T-38 Set 2pc.</t>
  </si>
  <si>
    <t>465.73</t>
  </si>
  <si>
    <t>Р‘РµР»С‹Р№ СЃРІРµС‚, СЃ РІС‹СЂР°Р¶РµРЅРЅС‹Рј РіРѕР»СѓР±С‹Рј РѕС‚С‚РµРЅРєРѕРј (5000В° K, РєРѕР»Р±Р° СЃРёРЅРµРіРѕ С†РІРµС‚Р°)</t>
  </si>
  <si>
    <t>12342PRC1</t>
  </si>
  <si>
    <t>12342PRC1 (PHILIPS) H4 Vision (+30%) 12V 60/55W P43t-38</t>
  </si>
  <si>
    <t>12342VPB1</t>
  </si>
  <si>
    <t>12342VPB1 (PHILIPS) H4 VisionPlus (+60%) 12V 60/55W P43t-38  Blst. 1 pc.</t>
  </si>
  <si>
    <t>105.59</t>
  </si>
  <si>
    <t>60% more light</t>
  </si>
  <si>
    <t>12342XV+B1</t>
  </si>
  <si>
    <t>12342XV+B1  (PHILIPS) H4 X-treme Vision (+130%) 12V 60/55W P43t-38  Blist. 1 pc.</t>
  </si>
  <si>
    <t>179.99</t>
  </si>
  <si>
    <t>РќР° 130% Р±РѕР»СЊС€Рµ СЃРІРµС‚Р°</t>
  </si>
  <si>
    <t>12342XV+S2</t>
  </si>
  <si>
    <t>12342XV+S2  (PHILIPS) H4 X-treme Vision (+130%) 12V 60/55W P43t-38  Sp. 2 pc.</t>
  </si>
  <si>
    <t>359.98</t>
  </si>
  <si>
    <t>РќР° 130% Р±РѕР»СЊС€Рµ СЃРІРµС‚Р° (РєРјРї - 2С€С‚)</t>
  </si>
  <si>
    <t>12356CP</t>
  </si>
  <si>
    <t>12356CP (PHILIPS) H21W 12V 21W BAY9s</t>
  </si>
  <si>
    <t>56.37</t>
  </si>
  <si>
    <t>12362LLECOC1</t>
  </si>
  <si>
    <t>12362LLECOC1 (PHILIPS) H11 LongLife EcoVision 12V 55W PGJ19-2</t>
  </si>
  <si>
    <t>190.55</t>
  </si>
  <si>
    <t>12496NACP</t>
  </si>
  <si>
    <t>12496NACP (PHILIPS) PY21W 12V 21W BAU15s (Orange)</t>
  </si>
  <si>
    <t>18.36</t>
  </si>
  <si>
    <t>12498CP</t>
  </si>
  <si>
    <t>12498CP (PHILIPS) P21W 12V 21W BA15s</t>
  </si>
  <si>
    <t>12499CP</t>
  </si>
  <si>
    <t>12499CP (PHILIPS) P21/5W 12V 21/5W BAY15d</t>
  </si>
  <si>
    <t>12821LLECOCP</t>
  </si>
  <si>
    <t>12821LLECOCP (PHILIPS) R5W LongLife EcoVision 12V 5W BA15s</t>
  </si>
  <si>
    <t>13.48</t>
  </si>
  <si>
    <t>12929B2</t>
  </si>
  <si>
    <t>12929B2 (PHILIPS) T4W 12V 4W BA9s, Blst. 2 pc.</t>
  </si>
  <si>
    <t>16.73</t>
  </si>
  <si>
    <t>12961CP</t>
  </si>
  <si>
    <t>12961CP (PHILIPS) W5W 12V 5W W2,1X9,5d</t>
  </si>
  <si>
    <t>12972PRC1</t>
  </si>
  <si>
    <t>12972PRC1 (PHILIPS) H7 Vision (+30%) 12V 55W PX26d</t>
  </si>
  <si>
    <t>84.47</t>
  </si>
  <si>
    <t>12972PRC2</t>
  </si>
  <si>
    <t>12972PRC2 (PHILIPS) H7 Vision</t>
  </si>
  <si>
    <t>162.61</t>
  </si>
  <si>
    <t>РїР°СЂРЅРµ РєР°СЂС‚РѕРЅРЅРµ РїР°РєСѓРІР°РЅРЅСЏ (2С€С‚ РІ СѓРїР°Рє.)</t>
  </si>
  <si>
    <t>12972VPB1</t>
  </si>
  <si>
    <t>12972VPB1 (PHILIPS) H7 VisionPlus (+60%) 12V 55W PX26d  Blst. 1 pc.</t>
  </si>
  <si>
    <t>160.33</t>
  </si>
  <si>
    <t>12972VPS2</t>
  </si>
  <si>
    <t>12972VPS2 (PHILIPS) H7 VisionPlus (+60%) 12V 55W PX26d  Set 2 pc.</t>
  </si>
  <si>
    <t>318.55</t>
  </si>
  <si>
    <t>12972XV+S2</t>
  </si>
  <si>
    <t>12972XV+S2 (PHILIPS) H7 X-treme Vision (+130%) 12V 55W PX26d  Set. 2 pc.</t>
  </si>
  <si>
    <t>474.99</t>
  </si>
  <si>
    <t>РќР° 130% Р±РѕР»СЊС€Рµ СЃРІРµС‚Р°  (РєРјРї-2 С€С‚)</t>
  </si>
  <si>
    <t>12972XVB1</t>
  </si>
  <si>
    <t>12972XVB1  (PHILIPS) H7 X-treme Vision (+100%) 12V 55W PX26d  Blst. 1 pc.</t>
  </si>
  <si>
    <t>172.19</t>
  </si>
  <si>
    <t>13844CP</t>
  </si>
  <si>
    <t>13844CP (PHILIPS) C5W 24V 5W SV8,5 11X35</t>
  </si>
  <si>
    <t>24824WLEDX1</t>
  </si>
  <si>
    <t>24824WLEDX1 (PHILIPS) DRL Strip 24824 WLED 24V click 2 - DRL8</t>
  </si>
  <si>
    <t>1471.43</t>
  </si>
  <si>
    <t>РљРѕРјРїР»РµРєС‚ РґР»СЏ СѓСЃС‚Р°РЅРѕРІРєРё: РґРІР° РјРѕРґСѓР»СЏ, РїСЂРѕРІРѕРґР°, СЂР°Р·СЉРµРјС‹ Рё РєСЂРµРїРµР¶</t>
  </si>
  <si>
    <t>РђРІС‚РѕР»Р°РјРїРё Solar</t>
  </si>
  <si>
    <t>SOLAR H1 , 4300K,85V,35W P14.5s KET, (2С€С‚.)</t>
  </si>
  <si>
    <t>139.43</t>
  </si>
  <si>
    <t>SOLAR H1 , 5000K,85V,35W P14.5s KET, (2С€С‚.)</t>
  </si>
  <si>
    <t>SOLAR H1 ,  6000K,85V,35W P14.5s KET, (2С€С‚.)</t>
  </si>
  <si>
    <t xml:space="preserve">SOLAR РђРІС‚РѕР»Р°РјРїР°  H1 12V 55W P14.5s Starlight+30% </t>
  </si>
  <si>
    <t>14.74</t>
  </si>
  <si>
    <t xml:space="preserve">SOLAR РђРІС‚РѕР»Р°РјРїР°  H3 12V 55W PK22s Starlight+30% </t>
  </si>
  <si>
    <t xml:space="preserve">SOLAR РђРІС‚РѕР»Р°РјРїР°  H4 12V 60/55W P43t-38 Starlight+30% </t>
  </si>
  <si>
    <t>27.73</t>
  </si>
  <si>
    <t xml:space="preserve">SOLAR РђРІС‚РѕР»Р°РјРїР°  HB3 12V 65W P20d Starlight+30% </t>
  </si>
  <si>
    <t xml:space="preserve">SOLAR РђРІС‚РѕР»Р°РјРїР°  HB4 12V 55W P22d Starlight+30% </t>
  </si>
  <si>
    <t xml:space="preserve">SOLAR РђРІС‚РѕР»Р°РјРїР°  H7 12V 55W PX26d Starlight+30% </t>
  </si>
  <si>
    <t xml:space="preserve">SOLAR РђРІС‚РѕР»Р°РјРїР°  H8 12V 35W PGJ19-1 Starlight+30% </t>
  </si>
  <si>
    <t>64.11</t>
  </si>
  <si>
    <t xml:space="preserve">SOLAR РђРІС‚РѕР»Р°РјРїР°  H11 12V 55W Starlight+30% (10/200 С€С‚.) </t>
  </si>
  <si>
    <t xml:space="preserve">SOLAR РђРІС‚РѕР»Р°РјРїР°  H3 12V 100W PK22s Starlight+30% (10/1000 С€С‚.) </t>
  </si>
  <si>
    <t>20.19</t>
  </si>
  <si>
    <t xml:space="preserve">SOLAR РђРІС‚РѕР»Р°РјРїР°  H4 12V 100/90W P43t-38 Starlight+30% (10/200 С€С‚.) </t>
  </si>
  <si>
    <t xml:space="preserve">SOLAR РђРІС‚РѕР»Р°РјРїР°  H7 12V 100W PX26d Starlight+30% (10/200 С€С‚.) </t>
  </si>
  <si>
    <t xml:space="preserve">SOLAR РђРІС‚РѕР»Р°РјРїР°  P21W 12V 21W BA15s (10С€С‚.) </t>
  </si>
  <si>
    <t>Solar PY21W 12V 21W BAU15s Amber (10С€С‚.)</t>
  </si>
  <si>
    <t xml:space="preserve">SOLAR РђРІС‚РѕР»Р°РјРїР°  P21/5W 12V 21/5W BAY15d (10С€С‚.) </t>
  </si>
  <si>
    <t xml:space="preserve">SOLAR РђРІС‚РѕР»Р°РјРїР°  P21/4W 12V 21/4W BAZ15d (10С€С‚.) </t>
  </si>
  <si>
    <t xml:space="preserve">SOLAR РђРІС‚РѕР»Р°РјРїР°  R5W 12V 5W BA15s (10С€С‚.) </t>
  </si>
  <si>
    <t xml:space="preserve">SOLAR РђРІС‚РѕР»Р°РјРїР°  R10W 12V 10W BA15s (10С€С‚.) </t>
  </si>
  <si>
    <t xml:space="preserve">SOLAR РђРІС‚РѕР»Р°РјРїР°  T4W 12V 4W BA9s (10С€С‚.) </t>
  </si>
  <si>
    <t xml:space="preserve">SOLAR РђРІС‚РѕР»Р°РјРїР°  C5W 12V 5W SV8.5 T11x37 (10С€С‚.) </t>
  </si>
  <si>
    <t xml:space="preserve">SOLAR РђРІС‚РѕР»Р°РјРїР°  C10W 12V 10W SV8.5 T11x37 (10С€С‚.) </t>
  </si>
  <si>
    <t xml:space="preserve">SOLAR РђРІС‚РѕР»Р°РјРїР°  РЎ10W 12V 10W SV8,5 T11x31 (10С€С‚.) </t>
  </si>
  <si>
    <t xml:space="preserve">SOLAR РђРІС‚РѕР»Р°РјРїР°  C5W 12V 5W SV8.5 T11X41 (10С€С‚.) </t>
  </si>
  <si>
    <t xml:space="preserve">SOLAR РђРІС‚РѕР»Р°РјРїР°  C10W 12V 10W SV8.5 T11x41 (10С€С‚.) </t>
  </si>
  <si>
    <t xml:space="preserve">SOLAR РђРІС‚РѕР»Р°РјРїР°  W5W 12V 5W W2.1x9.5d (10С€С‚.) </t>
  </si>
  <si>
    <t xml:space="preserve">SOLAR РђРІС‚РѕР»Р°РјРїР°  W1.2W 12V 1.2W W2x4.6d (10С€С‚.) </t>
  </si>
  <si>
    <t>Solar PY21W 12V 21W BA15s Amber (10С€С‚.)</t>
  </si>
  <si>
    <t>SOLAR H3 Solar, 4300K,85V,35W PK22s KET, (2С€С‚.)</t>
  </si>
  <si>
    <t>SOLAR H3 , 5000K,85V,35W PK22s KET, (2С€С‚.)</t>
  </si>
  <si>
    <t>SOLAR H3 Solar, 6000K,85V,35W PK22s KET, (2С€С‚.)</t>
  </si>
  <si>
    <t>SOLAR H4 bi-xenon Wire</t>
  </si>
  <si>
    <t>82.22</t>
  </si>
  <si>
    <t>SOLAR H4 bi-xenon , 4300K,85V,35W P43t-38 KET, (2С€С‚.)</t>
  </si>
  <si>
    <t>243.13</t>
  </si>
  <si>
    <t>SOLAR Adapter KET-AMP</t>
  </si>
  <si>
    <t>SOLAR H4 bi-xenon , 5000K,85V,35W P43t-38 KET, (2С€С‚.)</t>
  </si>
  <si>
    <t>SOLAR H4 bi-xenon , 6000K,85V,35W P43t-38 KET, (2С€С‚.)</t>
  </si>
  <si>
    <t>SOLAR Slim Ballast, 35Р’С‚, 9-16Р’,KET</t>
  </si>
  <si>
    <t>176.62</t>
  </si>
  <si>
    <t>SOLAR Slim Ballast, 35Р’С‚, 9-32Р’,KET</t>
  </si>
  <si>
    <t>SOLAR Canbus 9-16 B</t>
  </si>
  <si>
    <t>103.21</t>
  </si>
  <si>
    <t>SOLAR H7 , 4300K,85V,35W PX26d KET, (2С€С‚.)</t>
  </si>
  <si>
    <t>SOLAR H7 , 5000K,85V,35W PX26d KET, (2С€С‚.)</t>
  </si>
  <si>
    <t>SOLAR H7 , 6000K,85V,35W PX26d KET, (2С€С‚.)</t>
  </si>
  <si>
    <t>SOLAR H8 , 4300K,85V,35W PGJ19-1 KET, (2С€С‚.)</t>
  </si>
  <si>
    <t>SOLAR H8 , 5000K,85V,35W PGJ19-1 KET, (2С€С‚.)</t>
  </si>
  <si>
    <t>SOLAR H8 , 6000K,85V,35W PGJ19-1 KET, (2С€С‚.)</t>
  </si>
  <si>
    <t>SOLAR H11 Solar, 4300K,85V,35W PGJ19-2 KET, (2С€С‚.)</t>
  </si>
  <si>
    <t>SOLAR H11 , 5000K,85V,35W PGJ19-2 KET, (2С€С‚.)</t>
  </si>
  <si>
    <t>SOLAR H11 Solar, 6000K,85V,35W PGJ19-2 KET, (2С€С‚.)</t>
  </si>
  <si>
    <t xml:space="preserve">SOLAR РђРІС‚РѕР»Р°РјРїР°  H3 24V 70W PK22s Starlight+30% </t>
  </si>
  <si>
    <t>16.35</t>
  </si>
  <si>
    <t xml:space="preserve">SOLAR РђРІС‚РѕР»Р°РјРїР°  H4 24V 75/70W P43t-38 Starlight+30% </t>
  </si>
  <si>
    <t>32.37</t>
  </si>
  <si>
    <t xml:space="preserve">SOLAR РђРІС‚РѕР»Р°РјРїР°  H7 24V 70W PX26d Starlight+30% </t>
  </si>
  <si>
    <t xml:space="preserve">SOLAR РђРІС‚РѕР»Р°РјРїР°  H3 24V 100W PK22s Starlight+30% (10/1000 С€С‚.) </t>
  </si>
  <si>
    <t xml:space="preserve">SOLAR РђРІС‚РѕР»Р°РјРїР°  H4 24V 100/90W P43t-38 Starlight+30% </t>
  </si>
  <si>
    <t>36.54</t>
  </si>
  <si>
    <t xml:space="preserve">SOLAR РђРІС‚РѕР»Р°РјРїР°  P21W 24V 21W BA15s (10С€С‚.) </t>
  </si>
  <si>
    <t xml:space="preserve">SOLAR РђРІС‚РѕР»Р°РјРїР°  P21/5W 24V 21/5W BAY15d (10С€С‚.) </t>
  </si>
  <si>
    <t xml:space="preserve">SOLAR РђРІС‚РѕР»Р°РјРїР°  R5W 24V 5W BA15s (10С€С‚.) </t>
  </si>
  <si>
    <t xml:space="preserve">SOLAR РђРІС‚РѕР»Р°РјРїР°  R10W 24V 10W BA15s (10С€С‚.) </t>
  </si>
  <si>
    <t xml:space="preserve">SOLAR РђРІС‚РѕР»Р°РјРїР°  T4W 24V 4W BA9s (10С€С‚.) </t>
  </si>
  <si>
    <t xml:space="preserve">SOLAR РђРІС‚РѕР»Р°РјРїР°  C5W 24V 5W SV8.5 T11x41 (10С€С‚.) </t>
  </si>
  <si>
    <t xml:space="preserve">SOLAR РђРІС‚РѕР»Р°РјРїР°  C10W 24V 10W SV8.5 T11x41 (10С€С‚.) </t>
  </si>
  <si>
    <t xml:space="preserve">SOLAR РђРІС‚РѕР»Р°РјРїР°  W1.2W 24V 1.2W W2x4.6d (10С€С‚.) </t>
  </si>
  <si>
    <t>SOLAR РєРѕРјРїР».H1 , 4300K,85V,35W P14.5s KET, (2С€С‚.)+Ballast</t>
  </si>
  <si>
    <t>522.48</t>
  </si>
  <si>
    <t>SOLAR РєРѕРјРїР».H1 , 5000K,85V,35W P14.5s KET, (2С€С‚.)+Ballast</t>
  </si>
  <si>
    <t>SOLAR РєРѕРјРїР».H1 , 6000K,85V,35W P14.5s KET, (2С€С‚.)+Ballast</t>
  </si>
  <si>
    <t>SOLAR РєРѕРјРїР».H27/2(881) , 5000K,85V,35W PGJ13 KET, (2С€С‚.)+Ballast</t>
  </si>
  <si>
    <t>SOLAR РєРѕРјРїР».H3 , 4300K,85V,35W PK22s KET, (2С€С‚.)+Ballast</t>
  </si>
  <si>
    <t>SOLAR РєРѕРјРїР».H3 , 5000K,85V,35W PK22s KET, (2С€С‚.)+Ballast</t>
  </si>
  <si>
    <t>SOLAR РєРѕРјРїР».H3 , 6000K,85V,35W PK22s KET, (2С€С‚.)+Ballast</t>
  </si>
  <si>
    <t>РєРѕРјРїР».H4 Solar, 4300K,85V,35W P43t-38 KET, (2С€С‚.)+Ballast+Wire</t>
  </si>
  <si>
    <t>708.55</t>
  </si>
  <si>
    <t>SOLAR РєРѕРјРїР».H4 Solar, 5000K,85V,35W P43t-38 KET, (2С€С‚.)+Ballast+Wire</t>
  </si>
  <si>
    <t>708.39</t>
  </si>
  <si>
    <t>SOLAR РєРѕРјРїР».H4 Solar, 6000K,85V,35W P43t-38 KET, (2С€С‚.)+Ballast+Wire</t>
  </si>
  <si>
    <t>SOLAR РєРѕРјРїР».HB3(9005) , 5000K,85V,35W P20d KET, (2С€С‚.)+Ballast</t>
  </si>
  <si>
    <t>SOLAR РєРѕРјРїР».HB3(9005) , 6000K,85V,35W P20d KET, (2С€С‚.)+Ballast</t>
  </si>
  <si>
    <t>SOLAR РєРѕРјРїР».HB4(9006) , 5000K,85V,35W P22d KET, (2С€С‚.)+Ballast</t>
  </si>
  <si>
    <t>SOLAR РєРѕРјРїР».HB4(9006) , 6000K,85V,35W P22d KET, (2С€С‚.)+Ballast</t>
  </si>
  <si>
    <t>SOLAR РєРѕРјРїР».H7 Solar, 4300K,85V,35W PX26d KET, (2С€С‚.)+Ballast</t>
  </si>
  <si>
    <t>РєРѕРјРїР».H7 Solar, 5000K,85V,35W PX26d KET, (2С€С‚.)+Ballast</t>
  </si>
  <si>
    <t>SOLAR РєРѕРјРїР».H7 , 6000K,85V,35W PX26d KET, (2С€С‚.)+Ballast</t>
  </si>
  <si>
    <t>SOLAR РєРѕРјРїР».H8 , 5000K,85V,35W PGJ19-1 KET, (2С€С‚.)+Ballast</t>
  </si>
  <si>
    <t>SOLAR РєРѕРјРїР».H8 , 6000K,85V,35W PGJ19-1 KET, (2С€С‚.)+Ballast</t>
  </si>
  <si>
    <t>SOLAR РєРѕРјРїР».H11 , 5000K,85V,35W PGJ19-2 KET, (2С€С‚.)+Ballast</t>
  </si>
  <si>
    <t>SOLAR H11 Solar, 6000K,85V,35W PGJ19-2 KET, (2С€С‚.)+Ballast</t>
  </si>
  <si>
    <t>SOLAR D1S , 4300K,85V,35W PK32d-2, (2С€С‚.)</t>
  </si>
  <si>
    <t>530.81</t>
  </si>
  <si>
    <t>SOLAR D1S , 5000K,85V,35W PK32d-2, (2С€С‚.)</t>
  </si>
  <si>
    <t>SOLAR D1S , 6000K,85V,35W PK32d-2, (2С€С‚.)</t>
  </si>
  <si>
    <t>SOLAR D2S , 4300K,85V,35W PK32d-2, (2С€С‚.)</t>
  </si>
  <si>
    <t>175.66</t>
  </si>
  <si>
    <t>SOLAR D2S , 5000K,85V,35W PK32d-2, (2С€С‚.)</t>
  </si>
  <si>
    <t>SOLAR D2S , 6000K,85V,35W PK32d-2, (2С€С‚.)</t>
  </si>
  <si>
    <t>SOLAR D2R , 4300K,85V,35W PK32d-3, (2С€С‚.)</t>
  </si>
  <si>
    <t>216.85</t>
  </si>
  <si>
    <t>SOLAR D2R , 5000K,85V,35W PK32d-3, (2С€С‚.)</t>
  </si>
  <si>
    <t>SOLAR D2R , 6000K,85V,35W PK32d-3, (2С€С‚.)</t>
  </si>
  <si>
    <t>SOLAR D4S , 4300K,85V,35W PK32d-5, (2С€С‚.)</t>
  </si>
  <si>
    <t>366.38</t>
  </si>
  <si>
    <t>SOLAR D4S , 5000K,85V,35W PK32d-5, (2С€С‚.)</t>
  </si>
  <si>
    <t>SOLAR D4S , 6000K,85V,35W PK32d-5, (2С€С‚.)</t>
  </si>
  <si>
    <t>SOLAR H27/2(881) Solar, 4300K,85V,35W PGJ13 KET, (2С€С‚.)</t>
  </si>
  <si>
    <t>SOLAR H27/2(881) Solar, 5000K,85V,35W PGJ13 KET, (2С€С‚.)</t>
  </si>
  <si>
    <t>SOLAR H27/2(881) Solar, 6000K,85V,35W PGJ13 KET, (2С€С‚.)</t>
  </si>
  <si>
    <t>SOLAR HB3(9005) , 4300K,85V,35W P20d KET, (2С€С‚.)</t>
  </si>
  <si>
    <t>SOLAR HB3(9005) , 5000K,85V,35W P20d KET, (2С€С‚.)</t>
  </si>
  <si>
    <t>SOLAR HB3(9005) , 6000K,85V,35W P20d KET, (2С€С‚.)</t>
  </si>
  <si>
    <t>SOLAR HB4(9006) Solar, 4300K,85V,35W P22d KET, (2С€С‚.)</t>
  </si>
  <si>
    <t>SOLAR HB4(9006) Solar, 5000K,85V,35W P22d KET, (2С€С‚.)</t>
  </si>
  <si>
    <t>SOLAR HB4(9006) Solar, 6000K,85V,35W P22d KET, (2С€С‚.)</t>
  </si>
  <si>
    <t>LF101(K20)</t>
  </si>
  <si>
    <t xml:space="preserve">SOLAR РђРІС‚РѕР»Р°РјРїР° LED 12V T5 W2x4.6d 1leds white ,РєРѕСЂРѕР±.20С€С‚. (С€С‚.) </t>
  </si>
  <si>
    <t>LF111()K10)</t>
  </si>
  <si>
    <t xml:space="preserve">SOLAR РђРІС‚РѕР»Р°РјРїР° LED 12V T10 W2.1x9.5d 1leds white,РєРѕСЂРѕР±.10С€С‚. (С€С‚.) </t>
  </si>
  <si>
    <t>LF112(K10)</t>
  </si>
  <si>
    <t xml:space="preserve">SOLAR РђРІС‚РѕР»Р°РјРїР° LED 12V T10 W2.1x9.5d 1leds blue ,РєРѕСЂРѕР±.10С€С‚. (С€С‚.) </t>
  </si>
  <si>
    <t>LF121(K10)</t>
  </si>
  <si>
    <t xml:space="preserve">SOLAR РђРІС‚РѕР»Р°РјРїР° LED 12V T8.5 BA9s 1leds white,РєРѕСЂРѕР±. 10С€С‚. (С€С‚.) </t>
  </si>
  <si>
    <t>LF131(K10)</t>
  </si>
  <si>
    <t xml:space="preserve">SOLAR РђРІС‚РѕР»Р°РјРїР° LED 12V T10 W2.1x9.5d 4leds white,РєРѕСЂРѕР±.10С€С‚. (С€С‚.) </t>
  </si>
  <si>
    <t>LF132(K10)</t>
  </si>
  <si>
    <t xml:space="preserve">SOLAR РђРІС‚РѕР»Р°РјРїР° LED 12V T10 W2.1x9.5d 4leds blue,РєРѕСЂРѕР±.10С€С‚. (С€С‚.) </t>
  </si>
  <si>
    <t>LF133(K10)</t>
  </si>
  <si>
    <t xml:space="preserve">SOLAR РђРІС‚РѕР»Р°РјРїР° LED 12V T10 W2.1x9.5d 7leds white,РєРѕСЂРѕР±.10С€С‚. (С€С‚.) </t>
  </si>
  <si>
    <t>LS241(K10)</t>
  </si>
  <si>
    <t xml:space="preserve">SOLAR РђРІС‚РѕР»Р°РјРїР° LED 12V T10 W2.1x9.5d 1SMD 1W white,РєРѕСЂРѕР±.10С€С‚. (С€С‚.) </t>
  </si>
  <si>
    <t>17.79</t>
  </si>
  <si>
    <t>LS242(K10)</t>
  </si>
  <si>
    <t xml:space="preserve">SOLAR РђРІС‚РѕР»Р°РјРїР° LED 12V T8.5 BA9s 1smd 1W white,РєРѕСЂРѕР±.10С€С‚. (С€С‚.) </t>
  </si>
  <si>
    <t>19.39</t>
  </si>
  <si>
    <t>LS243(K10)</t>
  </si>
  <si>
    <t xml:space="preserve">SOLAR РђРІС‚РѕР»Р°РјРїР° LED 12V T10 W2.1x9.5d 5smd 5050 white,РєРѕСЂРѕР±.10С€С‚. (С€С‚.) </t>
  </si>
  <si>
    <t>16.83</t>
  </si>
  <si>
    <t>LS245(K10)</t>
  </si>
  <si>
    <t xml:space="preserve">SOLAR РђРІС‚РѕР»Р°РјРїР° LED 12V T10 W2.1x9.5d 1smd 5050 white,РєРѕСЂРѕР±.10С€С‚. (С€С‚.) </t>
  </si>
  <si>
    <t>LS246(K10)</t>
  </si>
  <si>
    <t xml:space="preserve">SOLAR РђРІС‚РѕР»Р°РјРїР° LED 12V T8.5 BA9s 5smd 5050 white,РєРѕСЂРѕР±.10С€С‚. (С€С‚.) </t>
  </si>
  <si>
    <t>17.63</t>
  </si>
  <si>
    <t>LS247(K10)</t>
  </si>
  <si>
    <t xml:space="preserve">SOLAR РђРІС‚РѕР»Р°РјРїР° LED 12V T8.5 BA9s 1smd 5050 white,РєРѕСЂРѕР±.10С€С‚. (С€С‚.) </t>
  </si>
  <si>
    <t>РђРІС‚РѕРїР°СЃС‚Р°</t>
  </si>
  <si>
    <t>РџР°СЃС‚Р° "РђРІС‚Рѕ-РјР°Р№СЃС‚РµСЂ" 550Рі</t>
  </si>
  <si>
    <t>РџР°СЃС‚Р° "РђРІС‚Рѕ-РјР°Р№СЃС‚РµСЂ" 1РєРі</t>
  </si>
  <si>
    <t>РђСЂРѕРјР°С‚РёР·Р°С‚РѕСЂРё</t>
  </si>
  <si>
    <t>AROMA  STRIP Aroma Car Fresh Bag,РјС–РєСЃ 10С€С‚.</t>
  </si>
  <si>
    <t>272.46</t>
  </si>
  <si>
    <t>AROMA</t>
  </si>
  <si>
    <t>AROMA  РђСЂРѕРјР°С‚РёР·Р°С‚РѕСЂ Aroma Car Loop - AQUA (14С€С‚.)</t>
  </si>
  <si>
    <t>AROMA  РђСЂРѕРјР°С‚РёР·Р°С‚РѕСЂ Aroma Car Loop - BLACK (14С€С‚.)</t>
  </si>
  <si>
    <t>AROMA  РђСЂРѕРјР°С‚РёР·Р°С‚РѕСЂ Aroma Car Loop - LEMON (14С€С‚.)</t>
  </si>
  <si>
    <t>AROMA  РђСЂРѕРјР°С‚РёР·Р°С‚РѕСЂ Aroma Car Loop - NEW CAR (14С€С‚.)</t>
  </si>
  <si>
    <t>AROMA  РђСЂРѕРјР°С‚РёР·Р°С‚РѕСЂ Aroma Car Loop - RED FRUITS (14С€С‚.)</t>
  </si>
  <si>
    <t>AROMA  РђСЂРѕРјР°С‚РёР·Р°С‚РѕСЂ Aroma Car Manny - BABBLE GUM (16С€С‚.)</t>
  </si>
  <si>
    <t>AROMA  РђСЂРѕРјР°С‚РёР·Р°С‚РѕСЂ Aroma Car Manny - BLACK (16С€С‚.)</t>
  </si>
  <si>
    <t>AROMA  РђСЂРѕРјР°С‚РёР·Р°С‚РѕСЂ Aroma Car Prestige Fresh BAG- BLACK (20С€С‚.)</t>
  </si>
  <si>
    <t>37.50</t>
  </si>
  <si>
    <t>AROMA  РђСЂРѕРјР°С‚РёР·Р°С‚РѕСЂ Aroma Car Prestige Fresh BAG- GOLD (20С€С‚.)</t>
  </si>
  <si>
    <t>AROMA  РђСЂРѕРјР°С‚РёР·Р°С‚РѕСЂ Aroma Car Prestige Fresh BAG- SILVER (20С€С‚.)</t>
  </si>
  <si>
    <t>AROMA  РђСЂРѕРјР°С‚РёР·Р°С‚РѕСЂ Aroma Car Prestige Organic- BLACK (24С€С‚.)</t>
  </si>
  <si>
    <t>AROMA  РђСЂРѕРјР°С‚РёР·Р°С‚РѕСЂ Aroma Car Prestige Organic- SILVER (24С€С‚.)</t>
  </si>
  <si>
    <t>AROMA  РђСЂРѕРјР°С‚РёР·Р°С‚РѕСЂ Aroma Car Prestige Sprey- GOLD (30С€С‚.)</t>
  </si>
  <si>
    <t>AROMA  РђСЂРѕРјР°С‚РёР·Р°С‚РѕСЂ Aroma Car Prestige Sprey- SILVER (30С€С‚.)</t>
  </si>
  <si>
    <t>AROMA  РђСЂРѕРјР°С‚РёР·Р°С‚РѕСЂ Car Prestige Organic- GOLD (24С€С‚.)</t>
  </si>
  <si>
    <t>AROMA STRIP Aroma Car CITY,РјС–РєСЃ 10С€С‚.</t>
  </si>
  <si>
    <t>172.93</t>
  </si>
  <si>
    <t>AROMA STRIP Aroma Car PRESTIGE Card ,РјС–РєСЃ 10С€С‚.</t>
  </si>
  <si>
    <t>AROMA РђСЂРѕРјР°С‚РёР·Р°С‚РѕСЂ Aroma Car Manny - LEMON (16С€С‚.)</t>
  </si>
  <si>
    <t>AROMA РђСЂРѕРјР°С‚РёР·Р°С‚РѕСЂ Aroma Car Manny - SPACE (16С€С‚.)</t>
  </si>
  <si>
    <t>AROMA РђСЂРѕРјР°С‚РёР·Р°С‚РѕСЂ Aroma Car Manny - VANILLA (16С€С‚.)</t>
  </si>
  <si>
    <t xml:space="preserve">AROMA РђСЂРѕРјР°С‚РёР·Р°С‚РѕСЂ Р”РёСЃРїР»РµР№  Car Clips РјС–РєСЃ 15С€С‚. </t>
  </si>
  <si>
    <t>510.78</t>
  </si>
  <si>
    <t xml:space="preserve">AROMA РђСЂРѕРјР°С‚РёР·Р°С‚РѕСЂ Р”РёСЃРїР»РµР№  Car Drop Control,РјС–РєСЃ 25С€С‚. </t>
  </si>
  <si>
    <t>545.40</t>
  </si>
  <si>
    <t xml:space="preserve">AROMA РђСЂРѕРјР°С‚РёР·Р°С‚РѕСЂ Р”РёСЃРїР»РµР№  Car SPEED РјС–РєСЃ 16С€С‚. </t>
  </si>
  <si>
    <t>723.62</t>
  </si>
  <si>
    <t>Paloma Parfume ALPIN,Р±Р»С–СЃС‚РµСЂ (10С€С‚/80)</t>
  </si>
  <si>
    <t>PALOMA</t>
  </si>
  <si>
    <t>Paloma Parfume APPLE,Р±Р»С–СЃС‚РµСЂ (10С€С‚/80)</t>
  </si>
  <si>
    <t>Paloma Parfume CARIBIC,Р±Р»С–СЃС‚РµСЂ (10С€С‚/80)</t>
  </si>
  <si>
    <t>Paloma Parfume EVERGREEN,Р±Р»С–СЃС‚РµСЂ (10С€С‚/80)</t>
  </si>
  <si>
    <t>Paloma Parfume FOR MAN,Р±Р»С–СЃС‚РµСЂ (10С€С‚/80)</t>
  </si>
  <si>
    <t>Paloma Parfume FRESH,Р±Р»С–СЃС‚РµСЂ (10С€С‚/80)</t>
  </si>
  <si>
    <t>Paloma Parfume JASMINE,Р±Р»С–СЃС‚РµСЂ (10С€С‚/80)</t>
  </si>
  <si>
    <t>Paloma Parfume LILAC,Р±Р»С–СЃС‚РµСЂ (10С€С‚/80)</t>
  </si>
  <si>
    <t>Paloma Parfume NEW CAR,Р±Р»С–СЃС‚РµСЂ (10С€С‚/80)</t>
  </si>
  <si>
    <t>Paloma Parfume OCEAN,Р±Р»С–СЃС‚РµСЂ (10С€С‚/80)</t>
  </si>
  <si>
    <t>Paloma Parfume SPORT,Р±Р»С–СЃС‚РµСЂ (10С€С‚/80)</t>
  </si>
  <si>
    <t>Paloma Parfume TABAC,Р±Р»С–СЃС‚РµСЂ (10С€С‚/80)</t>
  </si>
  <si>
    <t>Paloma Parfume VANILLA,Р±Р»С–СЃС‚РµСЂ (10С€С‚/80)</t>
  </si>
  <si>
    <t xml:space="preserve">PALOMA РђСЂРѕРјР°С‚РёР·Р°С‚РѕСЂ  DUO CHERRY&amp;BUBBLE GUM,Р±Р»С–СЃС‚РµСЂ (10С€С‚/12) </t>
  </si>
  <si>
    <t>24.52</t>
  </si>
  <si>
    <t xml:space="preserve">PALOMA РђСЂРѕРјР°С‚РёР·Р°С‚РѕСЂ  DUO Romeo Gulie,Р±Р»С–СЃС‚РµСЂ (10С€С‚/12) </t>
  </si>
  <si>
    <t xml:space="preserve">PALOMA РђСЂРѕРјР°С‚РёР·Р°С‚РѕСЂ  DUO РґРёСЃРїР»РµР№,Р±Р»С–СЃС‚РµСЂ (30С€С‚/10) </t>
  </si>
  <si>
    <t>734.36</t>
  </si>
  <si>
    <t xml:space="preserve">PALOMA РђСЂРѕРјР°С‚РёР·Р°С‚РѕСЂ  EGO ALPIN, black (5С€С‚/16) </t>
  </si>
  <si>
    <t xml:space="preserve">PALOMA РђСЂРѕРјР°С‚РёР·Р°С‚РѕСЂ  EGO LILAC GARDEN, black (5С€С‚/16) </t>
  </si>
  <si>
    <t>PALOMA  РђСЂРѕРјР°С‚РёР·Р°С‚РѕСЂ Car Deo Spray LILAC GARDEN</t>
  </si>
  <si>
    <t>PALOMA  РђСЂРѕРјР°С‚РёР·Р°С‚РѕСЂ Car Deo Spray NEW CAR</t>
  </si>
  <si>
    <t>PALOMA  РђСЂРѕРјР°С‚РёР·Р°С‚РѕСЂ Car Deo Spray BUBBLE GUM</t>
  </si>
  <si>
    <t>PALOMA  РђСЂРѕРјР°С‚РёР·Р°С‚РѕСЂ Car Deo Spray  VANILLA FLOWER</t>
  </si>
  <si>
    <t>РђСЂРѕРјР°С‚РёР·Р°С‚РѕСЂ РїРѕРІС–С‚СЂСЏ My Shaldan РђРїРµР»СЊСЃРёРЅ (12/144)</t>
  </si>
  <si>
    <t>Shaldan</t>
  </si>
  <si>
    <t>PALOMA  РђСЂРѕРјР°С‚РёР·Р°С‚РѕСЂ Car Deo Spray BLACK DIAMOND</t>
  </si>
  <si>
    <t>PALOMA  РђСЂРѕРјР°С‚РёР·Р°С‚РѕСЂ Car Deo Spray HAWAII SURF</t>
  </si>
  <si>
    <t>PALOMA  РђСЂРѕРјР°С‚РёР·Р°С‚РѕСЂ Car Deo Spray Premium BLUE LAGOON</t>
  </si>
  <si>
    <t>PALOMA  РђСЂРѕРјР°С‚РёР·Р°С‚РѕСЂ Car Deo Spray Premium MI AMOR</t>
  </si>
  <si>
    <t>PALOMA  РђСЂРѕРјР°С‚РёР·Р°С‚РѕСЂ Car Deo Spray Premium ROYAL FOREST</t>
  </si>
  <si>
    <t>PALOMA  РђСЂРѕРјР°С‚РёР·Р°С‚РѕСЂ Car Deo Spray Premium SWEET ANGEL</t>
  </si>
  <si>
    <t>PALOMA РђСЂРѕРјР°С‚РёР·Р°С‚РѕСЂ Car Deo Spray Premium GOLD RUSH</t>
  </si>
  <si>
    <t>PALOMA  РђСЂРѕРјР°С‚РёР·Р°С‚РѕСЂ Car Deo Spray Premium COOL FIRE</t>
  </si>
  <si>
    <t>PALOMA  РђСЂРѕРјР°С‚РёР·Р°С‚РѕСЂ Parfume LINE Premium MI AMOR,Р±Р»С–СЃС‚РµСЂ</t>
  </si>
  <si>
    <t>PALOMA РђСЂРѕРјР°С‚РёР·Р°С‚РѕСЂ Parfume LINE Premium GOLD RUSH,Р±Р»С–СЃС‚РµСЂ</t>
  </si>
  <si>
    <t>PALOMA  РђСЂРѕРјР°С‚РёР·Р°С‚РѕСЂ Parfume LINE Premium BLUE LAGON,Р±Р»С–СЃС‚РµСЂ</t>
  </si>
  <si>
    <t>PALOMA  РђСЂРѕРјР°С‚РёР·Р°С‚РѕСЂ Parfume LINE Premium ROYAL FOREST,Р±Р»С–СЃС‚РµСЂ</t>
  </si>
  <si>
    <t>PALOMA  РђСЂРѕРјР°С‚РёР·Р°С‚РѕСЂ Parfume LINE Premium SWEET ANGEL,Р±Р»С–СЃС‚РµСЂ</t>
  </si>
  <si>
    <t>PALOMA  РђСЂРѕРјР°С‚РёР·Р°С‚РѕСЂ Parfume LINE Premium COOL FIRE,Р±Р»С–СЃС‚РµСЂ</t>
  </si>
  <si>
    <t xml:space="preserve">PALOMA РђСЂРѕРјР°С‚РёР·Р°С‚РѕСЂ  EGO РЇР±Р»СѓРєРѕ, black (5С€С‚/16) </t>
  </si>
  <si>
    <t>РђСЂРѕРјР°С‚РёР·Р°С‚РѕСЂ РїРѕРІС–С‚СЂСЏ My Shaldan Р›РёРјРѕРЅ (12/144)</t>
  </si>
  <si>
    <t>1027-1</t>
  </si>
  <si>
    <t xml:space="preserve">PALOMA РђСЂРѕРјР°С‚РёР·Р°С‚РѕСЂ  EGO FRESH,black (5С€С‚/16) </t>
  </si>
  <si>
    <t xml:space="preserve">PALOMA РђСЂРѕРјР°С‚РёР·Р°С‚РѕСЂ  EGO NEW CAR, black (5С€С‚/16) </t>
  </si>
  <si>
    <t>РђСЂРѕРјР°С‚РёР·Р°С‚РѕСЂ РїРѕРІС–С‚СЂСЏ My Shaldan Р›Р°Р№Рј (12/144)</t>
  </si>
  <si>
    <t xml:space="preserve">PALOMA РђСЂРѕРјР°С‚РёР·Р°С‚РѕСЂ  EGO SPORT,black  (5С€С‚/16) </t>
  </si>
  <si>
    <t>1065-1</t>
  </si>
  <si>
    <t xml:space="preserve">PALOMA РђСЂРѕРјР°С‚РёР·Р°С‚РѕСЂ  EGO VANILLA, black (5С€С‚/16) </t>
  </si>
  <si>
    <t>РђСЂРѕРјР°С‚РёР·Р°С‚РѕСЂ РїРѕРІС–С‚СЂСЏ My Shaldan РЇР±Р»СѓРєРѕ (12/144)</t>
  </si>
  <si>
    <t>РђСЂРѕРјР°С‚РёР·Р°С‚РѕСЂ РїРѕРІС–С‚СЂСЏ My Shaldan РњР°РЅРіРѕ (12/144)</t>
  </si>
  <si>
    <t>РђСЂРѕРјР°С‚РёР·Р°С‚РѕСЂ РїРѕРІС–С‚СЂСЏ My Shaldan РЇРіРѕРґР° (12/144)</t>
  </si>
  <si>
    <t xml:space="preserve">WUNDER-BAUM  РђСЂРѕРјР°С‚РёР·Р°С‚РѕСЂ   Little Trees Р—РµР»РµРЅРµ СЏР±Р»СѓРєРѕ (24) </t>
  </si>
  <si>
    <t>WUNDER-BAUM</t>
  </si>
  <si>
    <t>250/92080</t>
  </si>
  <si>
    <t xml:space="preserve">AROMA  РђСЂРѕРјР°С‚РёР·Р°С‚РѕСЂ  Car Leaf - LEMON (36С€С‚.) </t>
  </si>
  <si>
    <t>251/92087</t>
  </si>
  <si>
    <t xml:space="preserve">AROMA  РђСЂРѕРјР°С‚РёР·Р°С‚РѕСЂ  Car Leaf -  (36С€С‚.) </t>
  </si>
  <si>
    <t>252/92088</t>
  </si>
  <si>
    <t xml:space="preserve">AROMA  РђСЂРѕРјР°С‚РёР·Р°С‚РѕСЂ  Car Leaf - BLACK (36С€С‚.) </t>
  </si>
  <si>
    <t xml:space="preserve">AROMA  РђСЂРѕРјР°С‚РёР·Р°С‚РѕСЂ  Car Leaf - VANILLA (36С€С‚.) </t>
  </si>
  <si>
    <t xml:space="preserve">AROMA  РђСЂРѕРјР°С‚РёР·Р°С‚РѕСЂ  Car Leaf - FRESH CHERRY (36С€С‚.) </t>
  </si>
  <si>
    <t>266/92261</t>
  </si>
  <si>
    <t xml:space="preserve">AROMA  РђСЂРѕРјР°С‚РёР·Р°С‚РѕСЂ  Car Leaf - NEW CAR (36С€С‚.) </t>
  </si>
  <si>
    <t xml:space="preserve">AROMA  РђСЂРѕРјР°С‚РёР·Р°С‚РѕСЂ  Car Leaf - GREEN TEA (36С€С‚.) </t>
  </si>
  <si>
    <t>268/92258</t>
  </si>
  <si>
    <t xml:space="preserve">AROMA  РђСЂРѕРјР°С‚РёР·Р°С‚РѕСЂ  Car Leaf - ANTI TOBACCO (36С€С‚.) </t>
  </si>
  <si>
    <t xml:space="preserve">AROMA  РђСЂРѕРјР°С‚РёР·Р°С‚РѕСЂ  Car Wood - VANILLA (50С€С‚.) </t>
  </si>
  <si>
    <t xml:space="preserve">AROMA  РђСЂРѕРјР°С‚РёР·Р°С‚РѕСЂ  Car Wood - LEMON (50С€С‚.) </t>
  </si>
  <si>
    <t xml:space="preserve">AROMA  РђСЂРѕРјР°С‚РёР·Р°С‚РѕСЂ  Car Wood - OKEAN (50С€С‚.) </t>
  </si>
  <si>
    <t xml:space="preserve">AROMA  РђСЂРѕРјР°С‚РёР·Р°С‚РѕСЂ  Car Wood - NEW CAR (50С€С‚.) </t>
  </si>
  <si>
    <t xml:space="preserve">AROMA  РђСЂРѕРјР°С‚РёР·Р°С‚РѕСЂ  Car Wood - ANTI TABACCO (50С€С‚.) </t>
  </si>
  <si>
    <t xml:space="preserve">AROMA  РђСЂРѕРјР°С‚РёР·Р°С‚РѕСЂ  Car Wood - BLACK (50С€С‚.) </t>
  </si>
  <si>
    <t xml:space="preserve">AROMA  РђСЂРѕРјР°С‚РёР·Р°С‚РѕСЂ  Car Wood - GREEN TEA (50С€С‚.) </t>
  </si>
  <si>
    <t xml:space="preserve">AROMA  РђСЂРѕРјР°С‚РёР·Р°С‚РѕСЂ  Car Wood - FIRE (50С€С‚.) </t>
  </si>
  <si>
    <t xml:space="preserve">AROMA  РђСЂРѕРјР°С‚РёР·Р°С‚РѕСЂ  Car Wood - EARTH (50С€С‚.) </t>
  </si>
  <si>
    <t xml:space="preserve">AROMA  РђСЂРѕРјР°С‚РёР·Р°С‚РѕСЂ  Car Wood -  (50С€С‚.) </t>
  </si>
  <si>
    <t xml:space="preserve">AROMA  РђСЂРѕРјР°С‚РёР·Р°С‚РѕСЂ  Car Wood - WIND (50С€С‚.) </t>
  </si>
  <si>
    <t xml:space="preserve">AROMA  РђСЂРѕРјР°С‚РёР·Р°С‚РѕСЂ  Car Clips 4x5g -  (30С€С‚.) </t>
  </si>
  <si>
    <t>375/92381</t>
  </si>
  <si>
    <t xml:space="preserve">AROMA  РђСЂРѕРјР°С‚РёР·Р°С‚РѕСЂ  Car Clips 4x5g - BLACK (30С€С‚.) </t>
  </si>
  <si>
    <t>376/92382</t>
  </si>
  <si>
    <t xml:space="preserve">AROMA  РђСЂРѕРјР°С‚РёР·Р°С‚РѕСЂ  Car Clips 4x5g - BUBBLE GUM (30С€С‚.) </t>
  </si>
  <si>
    <t xml:space="preserve">AROMA  РђСЂРѕРјР°С‚РёР·Р°С‚РѕСЂ  Car Clips 4x5g - LEMON (30С€С‚.) </t>
  </si>
  <si>
    <t>379/92385</t>
  </si>
  <si>
    <t xml:space="preserve">AROMA  РђСЂРѕРјР°С‚РёР·Р°С‚РѕСЂ  Car Clips 4x5g - VANILLA (30С€С‚.) </t>
  </si>
  <si>
    <t>401/92062</t>
  </si>
  <si>
    <t xml:space="preserve">AROMA  РђСЂРѕРјР°С‚РёР·Р°С‚РѕСЂ  Car Credit Card 4ml - VANILLA (20С€С‚.) </t>
  </si>
  <si>
    <t>28.53</t>
  </si>
  <si>
    <t>402/92063</t>
  </si>
  <si>
    <t xml:space="preserve">AROMA  РђСЂРѕРјР°С‚РёР·Р°С‚РѕСЂ  Car Credit Card 4ml - LEMON (20С€С‚.) </t>
  </si>
  <si>
    <t>405/92066</t>
  </si>
  <si>
    <t xml:space="preserve">AROMA  РђСЂРѕРјР°С‚РёР·Р°С‚РѕСЂ  Car Credit Card 4ml - RED FRUITS (20С€С‚.) </t>
  </si>
  <si>
    <t>430/92286</t>
  </si>
  <si>
    <t xml:space="preserve">AROMA  РђСЂРѕРјР°С‚РёР·Р°С‚РѕСЂ  Car Drop Contrl -  (20С€С‚.) </t>
  </si>
  <si>
    <t>432/92288</t>
  </si>
  <si>
    <t xml:space="preserve">AROMA  РђСЂРѕРјР°С‚РёР·Р°С‚РѕСЂ  Car Drop Contrl - Bubble Gum (20С€С‚.) </t>
  </si>
  <si>
    <t>437/92293</t>
  </si>
  <si>
    <t xml:space="preserve">AROMA  РђСЂРѕРјР°С‚РёР·Р°С‚РѕСЂ  Car Drop Contrl - Green Tea (20С€С‚.) </t>
  </si>
  <si>
    <t xml:space="preserve">AROMA  РђСЂРѕРјР°С‚РёР·Р°С‚РѕСЂ  Car Magic Gel 10g -  (20С€С‚.) </t>
  </si>
  <si>
    <t xml:space="preserve">AROMA  РђСЂРѕРјР°С‚РёР·Р°С‚РѕСЂ  Car Magic Gel 10g - LEMON (20С€С‚.) </t>
  </si>
  <si>
    <t>452/92305</t>
  </si>
  <si>
    <t xml:space="preserve">AROMA  РђСЂРѕРјР°С‚РёР·Р°С‚РѕСЂ  Car Magic Gel 10g - BLACK (20С€С‚.) </t>
  </si>
  <si>
    <t>454/92319</t>
  </si>
  <si>
    <t xml:space="preserve">AROMA  РђСЂРѕРјР°С‚РёР·Р°С‚РѕСЂ  Car Magic Gel 10g - VANILLA (20С€С‚.) </t>
  </si>
  <si>
    <t>455/92320</t>
  </si>
  <si>
    <t xml:space="preserve">AROMA  РђСЂРѕРјР°С‚РёР·Р°С‚РѕСЂ  Car Magic Gel 10g - RED FRUITS (20С€С‚.) </t>
  </si>
  <si>
    <t>РђСЂРѕРјР°С‚РёР·Р°С‚РѕСЂ РїРѕРІС–С‚СЂСЏ My Shaldan РЎРєРІРѕС€ (12/144)</t>
  </si>
  <si>
    <t>РђСЂРѕРјР°С‚РёР·Р°С‚РѕСЂ РїРѕРІС–С‚СЂСЏ My Shaldan РџРµСЂСЃРёРє (12/144)</t>
  </si>
  <si>
    <t>550/92091</t>
  </si>
  <si>
    <t xml:space="preserve">AROMA  РђСЂРѕРјР°С‚РёР·Р°С‚РѕСЂ  Car Organic 40g - STAWBERRY (48С€С‚.) РєРѕРЅСЃРµСЂРІР° </t>
  </si>
  <si>
    <t>35.42</t>
  </si>
  <si>
    <t>551/92092</t>
  </si>
  <si>
    <t xml:space="preserve">AROMA  РђСЂРѕРјР°С‚РёР·Р°С‚РѕСЂ  Car Organic 40g - BUBBLE GUM (48С€С‚.) РєРѕРЅСЃРµСЂРІР° </t>
  </si>
  <si>
    <t>556/92097</t>
  </si>
  <si>
    <t xml:space="preserve">AROMA  РђСЂРѕРјР°С‚РёР·Р°С‚РѕСЂ  Car Organic 40g - LEMON (48С€С‚.) РєРѕРЅСЃРµСЂРІР° </t>
  </si>
  <si>
    <t>557/92098</t>
  </si>
  <si>
    <t xml:space="preserve">AROMA  РђСЂРѕРјР°С‚РёР·Р°С‚РѕСЂ  Car Organic 40g - AQUA  (48С€С‚.) РєРѕРЅСЃРµСЂРІР° </t>
  </si>
  <si>
    <t>558/92099</t>
  </si>
  <si>
    <t xml:space="preserve">AROMA  РђСЂРѕРјР°С‚РёР·Р°С‚РѕСЂ  Car Organic 40g - COCONUT (48С€С‚.) РєРѕРЅСЃРµСЂРІР° </t>
  </si>
  <si>
    <t>39.75</t>
  </si>
  <si>
    <t>560/92101</t>
  </si>
  <si>
    <t xml:space="preserve">AROMA  РђСЂРѕРјР°С‚РёР·Р°С‚РѕСЂ  Car Organic 40g - GREEN APPLE (48С€С‚.) РєРѕРЅСЃРµСЂРІР° </t>
  </si>
  <si>
    <t>562/92103</t>
  </si>
  <si>
    <t xml:space="preserve">AROMA  РђСЂРѕРјР°С‚РёР·Р°С‚РѕСЂ  Car Organic 40g - BLACK РєРѕРЅСЃРµСЂРІР° </t>
  </si>
  <si>
    <t>601/92045</t>
  </si>
  <si>
    <t xml:space="preserve">AROMA  РђСЂРѕРјР°С‚РёР·Р°С‚РѕСЂ  Car Supereme Slim 8ml - VANILLA (40С€С‚.) РЅР° РѕР±РґСѓРІ </t>
  </si>
  <si>
    <t>602/92046</t>
  </si>
  <si>
    <t xml:space="preserve">AROMA  РђСЂРѕРјР°С‚РёР·Р°С‚РѕСЂ  Car Supereme Slim 8ml - LEMON (40С€С‚.) РЅР° РѕР±РґСѓРІ </t>
  </si>
  <si>
    <t>603/92047</t>
  </si>
  <si>
    <t xml:space="preserve">AROMA  РђСЂРѕРјР°С‚РёР·Р°С‚РѕСЂ  Car Supereme Slim 8ml -  (40С€С‚.) РЅР° РѕР±РґСѓРІ </t>
  </si>
  <si>
    <t>604/92048</t>
  </si>
  <si>
    <t xml:space="preserve">AROMA  РђСЂРѕРјР°С‚РёР·Р°С‚РѕСЂ  Car Supereme Slim 8ml - NEW CAR (40С€С‚.) РЅР° РѕР±РґСѓРІ </t>
  </si>
  <si>
    <t>605/92049</t>
  </si>
  <si>
    <t xml:space="preserve">AROMA  РђСЂРѕРјР°С‚РёР·Р°С‚РѕСЂ  Car Supereme Slim 8ml - ANTI TOBACCO РЅР° РѕР±РґСѓРІ </t>
  </si>
  <si>
    <t>606/92050</t>
  </si>
  <si>
    <t xml:space="preserve">AROMA  РђСЂРѕРјР°С‚РёР·Р°С‚РѕСЂ  Car Supereme Slim 8ml - BLACK (40С€С‚.) РЅР° РѕР±РґСѓРІ </t>
  </si>
  <si>
    <t xml:space="preserve">AROMA РђСЂРѕРјР°С‚РёР·Р°С‚РѕСЂ Р—Р°РјС–РЅРЅРёР№ С„Р»Р°РєРѕРЅ  Car Supreme REFILL - LEMON (24С€С‚.) </t>
  </si>
  <si>
    <t xml:space="preserve">AROMA РђСЂРѕРјР°С‚РёР·Р°С‚РѕСЂ Р—Р°РјС–РЅРЅРёР№ С„Р»Р°РєРѕРЅ  Car Supreme REFILL -  (24С€С‚.) </t>
  </si>
  <si>
    <t xml:space="preserve">AROMA РђСЂРѕРјР°С‚РёР·Р°С‚РѕСЂ Р—Р°РјС–РЅРЅРёР№ С„Р»Р°РєРѕРЅ  Car Supreme REFILL - NEW CAR (24С€С‚.) </t>
  </si>
  <si>
    <t xml:space="preserve">AROMA РђСЂРѕРјР°С‚РёР·Р°С‚РѕСЂ Р—Р°РјС–РЅРЅРёР№ С„Р»Р°РєРѕРЅ  Car Supreme REFILL - ANTI TOBACCO (24С€С‚.) </t>
  </si>
  <si>
    <t xml:space="preserve">AROMA РђСЂРѕРјР°С‚РёР·Р°С‚РѕСЂ Р—Р°РјС–РЅРЅРёР№ С„Р»Р°РєРѕРЅ  Car Supreme REFILL - BLACK (24С€С‚.) </t>
  </si>
  <si>
    <t>652/92314</t>
  </si>
  <si>
    <t xml:space="preserve">AROMA  РђСЂРѕРјР°С‚РёР·Р°С‚РѕСЂ  Car Speed COFFE (20С€С‚.) </t>
  </si>
  <si>
    <t>701/63171</t>
  </si>
  <si>
    <t xml:space="preserve">AROMA  РђСЂРѕРјР°С‚РёР·Р°С‚РѕСЂ  Car Gel 50ml - ICED  (40С€С‚.) Р±Р°РЅРєР° СЃС‚РµРєР»Рѕ </t>
  </si>
  <si>
    <t>72.44</t>
  </si>
  <si>
    <t>702/63172</t>
  </si>
  <si>
    <t xml:space="preserve">AROMA  РђСЂРѕРјР°С‚РёР·Р°С‚РѕСЂ  Car Gel 50ml - BLACK JACK Р±Р°РЅРєР° СЃС‚РµРєР»Рѕ </t>
  </si>
  <si>
    <t xml:space="preserve">AROMA  РђСЂРѕРјР°С‚РёР·Р°С‚РѕСЂ  Car Gel 50ml - LEMON (40С€С‚.) Р±Р°РЅРєР° СЃС‚РµРєР»Рѕ </t>
  </si>
  <si>
    <t>711/92027</t>
  </si>
  <si>
    <t xml:space="preserve">AROMA  РђСЂРѕРјР°С‚РёР·Р°С‚РѕСЂ  Car Gel 50ml - FOREST FRUIT (40С€С‚.) Р±Р°РЅРєР° СЃС‚РµРєР»Рѕ </t>
  </si>
  <si>
    <t>Paloma DUO Lilac&amp;Wilde Rose,Р±Р»С–СЃС‚РµСЂ (10С€С‚/80)</t>
  </si>
  <si>
    <t>24.68</t>
  </si>
  <si>
    <t>Paloma Parfume BUBBLE GUM,Р±Р»С–СЃС‚РµСЂ (10С€С‚/80)</t>
  </si>
  <si>
    <t>820/92115</t>
  </si>
  <si>
    <t xml:space="preserve">AROMA  РђСЂРѕРјР°С‚РёР·Р°С‚РѕСЂ  Car Intenso Air Vent -  BLUE (20С€С‚.) </t>
  </si>
  <si>
    <t>821/92116</t>
  </si>
  <si>
    <t xml:space="preserve">AROMA  РђСЂРѕРјР°С‚РёР·Р°С‚РѕСЂ  Car Intenso Air Vent - VANILLA ADVENTURE (20С€С‚.) </t>
  </si>
  <si>
    <t xml:space="preserve">AROMA  РђСЂРѕРјР°С‚РёР·Р°С‚РѕСЂ  Car Intenso Air Vent - CUTRUS SQUASH (20С€С‚.) </t>
  </si>
  <si>
    <t>823/92118</t>
  </si>
  <si>
    <t xml:space="preserve">AROMA  РђСЂРѕРјР°С‚РёР·Р°С‚РѕСЂ  Car Intenso Air Vent - BLACK JACK (20С€С‚.) </t>
  </si>
  <si>
    <t>824/92129</t>
  </si>
  <si>
    <t xml:space="preserve">AROMA  РђСЂРѕРјР°С‚РёР·Р°С‚РѕСЂ  Car Intenso Air Vent - PINK GRAPEFRUIT (20С€С‚.) </t>
  </si>
  <si>
    <t xml:space="preserve">AROMA  РђСЂРѕРјР°С‚РёР·Р°С‚РѕСЂ  Car Intenso Air Vent - COFFEE HEAVEN(20С€С‚.) </t>
  </si>
  <si>
    <t xml:space="preserve">WUNDER-BAUM РђСЂРѕРјР°С‚РёР·Р°С‚РѕСЂ Little Trees Mai Tai (24) </t>
  </si>
  <si>
    <t>841/92172</t>
  </si>
  <si>
    <t xml:space="preserve">AROMA  РђСЂРѕРјР°С‚РёР·Р°С‚РѕСЂ  Car Intenso Parfume 10g - VANILLA ADVENTURE (20С€С‚.) </t>
  </si>
  <si>
    <t>842/92173</t>
  </si>
  <si>
    <t xml:space="preserve">AROMA  РђСЂРѕРјР°С‚РёР·Р°С‚РѕСЂ  Car Intenso Parfume 10g - CITRUS SQUASH (20С€С‚.) </t>
  </si>
  <si>
    <t>844/92175</t>
  </si>
  <si>
    <t xml:space="preserve">AROMA  РђСЂРѕРјР°С‚РёР·Р°С‚РѕСЂ  Car Intenso Parfume 10g - PINK GRAPEFRUITE (20С€С‚.) </t>
  </si>
  <si>
    <t xml:space="preserve">AROMA  РђСЂРѕРјР°С‚РёР·Р°С‚РѕСЂ  Car Intenso AERO 65ml -  BLUE (30С€С‚.) </t>
  </si>
  <si>
    <t>861/92187</t>
  </si>
  <si>
    <t xml:space="preserve">AROMA  РђСЂРѕРјР°С‚РёР·Р°С‚РѕСЂ  Car Intenso AERO 65ml - VANILLA (30С€С‚.) </t>
  </si>
  <si>
    <t>862/92188</t>
  </si>
  <si>
    <t xml:space="preserve">AROMA  РђСЂРѕРјР°С‚РёР·Р°С‚РѕСЂ  Car Intenso AERO 65ml - CITRUS SQUASH (30С€С‚.) </t>
  </si>
  <si>
    <t>863/92189</t>
  </si>
  <si>
    <t xml:space="preserve">AROMA  РђСЂРѕРјР°С‚РёР·Р°С‚РѕСЂ  Car Intenso AERO 65ml - BLACK JACK (30С€С‚.) </t>
  </si>
  <si>
    <t xml:space="preserve">AROMA  РђСЂРѕРјР°С‚РёР·Р°С‚РѕСЂ  Car Intenso AERO 65ml - PINK GRAPEFRUIT (30С€С‚.) </t>
  </si>
  <si>
    <t xml:space="preserve">AROMA  РђСЂРѕРјР°С‚РёР·Р°С‚РѕСЂ  Car Intenso AERO 65ml - COFFEE HEAVEN (30С€С‚.) </t>
  </si>
  <si>
    <t>881/92344</t>
  </si>
  <si>
    <t xml:space="preserve">AROMA  РђСЂРѕРјР°С‚РёР·Р°С‚РѕСЂ  Car Intenso Spray XXL-  BLUE (12С€С‚.) </t>
  </si>
  <si>
    <t>59.30</t>
  </si>
  <si>
    <t>882/92345</t>
  </si>
  <si>
    <t xml:space="preserve">AROMA  РђСЂРѕРјР°С‚РёР·Р°С‚РѕСЂ  Car Intenso Spray XXL- BLACK (12С€С‚.) </t>
  </si>
  <si>
    <t xml:space="preserve">AROMA  РђСЂРѕРјР°С‚РёР·Р°С‚РѕСЂ  Car Intenso Spray XXL- CITRUS SQUASH (12С€С‚.) </t>
  </si>
  <si>
    <t>884/92347</t>
  </si>
  <si>
    <t xml:space="preserve">AROMA  РђСЂРѕРјР°С‚РёР·Р°С‚РѕСЂ  Car Intenso Spray XXL- COFFEE (12С€С‚.) </t>
  </si>
  <si>
    <t xml:space="preserve">AROMA  РђСЂРѕРјР°С‚РёР·Р°С‚РѕСЂ  Car Intenso Spray XXL- PINK GRAPERFRUIT (12С€С‚.) </t>
  </si>
  <si>
    <t xml:space="preserve">AROMA  РђСЂРѕРјР°С‚РёР·Р°С‚РѕСЂ  Car Intenso Spray XXL- VANILLA ADVENTURE (12С€С‚.) </t>
  </si>
  <si>
    <t>905K/63165</t>
  </si>
  <si>
    <t>РђСЂРѕРјР°С‚РёР·Р°С‚РѕСЂ Aroma Car Spray Fruits 50ml - GREEN TEA (32С€С‚.) СЃРїСЂРµР№ СЃС‚РµРєР»Рѕ</t>
  </si>
  <si>
    <t>906K/63166</t>
  </si>
  <si>
    <t xml:space="preserve">AROMA  РђСЂРѕРјР°С‚РёР·Р°С‚РѕСЂ  Car Spray Men 50ml - WIND (32С€С‚.) </t>
  </si>
  <si>
    <t>907K/63167Рљ</t>
  </si>
  <si>
    <t xml:space="preserve">AROMA  РђСЂРѕРјР°С‚РёР·Р°С‚РѕСЂ  Car Spray Men 50ml - FIRE (32С€С‚.) </t>
  </si>
  <si>
    <t>908K/63168</t>
  </si>
  <si>
    <t xml:space="preserve">AROMA  РђСЂРѕРјР°С‚РёР·Р°С‚РѕСЂ  Car Spray Men 50ml -  (32С€С‚.) СЃРїСЂРµР№ СЃС‚РµРєР»Рѕ </t>
  </si>
  <si>
    <t>909K/63169</t>
  </si>
  <si>
    <t xml:space="preserve">AROMA  РђСЂРѕРјР°С‚РёР·Р°С‚РѕСЂ  Car Spray Men 50ml - EARTH (32С€С‚.) СЃРїСЂРµР№ СЃС‚РµРєР»Рѕ </t>
  </si>
  <si>
    <t>910K/63186Рљ</t>
  </si>
  <si>
    <t>РђСЂРѕРјР°С‚РёР·Р°С‚РѕСЂ Aroma Car Spray Men 50ml - BLACK (32С€С‚.)</t>
  </si>
  <si>
    <t>911K/92056Рљ</t>
  </si>
  <si>
    <t xml:space="preserve">РђСЂРѕРјР°С‚РёР·Р°С‚РѕСЂ Aroma Car Spray Classic 50ml - VANILLA </t>
  </si>
  <si>
    <t>912K/92057</t>
  </si>
  <si>
    <t>РђСЂРѕРјР°С‚РёР·Р°С‚РѕСЂ Aroma Car Spray Classic 50ml - ANTI TOBACCO (32С€С‚.)</t>
  </si>
  <si>
    <t>913K/92058Рљ</t>
  </si>
  <si>
    <t xml:space="preserve">AROMA  РђСЂРѕРјР°С‚РёР·Р°С‚РѕСЂ  Car Spray Classic 50ml - NEW CAR (32С€С‚.) СЃРїСЂРµР№ СЃС‚РµРєР»Рѕ </t>
  </si>
  <si>
    <t>915K/92060Рљ</t>
  </si>
  <si>
    <t xml:space="preserve">AROMA  РђСЂРѕРјР°С‚РёР·Р°С‚РѕСЂ  Car Spray Classic 50ml - LEMON (32С€С‚.) СЃРїСЂРµР№ СЃС‚РµРєР»Рѕ </t>
  </si>
  <si>
    <t xml:space="preserve">AROMA  РђСЂРѕРјР°С‚РёР·Р°С‚РѕСЂ  Car Organic 40g - HARAMAIN (48С€С‚.) </t>
  </si>
  <si>
    <t xml:space="preserve">AROMA  РђСЂРѕРјР°С‚РёР·Р°С‚РѕСЂ  Car Organic 40g - LAVENDER (48С€С‚.) </t>
  </si>
  <si>
    <t xml:space="preserve">AROMA  РђСЂРѕРјР°С‚РёР·Р°С‚РѕСЂ  Car Organic 40g - ALOUD (48С€С‚.) </t>
  </si>
  <si>
    <t xml:space="preserve">AROMA  РђСЂРѕРјР°С‚РёР·Р°С‚РѕСЂ  Car Organic 40g - JASMINE (48С€С‚.) </t>
  </si>
  <si>
    <t xml:space="preserve">AROMA  РђСЂРѕРјР°С‚РёР·Р°С‚РѕСЂ  Car Organic 40g - CHERRY (48С€С‚.) </t>
  </si>
  <si>
    <t>AROMA  РђСЂРѕРјР°С‚РёР·Р°С‚РѕСЂ Aroma Car Supereme DUO Slim 8ml - VANILLA (10С€С‚.)</t>
  </si>
  <si>
    <t>58.66</t>
  </si>
  <si>
    <t>AROMA РђСЂРѕРјР°С‚РёР·Р°С‚РѕСЂ Aroma Car Supereme DUO Slim 8ml - LEMON (10С€С‚.)</t>
  </si>
  <si>
    <t>AROMA  РђСЂРѕРјР°С‚РёР·Р°С‚РѕСЂ Aroma Car Supereme DUO Slim 8ml - AQUA (10С€С‚.)</t>
  </si>
  <si>
    <t>58.82</t>
  </si>
  <si>
    <t>AROMA РђСЂРѕРјР°С‚РёР·Р°С‚РѕСЂ Aroma Car Supereme DUO Slim 8ml - BLACK (10С€С‚.)</t>
  </si>
  <si>
    <t>РђСЂРѕРјР°С‚РёР·Р°С‚РѕСЂ Aroma Car Speed AQUA (20С€С‚.)</t>
  </si>
  <si>
    <t xml:space="preserve">AROMA  РђСЂРѕРјР°С‚РёР·Р°С‚РѕСЂ  Car Speed BLACK (20С€С‚.) </t>
  </si>
  <si>
    <t xml:space="preserve">AROMA  РђСЂРѕРјР°С‚РёР·Р°С‚РѕСЂ  Car Speed LEMON (20С€С‚.) </t>
  </si>
  <si>
    <t xml:space="preserve">AROMA  РђСЂРѕРјР°С‚РёР·Р°С‚РѕСЂ  Car Speed ORIENTAL FLOWER (20С€С‚.) </t>
  </si>
  <si>
    <t xml:space="preserve">AROMA  РђСЂРѕРјР°С‚РёР·Р°С‚РѕСЂ  Car Speed RED FRUIT (20С€С‚.) </t>
  </si>
  <si>
    <t xml:space="preserve">AROMA  РђСЂРѕРјР°С‚РёР·Р°С‚РѕСЂ  Car Speed VANILLA (20С€С‚.) </t>
  </si>
  <si>
    <t xml:space="preserve">AROMA  РђСЂРѕРјР°С‚РёР·Р°С‚РѕСЂ  Car Fresh Bag - BUBBLE GUM (20С€С‚.) </t>
  </si>
  <si>
    <t xml:space="preserve">AROMA  РђСЂРѕРјР°С‚РёР·Р°С‚РѕСЂ  Car Fresh Bag - LEMON (20С€С‚.) </t>
  </si>
  <si>
    <t xml:space="preserve">AROMA  РђСЂРѕРјР°С‚РёР·Р°С‚РѕСЂ  Car Fresh Bag - RED FRUIT (20С€С‚.) </t>
  </si>
  <si>
    <t>AROMA  РђСЂРѕРјР°С‚РёР·Р°С‚РѕСЂ Aroma Car Supereme DUO Slim 8ml - NEW CAR (10С€С‚.)</t>
  </si>
  <si>
    <t xml:space="preserve">AROMA  РђСЂРѕРјР°С‚РёР·Р°С‚РѕСЂ  Car Fresh Bag - VANILLA (20С€С‚.) </t>
  </si>
  <si>
    <t xml:space="preserve">AROMA  РђСЂРѕРјР°С‚РёР·Р°С‚РѕСЂ  Car Fresh Bag - BLACK (20С€С‚.) </t>
  </si>
  <si>
    <t xml:space="preserve">AROMA  РђСЂРѕРјР°С‚РёР·Р°С‚РѕСЂ  Car Fresh Bag - NEW CAR (20С€С‚.) </t>
  </si>
  <si>
    <t xml:space="preserve">AROMA  РђСЂРѕРјР°С‚РёР·Р°С‚РѕСЂ  Car Fresh Bag - OCEAN (20С€С‚.) </t>
  </si>
  <si>
    <t xml:space="preserve">AROMA  РђСЂРѕРјР°С‚РёР·Р°С‚РѕСЂ  Car Prestige SILVER (24С€С‚.) </t>
  </si>
  <si>
    <t>20.51</t>
  </si>
  <si>
    <t xml:space="preserve">AROMA  РђСЂРѕРјР°С‚РёР·Р°С‚РѕСЂ  Car Prestige GOLD (24С€С‚.) </t>
  </si>
  <si>
    <t xml:space="preserve">AROMA  РђСЂРѕРјР°С‚РёР·Р°С‚РѕСЂ  Car City Card - BLACK (24С€С‚.) </t>
  </si>
  <si>
    <t xml:space="preserve">AROMA  РђСЂРѕРјР°С‚РёР·Р°С‚РѕСЂ  Car City Card - NEW CAR (24С€С‚.) </t>
  </si>
  <si>
    <t xml:space="preserve">AROMA  РђСЂРѕРјР°С‚РёР·Р°С‚РѕСЂ  Car City Card - VANILLA (24С€С‚.) </t>
  </si>
  <si>
    <t xml:space="preserve">AROMA  РђСЂРѕРјР°С‚РёР·Р°С‚РѕСЂ  Car City Card - BUBBLE GUM (24С€С‚.) </t>
  </si>
  <si>
    <t xml:space="preserve">AROMA  РђСЂРѕРјР°С‚РёР·Р°С‚РѕСЂ  Car Deco Leaf - VANILLA (20С€С‚.) </t>
  </si>
  <si>
    <t xml:space="preserve">AROMA  РђСЂРѕРјР°С‚РёР·Р°С‚РѕСЂ  Car Deco Leaf - NEW CAR (20С€С‚.) </t>
  </si>
  <si>
    <t xml:space="preserve">AROMA  РђСЂРѕРјР°С‚РёР·Р°С‚РѕСЂ  Car Deco Leaf - LEMON (20С€С‚.) </t>
  </si>
  <si>
    <t xml:space="preserve">AROMA  РђСЂРѕРјР°С‚РёР·Р°С‚РѕСЂ  Car Deco Leaf - BUBBLE GUM (20С€С‚.) </t>
  </si>
  <si>
    <t xml:space="preserve">AROMA  РђСЂРѕРјР°С‚РёР·Р°С‚РѕСЂ  Car Deco Leaf - BLACK (20С€С‚.) </t>
  </si>
  <si>
    <t xml:space="preserve">AROMA  РђСЂРѕРјР°С‚РёР·Р°С‚РѕСЂ  Car Wood - STRAWBERRY  (50С€С‚.) </t>
  </si>
  <si>
    <t xml:space="preserve">AROMA  РђСЂРѕРјР°С‚РёР·Р°С‚РѕСЂ  Car Wood - BUBBLE GUM (50С€С‚.) </t>
  </si>
  <si>
    <t xml:space="preserve">AROMA  РђСЂРѕРјР°С‚РёР·Р°С‚РѕСЂ  Car Wood - COCONUT (50С€С‚.) </t>
  </si>
  <si>
    <t xml:space="preserve">AROMA  РђСЂРѕРјР°С‚РёР·Р°С‚РѕСЂ  Car City Card - LEMON (24С€С‚.) </t>
  </si>
  <si>
    <t xml:space="preserve">AROMA  РђСЂРѕРјР°С‚РёР·Р°С‚РѕСЂ  Car CUP Gel 130g.  - BLACK (30С€С‚.) </t>
  </si>
  <si>
    <t>43.11</t>
  </si>
  <si>
    <t>РђСЂРѕРјР°С‚РёР·Р°С‚РѕСЂ Aroma Car CUP Gel 130g. - BUBBLE GUM (30С€С‚.)</t>
  </si>
  <si>
    <t xml:space="preserve">AROMA  РђСЂРѕРјР°С‚РёР·Р°С‚РѕСЂ  Car CUP Gel 130g. - CHERRY (30С€С‚.) </t>
  </si>
  <si>
    <t>43.27</t>
  </si>
  <si>
    <t xml:space="preserve">AROMA  РђСЂРѕРјР°С‚РёР·Р°С‚РѕСЂ  Car CUP Gel 130g. - NEW CAR (30С€С‚.) </t>
  </si>
  <si>
    <t xml:space="preserve">AROMA  РђСЂРѕРјР°С‚РёР·Р°С‚РѕСЂ  Car CUP Gel 130g. - STRAWBERRRY (30С€С‚.) </t>
  </si>
  <si>
    <t>92782\t</t>
  </si>
  <si>
    <t xml:space="preserve">AROMA  РђСЂРѕРјР°С‚РёР·Р°С‚РѕСЂ  Car CUP Gel 130g. - VANILLA (30С€С‚.) </t>
  </si>
  <si>
    <t>AROMA  РђСЂРѕРјР°С‚РёР·Р°С‚РѕСЂ  Aroma Car Credit Card 4ml - NEW CAR (20С€С‚.)</t>
  </si>
  <si>
    <t xml:space="preserve">AROMA  РђСЂРѕРјР°С‚РёР·Р°С‚РѕСЂ  Car Spray Fruits 50ml - STRAWBERRY  (32С€С‚.) </t>
  </si>
  <si>
    <t>PALOMA  РђСЂРѕРјР°С‚РёР·Р°С‚РѕСЂ Faces ALPIN</t>
  </si>
  <si>
    <t xml:space="preserve">PALOMA РђСЂРѕРјР°С‚РёР·Р°С‚РѕСЂ  Gold ALPIN (20С€С‚/12) СЃСѓС…Р°СЏ С‘Р»РєР° </t>
  </si>
  <si>
    <t>PALOMA  РђСЂРѕРјР°С‚РёР·Р°С‚РѕСЂ Faces APPLE</t>
  </si>
  <si>
    <t xml:space="preserve">PALOMA РђСЂРѕРјР°С‚РёР·Р°С‚РѕСЂ  Gold APPLE (20С€С‚/12) СЃСѓС…Р°СЏ С‘Р»РєР° </t>
  </si>
  <si>
    <t xml:space="preserve">PALOMA РђСЂРѕРјР°С‚РёР·Р°С‚РѕСЂ  Gold BUBBLE GUM (20С€С‚/12) СЃСѓС…Р°СЏ С‘Р»РєР° </t>
  </si>
  <si>
    <t>PALOMA РђСЂРѕРјР°С‚РёР·Р°С‚РѕСЂ Faces BUBBLE GUM</t>
  </si>
  <si>
    <t>PALOMA  РђСЂРѕРјР°С‚РёР·Р°С‚РѕСЂ Faces COFFE</t>
  </si>
  <si>
    <t xml:space="preserve">PALOMA РђСЂРѕРјР°С‚РёР·Р°С‚РѕСЂ  Gold COFFEE (20С€С‚/12) СЃСѓС…Р°СЏ С‘Р»РєР° </t>
  </si>
  <si>
    <t>PALOMA  РђСЂРѕРјР°С‚РёР·Р°С‚РѕСЂ Faces VANILIA</t>
  </si>
  <si>
    <t>PALOMA  РђСЂРѕРјР°С‚РёР·Р°С‚РѕСЂ Faces SPORT</t>
  </si>
  <si>
    <t xml:space="preserve">PALOMA РђСЂРѕРјР°С‚РёР·Р°С‚РѕСЂ  Gold SPORT (20С€С‚/12) СЃСѓС…Р°СЏ С‘Р»РєР° </t>
  </si>
  <si>
    <t>PALOMA  РђСЂРѕРјР°С‚РёР·Р°С‚РѕСЂ Faces FRESH</t>
  </si>
  <si>
    <t xml:space="preserve">PALOMA РђСЂРѕРјР°С‚РёР·Р°С‚РѕСЂ  Gold FRESH (20С€С‚/12) СЃСѓС…Р°СЏ С‘Р»РєР° </t>
  </si>
  <si>
    <t>PALOMA  РђСЂРѕРјР°С‚РёР·Р°С‚РѕСЂ Faces JASMIN</t>
  </si>
  <si>
    <t xml:space="preserve">PALOMA РђСЂРѕРјР°С‚РёР·Р°С‚РѕСЂ  Gold JASMIN (20С€С‚/12) СЃСѓС…Р°СЏ С‘Р»РєР° </t>
  </si>
  <si>
    <t>PALOMA  РђСЂРѕРјР°С‚РёР·Р°С‚РѕСЂ Faces ROMEO</t>
  </si>
  <si>
    <t xml:space="preserve">PALOMA РђСЂРѕРјР°С‚РёР·Р°С‚РѕСЂ  Gold ROMEO (20С€С‚/12) СЃСѓС…Р°СЏ С‘Р»РєР° </t>
  </si>
  <si>
    <t>PALOMA  РђСЂРѕРјР°С‚РёР·Р°С‚РѕСЂ Faces CHERRY</t>
  </si>
  <si>
    <t xml:space="preserve">PALOMA РђСЂРѕРјР°С‚РёР·Р°С‚РѕСЂ  Gold CHERRY (20С€С‚/12) СЃСѓС…Р°СЏ С‘Р»РєР° </t>
  </si>
  <si>
    <t>PALOMA  РђСЂРѕРјР°С‚РёР·Р°С‚РѕСЂ Faces EVERGREEN</t>
  </si>
  <si>
    <t xml:space="preserve">PALOMA РђСЂРѕРјР°С‚РёР·Р°С‚РѕСЂ  Gold EVERGREEN (20С€С‚/12) СЃСѓС…Р°СЏ С‘Р»РєР° </t>
  </si>
  <si>
    <t>PALOMA  РђСЂРѕРјР°С‚РёР·Р°С‚РѕСЂ Faces OCEAN</t>
  </si>
  <si>
    <t xml:space="preserve">PALOMA РђСЂРѕРјР°С‚РёР·Р°С‚РѕСЂ  Gold OCEAN (20С€С‚/12) СЃСѓС…Р°СЏ С‘Р»РєР° </t>
  </si>
  <si>
    <t>PALOMA  РђСЂРѕРјР°С‚РёР·Р°С‚РѕСЂ Faces COCCO</t>
  </si>
  <si>
    <t xml:space="preserve">PALOMA РђСЂРѕРјР°С‚РёР·Р°С‚РѕСЂ  Gold COCCO (20С€С‚/12) СЃСѓС…Р°СЏ С‘Р»РєР° </t>
  </si>
  <si>
    <t>PALOMA  РђСЂРѕРјР°С‚РёР·Р°С‚РѕСЂ Faces NEW CAR</t>
  </si>
  <si>
    <t xml:space="preserve">PALOMA РђСЂРѕРјР°С‚РёР·Р°С‚РѕСЂ  Gold NEW CAR (20С€С‚/12) </t>
  </si>
  <si>
    <t>?</t>
  </si>
  <si>
    <t>Paloma Parfume BLACK DIAMOND,Р±Р»С–СЃС‚РµСЂ (10С€С‚/80)</t>
  </si>
  <si>
    <t>Paloma Parfume CHERRY,Р±Р»С–СЃС‚РµСЂ (10С€С‚/80)</t>
  </si>
  <si>
    <t>Paloma Parfume FRESH MELON,Р±Р»С–СЃС‚РµСЂ (10С€С‚/80)</t>
  </si>
  <si>
    <t>Paloma Parfume TURBO GUM,Р±Р»С–СЃС‚РµСЂ (10С€С‚/80)</t>
  </si>
  <si>
    <t xml:space="preserve">PALOMA РђСЂРѕРјР°С‚РёР·Р°С‚РѕСЂ  DUO Atlantic Ocian,Р±Р»С–СЃС‚РµСЂ (10С€С‚/80) </t>
  </si>
  <si>
    <t xml:space="preserve">PALOMA РђСЂРѕРјР°С‚РёР·Р°С‚РѕСЂ  DUO Vanila Coco,Р±Р»С–СЃС‚РµСЂ (10С€С‚/80) </t>
  </si>
  <si>
    <t xml:space="preserve">PALOMA РђСЂРѕРјР°С‚РёР·Р°С‚РѕСЂ  Happy Bag Apple,Р±Р»С–СЃС‚РµСЂ (5С€С‚/50) </t>
  </si>
  <si>
    <t>25.96</t>
  </si>
  <si>
    <t xml:space="preserve">PALOMA РђСЂРѕРјР°С‚РёР·Р°С‚РѕСЂ  Happy Bag Bubble Gum,Р±Р»С–СЃС‚РµСЂ (5С€С‚/50) </t>
  </si>
  <si>
    <t xml:space="preserve">PALOMA РђСЂРѕРјР°С‚РёР·Р°С‚РѕСЂ  Happy Bag Cherry,Р±Р»С–СЃС‚РµСЂ (5С€С‚./50) </t>
  </si>
  <si>
    <t xml:space="preserve">PALOMA РђСЂРѕРјР°С‚РёР·Р°С‚РѕСЂ  Happy Bag Exotic,Р±Р»С–СЃС‚РµСЂ (5С€С‚./50) </t>
  </si>
  <si>
    <t xml:space="preserve">PALOMA РђСЂРѕРјР°С‚РёР·Р°С‚РѕСЂ  Happy Bag Flora,Р±Р»С–СЃС‚РµСЂ (5С€С‚/50) </t>
  </si>
  <si>
    <t xml:space="preserve">PALOMA РђСЂРѕРјР°С‚РёР·Р°С‚РѕСЂ  Happy Bag Fresh,Р±Р»С–СЃС‚РµСЂ (5С€С‚/50) </t>
  </si>
  <si>
    <t xml:space="preserve">PALOMA РђСЂРѕРјР°С‚РёР·Р°С‚РѕСЂ  Happy Bag Lemon&amp;Tea,Р±Р»С–СЃС‚РµСЂ (5С€С‚./50) </t>
  </si>
  <si>
    <t xml:space="preserve">PALOMA РђСЂРѕРјР°С‚РёР·Р°С‚РѕСЂ  Happy Bag New Car,Р±Р»С–СЃС‚РµСЂ (5С€С‚/50) </t>
  </si>
  <si>
    <t xml:space="preserve">PALOMA РђСЂРѕРјР°С‚РёР·Р°С‚РѕСЂ  Happy Bag Sport,Р±Р»С–СЃС‚РµСЂ (5С€С‚./50) </t>
  </si>
  <si>
    <t xml:space="preserve">PALOMA РђСЂРѕРјР°С‚РёР·Р°С‚РѕСЂ  Happy Bag Vanilla,Р±Р»С–СЃС‚РµСЂ (5С€С‚./50) </t>
  </si>
  <si>
    <t xml:space="preserve">PALOMA РђСЂРѕРјР°С‚РёР·Р°С‚РѕСЂ  Happy Bag РґРёСЃРїР»РµР№,Р±Р»С–СЃС‚РµСЂ (30С€С‚/6) </t>
  </si>
  <si>
    <t>ACB30</t>
  </si>
  <si>
    <t xml:space="preserve">AROMA РђСЂРѕРјР°С‚РёР·Р°С‚РѕСЂ Р”РёСЃРїР»РµР№  Car Fresh Bag,РјС–РєСЃ 30С€С‚. (С€С‚.) </t>
  </si>
  <si>
    <t>774.26</t>
  </si>
  <si>
    <t>ACC20</t>
  </si>
  <si>
    <t xml:space="preserve">AROMA РђСЂРѕРјР°С‚РёР·Р°С‚РѕСЂ Р”РёСЃРїР»РµР№  Car Credit Card 4ml РјС–РєСЃ 20С€С‚. (20С€С‚.) </t>
  </si>
  <si>
    <t>570.72</t>
  </si>
  <si>
    <t>ACI25</t>
  </si>
  <si>
    <t xml:space="preserve">AROMA РђСЂРѕРјР°С‚РёР·Р°С‚РѕСЂ Р”РёСЃРїР»РµР№  Car Intenso Parfume 10g,РјС–РєСЃ 25С€С‚. (17С€С‚.) </t>
  </si>
  <si>
    <t>841.58</t>
  </si>
  <si>
    <t>ACL50</t>
  </si>
  <si>
    <t xml:space="preserve">AROMA РђСЂРѕРјР°С‚РёР·Р°С‚РѕСЂ Р”РёСЃРїР»РµР№  Car Leaf,РјС–РєСЃ 50С€С‚. (С€С‚.) </t>
  </si>
  <si>
    <t>609.03</t>
  </si>
  <si>
    <t>ACM20</t>
  </si>
  <si>
    <t xml:space="preserve">AROMA РђСЂРѕРјР°С‚РёР·Р°С‚РѕСЂ Р”РёСЃРїР»РµР№  Car Magic Gel 10g,РјС–РєСЃ 20С€С‚. (13С€С‚.) </t>
  </si>
  <si>
    <t>628.10</t>
  </si>
  <si>
    <t>ACS15</t>
  </si>
  <si>
    <t xml:space="preserve">AROMA РђСЂРѕРјР°С‚РёР·Р°С‚РѕСЂ Р”РёСЃРїР»РµР№  Car Supreme 8ml,РјС–РєСЃ 15С€С‚. (8С€С‚.) </t>
  </si>
  <si>
    <t>625.05</t>
  </si>
  <si>
    <t>Р“РµСЂРјРµС‚РёРєРё</t>
  </si>
  <si>
    <t>MR120100</t>
  </si>
  <si>
    <t xml:space="preserve">MOLDER  Р—РјР°Р·РєР° СѓРЅС–РІРµСЂСЃР°Р»СЊРЅР° / UNIVERSAL MEHRZWECKEFETT MP2,green,100g </t>
  </si>
  <si>
    <t>MR120300</t>
  </si>
  <si>
    <t xml:space="preserve">MOLDER  Р—РјР°Р·РєР° СѓРЅС–РІРµСЂСЃР°Р»СЊРЅР° / UNIVERSAL MEHRZWECKEFETT MP2,green,300g </t>
  </si>
  <si>
    <t>MR130100</t>
  </si>
  <si>
    <t xml:space="preserve">MOLDER  Р—РјР°Р·РєР° РјРѕР»С–Р±РґРµРЅРѕРІР°/ MEHRZWECK-MOLYBDANFETT EP2,black,100g </t>
  </si>
  <si>
    <t>MR130300</t>
  </si>
  <si>
    <t xml:space="preserve">MOLDER  Р—РјР°Р·РєР° РјРѕР»С–Р±РґРµРЅРѕРІР°/ MEHRZWECK-MOLYBDANFETT EP2,black,300g </t>
  </si>
  <si>
    <t>68.92</t>
  </si>
  <si>
    <t>MR170100</t>
  </si>
  <si>
    <t xml:space="preserve">MOLDER  Р—РјР°Р·РєР° РІРёСЃРѕРєРѕС‚РµРјРїРµСЂР°С‚СѓСЂРЅР° / HOCHTEMPERATURFETT LC2,blue,100g </t>
  </si>
  <si>
    <t>MR170300</t>
  </si>
  <si>
    <t xml:space="preserve">MOLDER  Р—РјР°Р·РєР° РІРёСЃРѕРєРѕС‚РµРјРїРµСЂР°С‚СѓСЂРЅР° / HOCHTEMPERATURFETT LC2,blue,300g </t>
  </si>
  <si>
    <t>NX11109</t>
  </si>
  <si>
    <t>NOWAX  REARVIERW MIRROR ADHESIVE 0,4ml+ 0.6ml,РєР»РµР№ РґРІРѕРєРѕРјРїРѕРЅ. РґР»СЏ РјРѕРЅС‚Р°Р¶Сѓ РґР·РµСЂРєР°Р»Р° Р·Р°РґРЅСЊРѕРіРѕ РІРёРґСѓ (12</t>
  </si>
  <si>
    <t>NX13215</t>
  </si>
  <si>
    <t xml:space="preserve">NOWAX   EXHAUST SYSTEM SEALANT (CEMENT) 150g +1100вЃ°РЎ Р’РёСЃРѕРєРѕС‚РµРјРїРµСЂР°С‚СѓСЂРЅРёР№ РєРµСЂР°РјС–С‡РЅРёР№ РіРµСЂРјРµС‚РёРє </t>
  </si>
  <si>
    <t>NX21129</t>
  </si>
  <si>
    <t xml:space="preserve">NOWAX   THREADLOCKER RED Р¤Р†РљРЎРђРўРћР  Р Р†Р—Р¬Р‘Р Р§Р•Р Р’РћРќРР™ (РґР»СЏ РЅРµСЂРѕР·Р±С–СЂРЅРёС… Р·'С”РґРЅР°РЅСЊ) 18g </t>
  </si>
  <si>
    <t>NX21139</t>
  </si>
  <si>
    <t xml:space="preserve">NOWAX   THREADLOCKER BLUE Р¤Р†РљРЎРђРўРћР  Р Р†Р—Р¬Р‘Р РЎРРќР†Р™ (РґР»СЏ СЂРѕР·Р±С–СЂРЅРёС… Р·'С”РґРЅР°РЅСЊ) 10g </t>
  </si>
  <si>
    <t>NX21149</t>
  </si>
  <si>
    <t xml:space="preserve">NOWAX  Р¤С–РєСЃР°С‚РѕСЂ СЂС–Р·СЊР±Рё РґР»СЏ РЅРµСЂРѕР·Р±С–СЂРЅРёС… Р·'С”РґРЅР°РЅСЊ, С‡РµСЂРІРѕРЅРёР№,50ml (112/144) </t>
  </si>
  <si>
    <t>NX21159</t>
  </si>
  <si>
    <t xml:space="preserve">NOWAX  Р¤С–РєСЃР°С‚РѕСЂ СЂС–Р·СЊР±Рё РґР»СЏ СЂРѕР·Р±С–СЂРЅРёС… Р·'С”РґРЅР°РЅСЊ,СЃРёРЅС–Р№,50ml (12/144) </t>
  </si>
  <si>
    <t>NX34309</t>
  </si>
  <si>
    <t xml:space="preserve">NOWAX   GASKET MAKER CLEAR 85g +290вЃ°РЎ Р’РёСЃРѕРєРѕС‚РµРјРїРµСЂР°С‚СѓСЂРЅРёР№, РїСЂРѕС„РµСЃС–Р№РЅРёР№ РїСЂРѕР·РѕСЂРёР№ </t>
  </si>
  <si>
    <t>NX35309</t>
  </si>
  <si>
    <t xml:space="preserve">NOWAX   GASKET MAKER BLACK 85g +315вЃ°РЎ Р’РёСЃРѕРєРѕС‚РµРјРїРµСЂР°С‚СѓСЂРЅРёР№, РїСЂРѕС„РµСЃС–Р№РЅРёР№ С‡РѕСЂРЅРёР№ </t>
  </si>
  <si>
    <t>NX36309</t>
  </si>
  <si>
    <t xml:space="preserve">NOWAX   GASKET MAKER GRAY 85g +343вЃ°РЎ Р’РёСЃРѕРєРѕС‚РµРјРїРµСЂР°С‚СѓСЂРЅРёР№, РїСЂРѕС„РµСЃС–Р№РЅРёР№ СЃС–СЂРёР№ </t>
  </si>
  <si>
    <t>25.00</t>
  </si>
  <si>
    <t>NX37309</t>
  </si>
  <si>
    <t xml:space="preserve">NOWAX   GASKET MAKER RED 85g +343вЃ°РЎ Р’РёСЃРѕРєРѕС‚РµРјРїРµСЂР°С‚СѓСЂРЅРёР№, РїСЂРѕС„РµСЃС–Р№РЅРёР№ С‡РµСЂРІРѕРЅРёР№ </t>
  </si>
  <si>
    <t>NX48409</t>
  </si>
  <si>
    <t xml:space="preserve">NOWAX  METAL BOND 20g, РєР»РµР№ РµРїРѕРєСЃРёРґРЅРёР№, РґРІРѕРєРѕРјРїРѕРЅРµРЅС‚РЅРёР№, СЃС‚Р°Р»РµРІРѕРіРѕ РєРѕР»СЊРѕСЂСѓ (12/144) </t>
  </si>
  <si>
    <t>23.88</t>
  </si>
  <si>
    <t>NX48509</t>
  </si>
  <si>
    <t xml:space="preserve">NOWAX  SUPER BOND 20g, РєР»РµР№ РµРїРѕРєСЃРёРґРЅРёР№ РїСЂРѕР·РѕСЂРёР№ РґРІРѕРєРѕРјРїРѕРЅРµРЅС‚РЅРёР№ </t>
  </si>
  <si>
    <t>NX49409</t>
  </si>
  <si>
    <t xml:space="preserve">NOWAX  STEEL EPOXY ADHESIVE 30g, РєР»РµР№ РґРІРѕРєРѕРјРїРѕРЅРµРЅС‚РЅРёР№ РµРїРѕРєСЃРёРґРЅРёР№ СЃС‚Р°Р»РµРІРѕРіРѕ РєРѕР»СЊРѕСЂСѓ </t>
  </si>
  <si>
    <t>NX51109</t>
  </si>
  <si>
    <t xml:space="preserve">NOWAX   QUICK STEEL (EPOXY PUTTY) РЁР’РР”РљРђ РЎРўРђР›Р¬  (РҐРѕР»РѕРґРЅРµ Р·РІР°СЂСЋРІР°РЅРЅСЏ) 57g </t>
  </si>
  <si>
    <t>29.65</t>
  </si>
  <si>
    <t>NX51209</t>
  </si>
  <si>
    <t xml:space="preserve">NOWAX   QUICK PLASTIC (EPOXY PUTTY) РЁР’РР”РљРР™ РџР›РђРЎРўРРљ  (РҐРѕР»РѕРґРЅРµ Р·РІР°СЂСЋРІР°РЅРЅСЏ) 57g </t>
  </si>
  <si>
    <t>PU9080</t>
  </si>
  <si>
    <t xml:space="preserve">MOLDER  Р“РµСЂРјРµС‚РёРє РїРѕР»С–СѓСЂРµС‚Р°РЅРѕРІРёР№ С€РѕРІРЅРёР№,С‡РѕСЂРЅРёР№/ Polyurethan Dichtungsmittel Fur Fahrzeuge </t>
  </si>
  <si>
    <t>86.46</t>
  </si>
  <si>
    <t>PU9081</t>
  </si>
  <si>
    <t xml:space="preserve">MOLDER  Р“РµСЂРјРµС‚РёРє РїРѕР»С–СѓСЂРµС‚Р°РЅРѕРІРёР№ С€РѕРІРЅРёР№,СЃС–СЂРёР№/ Polyurethan Dichtungsmittel Fur Fahrzeuge </t>
  </si>
  <si>
    <t>PU9082</t>
  </si>
  <si>
    <t xml:space="preserve">MOLDER  Р“РµСЂРјРµС‚РёРє РїРѕР»С–СѓСЂРµС‚Р°РЅРѕРІРёР№ С€РѕРІРЅРёР№,Р±С–Р»РёР№/ Polyurethan Dichtungsmittel Fur Fahrzeuge </t>
  </si>
  <si>
    <t>PU9090</t>
  </si>
  <si>
    <t xml:space="preserve">MOLDER  РљР»РµР№ РґР»СЏ Р°РІС‚РѕРјРѕР±С–Р»СЊРЅРѕРіРѕ СЃРєР»Р° ,С‡РѕСЂРЅРёР№/ Polyuretan Klebstoff Fur Autoscheiben </t>
  </si>
  <si>
    <t>SIL343</t>
  </si>
  <si>
    <t xml:space="preserve">MOLDER   UNIVERSAL-DICHTMASSE GRAU 85g +343вЃ°C РЎС–СЂРёР№ РІРёСЃРѕРєРѕС‚РµРјРїРµСЂР°С‚СѓСЂРЅРёР№ РіРµСЂРјРµС‚РёРє РїСЂРѕРєР»Р°РґРѕРє </t>
  </si>
  <si>
    <t>37.02</t>
  </si>
  <si>
    <t>SIL370</t>
  </si>
  <si>
    <t xml:space="preserve">MOLDER   UNIVERSAL-DICHTMASSE RED 85g +370вЃ°C Р§РµСЂРІРѕРЅРёР№ РІРёСЃРѕРєРѕС‚РµРјРїРµСЂР°С‚СѓСЂРЅРёР№ РіРµСЂРјРµС‚РёРє РїСЂРѕРєР»Р°РґРѕРє </t>
  </si>
  <si>
    <t>Р“СѓР±РєРё, РіР°РЅС‡С–СЂРєРё, РІРѕРґРѕСЃРіРѕРЅРё</t>
  </si>
  <si>
    <t>ASZ PET</t>
  </si>
  <si>
    <t xml:space="preserve">KOFIETA  Р©С–С‚РєР° РґР»СЏ РјРёС‚С‚СЏ Р°РІС‚РѕРјРѕР±С–Р»С–РІ ASZ PET (25С€С‚) </t>
  </si>
  <si>
    <t>27.41</t>
  </si>
  <si>
    <t>KOFIETA</t>
  </si>
  <si>
    <t>ASZ PS</t>
  </si>
  <si>
    <t xml:space="preserve">KOFIETA  Р©С–С‚РєР° РґР»СЏ РјРёС‚С‚СЏ Р°РІС‚РѕРјРѕР±С–Р»С–РІ ASZ PS (25С€С‚) </t>
  </si>
  <si>
    <t>BP-20</t>
  </si>
  <si>
    <t xml:space="preserve">BI-PLAST  РЎС‚СЏРіР°С‡РєР° РІРѕРґРё ,20СЃРј. </t>
  </si>
  <si>
    <t>18.59</t>
  </si>
  <si>
    <t>BI-PLAST</t>
  </si>
  <si>
    <t>BP-21</t>
  </si>
  <si>
    <t xml:space="preserve">BI-PLAST  Р СѓС‡РєР° РґР»СЏ С‰С–С‚РєРё РјРµС‚Р°Р»РµРІР° </t>
  </si>
  <si>
    <t>BP-25</t>
  </si>
  <si>
    <t xml:space="preserve">BI-PLAST  Р©С–С‚РєР° РґР»СЏ РјРёС‚С‚СЏ Р°РІС‚Рѕ  LUX </t>
  </si>
  <si>
    <t>BP-26</t>
  </si>
  <si>
    <t>BI-PLAST  Р©С–С‚РєР° РґР»СЏ РјРёС‚С‚СЏ Р°РІС‚Рѕ  PREMIUM</t>
  </si>
  <si>
    <t>BP-30</t>
  </si>
  <si>
    <t>BI-PLAST РЎС‚СЏРіР°С‡РєР° РІРѕРґРё РјРµС‚Р°Р»РµРІР° (С‚РµР»РµСЃРєРѕРїС–С‡РЅР°),10-70СЃРј.</t>
  </si>
  <si>
    <t>71.00</t>
  </si>
  <si>
    <t>BP-31</t>
  </si>
  <si>
    <t>BI-PLAST Р СѓС‡РєР° РґР»СЏ С‰С–С‚РєРё РјРµС‚Р°Р»РµРІР° (С‚РµР»РµСЃРєРѕРїС–С‡РЅР°),70-130СЃРј.</t>
  </si>
  <si>
    <t>78.21</t>
  </si>
  <si>
    <t>BP-32</t>
  </si>
  <si>
    <t>BI-PLAST Р СѓС‡РєР° РґР»СЏ С‰С–С‚РєРё РјРµС‚Р°Р»РµРІР° (С‚РµР»РµСЃРєРѕРїС–С‡РЅР°),100-170СЃРј.</t>
  </si>
  <si>
    <t>107.54</t>
  </si>
  <si>
    <t>BP-33</t>
  </si>
  <si>
    <t>BI-PLAST Р СѓС‡РєР° РґР»СЏ С‰С–С‚РєРё РјРµС‚Р°Р»РµРІР° (С‚РµР»РµСЃРєРѕРїС–С‡РЅР°),134-300СЃРј.</t>
  </si>
  <si>
    <t>195.05</t>
  </si>
  <si>
    <t>BP-34</t>
  </si>
  <si>
    <t>BI-PLAST Р©С–С‚РєР° РґР»СЏ РјРёС‚С‚СЏ Р°РІС‚Рѕ "TRUCK"</t>
  </si>
  <si>
    <t>102.09</t>
  </si>
  <si>
    <t>BP-35</t>
  </si>
  <si>
    <t>BI-PLAST Р©С–С‚РєР° РґР»СЏ РјРёС‚С‚СЏ Р°РІС‚Рѕ  "FURGON"</t>
  </si>
  <si>
    <t>BP-36</t>
  </si>
  <si>
    <t>BI-PLAST Р©С–С‚РєР° РґР»СЏ РјРёС‚С‚СЏ Р°РІС‚Рѕ  "COMBI"</t>
  </si>
  <si>
    <t>51.93</t>
  </si>
  <si>
    <t>CA14</t>
  </si>
  <si>
    <t xml:space="preserve">Р‘Р•Р›РђР’РўРћ  Р“Р°РЅС‡С–СЂРєР° PVA РІ С‚СѓР±С– , 43x32 СЃРј.,РјР°Р»Р°, (12/144С€С‚.) </t>
  </si>
  <si>
    <t>Р‘Р•Р›РђР’РўРћ</t>
  </si>
  <si>
    <t>CC901</t>
  </si>
  <si>
    <t xml:space="preserve">CARLIFE  Р“Р°РЅС‡С–СЂРєР° PVA РІ С‚СѓР±С–, 64x43 СЃРј.,РІРµР»РёРєР°, (12/96С€С‚.) </t>
  </si>
  <si>
    <t>CC902</t>
  </si>
  <si>
    <t xml:space="preserve">CARLIFE  Р“Р°РЅС‡С–СЂРєР° PVA РІ С‚СѓР±С–, 43x32 СЃРј.,РјР°Р»Р°, (12/144С€С‚.) </t>
  </si>
  <si>
    <t>CC903</t>
  </si>
  <si>
    <t xml:space="preserve">CARLIFE  Р“Р°РЅС‡С–СЂРєР° Р· РјС–РєСЂРѕС„С–Р±СЂРё, 40x40 СЃРј.,1С€С‚. (10/240С€С‚.) </t>
  </si>
  <si>
    <t>CC906</t>
  </si>
  <si>
    <t xml:space="preserve">CARLIFE  Р“Р°РЅС‡С–СЂРєР° Р· РјС–РєСЂРѕС„С–Р±СЂРё, 30x40 СЃРј.,(270С€С‚./СЏС‰.) </t>
  </si>
  <si>
    <t>CC907</t>
  </si>
  <si>
    <t xml:space="preserve">CARLIFE  Р“Р°РЅС‡С–СЂРєР° Р· РјС–РєСЂРѕС„С–Р±СЂРё, 30x30 СЃРј.,(С€С‚.240/СЏС‰.) </t>
  </si>
  <si>
    <t>CL-411</t>
  </si>
  <si>
    <t xml:space="preserve">CARLIFE  Р“СѓР±РєР° РґР»СЏ РјРёС‚С‚СЏ Р°РІС‚Рѕ Special Р· РІРµР»РёРєРёРјРё РїРѕСЂР°РјРё 220x120x60mm, Р¶РѕРІС‚Р° (10x10) </t>
  </si>
  <si>
    <t>14.42</t>
  </si>
  <si>
    <t>CL-412</t>
  </si>
  <si>
    <t xml:space="preserve">CARLIFE  Р“СѓР±РєР° РґР»СЏ РјРёС‚С‚СЏ Р°РІС‚Рѕ Soft Р· РґСЂС–Р±РЅРёРјРё РїРѕСЂР°РјРё 220x120x60mm,Р¶РѕРІС‚Р° (10x10) </t>
  </si>
  <si>
    <t>CL-413</t>
  </si>
  <si>
    <t xml:space="preserve">CARLIFE  Р“СѓР±РєР° РґР»СЏ РјРёС‚С‚СЏ Р°РІС‚Рѕ MAXI 245x160x70mm,Р¶РѕРІС‚Р° (5x10) </t>
  </si>
  <si>
    <t>15.71</t>
  </si>
  <si>
    <t>CL-415</t>
  </si>
  <si>
    <t xml:space="preserve">CARLIFE  Р“СѓР±РєР° РґР»СЏ РјРёС‚С‚СЏ Р°РІС‚Рѕ Super Р· РІРµР»РёРєРёРјРё РїРѕСЂР°РјРё  195x130x70mm,Р¶РѕРІС‚Р° (10x10) </t>
  </si>
  <si>
    <t>16.51</t>
  </si>
  <si>
    <t>CL-417</t>
  </si>
  <si>
    <t xml:space="preserve">CARLIFE  Р“СѓР±РєР° РґР»СЏ РјРёС‚С‚СЏ Р°РІС‚Рѕ ECO Р· РґСЂС–Р±РЅРёРјРё РїРѕСЂР°РјРё 190x140x50mm,Р±РµР· С–РЅРґРёРІ.СѓРїР°Рє. </t>
  </si>
  <si>
    <t>CL-417/1</t>
  </si>
  <si>
    <t>CARLIFE  Р“СѓР±РєР° РґР»СЏ РјРёС‚С‚СЏ Р°РІС‚Рѕ ECO Р· РґСЂС–Р±РЅРёРјРё РїРѕСЂР°РјРё  190x140x50mm,Р±РµР· С–РЅРґРёРІ.СѓРїР°Рє.</t>
  </si>
  <si>
    <t>CL-422</t>
  </si>
  <si>
    <t xml:space="preserve">CARLIFE  Р“СѓР±РєР° РґР»СЏ РјРёС‚С‚СЏ Р°РІС‚Рѕ PREMIUM Р· РІРµР»РёРєРёРјРё РїРѕСЂР°РјРё 190x120x70mm, РєРѕСЂРёС‡РЅРµРІР° </t>
  </si>
  <si>
    <t>NX61440</t>
  </si>
  <si>
    <t>NOWAX  РџСЂРѕС„РµСЃС–Р№РЅР° РіР°РЅС‡С–СЂРєР° РґР»СЏ СЃРєР»Р°, 40*40СЃРј.,(200С€С‚./СЏС‰.)</t>
  </si>
  <si>
    <t>NX62451</t>
  </si>
  <si>
    <t>NOWAX  РџСЂРѕС„РµСЃС–Р№РЅР° РіР°РЅС‡С–СЂРєР° РґР»СЏ Р°РІС‚Рѕ, 40*50 mm, (РїРµСЂС„РѕСЂРѕРІР°РЅР° СЃРёРЅСЏ)</t>
  </si>
  <si>
    <t>67.31</t>
  </si>
  <si>
    <t>NX63451</t>
  </si>
  <si>
    <t>NOWAX  РџСЂРѕС„РµСЃС–Р№РЅР° РіР°РЅС‡С–СЂРєР° РґР»СЏ Р°РІС‚Рѕ, 40*50 mm, (Р¶РѕРІС‚Р°)</t>
  </si>
  <si>
    <t>62.51</t>
  </si>
  <si>
    <t>NX64451</t>
  </si>
  <si>
    <t>NOWAX  РџСЂРѕС„РµСЃС–Р№РЅР° РіР°РЅС‡С–СЂРєР° РґР»СЏ Р°РІС‚Рѕ, 40*50 mm, PU (Р·РµР»РµРЅР°)</t>
  </si>
  <si>
    <t>NX65451</t>
  </si>
  <si>
    <t>NOWAX  РџСЂРѕС„РµСЃС–Р№РЅР° РіР°РЅС‡С–СЂРєР° РґР»СЏ Р°РІС‚Рѕ, 40*50 mm, "С€С‚СѓС‡РЅР° Р·Р°РјС€Р°" (Р¶РѕРІС‚Р°)</t>
  </si>
  <si>
    <t>63.79</t>
  </si>
  <si>
    <t>SCW01</t>
  </si>
  <si>
    <t xml:space="preserve">KOFIETA  РЎС‚СЏРіР°С‡РєР° РІРѕРґРё РєР»Р°СЃРёС‡РЅР° SCW01 (25С€С‚) </t>
  </si>
  <si>
    <t>16.67</t>
  </si>
  <si>
    <t>SCW02</t>
  </si>
  <si>
    <t xml:space="preserve">KOFIETA  РЎС‚СЏРіР°С‡РєР° РІРѕРґРё РїСЂРѕС„РµСЃС–Р№РЅР° SCW02 (25С€С‚) </t>
  </si>
  <si>
    <t>87.19</t>
  </si>
  <si>
    <t>SCW04</t>
  </si>
  <si>
    <t xml:space="preserve">KOFIETA  РЎС‚СЏРіР°С‡РєР° РІРѕРґРё SCW04 (24С€С‚) </t>
  </si>
  <si>
    <t>SCW06</t>
  </si>
  <si>
    <t xml:space="preserve">KOFIETA  РЎС‚СЏРіР°С‡РєР° РІРѕРґРё РґРІРѕС…СЃС‚РѕСЂРѕРЅРЅСЏ SCW06 (25С€С‚) </t>
  </si>
  <si>
    <t>55.45</t>
  </si>
  <si>
    <t>SCW06/L</t>
  </si>
  <si>
    <t xml:space="preserve">KOFIETA  РЎС‚СЏРіР°С‡РєР° РІРѕРґРё РґРІРѕС…СЃС‚РѕСЂРѕРЅРЅСЏ, РґРѕРІРіР° SCW06/L (25С€С‚) </t>
  </si>
  <si>
    <t>79.01</t>
  </si>
  <si>
    <t>SCW07</t>
  </si>
  <si>
    <t xml:space="preserve">KOFIETA  РЎС‚СЏРіР°С‡РєР° РІРѕРґРё Р±РµР· СЂСѓС‡РєРё SCW07 (25С€С‚) </t>
  </si>
  <si>
    <t>87.67</t>
  </si>
  <si>
    <t>Р”РѕРјРєСЂР°С‚Рё</t>
  </si>
  <si>
    <t>DB02</t>
  </si>
  <si>
    <t xml:space="preserve">Р‘Р•Р›РђР’РўРћ  Р”РѕРјРєСЂР°С‚ РіС–РґСЂР°РІР»С–С‡РЅРёР№  РІР°РЅС‚Р°Р¶РѕРїС–РґР№РѕРјРЅС–СЃС‚СЊ - 2С‚, РјРёРЅ., РІРёСЃРѕС‚Р° РїС–РґР№РѕРјР° 148 - 278 РјРј. </t>
  </si>
  <si>
    <t>243.77</t>
  </si>
  <si>
    <t>DB03</t>
  </si>
  <si>
    <t xml:space="preserve">Р‘Р•Р›РђР’РўРћ  Р”РѕРјРєСЂР°С‚ РіС–РґСЂР°РІР»С–С‡РЅРёР№  РІР°РЅС‚Р°Р¶РѕРїС–РґР№РѕРјРЅС–СЃС‚СЊ - 3С‚, РјРёРЅ., РІРёСЃРѕС‚Р° РїС–РґР№РѕРјР° 180 - 340 РјРј. </t>
  </si>
  <si>
    <t>286.24</t>
  </si>
  <si>
    <t>DB05</t>
  </si>
  <si>
    <t xml:space="preserve">Р‘Р•Р›РђР’РўРћ  Р”РѕРјРєСЂР°С‚ РіС–РґСЂР°РІР»С–С‡РЅРёР№  РІР°РЅС‚Р°Р¶РѕРїС–РґР№РѕРјРЅС–СЃС‚СЊ - 5С‚, РјРёРЅ., РІРёСЃРѕС‚Р° РїС–РґР№РѕРјР° 195 - 380 РјРј. </t>
  </si>
  <si>
    <t>360.61</t>
  </si>
  <si>
    <t>DB08</t>
  </si>
  <si>
    <t xml:space="preserve">Р‘Р•Р›РђР’РўРћ  Р”РѕРјРєСЂР°С‚ РіС–РґСЂР°РІР»С–С‡РЅРёР№ (Р±СѓС‚РёР»РѕС‡РЅРёР№),,8С‚.,РІРёСЃ.РїС–РґР№РѕРјСѓ 200-385РјРј </t>
  </si>
  <si>
    <t>480.17</t>
  </si>
  <si>
    <t>DB10</t>
  </si>
  <si>
    <t xml:space="preserve">Р‘Р•Р›РђР’РўРћ  Р”РѕРјРєСЂР°С‚ РіС–РґСЂР°РІР»С–С‡РЅРёР№  РІР°РЅС‚Р°Р¶РѕРїС–РґР№РѕРјРЅС–СЃС‚СЊ - 10С‚, РјРёРЅ., РІРёСЃРѕС‚Р° РїС–РґР№РѕРјР° 200 - 385 РјРј. </t>
  </si>
  <si>
    <t>554.37</t>
  </si>
  <si>
    <t>DB16</t>
  </si>
  <si>
    <t xml:space="preserve">Р‘Р•Р›РђР’РўРћ  Р”РѕРјРєСЂР°С‚ РіС–РґСЂР°РІР»С–С‡РЅРёР№  РІР°РЅС‚Р°Р¶РѕРїС–РґР№РѕРјРЅС–СЃС‚СЊ - 16С‚, РјРёРЅ., РІРёСЃРѕС‚Р° РїС–РґР№РѕРјР° 220 - 420 РјРј. </t>
  </si>
  <si>
    <t>703.26</t>
  </si>
  <si>
    <t>DB32</t>
  </si>
  <si>
    <t xml:space="preserve">Р‘Р•Р›РђР’РўРћ  Р”РѕРјРєСЂР°С‚ РіС–РґСЂР°РІР»С–С‡РЅРёР№ (Р±СѓС‚РёР»РѕС‡РЅРёР№),,32С‚.,РІРёСЃ.РїС–РґР№РѕРјСѓ 194-344РјРј </t>
  </si>
  <si>
    <t>1205.55</t>
  </si>
  <si>
    <t>DB50</t>
  </si>
  <si>
    <t xml:space="preserve">Р‘Р•Р›РђР’РўРћ  Р”РѕРјРєСЂР°С‚ РіС–РґСЂР°РІР»С–С‡РЅРёР№ (Р±СѓС‚РёР»РѕС‡РЅРёР№),,50С‚.,РІРёСЃ.РїС–РґР№РѕРјСѓ 285-465РјРј </t>
  </si>
  <si>
    <t>2019.08</t>
  </si>
  <si>
    <t>DP24</t>
  </si>
  <si>
    <t xml:space="preserve">Р‘Р•Р›РђР’РўРћ  Р”РѕРјРєСЂР°С‚ РіС–РґСЂР°РІР»С–С‡РЅРёР№ (РїС–РґРєР°С‚РЅРёР№),,2С‚.,РІРёСЃ.РїС–РґР№РѕРјСѓ 125-320РјРј </t>
  </si>
  <si>
    <t>554.21</t>
  </si>
  <si>
    <t>DP35</t>
  </si>
  <si>
    <t>Р‘Р•Р›РђР’РўРћ  Р”РѕРјРєСЂР°С‚ РїС–РґРєР°С‚РЅРёР№ РїСЂРѕС„РµСЃС–Р№РЅРёР№  Р· РїРµРґР°Р»Р»СЋ, РІР°РЅС‚Р°Р¶РѕРїС–Р№РѕРјРЅС–СЃС‚СЊ - 3С‚, РјР°СЃР° - 29 РєРі., РјРёРЅ. РІРёСЃРѕС‚</t>
  </si>
  <si>
    <t>2484.19</t>
  </si>
  <si>
    <t>K5001</t>
  </si>
  <si>
    <t>CONDOR  Р”РѕРјРєСЂР°С‚ РіС–РґСЂР°РІР»С–С‡РЅРёР№, 2С‚.,РІРёСЃРѕРєРёР№,181РјРј-345РјРј</t>
  </si>
  <si>
    <t>207.23</t>
  </si>
  <si>
    <t>CONDOR</t>
  </si>
  <si>
    <t>K5002</t>
  </si>
  <si>
    <t xml:space="preserve">CONDOR  Р”РѕРјРєСЂР°С‚ РіС–РґСЂР°РІР»С–С‡РЅРёР№, 2С‚. </t>
  </si>
  <si>
    <t>200.02</t>
  </si>
  <si>
    <t>K5005</t>
  </si>
  <si>
    <t xml:space="preserve">CONDOR  Р”РѕРјРєСЂР°С‚ РіС–РґСЂР°РІР»С–С‡РЅРёР№, 5С‚.  </t>
  </si>
  <si>
    <t>313.33</t>
  </si>
  <si>
    <t>K5015</t>
  </si>
  <si>
    <t xml:space="preserve">CONDOR  Р”РѕРјРєСЂР°С‚ РіС–РґСЂР°РІР»С–С‡РЅРёР№, 4С‚. РґРІРѕС€С‚РѕРєРѕРІРёР№  </t>
  </si>
  <si>
    <t>564.15</t>
  </si>
  <si>
    <t>K5021</t>
  </si>
  <si>
    <t xml:space="preserve">CONDOR  Р”РѕРјРєСЂР°С‚ РіС–РґСЂР°РІР»С–С‡РЅРёР№., 20С‚.,РЅРёР·СЊРєРёР№  </t>
  </si>
  <si>
    <t>652.30</t>
  </si>
  <si>
    <t>K5031</t>
  </si>
  <si>
    <t xml:space="preserve">CONDOR  Р”РѕРјРєСЂР°С‚ РіС–РґСЂР°РІР»С–С‡РЅРёР№., 32С‚.,РЅРёР·СЊРєРёР№  </t>
  </si>
  <si>
    <t>982.78</t>
  </si>
  <si>
    <t>K5102</t>
  </si>
  <si>
    <t xml:space="preserve">CONDOR  Р”РѕРјРєСЂР°С‚ РіС–РґСЂР°РІР»С–С‡РЅРёР№, 2С‚. (РїР»Р°СЃС‚.СѓРїР°Рє.)  </t>
  </si>
  <si>
    <t>231.43</t>
  </si>
  <si>
    <t>K5103</t>
  </si>
  <si>
    <t xml:space="preserve">CONDOR  Р”РѕРјРєСЂР°С‚ РіС–РґСЂР°РІР»С–С‡РЅРёР№, 3С‚.(РїР»Р°СЃС‚.СѓРїР°Рє.)  </t>
  </si>
  <si>
    <t>291.53</t>
  </si>
  <si>
    <t>K5105</t>
  </si>
  <si>
    <t xml:space="preserve">CONDOR  Р”РѕРјРєСЂР°С‚ РіС–РґСЂР°РІР»С–С‡РЅРёР№, 5С‚.(РїР»Р°СЃС‚.СѓРїР°Рє.)  </t>
  </si>
  <si>
    <t>349.07</t>
  </si>
  <si>
    <t>SJ222</t>
  </si>
  <si>
    <t xml:space="preserve">CARLIFE  Р”РѕРјРєСЂР°С‚ СЂРѕРјР±РѕРІРёР№, 1,5С‚.,РіСѓРјРѕРІР° РїРѕРґСѓС€РєР° </t>
  </si>
  <si>
    <t>208.35</t>
  </si>
  <si>
    <t>SJ224</t>
  </si>
  <si>
    <t xml:space="preserve">CARLIFE  Р”РѕРјРєСЂР°С‚ СЂРѕРјР±РѕРІРёР№, 2С‚.,РјРµС‚Р°Р»РµРІР° РїРѕРґСѓС€РєР° </t>
  </si>
  <si>
    <t>303.55</t>
  </si>
  <si>
    <t>SJ225</t>
  </si>
  <si>
    <t xml:space="preserve">CARLIFE  Р”РѕРјРєСЂР°С‚ СЂРѕРјР±РѕРІРёР№, 1,5С‚.,РјРµС‚Р°Р»РµРІР° РїРѕРґСѓС€РєР° </t>
  </si>
  <si>
    <t>SJ226</t>
  </si>
  <si>
    <t xml:space="preserve">CARLIFE  Р”РѕРјРєСЂР°С‚ СЂРѕРјР±РѕРІРёР№, 1,5С‚.,Р· С‚СЂРµС‰С–С‚РєРѕСЋ,РіСѓРјРѕРІР° РїРѕРґСѓС€РєР° </t>
  </si>
  <si>
    <t>233.99</t>
  </si>
  <si>
    <t>SJ227</t>
  </si>
  <si>
    <t xml:space="preserve">CARLIFE  Р”РѕРјРєСЂР°С‚ СЂРѕРјР±РѕРІРёР№, 2С‚.,РіСѓРјРѕРІР° РїРѕРґСѓС€РєР° </t>
  </si>
  <si>
    <t>308.68</t>
  </si>
  <si>
    <t>SJ228</t>
  </si>
  <si>
    <t xml:space="preserve">CARLIFE  Р”РѕРјРєСЂР°С‚ СЂРѕРјР±РѕРІРёР№, 1,2С‚.,РіСѓРјРѕРІР° РїРѕРґСѓС€РєР° </t>
  </si>
  <si>
    <t>178.06</t>
  </si>
  <si>
    <t>Р•Р»РµРєС‚СЂРѕРѕР±Р»Р°РґРЅР°РЅРЅСЏ</t>
  </si>
  <si>
    <t>AC801</t>
  </si>
  <si>
    <t>ALLIGATOR Р—Р°СЂСЏРґРЅРёР№ РїСЂРёСЃС‚СЂС–Р№  РђРљР‘/4Рђ,6-12V,(10С€С‚./СѓРї.)</t>
  </si>
  <si>
    <t>301.95</t>
  </si>
  <si>
    <t>ALLIGATOR</t>
  </si>
  <si>
    <t>AC802</t>
  </si>
  <si>
    <t>ALLIGATOR Р—Р°СЂСЏРґРЅРёР№ РїСЂРёСЃС‚СЂС–Р№  РђРљР‘/6Рђ,6-12V,(10С€С‚./СѓРї.)</t>
  </si>
  <si>
    <t>327.27</t>
  </si>
  <si>
    <t>AC803</t>
  </si>
  <si>
    <t>ALLIGATOR Р—Р°СЂСЏРґРЅРёР№ РїСЂРёСЃС‚СЂС–Р№  РђРљР‘/6Рђ,12V,(10С€С‚./СѓРї.)</t>
  </si>
  <si>
    <t>372.95</t>
  </si>
  <si>
    <t>AC804</t>
  </si>
  <si>
    <t>ALLIGATOR Р—Р°СЂСЏРґРЅРёР№ РїСЂРёСЃС‚СЂС–Р№  РђРљР‘/8Рђ,6-12V,(5С€С‚./СѓРї.)</t>
  </si>
  <si>
    <t>523.12</t>
  </si>
  <si>
    <t>BC621</t>
  </si>
  <si>
    <t xml:space="preserve">CARLIFE  РџСЂРѕРІРѕРґР°-РїСЂРёРєСѓСЂСЋРІР°С‡С– 200Рђ, 2Рј, РїРѕР»С–РµС‚РёР»РµРЅРѕРІРёР№ РїР°РєРµС‚ </t>
  </si>
  <si>
    <t>92.64</t>
  </si>
  <si>
    <t>BC622</t>
  </si>
  <si>
    <t xml:space="preserve">CARLIFE  РџСЂРѕРІРѕРґР°-РїСЂРёРєСѓСЂСЋРІР°С‡С– 200Рђ, 2,5Рј, РєСЂСѓРіР»Р° СЃСѓРјРєР° </t>
  </si>
  <si>
    <t>BC623</t>
  </si>
  <si>
    <t xml:space="preserve">CARLIFE  РџСЂРѕРІРѕРґР°-РїСЂРёРєСѓСЂСЋРІР°С‡С– 200Рђ, 2,5Рј, РїРѕР»С–РµС‚РёР»РµРЅРѕРІРёР№ РїР°РєРµС‚ </t>
  </si>
  <si>
    <t>95.52</t>
  </si>
  <si>
    <t>BC631</t>
  </si>
  <si>
    <t xml:space="preserve">CARLIFE  РџСЂРѕРІРѕРґР°-РїСЂРёРєСѓСЂСЋРІР°С‡С– 300Рђ, 2Рј, РїРѕР»С–РµС‚РёР»РµРЅРѕРІРёР№ РїР°РєРµС‚ </t>
  </si>
  <si>
    <t>BC632</t>
  </si>
  <si>
    <t xml:space="preserve">CARLIFE  РџСЂРѕРІРѕРґР°-РїСЂРёРєСѓСЂСЋРІР°С‡С– 300Рђ, 2,5Рј, РєСЂСѓРіР»Р° СЃСѓРјРєР° </t>
  </si>
  <si>
    <t>137.35</t>
  </si>
  <si>
    <t>BC633</t>
  </si>
  <si>
    <t xml:space="preserve">CARLIFE  РџСЂРѕРІРѕРґР°-РїСЂРёРєСѓСЂСЋРІР°С‡С– 300Рђ, 3Рј, РєСЂСѓРіР»Р° СЃСѓРјРєР° </t>
  </si>
  <si>
    <t>148.73</t>
  </si>
  <si>
    <t>BC634</t>
  </si>
  <si>
    <t xml:space="preserve">CARLIFE  РџСЂРѕРІРѕРґР°-РїСЂРёРєСѓСЂСЋРІР°С‡С– 300Рђ, 2,5Рј, РїРѕР»С–РµС‚РёР»РµРЅРѕРІРёР№ РїР°РєРµС‚ </t>
  </si>
  <si>
    <t>BC641</t>
  </si>
  <si>
    <t xml:space="preserve">CARLIFE  РџСЂРѕРІРѕРґР°-РїСЂРёРєСѓСЂСЋРІР°С‡С– 400Рђ, 2,5Рј, РїРѕР»С–РµС‚РёР»РµРЅРѕРІРёР№ РїР°РєРµС‚ </t>
  </si>
  <si>
    <t>119.24</t>
  </si>
  <si>
    <t>BC642</t>
  </si>
  <si>
    <t xml:space="preserve">CARLIFE  РџСЂРѕРІРѕРґР°-РїСЂРёРєСѓСЂСЋРІР°С‡С– 400Рђ, 3Рј, РїРѕР»С–РµС‚РёР»РµРЅРѕРІРёР№ РїР°РєРµС‚ </t>
  </si>
  <si>
    <t>BC643</t>
  </si>
  <si>
    <t xml:space="preserve">CARLIFE  РџСЂРѕРІРѕРґР°-РїСЂРёРєСѓСЂСЋРІР°С‡С– 400Рђ, 3Рј, РєСЂСѓРіР»Р° СЃСѓРјРєР° </t>
  </si>
  <si>
    <t>157.71</t>
  </si>
  <si>
    <t>BC651</t>
  </si>
  <si>
    <t xml:space="preserve">CARLIFE  РџСЂРѕРІРѕРґР°-РїСЂРёРєСѓСЂСЋРІР°С‡С– 500Рђ, 3Рј, РєСЂСѓРіР»Р° СЃСѓРјРєР° </t>
  </si>
  <si>
    <t>BC652</t>
  </si>
  <si>
    <t xml:space="preserve">CARLIFE  РџСЂРѕРІРѕРґР°-РїСЂРёРєСѓСЂСЋРІР°С‡С– 500Рђ, 3,5Рј, РєСЂСѓРіР»Р° СЃСѓРјРєР° </t>
  </si>
  <si>
    <t>196.81</t>
  </si>
  <si>
    <t>CA3-6</t>
  </si>
  <si>
    <t xml:space="preserve">РЎРћРќРђР   РЎРёРіРЅР°Р» Р°РІС‚РѕРјРѕР±С–Р»СЊРЅРёР№ , РґРІРѕС‚РѕРЅР°Р»СЊРЅРёР№ Р· СЂРµР»Рµ 410Hz С– 510Hz,2С€С‚.(30С€С‚.) </t>
  </si>
  <si>
    <t>РЎРћРќРђР </t>
  </si>
  <si>
    <t>CAР—-1</t>
  </si>
  <si>
    <t xml:space="preserve">РЎРћРќРђР   РЎРёРіРЅР°Р» Р°РІС‚РѕРјРѕР±С–Р»СЊРЅРёР№ , РґРІРѕС‚РѕРЅР°Р»СЊРЅРёР№ Р· СЂРµР»Рµ, 12Р’, (20 С€С‚.) </t>
  </si>
  <si>
    <t>183.51</t>
  </si>
  <si>
    <t>CAР—-2</t>
  </si>
  <si>
    <t>CAР—-3</t>
  </si>
  <si>
    <t xml:space="preserve">РЎРћРќРђР   РЎРёРіРЅР°Р» Р°РІС‚РѕРјРѕР±С–Р»СЊРЅРёР№ , РґРёСЃРєРѕРІРёР№ Г110mm, 12Р’, 2С€С‚. </t>
  </si>
  <si>
    <t>119.40</t>
  </si>
  <si>
    <t>CAР—-4-12</t>
  </si>
  <si>
    <t xml:space="preserve">РЎРћРќРђР   РЎРёРіРЅР°Р» Р°РІС‚РѕРјРѕР±С–Р»СЊРЅРёР№ , С„Р°РЅС„Р°СЂРЅРёР№ 45 СЃРј., 12Р’, </t>
  </si>
  <si>
    <t>CAР—-4-24</t>
  </si>
  <si>
    <t xml:space="preserve">РЎРћРќРђР   РЎРёРіРЅР°Р» Р°РІС‚РѕРјРѕР±С–Р»СЊРЅРёР№ , С„Р°РЅС„Р°СЂРЅРёР№ 45 СЃРј., 24Р’, </t>
  </si>
  <si>
    <t>340.09</t>
  </si>
  <si>
    <t>IL215</t>
  </si>
  <si>
    <t>CARLIFE Р›С–С…С‚Р°СЂ LED, 3W, (96С€С‚/СѓРї.)</t>
  </si>
  <si>
    <t>81.42</t>
  </si>
  <si>
    <t>IL220\t</t>
  </si>
  <si>
    <t>CARLIFE Р›Р°РјРїР° С–РЅСЃРїРµРєС†С–Р№РЅР° 220Р’, 20Рј.,(20С€С‚/СѓРї.)\t</t>
  </si>
  <si>
    <t>LC422</t>
  </si>
  <si>
    <t xml:space="preserve">CARLIFE  РђРІС‚РѕРјРѕР±С–Р»СЊРЅРёР№ РїСЂРёРєСѓСЂСЋРІР°С‡ STANDARD </t>
  </si>
  <si>
    <t>LC423</t>
  </si>
  <si>
    <t xml:space="preserve">CARLIFE  РђРІС‚РѕРјРѕР±С–Р»СЊРЅРёР№ РїСЂРёРєСѓСЂСЋРІР°С‡ STANDARD Р· РїС–РґСЃРІС–С‚РєРѕСЋ </t>
  </si>
  <si>
    <t>Р‘Рџ100</t>
  </si>
  <si>
    <t xml:space="preserve">Р‘Р•Р›РђР’РўРћ  РџСЂРѕРІРѕРґР°-РїСЂРёРєСѓСЂСЋРІР°С‡С– 1000A, 7Рј </t>
  </si>
  <si>
    <t>853.44</t>
  </si>
  <si>
    <t>Р‘Рџ30</t>
  </si>
  <si>
    <t xml:space="preserve">Р‘Р•Р›РђР’РўРћ  РџСЂРѕРІРѕРґР°-РїСЂРёРєСѓСЂСЋРІР°С‡С– 300A, 2,5Рј </t>
  </si>
  <si>
    <t>Р‘Рџ40</t>
  </si>
  <si>
    <t xml:space="preserve">Р‘Р•Р›РђР’РўРћ  РџСЂРѕРІРѕРґР°-РїСЂРёРєСѓСЂСЋРІР°С‡С– 400A, 3,0Рј </t>
  </si>
  <si>
    <t>203.54</t>
  </si>
  <si>
    <t>Р‘Рџ50</t>
  </si>
  <si>
    <t xml:space="preserve">Р‘Р•Р›РђР’РўРћ  РџСЂРѕРІРѕРґР°-РїСЂРёРєСѓСЂСЋРІР°С‡С– 500A, 3,5Рј,(8С€С‚/СЏС‰.) </t>
  </si>
  <si>
    <t>258.68</t>
  </si>
  <si>
    <t>Р‘Рџ60</t>
  </si>
  <si>
    <t xml:space="preserve">Р‘Р•Р›РђР’РўРћ  РџСЂРѕРІРѕРґР°-РїСЂРёРєСѓСЂСЋРІР°С‡С– 600A, 5Рј,(6С€С‚/СЏС‰.) </t>
  </si>
  <si>
    <t>Р‘Рџ80</t>
  </si>
  <si>
    <t xml:space="preserve">Р‘Р•Р›РђР’РўРћ  РџСЂРѕРІРѕРґР°-РїСЂРёРєСѓСЂСЋРІР°С‡С– 800A, 6Рј </t>
  </si>
  <si>
    <t>511.90</t>
  </si>
  <si>
    <t>Р’РђР—</t>
  </si>
  <si>
    <t xml:space="preserve">РЎРћРќРђР   РЎРёРіРЅР°Р» Р°РІС‚РѕРјРѕР±С–Р»СЊРЅРёР№  Р›РђР”Рђ,12Р’ </t>
  </si>
  <si>
    <t>Р—Р°РїРѕР±С–Р¶РЅРёРєРё</t>
  </si>
  <si>
    <t>AF306</t>
  </si>
  <si>
    <t xml:space="preserve">SOLAR  РќР°Р±С–СЂ "СЃС‚Р°РЅРґР°СЂС‚" Р·Р°РїРѕР±С–Р¶РЅРёРєС–РІ 20Рђ,100С€С‚.,(100С€С‚./СѓРї.) </t>
  </si>
  <si>
    <t>AF310</t>
  </si>
  <si>
    <t xml:space="preserve">SOLAR   РќР°Р±С–СЂ "С†РёР»С–РЅРґСЂРёС‡РЅРёС…" Р·Р°РїРѕР±С–Р¶РЅРёРєС–РІ,С†РёРЅРєРѕРІРёР№ СЃРїР»Р°РІ(5Рђ,8Рђ,16Рђ,20Рђ,25Рђ),10С€С‚.,(500С€С‚./СѓРї.) </t>
  </si>
  <si>
    <t>AF311</t>
  </si>
  <si>
    <t xml:space="preserve">SOLAR   РќР°Р±С–СЂ "РјС–РЅС–" Р·Р°РїРѕР±С–Р¶РЅРёРєС–РІ,С†РёРЅРєРѕРІРёР№ СЃРїР»Р°РІ(5Рђ,7,5Рђ,10Рђ,15Рђ,20Рђ,25Рђ,30Рђ),10С€С‚.,(500С€С‚./СѓРї.) </t>
  </si>
  <si>
    <t>AF313</t>
  </si>
  <si>
    <t xml:space="preserve">SOLAR   РќР°Р±С–СЂ "СЃС‚Р°РЅРґР°СЂС‚" Р·Р°РїРѕР±С–Р¶РЅРёРєС–РІ,С†РёРЅРєРѕРІРёР№ СЃРїР»Р°РІ 7,5Рђ,100С€С‚.,(100С€С‚./СѓРї.) </t>
  </si>
  <si>
    <t>AF315</t>
  </si>
  <si>
    <t xml:space="preserve">SOLAR   РќР°Р±С–СЂ "СЃС‚Р°РЅРґР°СЂС‚" Р·Р°РїРѕР±С–Р¶РЅРёРєС–РІ,С†РёРЅРєРѕРІРёР№ СЃРїР»Р°РІ 15Рђ,100С€С‚.,(100С€С‚./СѓРї.) </t>
  </si>
  <si>
    <t>AF318</t>
  </si>
  <si>
    <t xml:space="preserve">SOLAR   РќР°Р±С–СЂ "СЃС‚Р°РЅРґР°СЂС‚" Р·Р°РїРѕР±С–Р¶РЅРёРєС–РІ,С†РёРЅРєРѕРІРёР№ СЃРїР»Р°РІ 30Рђ,100С€С‚.,(100С€С‚./СѓРї.) </t>
  </si>
  <si>
    <t>41.35</t>
  </si>
  <si>
    <t>РђРџ51</t>
  </si>
  <si>
    <t>Р‘Р•Р›РђР’РўРћ   РќР°Р±С–СЂ "С†РёР»С–РЅРґСЂРёС‡РЅРёС…" Р·Р°РїРѕР±С–Р¶РЅРёРєС–РІ РїС–РґРІРёС‰РµРЅРѕС— РЅР°РґС–Р№.(5Рђ,8Рђ,16Рђ,20Рђ,25Рђ),10С€С‚.,(200С€С‚./ СѓРї.)</t>
  </si>
  <si>
    <t>РђРџ52</t>
  </si>
  <si>
    <t>Р‘Р•Р›РђР’РўРћ  РќР°Р±С–СЂ "РјС–РЅС–" Р·Р°РїРѕР±С–Р¶РЅРёРєС–РІ РїС–РґРІРёС‰Рµ РЅР°РґС–Р№. (5Рђ,7,5Рђ,10Рђ,15Рђ,20Рђ,25Рђ,30Рђ),10С€С‚.,РµРєСЃС‚СЂР°РєС‚РѕСЂ(100</t>
  </si>
  <si>
    <t>РђРџ53</t>
  </si>
  <si>
    <t>Р‘Р•Р›РђР’РўРћ   РќР°Р±С–СЂ "СЃС‚Р°РЅРґР°СЂС‚" Р·Р°РїРѕР±С–Р¶РЅРёРєС–РІ РїС–РґРІРёС‰РµРЅРѕС— РЅР°РґС–Р№РЅРѕСЃС‚С– (5Рђ,7,5Рђ,10Рђ,15Рђ,20Рђ,25Рђ,30Рђ),10С€С‚.,РµРє</t>
  </si>
  <si>
    <t>РђРџ59</t>
  </si>
  <si>
    <t xml:space="preserve">Р‘Р•Р›РђР’РўРћ   РќР°Р±С–СЂ "С†РёР»С–РЅРґСЂРёС‡РЅРёС…" Р·Р°РїРѕР±С–Р¶РЅРёРєС–РІ РїС–РґРІРёС‰РµРЅРѕС— РЅР°РґС–Р№РЅРѕСЃС‚С– 8Рђ,100С€С‚.,(100С€С‚./СѓРї.) </t>
  </si>
  <si>
    <t>74.21</t>
  </si>
  <si>
    <t>РђРџ60</t>
  </si>
  <si>
    <t xml:space="preserve">Р‘Р•Р›РђР’РўРћ   РќР°Р±С–СЂ "С†РёР»С–РЅРґСЂРёС‡РЅРёС…" Р·Р°РїРѕР±С–Р¶РЅРёРєС–РІ РїС–РґРІРёС‰РµРЅРѕС— РЅР°РґС–Р№РЅРѕСЃС‚С– 16Рђ,100С€С‚.,(100С€С‚./СѓРї.) </t>
  </si>
  <si>
    <t>РђРџ61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</si>
  <si>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7.5Рђ,50С€С‚.,(100С€С‚./СѓРї.) </t>
  </si>
  <si>
    <t>59.62</t>
  </si>
  <si>
    <t>РђРџ62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</si>
  <si>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10Рђ,50С€С‚.,(100С€С‚./СѓРї.) </t>
  </si>
  <si>
    <t>РђРџ63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</si>
  <si>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15Рђ,50С€С‚.,(100С€С‚./СѓРї.) </t>
  </si>
  <si>
    <t>РђРџ64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</si>
  <si>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20Рђ,50С€С‚.,(100С€С‚./СѓРї.) </t>
  </si>
  <si>
    <t>РђРџ65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</si>
  <si>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25Рђ,50С€С‚.,(100С€С‚./СѓРї.) </t>
  </si>
  <si>
    <t>РђРџ66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</si>
  <si>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30Рђ,50С€С‚.,(100С€С‚./СѓРї.) </t>
  </si>
  <si>
    <t>РђРџ67</t>
  </si>
  <si>
    <t xml:space="preserve">Р‘Р•Р›РђР’РўРћ   РќР°Р±С–СЂ "СЃС‚Р°РЅРґР°СЂС‚" Р·Р°РїРѕР±С–Р¶РЅРёРєС–РІ РїС–РґРІРёС‰РµРЅРѕС— РЅР°РґС–Р№РЅРѕСЃС‚С– MIX 80С€С‚.,(50С€С‚./СѓРї.) РІ РєРѕСЂРѕР±РєРµ </t>
  </si>
  <si>
    <t>111.55</t>
  </si>
  <si>
    <t>РђРџ68</t>
  </si>
  <si>
    <t xml:space="preserve">Р‘Р•Р›РђР’РўРћ  РќР°Р±С–СЂ "РјС–РЅС–" Р·Р°РїРѕР±С–Р¶РЅРёРєС–РІ РїС–РґРІРёС‰РµРЅРѕС— РЅР°РґС–Р№РЅРѕСЃС‚С– 7,5Рђ,100С€С‚.,(С€С‚.100/СѓРї.) </t>
  </si>
  <si>
    <t>РђРџ69</t>
  </si>
  <si>
    <t xml:space="preserve">Р‘Р•Р›РђР’РўРћ  РќР°Р±С–СЂ "РјС–РЅС–" Р·Р°РїРѕР±С–Р¶РЅРёРєС–РІ РїС–РґРІРёС‰РµРЅРѕС— РЅР°РґС–Р№РЅРѕСЃС‚С– 10Рђ,100С€С‚.,(С€С‚.100/СѓРї.) </t>
  </si>
  <si>
    <t>РђРџ70</t>
  </si>
  <si>
    <t xml:space="preserve">Р‘Р•Р›РђР’РўРћ  РќР°Р±С–СЂ "РјС–РЅС–" Р·Р°РїРѕР±С–Р¶РЅРёРєС–РІ РїС–РґРІРёС‰РµРЅРѕС— РЅР°РґС–Р№РЅРѕСЃС‚С– 15Рђ,100С€С‚.,(С€С‚.100/СѓРї.) </t>
  </si>
  <si>
    <t>РђРџ71</t>
  </si>
  <si>
    <t xml:space="preserve">Р‘Р•Р›РђР’РўРћ  РќР°Р±С–СЂ "РјС–РЅС–" Р·Р°РїРѕР±С–Р¶РЅРёРєС–РІ РїС–РґРІРёС‰РµРЅРѕС— РЅР°РґС–Р№РЅРѕСЃС‚С– 20Рђ,100С€С‚.,(С€С‚.100/СѓРї.) </t>
  </si>
  <si>
    <t>РђРџ72</t>
  </si>
  <si>
    <t xml:space="preserve">Р‘Р•Р›РђР’РўРћ  РќР°Р±С–СЂ "РјС–РЅС–" Р·Р°РїРѕР±С–Р¶РЅРёРєС–РІ РїС–РґРІРёС‰РµРЅРѕС— РЅР°РґС–Р№РЅРѕСЃС‚С– 25Рђ,100С€С‚.,(С€С‚.100/СѓРї.) </t>
  </si>
  <si>
    <t>РђРџ73</t>
  </si>
  <si>
    <t xml:space="preserve">Р‘Р•Р›РђР’РўРћ  РќР°Р±С–СЂ "РјС–РЅС–" Р·Р°РїРѕР±С–Р¶РЅРёРєС–РІ РїС–РґРІРёС‰РµРЅРѕС— РЅР°РґС–Р№РЅРѕСЃС‚С– 30Рђ,100С€С‚.,(С€С‚.100/СѓРї.) </t>
  </si>
  <si>
    <t>РђРџ74</t>
  </si>
  <si>
    <t xml:space="preserve">Р‘Р•Р›РђР’РўРћ  РќР°Р±С–СЂ "РјС–РЅС–" Р·Р°РїРѕР±С–Р¶РЅРёРєС–РІ РїС–РґРІРёС‰РµРЅРѕС— РЅР°РґС–Р№РЅРѕСЃС‚С–,MIX 160С€С‚.,(С€С‚.50/СѓРї.) </t>
  </si>
  <si>
    <t>175.01</t>
  </si>
  <si>
    <t>РљР»РµРјРё РђРљР‘</t>
  </si>
  <si>
    <t>BT101</t>
  </si>
  <si>
    <t xml:space="preserve">CARLIFE  РљР»РµРјРё Р°РєСѓРјСѓР»СЏС‚РѕСЂРЅС– ,С†РёРЅРє,Р»Р°С‚СѓРЅРЅРµ РїРѕРєСЂРёС‚С‚СЏ,(2С€С‚) </t>
  </si>
  <si>
    <t>BT103</t>
  </si>
  <si>
    <t xml:space="preserve">CARLIFE  РљР»РµРјРё Р°РєСѓРјСѓР»СЏС‚РѕСЂРЅС– ,СЃРІРёРЅРµС†СЊ,(2С€С‚) </t>
  </si>
  <si>
    <t>25.48</t>
  </si>
  <si>
    <t>BT105</t>
  </si>
  <si>
    <t xml:space="preserve">CARLIFE  РљР»РµРјРё Р°РєСѓРјСѓР»СЏС‚РѕСЂРЅС– ,С†РёРЅРє,РјС–РґРЅРµ РїРѕРєСЂРёС‚С‚СЏ ,(2С€С‚) </t>
  </si>
  <si>
    <t>BT106</t>
  </si>
  <si>
    <t>BT107</t>
  </si>
  <si>
    <t xml:space="preserve">CARLIFE  РљР»РµРјРё Р°РєСѓРјСѓР»СЏС‚РѕСЂРЅС– ,СЃС‚Р°Р»СЊ Р»СѓРґР¶РµРЅР°,РіСѓРјРѕРІРµ РїРѕРєСЂРёС‚С‚СЏ,(2С€С‚) </t>
  </si>
  <si>
    <t>46.64</t>
  </si>
  <si>
    <t>CP625</t>
  </si>
  <si>
    <t xml:space="preserve">CARLIFE  РљР»РµРјРё РґРѕ РїСЂРѕРІРѕРґС–РІ -РїСЂРёРєСѓСЂСЋРІР°С‡С–РІ,100-200Рђ,2С€С‚. </t>
  </si>
  <si>
    <t>CP635</t>
  </si>
  <si>
    <t xml:space="preserve">CARLIFE  РљР»РµРјРё РґРѕ РїСЂРѕРІРѕРґС–РІ -РїСЂРёРєСѓСЂСЋРІР°С‡С–РІ,200-300Рђ,2С€С‚. </t>
  </si>
  <si>
    <t>CP645</t>
  </si>
  <si>
    <t xml:space="preserve">CARLIFE  РљР»РµРјРё РґРѕ РїСЂРѕРІРѕРґС–РІ -РїСЂРёРєСѓСЂСЋРІР°С‡С–РІ,300-500Рђ,2С€С‚. </t>
  </si>
  <si>
    <t>35.10</t>
  </si>
  <si>
    <t>Р‘Рђ12</t>
  </si>
  <si>
    <t xml:space="preserve">Р‘Р•Р›РђР’РўРћ  РљР»РµРјРё Р°РєСѓРјСѓР»СЏС‚РѕСЂРЅС– ,СЃРІРёРЅРµС†СЊ,200РіСЂ.,(100С€С‚.) </t>
  </si>
  <si>
    <t>Р‘Рђ14</t>
  </si>
  <si>
    <t xml:space="preserve">Р‘Р•Р›РђР’РўРћ  РљР»РµРјРё Р°РєСѓРјСѓР»СЏС‚РѕСЂРЅС– ,СЃРІРёРЅРµС†СЊ,300РіСЂ.,(80С€С‚.) </t>
  </si>
  <si>
    <t>Р’Рў109</t>
  </si>
  <si>
    <t xml:space="preserve">CARLIFE  РљР»РµРјРё Р°РєСѓРјСѓР»СЏС‚РѕСЂРЅС– ,СЃРІРёРЅРµС†СЊ,(2С€С‚) С‚РѕРЅРєР°СЏ </t>
  </si>
  <si>
    <t>21.48</t>
  </si>
  <si>
    <t>РњР¤Рљ</t>
  </si>
  <si>
    <t>РђРЅС‚РёС„СЂРёР· NordWay-40 GREEN, 10РєРі</t>
  </si>
  <si>
    <t>165.23</t>
  </si>
  <si>
    <t>РђРЅС‚РёС„СЂРёР· NordWay-40 GREEN, 1РєРі</t>
  </si>
  <si>
    <t>20.60</t>
  </si>
  <si>
    <t>РђРЅС‚РёС„СЂРёР· NordWay-40 GREEN, 5РєРі</t>
  </si>
  <si>
    <t>84.35</t>
  </si>
  <si>
    <t>РђРЅС‚РёС„СЂРёР· NordWay-40 RED, 10РєРі</t>
  </si>
  <si>
    <t>РђРЅС‚РёС„СЂРёР· NordWay-40 RED, 1РєРі</t>
  </si>
  <si>
    <t>РђРЅС‚РёС„СЂРёР· NordWay-40 RED, 5РєРі</t>
  </si>
  <si>
    <t>РђРЅС‚РёС„СЂРёР· PROFI Green (-30 РЎ ), 1РєРі x6</t>
  </si>
  <si>
    <t>27.46</t>
  </si>
  <si>
    <t>РђРЅС‚РёС„СЂРёР· PROFI Green (-30 РЎ ), 5РєРі</t>
  </si>
  <si>
    <t>109.64</t>
  </si>
  <si>
    <t>РђРЅС‚РёС„СЂРёР· PROFI Red (-30 РЎ ), 1РєРі x6</t>
  </si>
  <si>
    <t>РђРЅС‚РёС„СЂРёР· PROFI Red (-30 РЎ ), 5РєРі</t>
  </si>
  <si>
    <t>РўРѕСЃРѕР» РўР°Р№С„СѓРЅ-40 (-24РЎ ), 4,5РєРі</t>
  </si>
  <si>
    <t>69.67</t>
  </si>
  <si>
    <t>РўРѕСЃРѕР» PROFI -40 РµРєРѕРЅРѕРј (СЃРёРЅС–Р№) 0,95 РєРі (6 С€С‚)</t>
  </si>
  <si>
    <t>25.42</t>
  </si>
  <si>
    <t>РўРѕСЃРѕР» "РўСЂРёРѕР»-40" 1 РєРі x6</t>
  </si>
  <si>
    <t>29.58</t>
  </si>
  <si>
    <t>РђРЅС‚РёС„СЂРёР· PROFI Green (-30 РЎ ), 10РєРі</t>
  </si>
  <si>
    <t>210.17</t>
  </si>
  <si>
    <t>РђРЅС‚РёС„СЂРёР· PROFI Red (-30 РЎ ), 10РєРі</t>
  </si>
  <si>
    <t>РўРѕСЃРѕР» PROFI Max (-24 РЎ ), 0,95РєРі x6</t>
  </si>
  <si>
    <t>22.57</t>
  </si>
  <si>
    <t>РўРѕСЃРѕР» РўР°Р№С„СѓРЅ-40 (-24РЎ ), 9РєРі</t>
  </si>
  <si>
    <t>РўРѕСЃРѕР» PROFI -40 (-40 РЎ ), 5РєРі</t>
  </si>
  <si>
    <t>121.03</t>
  </si>
  <si>
    <t>РўРѕСЃРѕР» PROFI -40 (-40 РЎ ), 1РєРі x6</t>
  </si>
  <si>
    <t>29.74</t>
  </si>
  <si>
    <t>РўРѕСЃРѕР» PROFI -40 (-40 РЎ ), 10РєРі</t>
  </si>
  <si>
    <t>233.02</t>
  </si>
  <si>
    <t>РўРѕСЃРѕР» NordWay-40 (-24РЎ), 9РєРі</t>
  </si>
  <si>
    <t>Antifreeze  Active Red (-30РЎ), 10РєРі</t>
  </si>
  <si>
    <t>Antifreeze  Active Red (-30РЎ), 4,5РєРі</t>
  </si>
  <si>
    <t>Antifreeze  Active Red (-30РЎ), 1РєРі x6</t>
  </si>
  <si>
    <t>Antifreeze  Active Green (-30РЎ), 10РєРі</t>
  </si>
  <si>
    <t>Antifreeze  Active Green (-30РЎ), 4,5РєРі</t>
  </si>
  <si>
    <t>Antifreeze  Active Green (-30РЎ), 1РєРі x6</t>
  </si>
  <si>
    <t>РўРѕСЃРѕР» Р“РћРЎРў -20, 0,95РєРі x6</t>
  </si>
  <si>
    <t>17.96</t>
  </si>
  <si>
    <t>РќР°СЃРѕСЃРё, РєРѕРјРїСЂРµСЃРѕСЂРё</t>
  </si>
  <si>
    <t xml:space="preserve">URAGAN  РђРґР°РїС‚РµСЂ С–Р· Р·Р°Р¶РёРјР°РјРё РђРљР‘ </t>
  </si>
  <si>
    <t>20.67</t>
  </si>
  <si>
    <t>URAGAN</t>
  </si>
  <si>
    <t xml:space="preserve">URAGAN  РђРІС‚РѕРјРѕР±С–Р»СЊРЅРёР№ РєРѕРјРїСЂРµСЃРѕСЂ  12Р’, 7 РђС‚Рј, 35 Р»/С…РІ. </t>
  </si>
  <si>
    <t>362.21</t>
  </si>
  <si>
    <t xml:space="preserve">URAGAN  РђРІС‚РѕРјРѕР±С–Р»СЊРЅРёР№ РєРѕРјРїСЂРµСЃРѕСЂ  12Р’, 7 РђС‚Рј, 37 Р»/С…РІ. </t>
  </si>
  <si>
    <t>376.63</t>
  </si>
  <si>
    <t xml:space="preserve">URAGAN  РђРІС‚РѕРјРѕР±С–Р»СЊРЅРёР№ РєРѕРјРїСЂРµСЃРѕСЂ   Р· РђР’РўРћРЎРўРћРџРћРњ  12Р’, 7 РђС‚Рј, 37 Р»/С…РІ. </t>
  </si>
  <si>
    <t>431.45</t>
  </si>
  <si>
    <t xml:space="preserve">URAGAN  РђРІС‚РѕРјРѕР±С–Р»СЊРЅРёР№ РєРѕРјРїСЂРµСЃРѕСЂ  12Р’, 10 РђС‚Рј, 40 Р»/С…РІ. </t>
  </si>
  <si>
    <t>515.43</t>
  </si>
  <si>
    <t xml:space="preserve">URAGAN  РђРІС‚РѕРјРѕР±С–Р»СЊРЅРёР№ РєРѕРјРїСЂРµСЃРѕСЂ  РґРІРѕС†РёР»С–РЅРґСЂРѕРІРёР№ </t>
  </si>
  <si>
    <t>663.52</t>
  </si>
  <si>
    <t xml:space="preserve">URAGAN  РђРІС‚РѕРјРѕР±С–Р»СЊРЅРёР№ РєРѕРјРїСЂРµСЃРѕСЂ  </t>
  </si>
  <si>
    <t>402.44</t>
  </si>
  <si>
    <t xml:space="preserve">URAGAN  РђРІС‚РѕРјРѕР±С–Р»СЊРЅРёР№ РєРѕРјРїСЂРµСЃРѕСЂ  Р· LED СЃРёРіРЅР°Р»СЊРЅРёРј Р»С–С…С‚Р°СЂРµРј </t>
  </si>
  <si>
    <t>420.23</t>
  </si>
  <si>
    <t>AR201</t>
  </si>
  <si>
    <t xml:space="preserve">SOLAR  РљРѕРјРїСЂРµСЃРѕСЂ Р°РІС‚РѕРјРѕР±С–Р»СЊРЅРёР№  </t>
  </si>
  <si>
    <t>534.18</t>
  </si>
  <si>
    <t>AR202</t>
  </si>
  <si>
    <t xml:space="preserve">SOLAR  РљРѕРјРїСЂРµСЃРѕСЂ Р°РІС‚РѕРјРѕР±С–Р»СЊРЅРёР№  Р· "РђРІС‚РѕСЃС‚РѕРїРѕРј" </t>
  </si>
  <si>
    <t>551.81</t>
  </si>
  <si>
    <t>AR203</t>
  </si>
  <si>
    <t>501.16</t>
  </si>
  <si>
    <t>FT211</t>
  </si>
  <si>
    <t xml:space="preserve">SOLAR  РџРѕРјРїР° РЅРѕР¶РЅР° 55РјРјx120РјРј, РѕРґРЅРѕС†РёР»С–РЅРґСЂРѕРІР° Р· РјР°РЅРѕРјРµС‚СЂРѕРј С‚Р° РґРѕРґР°С‚РєРѕРІРёРјРё Р°РґР°РїС‚РѕСЂР°РјРё </t>
  </si>
  <si>
    <t>145.36</t>
  </si>
  <si>
    <t>FT212</t>
  </si>
  <si>
    <t xml:space="preserve">SOLAR  РџРѕРјРїР° РЅРѕР¶РЅР° 55РјРјx120РјРј, Р· РјР°РЅРѕРјРµС‚СЂРѕРј ,РґРІРѕС…С†РёР»С–РЅРґСЂРѕРІР° Р· РґРѕРґР°С‚РєРѕРІРёРјРё Р°РґР°РїС‚РµСЂР°РјРё </t>
  </si>
  <si>
    <t>220.85</t>
  </si>
  <si>
    <t>FT214</t>
  </si>
  <si>
    <t xml:space="preserve">SOLAR  РџРѕРјРїР° РЅРѕР¶РЅР° РґРІРѕС…С†РёР»С–РЅРґСЂРѕРІР° 55РјРјx120РјРј, Р· РјР°РЅРѕРјРµС‚СЂРѕРј ,РґРѕРґР°С‚РєРѕРІРёРјРё Р°РґР°РїС‚РµСЂР°РјРё С‚Р° СЂРµСЃРёРІРµСЂРѕРј </t>
  </si>
  <si>
    <t>235.92</t>
  </si>
  <si>
    <t>SL221</t>
  </si>
  <si>
    <t xml:space="preserve">SOLAR  РџРѕРјРїР° СЂСѓС‡РЅР° Р±РµР· РјР°РЅРѕРјРµС‚СЂР°,(10С€С‚./СѓРї.) </t>
  </si>
  <si>
    <t>SL222</t>
  </si>
  <si>
    <t xml:space="preserve">SOLAR  РџРѕРјРїР° СЂСѓС‡РЅР° Р· РјР°РЅРѕРјРµС‚СЂРѕРј, Р°Р»СЋРјС–РЅС–С”РІРёР№ С†РёР»С–РЅРґСЂ,(10С€С‚./СѓРї.) </t>
  </si>
  <si>
    <t>134.63</t>
  </si>
  <si>
    <t>SL223</t>
  </si>
  <si>
    <t xml:space="preserve">SOLAR  РџРѕРјРїР° СЂСѓС‡РЅР° Р· РјР°РЅРѕРјРµС‚СЂРѕРј,(10С€С‚./СѓРї.) </t>
  </si>
  <si>
    <t>128.06</t>
  </si>
  <si>
    <t>Р‘Рљ41</t>
  </si>
  <si>
    <t xml:space="preserve">Р‘Р•Р›РђР’РўРћ  РљРѕРјРїСЂРµСЃРѕСЂ Р°РІС‚РѕРјРѕР±С–Р»СЊРЅРёР№  РЈР РђР› Р· LED Р»С–С…С‚Р°СЂРµРј (6С€С‚) </t>
  </si>
  <si>
    <t>830.04</t>
  </si>
  <si>
    <t>Р‘Рљ42</t>
  </si>
  <si>
    <t xml:space="preserve">Р‘Р•Р›РђР’РўРћ РљРѕРјРїСЂРµСЃРѕСЂ Р°РІС‚РѕРјРѕР±С–Р»СЊРЅРёР№  РЈР РђР›-2 (6С€С‚) </t>
  </si>
  <si>
    <t>661.92</t>
  </si>
  <si>
    <t>Р‘Рљ43</t>
  </si>
  <si>
    <t xml:space="preserve">Р‘Р•Р›РђР’РўРћ  РљРѕРјРїСЂРµСЃРѕСЂ Р°РІС‚РѕРјРѕР±С–Р»СЊРЅРёР№  РњРЈР РћРњР•Р¦ (6С€С‚) </t>
  </si>
  <si>
    <t>611.43</t>
  </si>
  <si>
    <t>Р‘Рљ44</t>
  </si>
  <si>
    <t xml:space="preserve">Р‘Р•Р›РђР’РўРћ  РљРѕРјРїСЂРµСЃРѕСЂ Р°РІС‚РѕРјРѕР±С–Р»СЊРЅРёР№  РЈР РђР›-3 С–Р· Р·Р°Р¶РёРјР°РјРё РђРљР‘ (6С€С‚) </t>
  </si>
  <si>
    <t>750.06</t>
  </si>
  <si>
    <t>Р‘Рљ46</t>
  </si>
  <si>
    <t xml:space="preserve">Р‘Р•Р›РђР’РўРћ  РљРѕРјРїСЂРµСЃРѕСЂ Р°РІС‚РѕРјРѕР±С–Р»СЊРЅРёР№  Р‘РЈР РђРќ РґРІРѕС…С†РёР»С–РЅРґСЂРѕРІРёР№ С–Р· Р·Р°Р¶РёРјР°РјРё РђРљР‘ (4С€С‚) </t>
  </si>
  <si>
    <t>1165.80</t>
  </si>
  <si>
    <t>Р‘Рљ47</t>
  </si>
  <si>
    <t xml:space="preserve">Р‘Р•Р›РђР’РўРћ  РљРѕРјРїСЂРµСЃРѕСЂ Р°РІС‚РѕРјРѕР±С–Р»СЊРЅРёР№  РўР РћР¤Р†,РїСЂРѕС„РµСЃС–Р№РЅРёР№,РІРёСЃРѕРєРѕС— РїРѕС‚СѓР¶РЅРѕСЃС‚С–  (2С€С‚) </t>
  </si>
  <si>
    <t>2298.59</t>
  </si>
  <si>
    <t>Р‘Р›11</t>
  </si>
  <si>
    <t xml:space="preserve">Р‘Р•Р›РђР’РўРћ  РџРѕРјРїР° РЅРѕР¶РЅР°, 80 x 130РјРј,(10С€С‚./СѓРї.) </t>
  </si>
  <si>
    <t>259.64</t>
  </si>
  <si>
    <t>Р‘Р›12</t>
  </si>
  <si>
    <t xml:space="preserve">Р‘Р•Р›РђР’РўРћ  РџРѕРјРїР° РЅРѕР¶РЅР° "Р’РёС‚СЏР·СЊ", 64 x 115РјРј </t>
  </si>
  <si>
    <t>268.29</t>
  </si>
  <si>
    <t>Р‘Р›21</t>
  </si>
  <si>
    <t xml:space="preserve">Р‘Р•Р›РђР’РўРћ  РџРѕРјРїР° РЅРѕР¶РЅР° "РЎРўРђР Рў", 70 x 140РјРј,(10С€С‚./СѓРї.) </t>
  </si>
  <si>
    <t>Р‘Р›31</t>
  </si>
  <si>
    <t xml:space="preserve">Р‘Р•Р›РђР’РўРћ  РџРѕРјРїР° РЅРѕР¶РЅР°, 55 x 120РјРј </t>
  </si>
  <si>
    <t>Р‘Р›41</t>
  </si>
  <si>
    <t xml:space="preserve">Р‘Р•Р›РђР’РўРћ  РџРѕРјРїР° СЂСѓС‡РЅР°, 38 x 500РјРј,СЃС‚Р°Р»РµРІРёР№ С†РёР»С–РЅРґСЂ </t>
  </si>
  <si>
    <t>113.15</t>
  </si>
  <si>
    <t>Р‘Р›42</t>
  </si>
  <si>
    <t xml:space="preserve">Р‘Р•Р›РђР’РўРћ  РџРѕРјРїР° СЂСѓС‡РЅР°, 38 x 540РјРј,Р°Р»СЋРјС–РЅС–С”РІРёР№ С†РёР»С–РЅРґСЂ,10С€С‚ </t>
  </si>
  <si>
    <t>166.36</t>
  </si>
  <si>
    <t>РћРїР»С–С‚РєРё РєРµСЂРјР°</t>
  </si>
  <si>
    <t>CW 35/37</t>
  </si>
  <si>
    <t xml:space="preserve">CARLIFE  РћРїР»С–С‚РєР° РЅР° РєРµСЂРјРѕ, S 35-37cm, С‚РѕРІ.РєРµСЂРјР° 27-32 РјРј. </t>
  </si>
  <si>
    <t>CW 37/39</t>
  </si>
  <si>
    <t xml:space="preserve">CARLIFE  РћРїР»С–С‚РєР° РЅР° РєРµСЂРјРѕ, Рњ 37-39cm, С‚РѕРІ. РєРµСЂРјР° 25-30 РјРј. </t>
  </si>
  <si>
    <t>CW 39/41</t>
  </si>
  <si>
    <t xml:space="preserve">CARLIFE  РћРїР»С–С‚РєР° РЅР° РєРµСЂРјРѕ, L 39-41cm, С‚РѕРІ. РєРµСЂРјР° 25-30 РјРј. </t>
  </si>
  <si>
    <t>130.30</t>
  </si>
  <si>
    <t>CW 41/43</t>
  </si>
  <si>
    <t xml:space="preserve">CARLIFE  РћРїР»С–С‚РєР° РЅР° РєРµСЂРјРѕ, XL 41-43cm, С‚РѕРІ. РєРµСЂРјР° 25-30 РјРј. </t>
  </si>
  <si>
    <t>137.03</t>
  </si>
  <si>
    <t>CW-IV</t>
  </si>
  <si>
    <t xml:space="preserve">CARLIFE  РћРїР»С–С‚РєР° РЅР° РєРµСЂРјРѕ РґР»СЏ РІР°РЅС‚Р°Р¶С–РІРѕРє,IVECO </t>
  </si>
  <si>
    <t>161.55</t>
  </si>
  <si>
    <t>CW-MA</t>
  </si>
  <si>
    <t xml:space="preserve">CARLIFE  РћРїР»С–С‚РєР° РЅР° РєРµСЂРјРѕ РґР»СЏ РІР°РЅС‚Р°Р¶С–РІРѕРє,MAN </t>
  </si>
  <si>
    <t>192.32</t>
  </si>
  <si>
    <t>CW-MB</t>
  </si>
  <si>
    <t xml:space="preserve">CARLIFE  РћРїР»С–С‚РєР° РЅР° РєРµСЂРјРѕ РґР»СЏ РІР°РЅС‚Р°Р¶С–РІРѕРє,MERSEDES-BENZ </t>
  </si>
  <si>
    <t>145.85</t>
  </si>
  <si>
    <t>CW1 37/39</t>
  </si>
  <si>
    <t xml:space="preserve">CARLIFE  РћРїР»С–С‚РєР° РЅР° РєРµСЂРјРѕ, Рњ 37-39cm, С‚РѕРІ. РєРµСЂРјР° 30-35 РјРј. </t>
  </si>
  <si>
    <t>161.23</t>
  </si>
  <si>
    <t>CW1 39/41</t>
  </si>
  <si>
    <t xml:space="preserve">CARLIFE  РћРїР»С–С‚РєР° РЅР° РєРµСЂРјРѕ, L 39-41cm, С‚РѕРІ. РєРµСЂРјР° 30-35РјРј. </t>
  </si>
  <si>
    <t>141.04</t>
  </si>
  <si>
    <t>CW1 41/43</t>
  </si>
  <si>
    <t xml:space="preserve">CARLIFE  РћРїР»С–С‚РєР° РЅР° РєРµСЂРјРѕ, XL 41-43cm, С‚РѕРІ. РєРµСЂРјР° 30-35 РјРј. </t>
  </si>
  <si>
    <t>148.41</t>
  </si>
  <si>
    <t>SW106 XL</t>
  </si>
  <si>
    <t xml:space="preserve">CARLIFE  Р§РѕС…РѕР» РЅР° РєРµСЂРјРѕ  41-43СЃРј, С–РјС–С‚Р°С†С–СЏ С€РєС–СЂРё, С‡РѕСЂРЅРёР№ (Р±РµР· РїРµСЂС„РѕСЂР°С†РёРё) </t>
  </si>
  <si>
    <t>106.10</t>
  </si>
  <si>
    <t>SW107 L</t>
  </si>
  <si>
    <t xml:space="preserve">CARLIFE  Р§РѕС…РѕР» РЅР° РєРµСЂРјРѕ  39-41СЃРј, С–РјС–С‚Р°С†С–СЏ С€РєС–СЂРё, С‡РѕСЂРЅРёР№ (РєСЂР°СЃРЅР°СЏ РЅРёС‚СЊ) </t>
  </si>
  <si>
    <t>121.32</t>
  </si>
  <si>
    <t>SW107 M</t>
  </si>
  <si>
    <t xml:space="preserve">CARLIFE  Р§РѕС…РѕР» РЅР° РєРµСЂРјРѕ  37-39СЃРј, С–РјС–С‚Р°С†С–СЏ С€РєС–СЂРё, С‡РѕСЂРЅРёР№ (РєСЂР°СЃРЅР°СЏ РЅРёС‚СЊ) </t>
  </si>
  <si>
    <t>SW107 XL</t>
  </si>
  <si>
    <t xml:space="preserve">CARLIFE  Р§РѕС…РѕР» РЅР° РєРµСЂРјРѕ  41-43СЃРј, С–РјС–С‚Р°С†С–СЏ С€РєС–СЂРё, С‡РѕСЂРЅРёР№ (РєСЂР°СЃРЅР°СЏ РЅРёС‚СЊ) </t>
  </si>
  <si>
    <t>SW108 L</t>
  </si>
  <si>
    <t xml:space="preserve">CARLIFE  Р§РѕС…РѕР» РЅР° РєРµСЂРјРѕ  39-41СЃРј, С–РјС–С‚Р°С†С–СЏ С€РєС–СЂРё, С‡РѕСЂРЅРёР№ (СЃРёРЅСЏСЏ РЅРёС‚СЊ) </t>
  </si>
  <si>
    <t>SW108 M</t>
  </si>
  <si>
    <t xml:space="preserve">CARLIFE  Р§РѕС…РѕР» РЅР° РєРµСЂРјРѕ  37-39СЃРј, С–РјС–С‚Р°С†С–СЏ С€РєС–СЂРё, С‡РѕСЂРЅРёР№ (СЃРёРЅСЏСЏ РЅРёС‚СЊ) </t>
  </si>
  <si>
    <t>SW108 XL</t>
  </si>
  <si>
    <t xml:space="preserve">CARLIFE  Р§РѕС…РѕР» РЅР° РєРµСЂРјРѕ  41-43СЃРј, С–РјС–С‚Р°С†С–СЏ С€РєС–СЂРё, С‡РѕСЂРЅРёР№ (СЃРёРЅСЏСЏ РЅРёС‚СЊ) </t>
  </si>
  <si>
    <t>SW109 L</t>
  </si>
  <si>
    <t xml:space="preserve">CARLIFE  Р§РѕС…РѕР» РЅР° РєРµСЂРјРѕ  39-41СЃРј, С–РјС–С‚Р°С†С–СЏ С€РєС–СЂРё, С‡РѕСЂРЅРёР№ (Р±РµР· РїРµСЂС„РѕСЂР°С†РёРё 4 С‡Р°СЃС‚Рё) </t>
  </si>
  <si>
    <t>SW109 M</t>
  </si>
  <si>
    <t xml:space="preserve">CARLIFE  Р§РѕС…РѕР» РЅР° РєРµСЂРјРѕ  37-39СЃРј, С–РјС–С‚Р°С†С–СЏ С€РєС–СЂРё, С‡РѕСЂРЅРёР№ (Р±РµР· РїРµСЂС„РѕСЂР°С†РёРё 4 С‡Р°СЃС‚Рё) </t>
  </si>
  <si>
    <t>SW109 S</t>
  </si>
  <si>
    <t xml:space="preserve">CARLIFE  Р§РѕС…РѕР» РЅР° РєРµСЂРјРѕ  35-37СЃРј, С–РјС–С‚Р°С†С–СЏ С€РєС–СЂРё, С‡РѕСЂРЅРёР№ (Р±РµР· РїРµСЂС„РѕСЂР°С†РёРё 4 С‡Р°СЃС‚Рё) </t>
  </si>
  <si>
    <t>SW109 XL</t>
  </si>
  <si>
    <t xml:space="preserve">CARLIFE  Р§РѕС…РѕР» РЅР° РєРµСЂРјРѕ  41-43СЃРј, С–РјС–С‚Р°С†С–СЏ С€РєС–СЂРё, С‡РѕСЂРЅРёР№ (Р±РµР· РїРµСЂС„РѕСЂР°С†РёРё 4 С‡Р°СЃС‚Рё) </t>
  </si>
  <si>
    <t>SW110 L</t>
  </si>
  <si>
    <t xml:space="preserve">CARLIFE  Р§РѕС…РѕР» РЅР° РєРµСЂРјРѕ  39-41СЃРј, С–РјС–С‚Р°С†С–СЏ С€РєС–СЂРё, С‡РѕСЂРЅРёР№ (Р±РµР· РїРµСЂС„РѕСЂР°С†РёРё 4 С‡Р°СЃС‚Рё + РІСЃС‚Р°РІРєРё) </t>
  </si>
  <si>
    <t>SW110 M</t>
  </si>
  <si>
    <t xml:space="preserve">CARLIFE  Р§РѕС…РѕР» РЅР° РєРµСЂРјРѕ  37-39СЃРј, С–РјС–С‚Р°С†С–СЏ С€РєС–СЂРё, С‡РѕСЂРЅРёР№ (Р±РµР· РїРµСЂС„РѕСЂР°С†РёРё 4 С‡Р°СЃС‚Рё + РІСЃС‚Р°РІРєРё) </t>
  </si>
  <si>
    <t>SW110 S</t>
  </si>
  <si>
    <t xml:space="preserve">CARLIFE  Р§РѕС…РѕР» РЅР° РєРµСЂРјРѕ  35-37СЃРј, С–РјС–С‚Р°С†С–СЏ С€РєС–СЂРё, С‡РѕСЂРЅРёР№ (Р±РµР· РїРµСЂС„РѕСЂР°С†РёРё 4 С‡Р°СЃС‚Рё + РІСЃС‚Р°РІРєРё) </t>
  </si>
  <si>
    <t>SW110 XL</t>
  </si>
  <si>
    <t xml:space="preserve">CARLIFE  Р§РѕС…РѕР» РЅР° РєРµСЂРјРѕ  41-43СЃРј, С–РјС–С‚Р°С†С–СЏ С€РєС–СЂРё, С‡РѕСЂРЅРёР№ (Р±РµР· РїРµСЂС„РѕСЂР°С†РёРё 4 С‡Р°СЃС‚Рё + РІСЃС‚Р°РІРєРё) </t>
  </si>
  <si>
    <t>SW111L</t>
  </si>
  <si>
    <t>CARLIFE  Р§РѕС…РѕР» РЅР° РєРµСЂРјРѕ Р·С– С€С‚СѓС‡РЅРѕС— С€РєС–СЂРё,С‡РѕСЂРЅРёР№</t>
  </si>
  <si>
    <t>103.69</t>
  </si>
  <si>
    <t>SW112L</t>
  </si>
  <si>
    <t>CARLIFE  Р§РѕС…РѕР» РЅР° РєРµСЂРјРѕ Р·С– С€С‚СѓС‡РЅРѕС— С€РєС–СЂРё,С‡РѕСЂРЅРёР№ Р· С‡РµСЂРІРѕРЅРѕСЋ РЅРёС‚РєРѕСЋ</t>
  </si>
  <si>
    <t>111.71</t>
  </si>
  <si>
    <t>SW112M</t>
  </si>
  <si>
    <t>SW112S</t>
  </si>
  <si>
    <t>SW113L</t>
  </si>
  <si>
    <t>CARLIFE   Р§РѕС…РѕР» РЅР° РєРµСЂРјРѕ Р·С– С€С‚СѓС‡РЅРѕС— С€РєС–СЂРё,С‡РѕСЂРЅРёР№ С–Р· СЃРёРЅСЊРѕСЋ РЅРёС‚РєРѕСЋ</t>
  </si>
  <si>
    <t>SW113M</t>
  </si>
  <si>
    <t>SW113S</t>
  </si>
  <si>
    <t>SW114L</t>
  </si>
  <si>
    <t>SW114M</t>
  </si>
  <si>
    <t>SW114S</t>
  </si>
  <si>
    <t>SW115L</t>
  </si>
  <si>
    <t>SW115M</t>
  </si>
  <si>
    <t>SW115S</t>
  </si>
  <si>
    <t>SW215 L</t>
  </si>
  <si>
    <t xml:space="preserve">CARLIFE  Р§РѕС…РѕР» РЅР° РєРµСЂРјРѕ  39-41СЃРј, С€РєС–СЂР°, С‡РѕСЂРЅРёР№ (РїРµСЂС„РѕСЂР°С†РёСЏ РЅР° 2С… С‡Р°СЃС‚СЏС…, 4 С‡Р°СЃС‚Рё) </t>
  </si>
  <si>
    <t>189.76</t>
  </si>
  <si>
    <t>SW215 XL</t>
  </si>
  <si>
    <t xml:space="preserve">CARLIFE  Р§РѕС…РѕР» РЅР° РєРµСЂРјРѕ  41-43СЃРј, С€РєС–СЂР°, С‡РѕСЂРЅРёР№ (РїРµСЂС„РѕСЂР°С†РёСЏ РЅР° 2С… С‡Р°СЃС‚СЏС…, 4 С‡Р°СЃС‚Рё) </t>
  </si>
  <si>
    <t>SW216L</t>
  </si>
  <si>
    <t xml:space="preserve">CARLIFE  Р§РѕС…РѕР» РЅР° РєРµСЂРјРѕ  </t>
  </si>
  <si>
    <t>145.53</t>
  </si>
  <si>
    <t>SW216S</t>
  </si>
  <si>
    <t>SW217 L</t>
  </si>
  <si>
    <t xml:space="preserve">CARLIFE  Р§РѕС…РѕР» РЅР° РєРµСЂРјРѕ  39-41СЃРј, С€РєС–СЂР°, С‡РѕСЂРЅРёР№ (РїРµСЂС„РѕСЂР°С†РёСЏ, 4 С‡Р°СЃС‚Рё) </t>
  </si>
  <si>
    <t>SW217 XL</t>
  </si>
  <si>
    <t xml:space="preserve">CARLIFE  Р§РѕС…РѕР» РЅР° РєРµСЂРјРѕ  41-43СЃРј, С€РєС–СЂР°, С‡РѕСЂРЅРёР№ (РїРµСЂС„РѕСЂР°С†РёСЏ, 4 С‡Р°СЃС‚Рё) </t>
  </si>
  <si>
    <t>176.30</t>
  </si>
  <si>
    <t>SW218 S</t>
  </si>
  <si>
    <t xml:space="preserve">CARLIFE  Р§РѕС…РѕР» РЅР° РєРµСЂРјРѕ  35-37СЃРј, С€РєС–СЂР°, С‡РѕСЂРЅРёР№ (Р±РµР· РїРµСЂС„. 12 С‡Р°СЃС‚РµР№ + РІСЃС‚Р°РІРєРё) </t>
  </si>
  <si>
    <t>SW219 S</t>
  </si>
  <si>
    <t xml:space="preserve">CARLIFE  Р§РѕС…РѕР» РЅР° РєРµСЂРјРѕ  35-37СЃРј, С€РєС–СЂР°, С‡РѕСЂРЅРёР№ (3 РїРµСЂС„. С‡Р°СЃС‚РµР№, 3 СЃ С‚РµСЃРЅРµРЅРёРµРј) </t>
  </si>
  <si>
    <t>125.33</t>
  </si>
  <si>
    <t>SW219 XL</t>
  </si>
  <si>
    <t xml:space="preserve">CARLIFE  Р§РѕС…РѕР» РЅР° РєРµСЂРјРѕ  41-43СЃРј, С€РєС–СЂР°, С‡РѕСЂРЅРёР№ (3 РїРµСЂС„. С‡Р°СЃС‚РµР№, 3 СЃ С‚РµСЃРЅРµРЅРёРµРј) </t>
  </si>
  <si>
    <t>SW220 L</t>
  </si>
  <si>
    <t xml:space="preserve">CARLIFE  Р§РѕС…РѕР» РЅР° РєРµСЂРјРѕ  39-41СЃРј, С€РєС–СЂР°, С‡РѕСЂРЅРёР№ (4 С‡Р°СЃС‚Рё Р±РµР· РїРµСЂС„.) </t>
  </si>
  <si>
    <t>SW220 XL</t>
  </si>
  <si>
    <t xml:space="preserve">CARLIFE  Р§РѕС…РѕР» РЅР° РєРµСЂРјРѕ  41-43СЃРј, С€РєС–СЂР°, С‡РѕСЂРЅРёР№ (4 С‡Р°СЃС‚Рё Р±РµР· РїРµСЂС„.) </t>
  </si>
  <si>
    <t>SW221S</t>
  </si>
  <si>
    <t xml:space="preserve">CARLIFE  Р§РѕС…РѕР» РЅР° РєРµСЂРјРѕ  35-37СЃРј </t>
  </si>
  <si>
    <t>SW222 L</t>
  </si>
  <si>
    <t xml:space="preserve">CARLIFE  Р§РѕС…РѕР» РЅР° РєРµСЂРјРѕ  39-41СЃРј, С€РєС–СЂР°, СЃС–СЂРёР№ (6 С‡Р°СЃС‚РµР№ - 2 СЃ РїРµСЂС„. 4 СЃ С‚РµСЃРЅРµРЅРёРµРј) </t>
  </si>
  <si>
    <t>SW222 XL</t>
  </si>
  <si>
    <t xml:space="preserve">CARLIFE  Р§РѕС…РѕР» РЅР° РєРµСЂРјРѕ  41-43СЃРј, С€РєС–СЂР°, СЃС–СЂРёР№ (6 С‡Р°СЃС‚РµР№ - 2 СЃ РїРµСЂС„. 4 СЃ С‚РµСЃРЅРµРЅРёРµРј) </t>
  </si>
  <si>
    <t>SW223 L</t>
  </si>
  <si>
    <t xml:space="preserve">CARLIFE  Р§РѕС…РѕР» РЅР° РєРµСЂРјРѕ  39-41СЃРј, С€РєС–СЂР°, С‡РѕСЂРЅРёР№ (Р±РµР· РїРµСЂС„. 6 С‡Р°СЃС‚РµР№ - 3 СЃ С‚РµСЃРЅРµРЅРёРµРј РїРѕРґ РїР°Р»СЊС†С‹) </t>
  </si>
  <si>
    <t>163.64</t>
  </si>
  <si>
    <t>SW224 L</t>
  </si>
  <si>
    <t xml:space="preserve">CARLIFE  Р§РѕС…РѕР» РЅР° РєРµСЂРјРѕ  39-41СЃРј, С€РєС–СЂР°, С‡РѕСЂРЅРёР№ Р· С‡РµСЂРІРѕРЅРёРј (Р±РµР· РїРµСЂС„.) </t>
  </si>
  <si>
    <t>169.73</t>
  </si>
  <si>
    <t>SW225L</t>
  </si>
  <si>
    <t>CARLIFE  Р§РѕС…РѕР» РЅР° РєРµСЂРјРѕ С€РєС–СЂСЏРЅРёР№,С‡РѕСЂРЅРёР№</t>
  </si>
  <si>
    <t>SW225M</t>
  </si>
  <si>
    <t>SW225S</t>
  </si>
  <si>
    <t>SW226L</t>
  </si>
  <si>
    <t>CARLIFE  Р§РѕС…РѕР» РЅР° РєРµСЂРјРѕ С€РєС–СЂСЏРЅРёР№,СЃС–СЂРёР№</t>
  </si>
  <si>
    <t>125.65</t>
  </si>
  <si>
    <t>SW226M</t>
  </si>
  <si>
    <t>SW227L</t>
  </si>
  <si>
    <t>SW227S</t>
  </si>
  <si>
    <t>SW228L</t>
  </si>
  <si>
    <t>CARLIFE  Р§РѕС…РѕР» РЅР° РєРµСЂРјРѕ С€РєС–СЂСЏРЅРёР№,С‡РѕСЂРЅРёР№ С–Р· СЃС–СЂРёРјРё РІСЃС‚Р°РІРєР°РјРё</t>
  </si>
  <si>
    <t>132.06</t>
  </si>
  <si>
    <t>SW229L</t>
  </si>
  <si>
    <t>SW229S</t>
  </si>
  <si>
    <t>SW232L</t>
  </si>
  <si>
    <t>141.36</t>
  </si>
  <si>
    <t>SW232M</t>
  </si>
  <si>
    <t>SW232S</t>
  </si>
  <si>
    <t>SW233M</t>
  </si>
  <si>
    <t>143.92</t>
  </si>
  <si>
    <t>SW581</t>
  </si>
  <si>
    <t xml:space="preserve">CARLIFE  РћРїР»С–С‚РєР° РЅР° РєРµСЂРјРѕ, 35-38СЃРј </t>
  </si>
  <si>
    <t>SW582</t>
  </si>
  <si>
    <t xml:space="preserve">CARLIFE  РћРїР»С–С‚РєР° РЅР° РєРµСЂРјРѕ, 38-42СЃРј </t>
  </si>
  <si>
    <t>40.39</t>
  </si>
  <si>
    <t>SW583</t>
  </si>
  <si>
    <t xml:space="preserve">CARLIFE  РћРїР»С–С‚РєР° РЅР° РєРµСЂРјРѕ, 43-45СЃРј </t>
  </si>
  <si>
    <t>44.39</t>
  </si>
  <si>
    <t>РџР»С–РІРєР° С‚РѕРЅСѓРІР°Р»СЊРЅР°</t>
  </si>
  <si>
    <t>20D_20*150</t>
  </si>
  <si>
    <t xml:space="preserve">JBL  РўРѕРЅСѓРІР°Р»СЊРЅР° РїР»С–РІРєР°  0,2 x 1,5m, Dark Black </t>
  </si>
  <si>
    <t>JBL</t>
  </si>
  <si>
    <t>20S_20*150</t>
  </si>
  <si>
    <t xml:space="preserve">JBL  РўРѕРЅСѓРІР°Р»СЊРЅР° РїР»С–РІРєР°  0,2 x 1,5m, Super Dark Black </t>
  </si>
  <si>
    <t>50B_50*300</t>
  </si>
  <si>
    <t xml:space="preserve">JBL  РџР»С–РІРєР° С‚РѕРЅСѓРІР°Р»СЊРЅР°  0.5*3m Black </t>
  </si>
  <si>
    <t>40.23</t>
  </si>
  <si>
    <t>50DS_50*300</t>
  </si>
  <si>
    <t>JBL  РџР»С–РІРєР° С‚РѕРЅСѓРІР°Р»СЊРЅР° JBL 0.5*3m Dark Silver</t>
  </si>
  <si>
    <t>50D_50*300</t>
  </si>
  <si>
    <t xml:space="preserve">JBL  РўРѕРЅСѓРІР°Р»СЊРЅР° РїР»С–РІРєР°  0,5 x 3m, Dark Black </t>
  </si>
  <si>
    <t>50S_50*300</t>
  </si>
  <si>
    <t xml:space="preserve">JBL  РўРѕРЅСѓРІР°Р»СЊРЅР° РїР»С–РІРєР°  0,5 x 3m, Super Dark Black </t>
  </si>
  <si>
    <t>75B_75*300</t>
  </si>
  <si>
    <t xml:space="preserve">JBL  РўРѕРЅСѓРІР°Р»СЊРЅР° РїР»С–РІРєР°  0,75 x 3m, Black </t>
  </si>
  <si>
    <t>62.18</t>
  </si>
  <si>
    <t>75DS_75*300</t>
  </si>
  <si>
    <t>JBL  РўРѕРЅСѓРІР°Р»СЊРЅР° РїР»С–РІРєР°  0.75*3m Dark Silver</t>
  </si>
  <si>
    <t>73.24</t>
  </si>
  <si>
    <t>75D_75*300</t>
  </si>
  <si>
    <t xml:space="preserve">JBL  РўРѕРЅСѓРІР°Р»СЊРЅР° РїР»С–РІРєР°  0,75 x 3m, Dark Black </t>
  </si>
  <si>
    <t>75SDS_75*300</t>
  </si>
  <si>
    <t>JBL  РўРѕРЅСѓРІР°Р»СЊРЅР° РїР»С–РІРєР°  0.75*3m Super Dark Silver</t>
  </si>
  <si>
    <t>75S_75*300</t>
  </si>
  <si>
    <t xml:space="preserve">JBL  РўРѕРЅСѓРІР°Р»СЊРЅР° РїР»С–РІРєР°  0,75 x 3m, Super Dark Black </t>
  </si>
  <si>
    <t>75U_75*300</t>
  </si>
  <si>
    <t xml:space="preserve">JBL  РўРѕРЅСѓРІР°Р»СЊРЅР° РїР»С–РІРєР°  0,75 x 3m, Ultra Black </t>
  </si>
  <si>
    <t>Р С–Р·РЅРµ</t>
  </si>
  <si>
    <t xml:space="preserve">BREVIA  РљРђРўРђР›РћР“" " (Р°РІС‚РѕР»Р°РјРїРѕС‡РєРё) 2015 </t>
  </si>
  <si>
    <t xml:space="preserve">NOWAX  РљРђРўРђР›РћР“ "",Р·Р°СЃРѕР±Рё РґР»СЏ РґРѕРіР»СЏРґСѓ Р°РІС‚Рѕ </t>
  </si>
  <si>
    <t xml:space="preserve">ELEGANT  РљРёС€РµРЅСЊРєР° РґР»СЏ С‚Р°Р»РѕРЅСѓ С‚/Рѕ (РІРµР»РёРєР°) </t>
  </si>
  <si>
    <t>ELEGANT</t>
  </si>
  <si>
    <t xml:space="preserve">3-Рњ  РЎС‚СЂС–С‡РєР° РєР»РµСЋС‡Р° РґРІРѕСЃС‚РѕСЂРѕРЅРЅСЏ,С‚РµРјРЅРѕ-СЃС–СЂР°,12РјРјx5Рј,Р±Р»С–СЃС‚РµСЂ,1С€С‚. </t>
  </si>
  <si>
    <t>86.87</t>
  </si>
  <si>
    <t>3-Рњ</t>
  </si>
  <si>
    <t xml:space="preserve">3-Рњ  РЎС‚СЂС–С‡РєР° РєР»РµСЋС‡Р° РґРІРѕСЃС‚РѕСЂРѕРЅРЅСЏ,С‚РµРјРЅРѕ-СЃС–СЂР°,15РјРјx5Рј,Р±Р»С–СЃС‚РµСЂ,1С€С‚. </t>
  </si>
  <si>
    <t>117.16</t>
  </si>
  <si>
    <t xml:space="preserve">3-Рњ  РЎС‚СЂС–С‡РєР° РєР»РµСЋС‡Р° РґРІРѕСЃС‚РѕСЂРѕРЅРЅСЏ,С‚РµРјРЅРѕ-СЃС–СЂР°,15РјРјx2Рј,Р±Р»С–СЃС‚РµСЂ,1С€С‚. </t>
  </si>
  <si>
    <t>59.46</t>
  </si>
  <si>
    <t xml:space="preserve">ELEGANT  Р—Р°РіР»СѓС€РєР° СЂРµРјРµРЅСЏ Р±РµР·РїРµРєРё (СѓРї./2С€С‚.) </t>
  </si>
  <si>
    <t>AT011</t>
  </si>
  <si>
    <t xml:space="preserve">CARLIFE  РђСЂРµРѕРјРµС‚СЂ РґР»СЏ Р°РЅС‚РёС„СЂРёР·Сѓ </t>
  </si>
  <si>
    <t>CA10</t>
  </si>
  <si>
    <t xml:space="preserve">CARLIFE  РљР°РЅС–СЃС‚СЂР° РїР»Р°СЃС‚РёРєРѕРІР° 10L,(5С€С‚./СѓРї.) </t>
  </si>
  <si>
    <t>CA20</t>
  </si>
  <si>
    <t xml:space="preserve">CARLIFE  РљР°РЅС–СЃС‚СЂР° РїР»Р°СЃС‚РёРєРѕРІР° 20L,(4С€С‚./СѓРї.) </t>
  </si>
  <si>
    <t>167.80</t>
  </si>
  <si>
    <t>CA5</t>
  </si>
  <si>
    <t xml:space="preserve">CARLIFE  РљР°РЅС–СЃС‚СЂР° РїР»Р°СЃС‚РёРєРѕРІР° 5L,(12С€С‚,/СѓРї.) </t>
  </si>
  <si>
    <t>82.54</t>
  </si>
  <si>
    <t>DT551</t>
  </si>
  <si>
    <t xml:space="preserve">CARLIFE  РЎС‚СЂС–С‡РєР° РґРІРѕСЃС‚РѕСЂРѕРЅРЅСЏ, 12РјРј 5Рј </t>
  </si>
  <si>
    <t>DT552</t>
  </si>
  <si>
    <t xml:space="preserve">CARLIFE  РЎС‚СЂС–С‡РєР° РґРІРѕСЃС‚РѕСЂРѕРЅРЅСЏ, 15РјРј 5Рј </t>
  </si>
  <si>
    <t>15.55</t>
  </si>
  <si>
    <t>DT553</t>
  </si>
  <si>
    <t xml:space="preserve">CARLIFE  РЎС‚СЂС–С‡РєР° РґРІРѕСЃС‚РѕСЂРѕРЅРЅСЏ, 30РјРј 5Рј </t>
  </si>
  <si>
    <t>FC521</t>
  </si>
  <si>
    <t xml:space="preserve">CARLIFE  РљСЂРёС€РєР° РґР»СЏ Р±РµРЅР·РѕР±Р°РєСѓ, СѓРЅС–РІРµСЂСЃР°Р»СЊРЅР° </t>
  </si>
  <si>
    <t>FC522</t>
  </si>
  <si>
    <t xml:space="preserve">CARLIFE  РљСЂРёС€РєР° РґР»СЏ Р±РµРЅР·РѕР±Р°РєСѓ, СѓРЅС–РІРµСЂСЃР°Р»СЊРЅР° High Quality </t>
  </si>
  <si>
    <t>20.84</t>
  </si>
  <si>
    <t>FL002</t>
  </si>
  <si>
    <t xml:space="preserve">CARLIFE  Р›С–Р№РєР°  РїР»Р°СЃС‚РјР°СЃРѕРІР° Р°РІС‚РѕРјРѕР±С–Р»СЊРЅР° (РїСЂСЏРјР°) </t>
  </si>
  <si>
    <t>FL003</t>
  </si>
  <si>
    <t xml:space="preserve">CARLIFE  Р›С–Р№РєР°  РїР»Р°СЃС‚РјР°СЃРѕРІР° Р°РІС‚РѕРјРѕР±С–Р»СЊРЅР° (РєРѕСЃР°) </t>
  </si>
  <si>
    <t>17.47</t>
  </si>
  <si>
    <t>FL006</t>
  </si>
  <si>
    <t xml:space="preserve">CARLIFE  Р›С–Р№РєР°  РїР»Р°СЃС‚РјР°СЃРѕРІР° Р°РІС‚РѕРјРѕР±С–Р»СЊРЅР° </t>
  </si>
  <si>
    <t>29.49</t>
  </si>
  <si>
    <t>FL007</t>
  </si>
  <si>
    <t xml:space="preserve">РЈРєСЂР°С—РЅР°  Р›С–Р№РєР° РїР»Р°СЃС‚РјР°СЃРѕРІР° Р°РІС‚РѕРјРѕР±С–Р»СЊРЅР° Р· 2-С… С‡Р°СЃС‚РёРЅ,Р·С– СЃС–С‚РєРѕСЋ 0,2РјРј. </t>
  </si>
  <si>
    <t>28.25</t>
  </si>
  <si>
    <t>РЈРєСЂР°С—РЅР°</t>
  </si>
  <si>
    <t>FM001</t>
  </si>
  <si>
    <t xml:space="preserve">РЈРєСЂР°С—РЅР°  Р›С–Р№РєР° РјРµС‚Р°Р»РµРІР°, РєРѕСЃР° РїС–Рґ РєР»Р°РїР°РЅ </t>
  </si>
  <si>
    <t>59.93</t>
  </si>
  <si>
    <t>FM004</t>
  </si>
  <si>
    <t xml:space="preserve">РЈРєСЂР°С—РЅР°  Р›С–Р№РєР° РјРµС‚Р°Р»РµРІР°, РїСЂСЏРјР° </t>
  </si>
  <si>
    <t>55.63</t>
  </si>
  <si>
    <t>FM007</t>
  </si>
  <si>
    <t xml:space="preserve">РЈРєСЂР°С—РЅР°  Р›С–Р№РєР° РјРµС‚Р°Р»РµРІР°,РєРѕСЃР° (РўР°РІСЂС–СЏ,DAF) </t>
  </si>
  <si>
    <t>GS 01</t>
  </si>
  <si>
    <t xml:space="preserve">CARLIFE  Р§РѕС…РѕР» РЅР° РІР°Р¶С–Р»СЊ РљРџРџ СѓРЅС–РІРµСЂСЃР°Р»СЊРЅРёР№ ,С€РєС–СЂСЏРЅРёР№, С‡РѕСЂРЅРёР№ </t>
  </si>
  <si>
    <t>102.41</t>
  </si>
  <si>
    <t>GS 02</t>
  </si>
  <si>
    <t xml:space="preserve">CARLIFE  Р§РѕС…РѕР» РЅР° РІР°Р¶С–Р»СЊ РљРџРџ Р’РђР— 2101-2107,С€РєС–СЂСЏРЅРёР№,С‡РѕСЂРЅРёР№ </t>
  </si>
  <si>
    <t>115.71</t>
  </si>
  <si>
    <t>GS 03</t>
  </si>
  <si>
    <t xml:space="preserve">CARLIFE  Р§РѕС…РѕР» РЅР° РІР°Р¶С–Р»СЊ РљРџРџ СѓРЅС–РІРµСЂСЃР°Р»СЊРЅРёР№,С‡РѕСЂРЅРёР№ </t>
  </si>
  <si>
    <t>GS 04</t>
  </si>
  <si>
    <t xml:space="preserve">CARLIFE  Р§РѕС…РѕР» РЅР° РІР°Р¶С–Р»СЊ РљРџРџ Р’РђР— 2101-2106,С‡РѕСЂРЅРёР№ </t>
  </si>
  <si>
    <t>GS 05</t>
  </si>
  <si>
    <t xml:space="preserve">CARLIFE  Р§РѕС…РѕР» РЅР° РІР°Р¶С–Р»СЊ РљРџРџ Renault Trafic,С‡РѕСЂРЅРёР№ </t>
  </si>
  <si>
    <t>GS 07</t>
  </si>
  <si>
    <t xml:space="preserve">CARLIFE  Р§РѕС…РѕР» РЅР° РІР°Р¶С–Р»СЊ РљРџРџ VW Caddy,С‡РѕСЂРЅРёР№ </t>
  </si>
  <si>
    <t>GS 08</t>
  </si>
  <si>
    <t xml:space="preserve">CARLIFE  Р§РѕС…РѕР» РЅР° РІР°Р¶С–Р»СЊ РљРџРџ Renault Kangoo,С‡РѕСЂРЅРёР№ </t>
  </si>
  <si>
    <t>GS 09</t>
  </si>
  <si>
    <t xml:space="preserve">CARLIFE  Р§РѕС…РѕР» РЅР° РІР°Р¶С–Р»СЊ РљРџРџ Volkswagen T5,С€РєС–СЂСЏРЅРёР№ </t>
  </si>
  <si>
    <t>GS 11</t>
  </si>
  <si>
    <t xml:space="preserve">CARLIFE  Р§РѕС…РѕР» РЅР° РІР°Р¶С–Р»СЊ РљРџРџ СѓРЅС–РІРµСЂСЃР°Р»СЊРЅРёР№ ,С€РёСЂРѕРєРёР№, С‡РѕСЂРЅРёР№ </t>
  </si>
  <si>
    <t>GS 13</t>
  </si>
  <si>
    <t xml:space="preserve">CARLIFE  Р§РѕС…РѕР» РЅР° РљРџРџ Р¤С–Р°С‚ РЎРєСѓРґРѕ, С€РєС–СЂР° </t>
  </si>
  <si>
    <t>GS 14</t>
  </si>
  <si>
    <t xml:space="preserve">CARLIFE  Р§РѕС…РѕР» РЅР° РљРџРџ Р¤РѕСЂРґ РљРѕРЅРЅРµРєС‚, С€РєС–СЂР° </t>
  </si>
  <si>
    <t>GS 15</t>
  </si>
  <si>
    <t xml:space="preserve">CARLIFE  Р§РѕС…РѕР» РЅР° РљРџРџ РњРµСЂСЃРµРґРµСЃ Р’С–С‚Рѕ СЃС‚Р°СЂРµ, С€РєС–СЂР° </t>
  </si>
  <si>
    <t>77.09</t>
  </si>
  <si>
    <t>GS 16</t>
  </si>
  <si>
    <t>CARLIFE  Р§РѕС…РѕР» РЅР° РљРџРџ Р¤С–Р°С‚ РЎРєСѓРґРѕ РЅРѕРІРёР№, С€РєС–СЂР°</t>
  </si>
  <si>
    <t>74.04</t>
  </si>
  <si>
    <t>GS 17</t>
  </si>
  <si>
    <t xml:space="preserve">CARLIFE  Р§РѕС…РѕР» РЅР° РљРџРџ РџРµР¶Рѕ РџР°СЂС‚РЅРµСЂ, С€РєС–СЂР° </t>
  </si>
  <si>
    <t>70.52</t>
  </si>
  <si>
    <t>IT010</t>
  </si>
  <si>
    <t xml:space="preserve">SOLAR  РЎС‚СЂС–С‡РєР° С–Р·РѕР»СЏС†С–Р№РЅР° РџР’РҐ , С‡РѕСЂРЅР° 10Рј </t>
  </si>
  <si>
    <t>IT020</t>
  </si>
  <si>
    <t xml:space="preserve">SOLAR  РЎС‚СЂС–С‡РєР° С–Р·РѕР»СЏС†С–Р№РЅР° РџР’РҐ , С‡РѕСЂРЅР° 20Рј </t>
  </si>
  <si>
    <t>IT110</t>
  </si>
  <si>
    <t xml:space="preserve">SOLAR  РЎС‚СЂС–С‡РєР° С–Р·РѕР»СЏС†С–Р№РЅР° РџР’РҐ , СЃРёРЅСЏ 10Рј </t>
  </si>
  <si>
    <t>IT120</t>
  </si>
  <si>
    <t xml:space="preserve">SOLAR  РЎС‚СЂС–С‡РєР° С–Р·РѕР»СЏС†С–Р№РЅР° РџР’РҐ , СЃРёРЅСЏ 20Рј </t>
  </si>
  <si>
    <t>KC05</t>
  </si>
  <si>
    <t xml:space="preserve">Р‘Р•Р›РђР’РўРћ  РљР°РЅС–СЃС‚СЂР° РјРµС‚Р°Р»РµРІР°   5Р». (5С€С‚.) </t>
  </si>
  <si>
    <t>251.78</t>
  </si>
  <si>
    <t>KC10</t>
  </si>
  <si>
    <t xml:space="preserve">Р‘Р•Р›РђР’РўРћ  РљР°РЅС–СЃС‚СЂР° РјРµС‚Р°Р»РµРІР°   10Р». (4С€С‚.) </t>
  </si>
  <si>
    <t>311.56</t>
  </si>
  <si>
    <t xml:space="preserve">Р‘Р•Р›РђР’РўРћ  РљР°РЅС–СЃС‚СЂР° РјРµС‚Р°Р»РµРІР°   20Р». (4С€С‚.) </t>
  </si>
  <si>
    <t>366.54</t>
  </si>
  <si>
    <t>MT410</t>
  </si>
  <si>
    <t xml:space="preserve">CARLIFE  РўРµСЂРјРѕРєСЂСѓР¶РєР° 450РјР»., РЅРµСЂР¶Р°РІС–СЋС‡Р° СЃС‚Р°Р»СЊ </t>
  </si>
  <si>
    <t>RT-001</t>
  </si>
  <si>
    <t xml:space="preserve">CARLIFE  Р—РЅР°Рє Р°РІР°СЂС–Р№РЅРѕС— Р·СѓРїРёРЅРєРё,РєР°СЂС‚РѕРЅРЅР° СѓРїР°Рє. RT-001 </t>
  </si>
  <si>
    <t>SB310</t>
  </si>
  <si>
    <t xml:space="preserve">CARLIFE  Р¤С–РєСЃР°С‚РѕСЂ Р·Р°РјРєР° СЂРµРјРµРЅСЏ Р±РµР·РїРµРєРё, РјРµС‚Р°Р» </t>
  </si>
  <si>
    <t>SK596</t>
  </si>
  <si>
    <t xml:space="preserve">CARLIFE  Р СѓС‡РєР° РЅР° РєРѕСЂРѕР±РєСѓ РїРµСЂРµРґР°С‡, С€РєС–СЂР° РґРµСЂРµРІРѕ </t>
  </si>
  <si>
    <t>SK599</t>
  </si>
  <si>
    <t xml:space="preserve">CARLIFE  Р СѓС‡РєР° РЅР° РєРѕСЂРѕР±РєСѓ РїРµСЂРµРґР°С‡,С€РєС–СЂСЏРЅР° </t>
  </si>
  <si>
    <t>81.74</t>
  </si>
  <si>
    <t>SK600</t>
  </si>
  <si>
    <t>SP500</t>
  </si>
  <si>
    <t>CARLIFE РђРЅС‚РёРєРѕРІР·Р°СЋС‡РёР№ РєРёР»РёРјРѕРє,300x1500РјРј,(48С€С‚./СѓРї.)</t>
  </si>
  <si>
    <t>SP511</t>
  </si>
  <si>
    <t xml:space="preserve">CARLIFE  РђРЅС‚РёРєРѕРІР·Р°СЋС‡РёР№ РєРёР»РёРјРѕРє РЎarlife 93x146 mm </t>
  </si>
  <si>
    <t>SP512</t>
  </si>
  <si>
    <t xml:space="preserve">CARLIFE  РђРЅС‚РёРєРѕРІР·Р°СЋС‡РёР№ РєРёР»РёРјРѕРє,192*210РјРј </t>
  </si>
  <si>
    <t>SP518</t>
  </si>
  <si>
    <t xml:space="preserve">CARLIFE  РђРЅС‚РёРєРѕРІР·Р°СЋС‡РёР№ РєРёР»РёРјРѕРє РЎarlife 130x160 mm, С‡РѕСЂРЅРёР№ </t>
  </si>
  <si>
    <t>TG551</t>
  </si>
  <si>
    <t xml:space="preserve">CARLIFE  РџС–СЃС‚РѕР»РµС‚ РїРЅРµРІРјР°С‚РёС‡РЅРёР№ РґР»СЏ РїС–РґРєР°С‡РєРё С€РёРЅ 12Bar, С€Р»Р°РЅРі 350РјРј. </t>
  </si>
  <si>
    <t>159.95</t>
  </si>
  <si>
    <t>TG561</t>
  </si>
  <si>
    <t xml:space="preserve">CARLIFE  РњР°РЅРѕРјРµС‚СЂ С†РёС„СЂРѕРІРёР№, 7Bar </t>
  </si>
  <si>
    <t>113.79</t>
  </si>
  <si>
    <t>TG562</t>
  </si>
  <si>
    <t xml:space="preserve">CARLIFE  РњР°РЅРѕРјРµС‚СЂ С†РёС„СЂРѕРІРёР№, 7Bar, LED РїС–РґСЃРІС–РґРєР° </t>
  </si>
  <si>
    <t>TG571</t>
  </si>
  <si>
    <t xml:space="preserve">CARLIFE  РњР°РЅРѕРјРµС‚СЂ Р°РІС‚РѕРјРѕР±С–Р»СЊРЅРёР№ 7,5 РђС‚Рј, РјРµС‚Р°Р»РµРІРёР№ </t>
  </si>
  <si>
    <t>TG572</t>
  </si>
  <si>
    <t xml:space="preserve">CARLIFE  РњР°РЅРѕРјРµС‚СЂ Р°РІС‚РѕРјРѕР±С–Р»СЊРЅРёР№ 3,5 РђС‚Рј, РїР»Р°СЃС‚РёРєРѕРІРёР№ </t>
  </si>
  <si>
    <t>22.76</t>
  </si>
  <si>
    <t>TG574</t>
  </si>
  <si>
    <t xml:space="preserve">CARLIFE  РњР°РЅРѕРјРµС‚СЂ Р°РІС‚РѕРјРѕР±С–Р»СЊРЅРёР№ 4 РђС‚Рј, РјРµС‚Р°Р»РµРІРёР№ Р· РіСѓРјРѕРІРёРј РїРѕРєСЂРёС‚С‚СЏРј </t>
  </si>
  <si>
    <t>TUN1</t>
  </si>
  <si>
    <t xml:space="preserve">CARLIFE  Р‘СЂРёР·РіРѕРІРёРє MUD FLAPS-в„–1 </t>
  </si>
  <si>
    <t>TUN2</t>
  </si>
  <si>
    <t xml:space="preserve">CARLIFE  Р‘СЂРёР·РіРѕРІРёРє MUD FLAPS-в„–2 </t>
  </si>
  <si>
    <t>TYPE1</t>
  </si>
  <si>
    <t xml:space="preserve">CARLIFE  Р‘СЂРёР·РіРѕРІРёРє TYPE-в„–1 </t>
  </si>
  <si>
    <t>TYPE2</t>
  </si>
  <si>
    <t xml:space="preserve">CARLIFE  Р‘СЂРёР·РіРѕРІРёРє TYPE-в„–2 </t>
  </si>
  <si>
    <t>VM105</t>
  </si>
  <si>
    <t xml:space="preserve">CARLIFE  Р”Р·РµСЂРєР°Р»СЊС†СЏ РЅРµРІРёРґРёРјРѕС— Р·РѕРЅРё Г45 РјРј., 360вЃ° 2 С€С‚. </t>
  </si>
  <si>
    <t>VM110</t>
  </si>
  <si>
    <t xml:space="preserve">CARLIFE  Р”Р·РµСЂРєР°Р»СЊС†СЏ РЅРµРІРёРґРёРјРѕС— Р·РѕРЅРё, СЂРµРіСѓР»СЊРѕРІР°РЅРёР№ РєСѓС‚ РЅР°С…РёР»Сѓ, 2 С€С‚. </t>
  </si>
  <si>
    <t>33.34</t>
  </si>
  <si>
    <t>VM115</t>
  </si>
  <si>
    <t xml:space="preserve">CARLIFE  Р”Р·РµСЂРєР°Р»СЊС†СЏ РґРѕРґР°С‚РєРѕРІС– РґР»СЏ РєСЂС–РїР»РµРЅРЅСЏ РЅР° РґР·РµСЂРєР°Р»Рѕ </t>
  </si>
  <si>
    <t>VM150</t>
  </si>
  <si>
    <t xml:space="preserve">CARLIFE  Р”Р·РµСЂРєР°Р»Рѕ Р·Р°РґРЅСЊРѕРіРѕ РІРёРґСѓ 150РјРј., 360вЃ° </t>
  </si>
  <si>
    <t>WJ101</t>
  </si>
  <si>
    <t xml:space="preserve">CARLIFE  РЎРёРіРЅР°Р»СЊРЅРёР№ Р¶РёР»РµС‚,РѕСЂР°РЅР¶РµРІРёР№,,XL,100gr/m2 </t>
  </si>
  <si>
    <t>WJ201</t>
  </si>
  <si>
    <t xml:space="preserve">CARLIFE  РЎРёРіРЅР°Р»СЊРЅРёР№ Р¶РёР»РµС‚,РѕСЂР°РЅР¶РµРІРёР№,,XL,130gr/m2 </t>
  </si>
  <si>
    <t>WK541</t>
  </si>
  <si>
    <t xml:space="preserve">CARLIFE  Р СѓС‡РєР° РЅР° РєРµСЂРјРѕ, РјРµС‚Р°Р» + РїР»Р°СЃС‚РёРє </t>
  </si>
  <si>
    <t>WK544</t>
  </si>
  <si>
    <t xml:space="preserve">CARLIFE  Р СѓС‡РєР° РЅР° РєРµСЂРјРѕ, РєР°СЂР±РѕРЅ </t>
  </si>
  <si>
    <t>84.94</t>
  </si>
  <si>
    <t>WS/02</t>
  </si>
  <si>
    <t xml:space="preserve">KOFIETA  Р’С–С€Р°Рє WS/02 (С…СЂРѕРјРѕРІР°РЅРёР№) (10/15С€С‚) </t>
  </si>
  <si>
    <t>157.22</t>
  </si>
  <si>
    <t>WT101</t>
  </si>
  <si>
    <t xml:space="preserve">CARLIFE  Р—РЅР°Рє Р°РІР°СЂС–Р№РЅРѕС— Р·СѓРїРёРЅРєРё,РїР»Р°СЃС‚РёРєРѕРІР° СѓРїР°Рє. </t>
  </si>
  <si>
    <t>WT102</t>
  </si>
  <si>
    <t>РђРњРђ1 Р· СЂСѓС‡РєРѕСЋ</t>
  </si>
  <si>
    <t xml:space="preserve">РЈРєСЂР°С—РЅР°  РђРїС‚РµС‡РєР° РїРµСЂС€.РјРµРґ.РґРѕРїРѕРјРѕРіРё С‚РёРїСѓ РђРњРђ1 СЃС–СЂР° Р· СЂСѓС‡РєРѕСЋ </t>
  </si>
  <si>
    <t>41.12</t>
  </si>
  <si>
    <t>РђРњРђ1, СЃСѓРјРѕС‡РєР° (РјР°Р».)</t>
  </si>
  <si>
    <t xml:space="preserve">РЈРєСЂР°С—РЅР°  РђРїС‚РµС‡РєР° РїРµСЂС€.РјРµРґ.РґРѕРїРѕРјРѕРіРё С‚РёРїСѓ РђРњРђ1,СЃСѓРјРѕС‡РєР° (РјР°Р»Р°) </t>
  </si>
  <si>
    <t>РђРњРђ2, СЃСѓРјРѕС‡РєР° (РІРµР».)</t>
  </si>
  <si>
    <t xml:space="preserve">РЈРєСЂР°С—РЅР°  РђРїС‚РµС‡РєР° РїРµСЂС€.РјРµРґ.РґРѕРїРѕРјРѕРіРё С‚РёРїСѓ РђРњРђ2,СЃСѓРјРѕС‡РєР° (РІРµР»РёРєР°) </t>
  </si>
  <si>
    <t>124.85</t>
  </si>
  <si>
    <t>Р’Рџ1</t>
  </si>
  <si>
    <t xml:space="preserve">РЈРєСЂР°С—РЅР°  Р’РѕРіРЅРµРіР°СЃРЅРёРє РїРѕСЂРѕС€РєРѕРІРёР№ Р’Рџ1(12С€С‚.,16С€С‚.) </t>
  </si>
  <si>
    <t>129.46</t>
  </si>
  <si>
    <t>Р’Рџ2</t>
  </si>
  <si>
    <t xml:space="preserve">РЈРєСЂР°С—РЅР°  Р’РѕРіРЅРµРіР°СЃРЅРёРє РїРѕСЂРѕС€РєРѕРІРёР№ Р’Рџ2 (9С€С‚.) </t>
  </si>
  <si>
    <t>Р’Рџ5</t>
  </si>
  <si>
    <t>РЈРєСЂР°С—РЅР°  Р’РѕРіРЅРµРіР°СЃРЅРёРє РїРѕСЂРѕС€РєРѕРІРёР№ Р’Рџ5</t>
  </si>
  <si>
    <t>312.29</t>
  </si>
  <si>
    <t>Р’Рџ6</t>
  </si>
  <si>
    <t xml:space="preserve">РЈРєСЂР°С—РЅР°  Р’РѕРіРЅРµРіР°СЃРЅРёРє РїРѕСЂРѕС€РєРѕРІРёР№ Р’Рџ6 </t>
  </si>
  <si>
    <t>310.31</t>
  </si>
  <si>
    <t>РљРџРџ-РЈРЅС–РІРµСЂСЃР°Р»СЊРЅРёР№</t>
  </si>
  <si>
    <t xml:space="preserve">РЈРєСЂР°С—РЅР°  Р§РѕС…РѕР» РЅР° РІР°Р¶С–Р»СЊ РљРџРџ СѓРЅС–РІРµСЂСЃР°Р»СЊРЅРёР№,С‡РѕСЂРЅРёР№ </t>
  </si>
  <si>
    <t>Р Р°РјРєРё РЅРѕРјРµСЂРЅС–</t>
  </si>
  <si>
    <t>NH01</t>
  </si>
  <si>
    <t xml:space="preserve">CARLIFE  Р Р°РјРєР° РїС–Рґ РЅРѕРјРµСЂ, С‡РѕСЂРЅРёР№ </t>
  </si>
  <si>
    <t>18.43</t>
  </si>
  <si>
    <t>NH02</t>
  </si>
  <si>
    <t xml:space="preserve">CARLIFE  Р Р°РјРєР° РїС–Рґ РЅРѕРјРµСЂ, СЃРїРѕСЂС‚ </t>
  </si>
  <si>
    <t>NH03</t>
  </si>
  <si>
    <t xml:space="preserve">CARLIFE  Р Р°РјРєР° РїС–Рґ РЅРѕРјРµСЂ, СЃСЂС–Р±РЅР° РїРѕР»РѕСЃР° </t>
  </si>
  <si>
    <t>NH04</t>
  </si>
  <si>
    <t xml:space="preserve">CARLIFE  Р Р°РјРєР° РїС–Рґ РЅРѕРјРµСЂ, РЈРєСЂР°С—РЅР° </t>
  </si>
  <si>
    <t>NH05</t>
  </si>
  <si>
    <t xml:space="preserve">CARLIFE  Р Р°РјРєР° РїС–Рґ РЅРѕРјРµСЂ, Lada </t>
  </si>
  <si>
    <t>NH06</t>
  </si>
  <si>
    <t xml:space="preserve">CARLIFE  Р Р°РјРєР° РїС–Рґ РЅРѕРјРµСЂ, Volkswagen </t>
  </si>
  <si>
    <t>NH07</t>
  </si>
  <si>
    <t xml:space="preserve">CARLIFE  Р Р°РјРєР° РїС–Рґ РЅРѕРјРµСЂ, Mersedes-Benz </t>
  </si>
  <si>
    <t>NH08</t>
  </si>
  <si>
    <t xml:space="preserve">CARLIFE  Р Р°РјРєР° РїС–Рґ РЅРѕРјРµСЂ, Daewoo </t>
  </si>
  <si>
    <t>NH09</t>
  </si>
  <si>
    <t xml:space="preserve">CARLIFE  Р Р°РјРєР° РїС–Рґ РЅРѕРјРµСЂ, Chevrolet </t>
  </si>
  <si>
    <t>NH10</t>
  </si>
  <si>
    <t xml:space="preserve">CARLIFE  Р Р°РјРєР° РїС–Рґ РЅРѕРјРµСЂ, Opel </t>
  </si>
  <si>
    <t>NH11</t>
  </si>
  <si>
    <t xml:space="preserve">CARLIFE  Р Р°РјРєР° РїС–Рґ РЅРѕРјРµСЂ, BMW </t>
  </si>
  <si>
    <t>NH12</t>
  </si>
  <si>
    <t xml:space="preserve">CARLIFE  Р Р°РјРєР° РїС–Рґ РЅРѕРјРµСЂ, Audi </t>
  </si>
  <si>
    <t>NH13</t>
  </si>
  <si>
    <t xml:space="preserve">CARLIFE  Р Р°РјРєР° РїС–Рґ РЅРѕРјРµСЂ, Skoda </t>
  </si>
  <si>
    <t>NH15</t>
  </si>
  <si>
    <t xml:space="preserve">CARLIFE  Р Р°РјРєР° РїС–Рґ РЅРѕРјРµСЂ, Lanos </t>
  </si>
  <si>
    <t>NH16</t>
  </si>
  <si>
    <t xml:space="preserve">CARLIFE  Р Р°РјРєР° РїС–Рґ РЅРѕРјРµСЂ, Hyundai </t>
  </si>
  <si>
    <t>NH17</t>
  </si>
  <si>
    <t xml:space="preserve">CARLIFE  Р Р°РјРєР° РїС–Рґ РЅРѕРјРµСЂ, Toyota </t>
  </si>
  <si>
    <t>NH19</t>
  </si>
  <si>
    <t xml:space="preserve">CARLIFE  Р Р°РјРєР° РїС–Рґ РЅРѕРјРµСЂ, Mitsubishi </t>
  </si>
  <si>
    <t>NH20</t>
  </si>
  <si>
    <t xml:space="preserve">CARLIFE  Р Р°РјРєР° РїС–Рґ РЅРѕРјРµСЂ, Renault </t>
  </si>
  <si>
    <t>NH21</t>
  </si>
  <si>
    <t xml:space="preserve">CARLIFE  Р Р°РјРєР° РїС–Рґ РЅРѕРјРµСЂ, Ford </t>
  </si>
  <si>
    <t>NH22</t>
  </si>
  <si>
    <t xml:space="preserve">CARLIFE  Р Р°РјРєР° РїС–Рґ РЅРѕРјРµСЂ, Fiat </t>
  </si>
  <si>
    <t>NH23</t>
  </si>
  <si>
    <t xml:space="preserve">CARLIFE  Р Р°РјРєР° РїС–Рґ РЅРѕРјРµСЂ, Peugeot </t>
  </si>
  <si>
    <t>NH24</t>
  </si>
  <si>
    <t xml:space="preserve">CARLIFE  Р Р°РјРєР° РїС–Рґ РЅРѕРјРµСЂ, KIA </t>
  </si>
  <si>
    <t>NH25</t>
  </si>
  <si>
    <t xml:space="preserve">CARLIFE  Р Р°РјРєР° РїС–Рґ РЅРѕРјРµСЂ, Nissan </t>
  </si>
  <si>
    <t>NH26</t>
  </si>
  <si>
    <t xml:space="preserve">CARLIFE  Р Р°РјРєР° РїС–Рґ РЅРѕРјРµСЂ, Citroen </t>
  </si>
  <si>
    <t>NH28</t>
  </si>
  <si>
    <t xml:space="preserve">CARLIFE  Р Р°РјРєР° РїС–Рґ РЅРѕРјРµСЂ, VOLVO </t>
  </si>
  <si>
    <t>NH29</t>
  </si>
  <si>
    <t xml:space="preserve">CARLIFE  Р Р°РјРєР° РїС–Рґ РЅРѕРјРµСЂ, Subaru </t>
  </si>
  <si>
    <t>NH30</t>
  </si>
  <si>
    <t xml:space="preserve">CARLIFE  Р Р°РјРєР° РїС–Рґ РЅРѕРјРµСЂ, Mazda </t>
  </si>
  <si>
    <t>NH31</t>
  </si>
  <si>
    <t xml:space="preserve">CARLIFE  Р Р°РјРєР° РїС–Рґ РЅРѕРјРµСЂ, Suzuki </t>
  </si>
  <si>
    <t>NH33</t>
  </si>
  <si>
    <t xml:space="preserve">CARLIFE  Р Р°РјРєР° РїС–Рґ РЅРѕРјРµСЂ, Seat </t>
  </si>
  <si>
    <t>NH34</t>
  </si>
  <si>
    <t xml:space="preserve">CARLIFE  Р Р°РјРєР° РїС–Рґ РЅРѕРјРµСЂ-РѕР±'С”РјРЅС– Р±СѓРєРІРё, Audi </t>
  </si>
  <si>
    <t>30.61</t>
  </si>
  <si>
    <t>NH35</t>
  </si>
  <si>
    <t xml:space="preserve">CARLIFE  Р Р°РјРєР° РїС–Рґ РЅРѕРјРµСЂ-РѕР±'С”РјРЅС– Р±СѓРєРІРё, Chevrolet </t>
  </si>
  <si>
    <t>NH38</t>
  </si>
  <si>
    <t xml:space="preserve">CARLIFE  Р Р°РјРєР° РїС–Рґ РЅРѕРјРµСЂ-РѕР±'С”РјРЅС– Р±СѓРєРІРё, Ford </t>
  </si>
  <si>
    <t>NH39</t>
  </si>
  <si>
    <t xml:space="preserve">CARLIFE  Р Р°РјРєР° РїС–Рґ РЅРѕРјРµСЂ-РѕР±'С”РјРЅС– Р±СѓРєРІРё, Hyundai </t>
  </si>
  <si>
    <t>NH400</t>
  </si>
  <si>
    <t xml:space="preserve">CARLIFE  Р Р°РјРєР° РїС–Рґ РЅРѕРјРµСЂ, РЅРµСЂР¶Р°РІС–СЋС‡Р° СЃС‚Р°Р»СЊ </t>
  </si>
  <si>
    <t>NH410</t>
  </si>
  <si>
    <t xml:space="preserve">CARLIFE  Р Р°РјРєР° РїС–Рґ РЅРѕРјРµСЂ, РєР°СЂР±РѕРЅРѕРІР° </t>
  </si>
  <si>
    <t>95.20</t>
  </si>
  <si>
    <t>NH420</t>
  </si>
  <si>
    <t xml:space="preserve">CARLIFE  Р Р°РјРєР° РїС–Рґ РЅРѕРјРµСЂ, С‡РѕСЂРЅР° РјР°С‚РѕРІР° </t>
  </si>
  <si>
    <t>67.63</t>
  </si>
  <si>
    <t>NH43</t>
  </si>
  <si>
    <t xml:space="preserve">CARLIFE  Р Р°РјРєР° РїС–Рґ РЅРѕРјРµСЂ-РѕР±'С”РјРЅС– Р±СѓРєРІРё, Opel </t>
  </si>
  <si>
    <t>NH430</t>
  </si>
  <si>
    <t xml:space="preserve">CARLIFE  Р Р°РјРєР° РїС–Рґ РЅРѕРјРµСЂ, С‡РѕСЂРЅР° РіР»СЏРЅС†РµРІР° </t>
  </si>
  <si>
    <t>NH44</t>
  </si>
  <si>
    <t xml:space="preserve">CARLIFE  Р Р°РјРєР° РїС–Рґ РЅРѕРјРµСЂ-РѕР±'С”РјРЅС– Р±СѓРєРІРё, Peugeot </t>
  </si>
  <si>
    <t>NH45</t>
  </si>
  <si>
    <t xml:space="preserve">CARLIFE  Р Р°РјРєР° РїС–Рґ РЅРѕРјРµСЂ-РѕР±'С”РјРЅС– Р±СѓРєРІРё, Renault </t>
  </si>
  <si>
    <t>NH46</t>
  </si>
  <si>
    <t xml:space="preserve">CARLIFE  Р Р°РјРєР° РїС–Рґ РЅРѕРјРµСЂ-РѕР±'С”РјРЅС– Р±СѓРєРІРё, Skoda </t>
  </si>
  <si>
    <t>NH48</t>
  </si>
  <si>
    <t xml:space="preserve">CARLIFE  Р Р°РјРєР° РїС–Рґ РЅРѕРјРµСЂ-РѕР±'С”РјРЅС– Р±СѓРєРІРё, Volkswagen </t>
  </si>
  <si>
    <t>NH50</t>
  </si>
  <si>
    <t xml:space="preserve">CARLIFE  Р Р°РјРєР° РїС–Рґ РЅРѕРјРµСЂ, РЎР»Р°РІР° РЈРєСЂР°С—РЅС– </t>
  </si>
  <si>
    <t>NH51</t>
  </si>
  <si>
    <t xml:space="preserve">CARLIFE  Р Р°РјРєР° РїС–Рґ РЅРѕРјРµСЂ, Р“РµСЂРѕСЏРј РЎР»Р°РІР° </t>
  </si>
  <si>
    <t>NH52</t>
  </si>
  <si>
    <t xml:space="preserve">CARLIFE  Р Р°РјРєР° РїС–Рґ РЅРѕРјРµСЂ-РѕР±'С”РјРЅС– Р±СѓРєРІРё, Mazda </t>
  </si>
  <si>
    <t>NH53</t>
  </si>
  <si>
    <t xml:space="preserve">CARLIFE  Р Р°РјРєР° РїС–Рґ РЅРѕРјРµСЂ-РѕР±'С”РјРЅС– Р±СѓРєРІРё, Mitsubishi </t>
  </si>
  <si>
    <t>NH56</t>
  </si>
  <si>
    <t xml:space="preserve">CARLIFE  Р Р°РјРєР° РїС–Рґ РЅРѕРјРµСЂ-РѕР±'С”РјРЅС– Р±СѓРєРІРё, Seat </t>
  </si>
  <si>
    <t>NH59</t>
  </si>
  <si>
    <t xml:space="preserve">CARLIFE  Р Р°РјРєР° РїС–Рґ РЅРѕРјРµСЂ-РѕР±'С”РјРЅС– Р±СѓРєРІРё, Chery </t>
  </si>
  <si>
    <t>NH60</t>
  </si>
  <si>
    <t xml:space="preserve">CARLIFE  Р Р°РјРєР° РїС–Рґ РЅРѕРјРµСЂ-РѕР±'С”РјРЅС– Р±СѓРєРІРё, Lexus </t>
  </si>
  <si>
    <t>NH62</t>
  </si>
  <si>
    <t xml:space="preserve">CARLIFE  Р Р°РјРєР° РїС–Рґ РЅРѕРјРµСЂ-РѕР±'С”РјРЅС– Р±СѓРєРІРё, KIA </t>
  </si>
  <si>
    <t>NH65</t>
  </si>
  <si>
    <t xml:space="preserve">CARLIFE  Р Р°РјРєР° РїС–Рґ РЅРѕРјРµСЂ-РѕР±'С”РјРЅС– Р±СѓРєРІРё, Subaru </t>
  </si>
  <si>
    <t>РЎРєР»РѕРѕС‡РёСЃРЅРёРєРё BOLID</t>
  </si>
  <si>
    <t xml:space="preserve">BOLID  Р©С–С‚РєР° СЃРєР»РѕРѕС‡РёСЃРЅРёРєР° Р±РµР·РєР°СЂРєР°СЃРЅР°  All Seasons 13"/330 РјРј </t>
  </si>
  <si>
    <t>BOLID</t>
  </si>
  <si>
    <t xml:space="preserve">BOLID  Р©С–С‚РєР° СЃРєР»РѕРѕС‡РёСЃРЅРёРєР° Р±РµР·РєР°СЂРєР°СЃРЅР°  All Seasons 14"/360 РјРј </t>
  </si>
  <si>
    <t xml:space="preserve">BOLID  Р©С–С‚РєР° СЃРєР»РѕРѕС‡РёСЃРЅРёРєР° Р±РµР·РєР°СЂРєР°СЃРЅР°  All Seasons 15"/380 РјРј </t>
  </si>
  <si>
    <t xml:space="preserve">BOLID  Р©С–С‚РєР° СЃРєР»РѕРѕС‡РёСЃРЅРёРєР° Р±РµР·РєР°СЂРєР°СЃРЅР°  All Seasons 16"/400 РјРј </t>
  </si>
  <si>
    <t xml:space="preserve">BOLID  Р©С–С‚РєР° СЃРєР»РѕРѕС‡РёСЃРЅРёРєР° Р±РµР·РєР°СЂРєР°СЃРЅР°  All Seasons 17"/430 РјРј </t>
  </si>
  <si>
    <t xml:space="preserve">BOLID  Р©С–С‚РєР° СЃРєР»РѕРѕС‡РёСЃРЅРёРєР° Р±РµР·РєР°СЂРєР°СЃРЅР°  All Seasons 18"/450 РјРј </t>
  </si>
  <si>
    <t xml:space="preserve">BOLID  Р©С–С‚РєР° СЃРєР»РѕРѕС‡РёСЃРЅРёРєР° Р±РµР·РєР°СЂРєР°СЃРЅР°  All Seasons 20"/500 РјРј </t>
  </si>
  <si>
    <t xml:space="preserve">BOLID  Р©С–С‚РєР° СЃРєР»РѕРѕС‡РёСЃРЅРёРєР° Р±РµР·РєР°СЂРєР°СЃРЅР°  All Seasons 22"/550 РјРј </t>
  </si>
  <si>
    <t xml:space="preserve">BOLID  Р©С–С‚РєР° СЃРєР»РѕРѕС‡РёСЃРЅРёРєР° Р±РµР·РєР°СЂРєР°СЃРЅР°  All Seasons 23"/580 РјРј </t>
  </si>
  <si>
    <t xml:space="preserve">BOLID  Р©С–С‚РєР° СЃРєР»РѕРѕС‡РёСЃРЅРёРєР° Р±РµР·РєР°СЂРєР°СЃРЅР°  All Seasons 24"/600 РјРј </t>
  </si>
  <si>
    <t xml:space="preserve">BOLID  Р©С–С‚РєР° СЃРєР»РѕРѕС‡РёСЃРЅРёРєР° РєР°СЂРєР°СЃРЅР°  Special 13"/330 РјРј </t>
  </si>
  <si>
    <t xml:space="preserve">BOLID  Р©С–С‚РєР° СЃРєР»РѕРѕС‡РёСЃРЅРёРєР° РєР°СЂРєР°СЃРЅР°  Special 14"/360 РјРј </t>
  </si>
  <si>
    <t xml:space="preserve">BOLID  Р©С–С‚РєР° СЃРєР»РѕРѕС‡РёСЃРЅРёРєР° РєР°СЂРєР°СЃРЅР°  Special 15"/380 РјРј </t>
  </si>
  <si>
    <t xml:space="preserve">BOLID  Р©С–С‚РєР° СЃРєР»РѕРѕС‡РёСЃРЅРёРєР° РєР°СЂРєР°СЃРЅР°  Special 16"/400 РјРј </t>
  </si>
  <si>
    <t xml:space="preserve">BOLID  Р©С–С‚РєР° СЃРєР»РѕРѕС‡РёСЃРЅРёРєР° РєР°СЂРєР°СЃРЅР°  Special 17"/430 РјРј </t>
  </si>
  <si>
    <t xml:space="preserve">BOLID  Р©С–С‚РєР° СЃРєР»РѕРѕС‡РёСЃРЅРёРєР° РєР°СЂРєР°СЃРЅР°  Special 18"/450 РјРј </t>
  </si>
  <si>
    <t xml:space="preserve">BOLID  Р©С–С‚РєР° СЃРєР»РѕРѕС‡РёСЃРЅРёРєР° РєР°СЂРєР°СЃРЅР°  Special 19"/480 РјРј </t>
  </si>
  <si>
    <t xml:space="preserve">BOLID  Р©С–С‚РєР° СЃРєР»РѕРѕС‡РёСЃРЅРёРєР° РєР°СЂРєР°СЃРЅР°  Special 20"/500 РјРј </t>
  </si>
  <si>
    <t xml:space="preserve">BOLID  Р©С–С‚РєР° СЃРєР»РѕРѕС‡РёСЃРЅРёРєР° РєР°СЂРєР°СЃРЅР°  Special 21"/530 РјРј </t>
  </si>
  <si>
    <t xml:space="preserve">BOLID  Р©С–С‚РєР° СЃРєР»РѕРѕС‡РёСЃРЅРёРєР° РєР°СЂРєР°СЃРЅР°  Special 22"/550 РјРј </t>
  </si>
  <si>
    <t xml:space="preserve">BOLID  Р©С–С‚РєР° СЃРєР»РѕРѕС‡РёСЃРЅРёРєР° РєР°СЂРєР°СЃРЅР°  Special 23"/580 РјРј </t>
  </si>
  <si>
    <t xml:space="preserve">BOLID  Р©С–С‚РєР° СЃРєР»РѕРѕС‡РёСЃРЅРёРєР° РєР°СЂРєР°СЃРЅР°  Special 24"/600 РјРј </t>
  </si>
  <si>
    <t>РЎРєР»РѕРѕС‡РёСЃРЅРёРєРё CarLife</t>
  </si>
  <si>
    <t>CARLIFE  Р·Р°РјС–РЅРЅС– РіСѓРјРєРё РґРѕ С‰С–С‚РѕРє СЃРє-РєР° CarLife Single Edge 20/500РјРј,Р±РµР· РјРµС‚Р°Р»РµРІРёС… РЅР°РїСЂР°РІР»СЏСЋС‡РёС…</t>
  </si>
  <si>
    <t>CARLIFE  Р·Р°РјС–РЅРЅС– РіСѓРјРєРё РґРѕ С‰С–С‚РѕРє СЃРє-РєР° CarLife Single Edge 24/600РјРј,Р±РµР· РјРµС‚Р°Р»РµРІРёС… РЅР°РїСЂР°РІР»СЏСЋС‡РёС…</t>
  </si>
  <si>
    <t>32.21</t>
  </si>
  <si>
    <t>CARLIFE  Р·Р°РјС–РЅРЅС– РіСѓРјРєРё РґРѕ С‰С–С‚РѕРє СЃРє-РєР° CarLife Single Edge 28/700РјРј,Р±РµР· РјРµС‚Р°Р»РµРІРёС… РЅР°РїСЂР°РІР»СЏСЋС‡РёС…</t>
  </si>
  <si>
    <t xml:space="preserve">CARLIFE  Р·Р°РјС–РЅРЅС– РіСѓРјРєРё РґРѕ Р±РµР·Рє. С‰С–С‚РѕРє СЃРє-РєР° ULTIMATE 20/500РјРј </t>
  </si>
  <si>
    <t xml:space="preserve">CARLIFE  Р·Р°РјС–РЅРЅС– РіСѓРјРєРё РґРѕ Р±РµР·Рє. С‰С–С‚РѕРє СЃРє-РєР° ULTIMATE 28/700РјРј </t>
  </si>
  <si>
    <t>G50-9155</t>
  </si>
  <si>
    <t xml:space="preserve">CARLIFE  Р·Р°РјС–РЅРЅС– РіСѓРјРєРё РґРѕ С‰С–С‚РѕРє СЃРє-РєР° Single Edge 20/500РјРј,Р· РјРµС‚Р°Р»РµРІРёРјРё РЅР°РїСЂР°РІР»СЏСЋС‡РёРјРё </t>
  </si>
  <si>
    <t>G60-9162</t>
  </si>
  <si>
    <t xml:space="preserve">CARLIFE  Р·Р°РјС–РЅРЅС– РіСѓРјРєРё РґРѕ С‰С–С‚РѕРє СЃРє-РєР° Single Edge 24/600РјРј,Р· РјРµС‚Р°Р»РµРІРёРјРё РЅР°РїСЂР°РІР»СЏСЋС‡РёРјРё </t>
  </si>
  <si>
    <t>G70-9179</t>
  </si>
  <si>
    <t xml:space="preserve">CARLIFE  Р·Р°РјС–РЅРЅС– РіСѓРјРєРё РґРѕ С‰С–С‚РѕРє СЃРє-РєР° Single Edge 28/700РјРј,Р· РјРµС‚Р°Р»РµРІРёРјРё РЅР°РїСЂР°РІР»СЏСЋС‡РёРјРё </t>
  </si>
  <si>
    <t>I33</t>
  </si>
  <si>
    <t xml:space="preserve">CARLIFE  РєР°СЂРє.С‰С–С‚РєР°  IDEAL 13/330РјРј (1С€С‚) </t>
  </si>
  <si>
    <t>I36</t>
  </si>
  <si>
    <t xml:space="preserve">CARLIFE  РєР°СЂРє.С‰С–С‚РєР°  IDEAL 14/360РјРј (1С€С‚) </t>
  </si>
  <si>
    <t>I38</t>
  </si>
  <si>
    <t xml:space="preserve">CARLIFE  РєР°СЂРє.С‰С–С‚РєР°  IDEAL 15/380РјРј (1С€С‚) </t>
  </si>
  <si>
    <t>I40</t>
  </si>
  <si>
    <t xml:space="preserve">CARLIFE  РєР°СЂРє.С‰С–С‚РєР°  IDEAL 16/400РјРј (1С€С‚) </t>
  </si>
  <si>
    <t>I43</t>
  </si>
  <si>
    <t xml:space="preserve">CARLIFE  РєР°СЂРє.С‰С–С‚РєР°  IDEAL 17/430РјРј (1С€С‚) </t>
  </si>
  <si>
    <t>I45</t>
  </si>
  <si>
    <t xml:space="preserve">CARLIFE  РєР°СЂРє.С‰С–С‚РєР°  IDEAL 18/450РјРј (1С€С‚) </t>
  </si>
  <si>
    <t>I48</t>
  </si>
  <si>
    <t xml:space="preserve">CARLIFE  РєР°СЂРє.С‰С–С‚РєР°  IDEAL 19/480РјРј (1С€С‚) </t>
  </si>
  <si>
    <t>I50</t>
  </si>
  <si>
    <t xml:space="preserve">CARLIFE  РєР°СЂРє.С‰С–С‚РєР°  IDEAL 20/500РјРј (1С€С‚) </t>
  </si>
  <si>
    <t>I53</t>
  </si>
  <si>
    <t xml:space="preserve">CARLIFE  РєР°СЂРє.С‰С–С‚РєР°  IDEAL 21/530РјРј (1С€С‚) </t>
  </si>
  <si>
    <t>41.03</t>
  </si>
  <si>
    <t>I55</t>
  </si>
  <si>
    <t xml:space="preserve">CARLIFE  РєР°СЂРє.С‰С–С‚РєР°  IDEAL 22/550РјРј (1С€С‚) </t>
  </si>
  <si>
    <t>I58</t>
  </si>
  <si>
    <t xml:space="preserve">CARLIFE  РєР°СЂРє.С‰С–С‚РєР°  IDEAL 23/580РјРј (1С€С‚) </t>
  </si>
  <si>
    <t>I60</t>
  </si>
  <si>
    <t xml:space="preserve">CARLIFE  РєР°СЂРє.С‰С–С‚РєР°  IDEAL 24/600РјРј (1С€С‚) </t>
  </si>
  <si>
    <t>I65</t>
  </si>
  <si>
    <t xml:space="preserve">CARLIFE  РєР°СЂРє.С‰С–С‚РєР°  IDEAL 26/650РјРј (1С€С‚) </t>
  </si>
  <si>
    <t>I70</t>
  </si>
  <si>
    <t xml:space="preserve">CARLIFE  РєР°СЂРє.С‰С–С‚РєР°  IDEAL 28/700РјРј (1С€С‚) </t>
  </si>
  <si>
    <t>MR50-1174</t>
  </si>
  <si>
    <t xml:space="preserve">VELGIO  Р·Р°РјС–РЅРЅР° РіСѓРјРєР° Elit 20/500РјРј,Р· РјРµС‚Р°Р»РµРІРёРјРё РЅР°РїСЂР°РІР»СЏСЋС‡РёРјРё </t>
  </si>
  <si>
    <t>31.89</t>
  </si>
  <si>
    <t>VELGIO</t>
  </si>
  <si>
    <t>MR60-1181</t>
  </si>
  <si>
    <t xml:space="preserve">VELGIO  Р·Р°РјС–РЅРЅР° РіСѓРјРєР° Elit 24/600РјРј,Р· РјРµС‚Р°Р»РµРІРёРјРё РЅР°РїСЂР°РІР»СЏСЋС‡РёРјРё </t>
  </si>
  <si>
    <t>37.82</t>
  </si>
  <si>
    <t>MR70-1198</t>
  </si>
  <si>
    <t xml:space="preserve">VELGIO  Р·Р°РјС–РЅРЅР° РіСѓРјРєР°  Elit 28/700РјРј,Р· РјРµС‚Р°Р»РµРІРёРјРё РЅР°РїСЂР°РІР»СЏСЋС‡РёРјРё </t>
  </si>
  <si>
    <t>P33</t>
  </si>
  <si>
    <t xml:space="preserve">CARLIFE  Р±/Рє С‰С–С‚РєР°  PRIME 13/330РјРј (1С€С‚) </t>
  </si>
  <si>
    <t>P36</t>
  </si>
  <si>
    <t xml:space="preserve">CARLIFE  Р±/Рє С‰С–С‚РєР°  PRIME 14/360РјРј (1С€С‚) </t>
  </si>
  <si>
    <t>P38</t>
  </si>
  <si>
    <t xml:space="preserve">CARLIFE  Р±/Рє С‰С–С‚РєР°  PRIME 15/380РјРј (1С€С‚) </t>
  </si>
  <si>
    <t>P40</t>
  </si>
  <si>
    <t xml:space="preserve">CARLIFE  Р±/Рє С‰С–С‚РєР°  PRIME 16/400РјРј (1С€С‚) </t>
  </si>
  <si>
    <t>P43</t>
  </si>
  <si>
    <t xml:space="preserve">CARLIFE  Р±/Рє С‰С–С‚РєР°  PRIME 17/430РјРј (1С€С‚) </t>
  </si>
  <si>
    <t>65.71</t>
  </si>
  <si>
    <t>P45</t>
  </si>
  <si>
    <t xml:space="preserve">CARLIFE  Р±/Рє С‰С–С‚РєР°  PRIME 18/450РјРј (1С€С‚) </t>
  </si>
  <si>
    <t>P48</t>
  </si>
  <si>
    <t xml:space="preserve">CARLIFE  Р±/Рє С‰С–С‚РєР°  PRIME 19/480РјРј (1С€С‚) </t>
  </si>
  <si>
    <t>P50</t>
  </si>
  <si>
    <t xml:space="preserve">CARLIFE  Р±/Рє С‰С–С‚РєР°  PRIME 20/500РјРј (1С€С‚) </t>
  </si>
  <si>
    <t>P53</t>
  </si>
  <si>
    <t xml:space="preserve">CARLIFE  Р±/Рє С‰С–С‚РєР°  PRIME 21/530РјРј (1С€С‚) </t>
  </si>
  <si>
    <t>73.88</t>
  </si>
  <si>
    <t>P55</t>
  </si>
  <si>
    <t xml:space="preserve">CARLIFE  Р±/Рє С‰С–С‚РєР°  PRIME 22/550РјРј (1С€С‚) </t>
  </si>
  <si>
    <t>P58</t>
  </si>
  <si>
    <t xml:space="preserve">CARLIFE  Р±/Рє С‰С–С‚РєР°  PRIME 23/580РјРј (1С€С‚) </t>
  </si>
  <si>
    <t>P60</t>
  </si>
  <si>
    <t xml:space="preserve">CARLIFE  Р±/Рє С‰С–С‚РєР°  PRIME 24/600РјРј (1С€С‚) </t>
  </si>
  <si>
    <t>P65</t>
  </si>
  <si>
    <t xml:space="preserve">CARLIFE  Р±/Рє С‰С–С‚РєР°  PRIME 26/650РјРј (1С€С‚) </t>
  </si>
  <si>
    <t>87.99</t>
  </si>
  <si>
    <t>P70</t>
  </si>
  <si>
    <t xml:space="preserve">CARLIFE  Р±/Рє С‰С–С‚РєР°  PRIME 28/700РјРј (1С€С‚) </t>
  </si>
  <si>
    <t>91.19</t>
  </si>
  <si>
    <t>S50-9384</t>
  </si>
  <si>
    <t xml:space="preserve">CARLIFE  Р·Р°РјС–РЅРЅС– РіСѓРјРєРё РґРѕ С‰С–С‚РѕРє СЃРє-РєР° Single Type 20/500РјРј </t>
  </si>
  <si>
    <t>S60-9391</t>
  </si>
  <si>
    <t xml:space="preserve">CARLIFE  Р·Р°РјС–РЅРЅС– РіСѓРјРєРё РґРѕ С‰С–С‚РѕРє СЃРє-РєР° Single Type 24/600РјРј </t>
  </si>
  <si>
    <t>S70-9407</t>
  </si>
  <si>
    <t xml:space="preserve">CARLIFE  Р·Р°РјС–РЅРЅС– РіСѓРјРєРё РґРѕ С‰С–С‚РѕРє СЃРє-РєР° Single Type 28/700РјРј </t>
  </si>
  <si>
    <t>28.21</t>
  </si>
  <si>
    <t>U33</t>
  </si>
  <si>
    <t xml:space="preserve">CARLIFE  Р±/Рє С‰С–С‚РєР°  ULTIMATE 13/330РјРј (1С€С‚) </t>
  </si>
  <si>
    <t>70.20</t>
  </si>
  <si>
    <t>U36</t>
  </si>
  <si>
    <t xml:space="preserve">CARLIFE  Р±/Рє С‰С–С‚РєР°  ULTIMATE 14/360РјРј (1С€С‚) </t>
  </si>
  <si>
    <t>U38</t>
  </si>
  <si>
    <t xml:space="preserve">CARLIFE  Р±/Рє С‰С–С‚РєР°  ULTIMATE 15/380РјРј (1С€С‚) </t>
  </si>
  <si>
    <t>U40</t>
  </si>
  <si>
    <t xml:space="preserve">CARLIFE  Р±/Рє С‰С–С‚РєР°  ULTIMATE 16/400РјРј (1С€С‚) </t>
  </si>
  <si>
    <t>86.71</t>
  </si>
  <si>
    <t>U43</t>
  </si>
  <si>
    <t xml:space="preserve">CARLIFE  Р±/Рє С‰С–С‚РєР°  ULTIMATE 17/430РјРј (1С€С‚) </t>
  </si>
  <si>
    <t>U45</t>
  </si>
  <si>
    <t xml:space="preserve">CARLIFE  Р±/Рє С‰С–С‚РєР°  ULTIMATE 18/450РјРј (1С€С‚) </t>
  </si>
  <si>
    <t>U48</t>
  </si>
  <si>
    <t xml:space="preserve">CARLIFE  Р±/Рє С‰С–С‚РєР°  ULTIMATE 19/480РјРј (1С€С‚) </t>
  </si>
  <si>
    <t>93.44</t>
  </si>
  <si>
    <t>U50</t>
  </si>
  <si>
    <t xml:space="preserve">CARLIFE  Р±/Рє С‰С–С‚РєР°  ULTIMATE 20/500РјРј (1С€С‚) </t>
  </si>
  <si>
    <t>U53</t>
  </si>
  <si>
    <t xml:space="preserve">CARLIFE  Р±/Рє С‰С–С‚РєР°  ULTIMATE 21/530РјРј (1С€С‚) </t>
  </si>
  <si>
    <t>U55</t>
  </si>
  <si>
    <t xml:space="preserve">CARLIFE  Р±/Рє С‰С–С‚РєР°  ULTIMATE 22/550РјРј (1С€С‚) </t>
  </si>
  <si>
    <t>U60</t>
  </si>
  <si>
    <t xml:space="preserve">CARLIFE  Р±/Рє С‰С–С‚РєР°  ULTIMATE 24/600РјРј (1С€С‚) </t>
  </si>
  <si>
    <t>U65</t>
  </si>
  <si>
    <t xml:space="preserve">CARLIFE  Р±/Рє С‰С–С‚РєР°  ULTIMATE 26/650РјРј (1С€С‚) </t>
  </si>
  <si>
    <t>112.35</t>
  </si>
  <si>
    <t>U70</t>
  </si>
  <si>
    <t xml:space="preserve">CARLIFE  Р±/Рє С‰С–С‚РєР°  ULTIMATE 28/700РјРј (1С€С‚) </t>
  </si>
  <si>
    <t>РЎРєР»РѕРѕС‡РёСЃРЅРёРєРё CHAMPION</t>
  </si>
  <si>
    <t>E29/BE1</t>
  </si>
  <si>
    <t>E29 (Champion) Р©С–С‚РєР° СЃРєР»РѕРѕС‡РёСЃРЅРёРєР°</t>
  </si>
  <si>
    <t>Champion ECO</t>
  </si>
  <si>
    <t>E33/BE1</t>
  </si>
  <si>
    <t>E33 (Champion) Р©С–С‚РєР° СЃРєР»РѕРѕС‡РёСЃРЅРёРєР°</t>
  </si>
  <si>
    <t>E36/BE1</t>
  </si>
  <si>
    <t>E36 (Champion) Р©С–С‚РєР° СЃРєР»РѕРѕС‡РёСЃРЅРёРєР°</t>
  </si>
  <si>
    <t>43.20</t>
  </si>
  <si>
    <t>E38/BE1</t>
  </si>
  <si>
    <t>E38 (Champion) Р©С–С‚РєР° СЃРєР»РѕРѕС‡РёСЃРЅРёРєР°</t>
  </si>
  <si>
    <t>44.09</t>
  </si>
  <si>
    <t>E41/B02</t>
  </si>
  <si>
    <t>E41 (Champion) Р©С–С‚РєР° СЃРєР»РѕРѕС‡РёСЃРЅРёРєР°</t>
  </si>
  <si>
    <t>115.91</t>
  </si>
  <si>
    <t>Easyvision Conventional  РєРјРї. 2 С€С‚.</t>
  </si>
  <si>
    <t>E41/BE1</t>
  </si>
  <si>
    <t>E43/BE1</t>
  </si>
  <si>
    <t>E43 (Champion) Р©С–С‚РєР° СЃРєР»РѕРѕС‡РёСЃРЅРёРєР°</t>
  </si>
  <si>
    <t>46.58</t>
  </si>
  <si>
    <t>E45/BE1</t>
  </si>
  <si>
    <t>E45 (Champion) Р©С–С‚РєР° СЃРєР»РѕРѕС‡РёСЃРЅРёРєР°</t>
  </si>
  <si>
    <t>E51/B02</t>
  </si>
  <si>
    <t>E51 (Champion) Р©С–С‚РєР° СЃРєР»РѕРѕС‡РёСЃРЅРёРєР°</t>
  </si>
  <si>
    <t>E53/B02</t>
  </si>
  <si>
    <t>E53 (Champion) Р©С–С‚РєР° СЃРєР»РѕРѕС‡РёСЃРЅРёРєР°</t>
  </si>
  <si>
    <t>200.17</t>
  </si>
  <si>
    <t>E55/B02</t>
  </si>
  <si>
    <t>E55 (Champion) Р©С–С‚РєР° СЃРєР»РѕРѕС‡РёСЃРЅРёРєР°</t>
  </si>
  <si>
    <t>246.39</t>
  </si>
  <si>
    <t>E65/BE1</t>
  </si>
  <si>
    <t>E65 (Champion) Р©С–С‚РєР° СЃРєР»РѕРѕС‡РёСЃРЅРёРєР°</t>
  </si>
  <si>
    <t>97.24</t>
  </si>
  <si>
    <t>EF35/B01</t>
  </si>
  <si>
    <t>EF35 (Champion) Р©С–С‚РєР° СЃРєР»РѕРѕС‡РёСЃРЅРёРєР°</t>
  </si>
  <si>
    <t>118.39</t>
  </si>
  <si>
    <t>Single Blister for flat blade direct fit applications</t>
  </si>
  <si>
    <t>EF38/B01</t>
  </si>
  <si>
    <t>EF38 (Champion) Р©С–С‚РєР° СЃРєР»РѕРѕС‡РёСЃРЅРёРєР°</t>
  </si>
  <si>
    <t>Single Blister For flat blade direct fit applications</t>
  </si>
  <si>
    <t>EF40/B01</t>
  </si>
  <si>
    <t>EF40 (Champion) Р©С–С‚РєР° СЃРєР»РѕРѕС‡РёСЃРЅРёРєР°</t>
  </si>
  <si>
    <t>EF43/B01</t>
  </si>
  <si>
    <t>EF43 (Champion) Р©С–С‚РєР° СЃРєР»РѕРѕС‡РёСЃРЅРёРєР°</t>
  </si>
  <si>
    <t>125.86</t>
  </si>
  <si>
    <t>EF45/B01</t>
  </si>
  <si>
    <t>EF45 (Champion) Р©С–С‚РєР° СЃРєР»РѕРѕС‡РёСЃРЅРёРєР°</t>
  </si>
  <si>
    <t>127.64</t>
  </si>
  <si>
    <t>EF48/B01</t>
  </si>
  <si>
    <t>EF48 (Champion) Р©С–С‚РєР° СЃРєР»РѕРѕС‡РёСЃРЅРёРєР°</t>
  </si>
  <si>
    <t>EF50/B01</t>
  </si>
  <si>
    <t>EF50 (Champion) Р©С–С‚РєР° СЃРєР»РѕРѕС‡РёСЃРЅРёРєР°</t>
  </si>
  <si>
    <t>130.66</t>
  </si>
  <si>
    <t>EF53/B01</t>
  </si>
  <si>
    <t>EF53 (Champion) Р©С–С‚РєР° СЃРєР»РѕРѕС‡РёСЃРЅРёРєР°</t>
  </si>
  <si>
    <t>EF55/B01</t>
  </si>
  <si>
    <t>EF55 (Champion) Р©С–С‚РєР° СЃРєР»РѕРѕС‡РёСЃРЅРёРєР°</t>
  </si>
  <si>
    <t>EF58/B01</t>
  </si>
  <si>
    <t>EF58 (Champion) Р©С–С‚РєР° СЃРєР»РѕРѕС‡РёСЃРЅРёРєР°</t>
  </si>
  <si>
    <t>EF60/B01</t>
  </si>
  <si>
    <t>EF60 (Champion) Р©С–С‚РєР° СЃРєР»РѕРѕС‡РёСЃРЅРёРєР°</t>
  </si>
  <si>
    <t>155.37</t>
  </si>
  <si>
    <t>EF65/B01</t>
  </si>
  <si>
    <t>EF65 (Champion) Р©С–С‚РєР° СЃРєР»РѕРѕС‡РёСЃРЅРёРєР°</t>
  </si>
  <si>
    <t>161.95</t>
  </si>
  <si>
    <t>EF70/B01</t>
  </si>
  <si>
    <t>EF70 (Champion) Р©С–С‚РєР° СЃРєР»РѕРѕС‡РёСЃРЅРёРєР°</t>
  </si>
  <si>
    <t>179.55</t>
  </si>
  <si>
    <t>EF75/B01</t>
  </si>
  <si>
    <t>EF75 (Champion) Р©С–С‚РєР° СЃРєР»РѕРѕС‡РёСЃРЅРёРєР°</t>
  </si>
  <si>
    <t>192.70</t>
  </si>
  <si>
    <t>ER35/B01</t>
  </si>
  <si>
    <t>ER35 (Champion) Р©С–С‚РєР° СЃРєР»РѕРѕС‡РёСЃРЅРёРєР°</t>
  </si>
  <si>
    <t>107.37</t>
  </si>
  <si>
    <t>Single Blister For flat blade retrofit applications</t>
  </si>
  <si>
    <t>ER40/B01</t>
  </si>
  <si>
    <t>ER40 (Champion) Р©С–С‚РєР° СЃРєР»РѕРѕС‡РёСЃРЅРёРєР°</t>
  </si>
  <si>
    <t>ER43/B01</t>
  </si>
  <si>
    <t>ER43 (Champion) Р©С–С‚РєР° СЃРєР»РѕРѕС‡РёСЃРЅРёРєР°</t>
  </si>
  <si>
    <t>ER50/B01</t>
  </si>
  <si>
    <t>ER50 (Champion) Р©С–С‚РєР° СЃРєР»РѕРѕС‡РёСЃРЅРёРєР°</t>
  </si>
  <si>
    <t>121.42</t>
  </si>
  <si>
    <t>ER51/B01</t>
  </si>
  <si>
    <t>ER51 (Champion) Р©С–С‚РєР° СЃРєР»РѕРѕС‡РёСЃРЅРёРєР°</t>
  </si>
  <si>
    <t>Single Blister For flat blade retrofit applications, LADA 110,111, 112</t>
  </si>
  <si>
    <t>ER53/B01</t>
  </si>
  <si>
    <t>ER53 (Champion) Р©С–С‚РєР° СЃРєР»РѕРѕС‡РёСЃРЅРёРєР°</t>
  </si>
  <si>
    <t>ER55/B01</t>
  </si>
  <si>
    <t>ER55 (Champion) Р©С–С‚РєР° СЃРєР»РѕРѕС‡РёСЃРЅРёРєР°</t>
  </si>
  <si>
    <t>131.55</t>
  </si>
  <si>
    <t>ER60/B01</t>
  </si>
  <si>
    <t>ER60 (Champion) Р©С–С‚РєР° СЃРєР»РѕРѕС‡РёСЃРЅРёРєР°</t>
  </si>
  <si>
    <t>139.02</t>
  </si>
  <si>
    <t>ER65/B01</t>
  </si>
  <si>
    <t>ER65 (Champion) Р©С–С‚РєР° СЃРєР»РѕРѕС‡РёСЃРЅРёРєР°</t>
  </si>
  <si>
    <t>156.26</t>
  </si>
  <si>
    <t>РЎРєР»РѕРѕС‡РёСЃРЅРёРєРё TRICO</t>
  </si>
  <si>
    <t>35-160</t>
  </si>
  <si>
    <t>35-160 (TRICO)  Р©С–С‚РєР° СЃРєР»РѕРѕС‡РёСЃРЅРёРєР°</t>
  </si>
  <si>
    <t>185.00</t>
  </si>
  <si>
    <t>Trico</t>
  </si>
  <si>
    <t>Р”РѕРІР¶РёРЅР° С‰С–С‚РєРё 400РјРј/16"</t>
  </si>
  <si>
    <t>35-170</t>
  </si>
  <si>
    <t>35-170 (TRICO)  Р©С–С‚РєР° СЃРєР»РѕРѕС‡РёСЃРЅРёРєР°</t>
  </si>
  <si>
    <t>193.83</t>
  </si>
  <si>
    <t>Р”РѕРІР¶РёРЅР° С‰С–С‚РєРё 430РјРј/17"</t>
  </si>
  <si>
    <t>35-180</t>
  </si>
  <si>
    <t>35-180 (TRICO)  Р©С–С‚РєР° СЃРєР»РѕРѕС‡РёСЃРЅРёРєР°</t>
  </si>
  <si>
    <t>195.30</t>
  </si>
  <si>
    <t>Р”РѕРІР¶РёРЅР° С‰С–С‚РєРё 450РјРј/18"</t>
  </si>
  <si>
    <t>35-190</t>
  </si>
  <si>
    <t>35-190 (TRICO)  Р©С–С‚РєР° СЃРєР»РѕРѕС‡РёСЃРЅРёРєР°</t>
  </si>
  <si>
    <t>209.83</t>
  </si>
  <si>
    <t>Р”РѕРІР¶РёРЅР° С‰С–С‚РєРё 480РјРј/19"</t>
  </si>
  <si>
    <t>35-200</t>
  </si>
  <si>
    <t>35-200 (TRICO)  Р©С–С‚РєР° СЃРєР»РѕРѕС‡РёСЃРЅРёРєР°</t>
  </si>
  <si>
    <t>182.80</t>
  </si>
  <si>
    <t>Р”РѕРІР¶РёРЅР° С‰С–С‚РєРё 500РјРј/20"</t>
  </si>
  <si>
    <t>35-210</t>
  </si>
  <si>
    <t>35-210 (TRICO)  Р©С–С‚РєР° СЃРєР»РѕРѕС‡РёСЃРЅРёРєР°</t>
  </si>
  <si>
    <t>194.01</t>
  </si>
  <si>
    <t>Р”РѕРІР¶РёРЅР° С‰С–С‚РєРё 530РјРј/21"</t>
  </si>
  <si>
    <t>35-220</t>
  </si>
  <si>
    <t>35-220 (TRICO)  Р©С–С‚РєР° СЃРєР»РѕРѕС‡РёСЃРЅРёРєР°</t>
  </si>
  <si>
    <t>261.32</t>
  </si>
  <si>
    <t>Р”РѕРІР¶РёРЅР° С‰С–С‚РєРё 550РјРј/22"</t>
  </si>
  <si>
    <t>35-240</t>
  </si>
  <si>
    <t>35-240 (TRICO)  Р©С–С‚РєР° СЃРєР»РѕРѕС‡РёСЃРЅРёРєР°</t>
  </si>
  <si>
    <t>239.99</t>
  </si>
  <si>
    <t>Р”РѕРІР¶РёРЅР° С‰С–С‚РєРё 600РјРј/24"</t>
  </si>
  <si>
    <t>35-260</t>
  </si>
  <si>
    <t>35-260 (TRICO)  Р©С–С‚РєР° СЃРєР»РѕРѕС‡РёСЃРЅРёРєР°</t>
  </si>
  <si>
    <t>252.68</t>
  </si>
  <si>
    <t>Р”РѕРІР¶РёРЅР° С‰С–С‚РєРё 650РјРј/26"</t>
  </si>
  <si>
    <t>EF330</t>
  </si>
  <si>
    <t>EF330 Trico Exact Fit 330 РјРј, С‰С–С‚РєР° СЃРєР»РѕРѕС‡РёСЃРЅРёРєР°</t>
  </si>
  <si>
    <t>Р”РѕРІР¶РёРЅР° С‰С–С‚РєРё 330mm/13"</t>
  </si>
  <si>
    <t>EF350</t>
  </si>
  <si>
    <t>EF350 Trico Exact Fit 350 РјРј, С‰С–С‚РєР° СЃРєР»РѕРѕС‡РёСЃРЅРёРєР°</t>
  </si>
  <si>
    <t>Р”РѕРІР¶РёРЅР° С‰С–С‚РєРё 350mm/14"</t>
  </si>
  <si>
    <t>EF400</t>
  </si>
  <si>
    <t>EF400 Trico Exact Fit 400 РјРј, С‰С–С‚РєР° СЃРєР»РѕРѕС‡РёСЃРЅРёРєР°</t>
  </si>
  <si>
    <t>89.93</t>
  </si>
  <si>
    <t>Р”РѕРІР¶РёРЅР° С‰С–С‚РєРё 400mm/16"</t>
  </si>
  <si>
    <t>EF450</t>
  </si>
  <si>
    <t>EF450 Trico Exact Fit 450 РјРј, С‰С–С‚РєР° СЃРєР»РѕРѕС‡РёСЃРЅРёРєР°</t>
  </si>
  <si>
    <t>100.23</t>
  </si>
  <si>
    <t>Р”РѕРІР¶РёРЅР° С‰С–С‚РєРё 450mm/18"</t>
  </si>
  <si>
    <t>EF480</t>
  </si>
  <si>
    <t>EF480 Trico Exact Fit 480 РјРј, С‰С–С‚РєР° СЃРєР»РѕРѕС‡РёСЃРЅРёРєР°</t>
  </si>
  <si>
    <t>100.59</t>
  </si>
  <si>
    <t>Р”РѕРІР¶РёРЅР° С‰С–С‚РєРё 480mm/19"</t>
  </si>
  <si>
    <t>EF500</t>
  </si>
  <si>
    <t>EF500 Trico Exact Fit 500 РјРј, С‰С–С‚РєР° СЃРєР»РѕРѕС‡РёСЃРЅРёРєР°</t>
  </si>
  <si>
    <t>112.73</t>
  </si>
  <si>
    <t>Р”РѕРІР¶РёРЅР° С‰С–С‚РєРё 500mm/20"</t>
  </si>
  <si>
    <t>EF521</t>
  </si>
  <si>
    <t>EF521 Trico Exact Fit 520 РјРј, С‰С–С‚РєР° СЃРєР»РѕРѕС‡РёСЃРЅРёРєР°</t>
  </si>
  <si>
    <t>116.78</t>
  </si>
  <si>
    <t>Р”РѕРІР¶РёРЅР° С‰С–С‚РєРё 530mm/21"</t>
  </si>
  <si>
    <t>EF530</t>
  </si>
  <si>
    <t>EF530 Trico Exact Fit 530 РјРј, С‰С–С‚РєР° СЃРєР»РѕРѕС‡РёСЃРЅРёРєР°</t>
  </si>
  <si>
    <t>EF550</t>
  </si>
  <si>
    <t>EF550 Trico Exact Fit 550 РјРј, С‰С–С‚РєР° СЃРєР»РѕРѕС‡РёСЃРЅРёРєР°</t>
  </si>
  <si>
    <t>142.89</t>
  </si>
  <si>
    <t>Р”РѕРІР¶РёРЅР° С‰С–С‚РєРё 550mm/22"</t>
  </si>
  <si>
    <t>EF553</t>
  </si>
  <si>
    <t>EF553 Trico Exact Fit 550 РјРј, С‰С–С‚РєР° СЃРєР»РѕРѕС‡РёСЃРЅРёРєР°</t>
  </si>
  <si>
    <t>EF580</t>
  </si>
  <si>
    <t>EF580 Trico Exact Fit 580 РјРј, С‰С–С‚РєР° СЃРєР»РѕРѕС‡РёСЃРЅРёРєР°</t>
  </si>
  <si>
    <t>159.07</t>
  </si>
  <si>
    <t>Р”РѕРІР¶РёРЅР° С‰С–С‚РєРё 580mm/23"</t>
  </si>
  <si>
    <t>EF600</t>
  </si>
  <si>
    <t>EF600 Trico Exact Fit 600 РјРј, С‰С–С‚РєР° СЃРєР»РѕРѕС‡РёСЃРЅРёРєР°</t>
  </si>
  <si>
    <t>168.08</t>
  </si>
  <si>
    <t>Р”РѕРІР¶РёРЅР° С‰С–С‚РєРё 600mm/24"</t>
  </si>
  <si>
    <t>EF603</t>
  </si>
  <si>
    <t>EF603 Trico Exact Fit 600 РјРј, С‰С–С‚РєР° СЃРєР»РѕРѕС‡РёСЃРЅРёРєР°</t>
  </si>
  <si>
    <t>EF653</t>
  </si>
  <si>
    <t>EF653 Trico Exact Fit 650 РјРј, С‰С–С‚РєР° СЃРєР»РѕРѕС‡РёСЃРЅРёРєР°</t>
  </si>
  <si>
    <t>196.41</t>
  </si>
  <si>
    <t>Р”РѕРІР¶РёРЅР° С‰С–С‚РєРё 650mm/26"</t>
  </si>
  <si>
    <t>EF700</t>
  </si>
  <si>
    <t>EF700 Trico Exact Fit 700 РјРј, С‰С–С‚РєР° СЃРєР»РѕРѕС‡РёСЃРЅРёРєР°</t>
  </si>
  <si>
    <t>233.19</t>
  </si>
  <si>
    <t>Р”РѕРІР¶РёРЅР° С‰С–С‚РєРё 700mm/28"</t>
  </si>
  <si>
    <t>EX280</t>
  </si>
  <si>
    <t>EX280 Trico Exact Fit 280 РјРј, С‰С–С‚РєР° СЃРєР»РѕРѕС‡РёСЃРЅРёРєР°</t>
  </si>
  <si>
    <t>Р”РѕРІР¶РёРЅР° С‰С–С‚РєРё 280mm/11" RearBladePlastic</t>
  </si>
  <si>
    <t>EX300</t>
  </si>
  <si>
    <t>EX300 Trico Exact Fit 300 РјРј, С‰С–С‚РєР° СЃРєР»РѕРѕС‡РёСЃРЅРёРєР°</t>
  </si>
  <si>
    <t>Р”РѕРІР¶РёРЅР° С‰С–С‚РєРё 300mm/12" RearBladePlastic</t>
  </si>
  <si>
    <t>EX305</t>
  </si>
  <si>
    <t>EX305 Trico Exact Fit 300 РјРј, С‰С–С‚РєР° СЃРєР»РѕРѕС‡РёСЃРЅРёРєР°</t>
  </si>
  <si>
    <t>103.90</t>
  </si>
  <si>
    <t>EX306</t>
  </si>
  <si>
    <t>EX306 Trico Exact Fit 300 РјРј, С‰С–С‚РєР° СЃРєР»РѕРѕС‡РёСЃРЅРёРєР°</t>
  </si>
  <si>
    <t>105.93</t>
  </si>
  <si>
    <t>EX307</t>
  </si>
  <si>
    <t>EX307 Trico Exact Fit 300 РјРј, С‰С–С‚РєР° СЃРєР»РѕРѕС‡РёСЃРЅРёРєР°</t>
  </si>
  <si>
    <t>207.81</t>
  </si>
  <si>
    <t>Р”РѕРІР¶РёРЅР° С‰С–С‚РєРё 300mm/12" RearBladeBeam</t>
  </si>
  <si>
    <t>EX330</t>
  </si>
  <si>
    <t>EX330 Trico Exact Fit 330 РјРј, С‰С–С‚РєР° СЃРєР»РѕРѕС‡РёСЃРЅРёРєР°</t>
  </si>
  <si>
    <t>84.78</t>
  </si>
  <si>
    <t>Р”РѕРІР¶РёРЅР° С‰С–С‚РєРё 330mm/13" RearBlade</t>
  </si>
  <si>
    <t>EX333</t>
  </si>
  <si>
    <t>EX333 Trico Exact Fit 330 РјРј, С‰С–С‚РєР° СЃРєР»РѕРѕС‡РёСЃРЅРёРєР°</t>
  </si>
  <si>
    <t>212.96</t>
  </si>
  <si>
    <t>EX350</t>
  </si>
  <si>
    <t>EX350 Trico Exact Fit 350 РјРј, С‰С–С‚РєР° СЃРєР»РѕРѕС‡РёСЃРЅРёРєР°</t>
  </si>
  <si>
    <t>122.11</t>
  </si>
  <si>
    <t>Р”РѕРІР¶РёРЅР° С‰С–С‚РєРё 350mm/14" RearBladePlastic</t>
  </si>
  <si>
    <t>EX351</t>
  </si>
  <si>
    <t>EX351 Trico Exact Fit 350 РјРј, С‰С–С‚РєР° СЃРєР»РѕРѕС‡РёСЃРЅРёРєР°</t>
  </si>
  <si>
    <t>EX356</t>
  </si>
  <si>
    <t>EX356 Trico Exact Fit 350 РјРј, С‰С–С‚РєР° СЃРєР»РѕРѕС‡РёСЃРЅРёРєР°</t>
  </si>
  <si>
    <t>Р”РѕРІР¶РёРЅР° С‰С–С‚РєРё 350mm/14" RearBladeBeam</t>
  </si>
  <si>
    <t>EX402</t>
  </si>
  <si>
    <t>EX402 Trico Exact Fit 400 РјРј, С‰С–С‚РєР° СЃРєР»РѕРѕС‡РёСЃРЅРёРєР°</t>
  </si>
  <si>
    <t>147.86</t>
  </si>
  <si>
    <t>Р”РѕРІР¶РёРЅР° С‰С–С‚РєРё 400mm/16" RearBladePlastic</t>
  </si>
  <si>
    <t>EX404</t>
  </si>
  <si>
    <t>EX404 Trico Exact Fit 400 РјРј, С‰С–С‚РєР° СЃРєР»РѕРѕС‡РёСЃРЅРёРєР°</t>
  </si>
  <si>
    <t>93.61</t>
  </si>
  <si>
    <t>FISTER11</t>
  </si>
  <si>
    <t>FISTER11 Trico Fister 280 РјРј, С‰С–С‚РєР° СЃРєР»РѕРѕС‡РёСЃРЅРёРєР°</t>
  </si>
  <si>
    <t>50.94</t>
  </si>
  <si>
    <t>Р”РѕРІР¶РёРЅР° С‰С–С‚РєРё 280mm/11"</t>
  </si>
  <si>
    <t>FISTER13</t>
  </si>
  <si>
    <t>FISTER13 Trico Fister 330 РјРј, С‰С–С‚РєР° СЃРєР»РѕРѕС‡РёСЃРЅРёРєР°</t>
  </si>
  <si>
    <t>52.23</t>
  </si>
  <si>
    <t>Р”РѕРІР¶РёРЅР° С‰С–С‚РєРё 330mm/12"</t>
  </si>
  <si>
    <t>FISTER14</t>
  </si>
  <si>
    <t>FISTER14 Trico Fister 350 РјРј, С‰С–С‚РєР° СЃРєР»РѕРѕС‡РёСЃРЅРёРєР°</t>
  </si>
  <si>
    <t>FISTER15</t>
  </si>
  <si>
    <t>FISTER15 Trico Fister 380 РјРј, С‰С–С‚РєР° СЃРєР»РѕРѕС‡РёСЃРЅРёРєР°</t>
  </si>
  <si>
    <t>53.88</t>
  </si>
  <si>
    <t>Р”РѕРІР¶РёРЅР° С‰С–С‚РєРё 380mm/15"</t>
  </si>
  <si>
    <t>FISTER16</t>
  </si>
  <si>
    <t>FISTER16 Trico Fister 400 РјРј, С‰С–С‚РєР° СЃРєР»РѕРѕС‡РёСЃРЅРёРєР°</t>
  </si>
  <si>
    <t>55.54</t>
  </si>
  <si>
    <t>FISTER18</t>
  </si>
  <si>
    <t>FISTER18 Trico Fister 450 РјРј, С‰С–С‚РєР° СЃРєР»РѕРѕС‡РёСЃРЅРёРєР°</t>
  </si>
  <si>
    <t>59.03</t>
  </si>
  <si>
    <t>FISTER19</t>
  </si>
  <si>
    <t>FISTER19 Trico Fister 480 РјРј, С‰С–С‚РєР° СЃРєР»РѕРѕС‡РёСЃРЅРёРєР°</t>
  </si>
  <si>
    <t>60.32</t>
  </si>
  <si>
    <t>FISTER20</t>
  </si>
  <si>
    <t>FISTER20 Trico Fister 500 РјРј, С‰С–С‚РєР° СЃРєР»РѕРѕС‡РёСЃРЅРёРєР°</t>
  </si>
  <si>
    <t>61.97</t>
  </si>
  <si>
    <t>FISTER21</t>
  </si>
  <si>
    <t>FISTER21 Trico Fister 530 РјРј, С‰С–С‚РєР° СЃРєР»РѕРѕС‡РёСЃРЅРёРєР°</t>
  </si>
  <si>
    <t>FISTER22</t>
  </si>
  <si>
    <t>FISTER22 Trico Fister 550 РјРј, С‰С–С‚РєР° СЃРєР»РѕРѕС‡РёСЃРЅРёРєР°</t>
  </si>
  <si>
    <t>66.02</t>
  </si>
  <si>
    <t>FISTER23</t>
  </si>
  <si>
    <t>FISTER23 Trico Fister 580 РјРј, С‰С–С‚РєР° СЃРєР»РѕРѕС‡РёСЃРЅРёРєР°</t>
  </si>
  <si>
    <t>67.86</t>
  </si>
  <si>
    <t>FISTER24</t>
  </si>
  <si>
    <t>FISTER24 Trico Fister 600 РјРј, С‰С–С‚РєР° СЃРєР»РѕРѕС‡РёСЃРЅРёРєР°</t>
  </si>
  <si>
    <t>68.96</t>
  </si>
  <si>
    <t>FISTER26</t>
  </si>
  <si>
    <t>FISTER26 Trico Fister 650 РјРј, С‰С–С‚РєР° СЃРєР»РѕРѕС‡РёСЃРЅРёРєР°</t>
  </si>
  <si>
    <t>78.71</t>
  </si>
  <si>
    <t>FX400</t>
  </si>
  <si>
    <t>FX400 Trico Flex 400 РјРј, С‰С–С‚РєР° СЃРєР»РѕРѕС‡РёСЃРЅРёРєР°</t>
  </si>
  <si>
    <t>161.10</t>
  </si>
  <si>
    <t>Р”РѕРІР¶РёРЅР° С‰С–С‚РєРё 400mm/16" Flex Multi-Fit</t>
  </si>
  <si>
    <t>FX430</t>
  </si>
  <si>
    <t>FX430 Trico Flex 430 РјРј, С‰С–С‚РєР° СЃРєР»РѕРѕС‡РёСЃРЅРёРєР°</t>
  </si>
  <si>
    <t>Р”РѕРІР¶РёРЅР° С‰С–С‚РєРё 430mm/17" Flex Multi-Fit</t>
  </si>
  <si>
    <t>FX450</t>
  </si>
  <si>
    <t>FX450 Trico Flex 450 РјРј, С‰С–С‚РєР° СЃРєР»РѕРѕС‡РёСЃРЅРёРєР°</t>
  </si>
  <si>
    <t>Р”РѕРІР¶РёРЅР° С‰С–С‚РєРё 450mm/18" Flex Multi-Fit</t>
  </si>
  <si>
    <t>FX480</t>
  </si>
  <si>
    <t>FX480 Trico Flex 480 РјРј, С‰С–С‚РєР° СЃРєР»РѕРѕС‡РёСЃРЅРёРєР°</t>
  </si>
  <si>
    <t>166.61</t>
  </si>
  <si>
    <t>Р”РѕРІР¶РёРЅР° С‰С–С‚РєРё 480mm/19" Flex Multi-Fit</t>
  </si>
  <si>
    <t>FX500</t>
  </si>
  <si>
    <t>FX500 Trico Flex 500 РјРј, С‰С–С‚РєР° СЃРєР»РѕРѕС‡РёСЃРЅРёРєР°</t>
  </si>
  <si>
    <t>170.66</t>
  </si>
  <si>
    <t>Р”РѕРІР¶РёРЅР° С‰С–С‚РєРё 500mm/20" Flex Multi-Fit</t>
  </si>
  <si>
    <t>FX530</t>
  </si>
  <si>
    <t>FX530 Trico Flex 530 РјРј, С‰С–С‚РєР° СЃРєР»РѕРѕС‡РёСЃРЅРёРєР°</t>
  </si>
  <si>
    <t>Р”РѕРІР¶РёРЅР° С‰С–С‚РєРё 530mm/21" Flex Multi-Fit</t>
  </si>
  <si>
    <t>FX550</t>
  </si>
  <si>
    <t>FX550 Trico Flex 550 РјРј, С‰С–С‚РєР° СЃРєР»РѕРѕС‡РёСЃРЅРёРєР°</t>
  </si>
  <si>
    <t>182.61</t>
  </si>
  <si>
    <t>Р”РѕРІР¶РёРЅР° С‰С–С‚РєРё 550mm/22" Flex Multi-Fit</t>
  </si>
  <si>
    <t>FX650</t>
  </si>
  <si>
    <t>FX650 Trico Flex 650 РјРј, С‰С–С‚РєР° СЃРєР»РѕРѕС‡РёСЃРЅРёРєР°</t>
  </si>
  <si>
    <t>197.51</t>
  </si>
  <si>
    <t>Р”РѕРІР¶РёРЅР° С‰С–С‚РєРё 650mm/26" Flex Multi-Fit</t>
  </si>
  <si>
    <t>FX700</t>
  </si>
  <si>
    <t>FX700 Trico Flex 700 РјРј, С‰С–С‚РєР° СЃРєР»РѕРѕС‡РёСЃРЅРёРєР°</t>
  </si>
  <si>
    <t>205.05</t>
  </si>
  <si>
    <t>Р”РѕРІР¶РёРЅР° С‰С–С‚РєРё 700mm/28" Flex Multi-Fit</t>
  </si>
  <si>
    <t>HF350</t>
  </si>
  <si>
    <t>HF350 Trico Exact Fit 350 РјРј, С‰С–С‚РєР° СЃРєР»РѕРѕС‡РёСЃРЅРёРєР°</t>
  </si>
  <si>
    <t>173.05</t>
  </si>
  <si>
    <t>HF400</t>
  </si>
  <si>
    <t>HF400 Trico Exact Fit 400 РјРј, С‰С–С‚РєР° СЃРєР»РѕРѕС‡РёСЃРЅРёРєР°</t>
  </si>
  <si>
    <t>HF450</t>
  </si>
  <si>
    <t>HF450 Trico Exact Fit 450 РјРј, С‰С–С‚РєР° СЃРєР»РѕРѕС‡РёСЃРЅРёРєР°</t>
  </si>
  <si>
    <t>HF480</t>
  </si>
  <si>
    <t>HF480 Trico Exact Fit 480 РјРј, С‰С–С‚РєР° СЃРєР»РѕРѕС‡РёСЃРЅРёРєР°</t>
  </si>
  <si>
    <t>HF500</t>
  </si>
  <si>
    <t>HF500 Trico Exact Fit 500 РјРј, С‰С–С‚РєР° СЃРєР»РѕРѕС‡РёСЃРЅРёРєР°</t>
  </si>
  <si>
    <t>248.82</t>
  </si>
  <si>
    <t>HF530</t>
  </si>
  <si>
    <t>HF530 Trico Exact Fit 530 РјРј, С‰С–С‚РєР° СЃРєР»РѕРѕС‡РёСЃРЅРёРєР°</t>
  </si>
  <si>
    <t>263.34</t>
  </si>
  <si>
    <t>HF550</t>
  </si>
  <si>
    <t>HF550 Trico Exact Fit 550 РјРј, С‰С–С‚РєР° СЃРєР»РѕРѕС‡РёСЃРЅРёРєР°</t>
  </si>
  <si>
    <t>273.83</t>
  </si>
  <si>
    <t>NF350</t>
  </si>
  <si>
    <t>NF350 Trico Neoform 350 РјРј, С‰С–С‚РєР° СЃРєР»РѕРѕС‡РёСЃРЅРёРєР°</t>
  </si>
  <si>
    <t>194.93</t>
  </si>
  <si>
    <t>Р”РѕРІР¶РёРЅР° С‰С–С‚РєРё 350mm/14" Retro-Fit HookType</t>
  </si>
  <si>
    <t>NF400</t>
  </si>
  <si>
    <t>NF400 Trico Neoform 400 РјРј, С‰С–С‚РєР° СЃРєР»РѕРѕС‡РёСЃРЅРёРєР°</t>
  </si>
  <si>
    <t>Р”РѕРІР¶РёРЅР° С‰С–С‚РєРё 400mm/16" Retro-Fit HookType</t>
  </si>
  <si>
    <t>NF430</t>
  </si>
  <si>
    <t>NF430 Trico Neoform 430 РјРј, С‰С–С‚РєР° СЃРєР»РѕРѕС‡РёСЃРЅРёРєР°</t>
  </si>
  <si>
    <t>202.47</t>
  </si>
  <si>
    <t>Р”РѕРІР¶РёРЅР° С‰С–С‚РєРё 430mm/17" Retro-Fit HookType</t>
  </si>
  <si>
    <t>NF450</t>
  </si>
  <si>
    <t>NF450 (TRICO) Р©С–С‚РєР° СЃРєР»РѕРѕС‡РёСЃРЅРёРєР°</t>
  </si>
  <si>
    <t>Р”РѕРІР¶РёРЅР° С‰С–С‚РєРё 450mm/18" Retro-Fit HookType</t>
  </si>
  <si>
    <t>NF4513</t>
  </si>
  <si>
    <t>NF4513 (TRICO)  Р©С–С‚РєР° СЃРєР»РѕРѕС‡РёСЃРЅРёРєР°</t>
  </si>
  <si>
    <t>208.17</t>
  </si>
  <si>
    <t>Р”РѕРІР¶РёРЅР° С‰С–С‚РєРё 450РјРј/18" TOP LOCK</t>
  </si>
  <si>
    <t>NF456</t>
  </si>
  <si>
    <t>NF456 Trico Neoform 450 РјРј, С‰С–С‚РєР° СЃРєР»РѕРѕС‡РёСЃРЅРёРєР°</t>
  </si>
  <si>
    <t>Р”РѕРІР¶РёРЅР° С‰С–С‚РєРё 450mm/18" PinType</t>
  </si>
  <si>
    <t>NF480</t>
  </si>
  <si>
    <t>NF480 Trico Neoform 480 РјРј, С‰С–С‚РєР° СЃРєР»РѕРѕС‡РёСЃРЅРёРєР°</t>
  </si>
  <si>
    <t>Р”РѕРІР¶РёРЅР° С‰С–С‚РєРё 480mm/19" Retro-Fit HookType</t>
  </si>
  <si>
    <t>NF486</t>
  </si>
  <si>
    <t>NF486 Trico Neoform 480 РјРј, С‰С–С‚РєР° СЃРєР»РѕРѕС‡РёСЃРЅРёРєР°</t>
  </si>
  <si>
    <t>223.62</t>
  </si>
  <si>
    <t>Р”РѕРІР¶РёРЅР° С‰С–С‚РєРё 480mm/19" PinType</t>
  </si>
  <si>
    <t>NF500</t>
  </si>
  <si>
    <t>NF500 Trico Neoform 500 РјРј, С‰С–С‚РєР° СЃРєР»РѕРѕС‡РёСЃРЅРёРєР°</t>
  </si>
  <si>
    <t>220.31</t>
  </si>
  <si>
    <t>Р”РѕРІР¶РёРЅР° С‰С–С‚РєРё 500mm/20" Retro-Fit HookType</t>
  </si>
  <si>
    <t>NF536</t>
  </si>
  <si>
    <t>NF536 Trico Neoform 530 РјРј, С‰С–С‚РєР° СЃРєР»РѕРѕС‡РёСЃРЅРёРєР°</t>
  </si>
  <si>
    <t>237.78</t>
  </si>
  <si>
    <t>Р”РѕРІР¶РёРЅР° С‰С–С‚РєРё 530mm/21" PinType</t>
  </si>
  <si>
    <t>NF555</t>
  </si>
  <si>
    <t>NF555 Trico Neoform 550 РјРј, С‰С–С‚РєР° СЃРєР»РѕРѕС‡РёСЃРЅРёРєР°</t>
  </si>
  <si>
    <t>276.77</t>
  </si>
  <si>
    <t>Р”РѕРІР¶РёРЅР° С‰С–С‚РєРё 550mm/22" V-Notch Typ</t>
  </si>
  <si>
    <t>NF557</t>
  </si>
  <si>
    <t>NF557 Trico Neoform 550 РјРј, С‰С–С‚РєР° СЃРєР»РѕРѕС‡РёСЃРЅРёРєР°</t>
  </si>
  <si>
    <t>Р”РѕРІР¶РёРЅР° С‰С–С‚РєРё 550mm/22" PinchTab</t>
  </si>
  <si>
    <t>NF588</t>
  </si>
  <si>
    <t>NF588 Trico Neoform 580 РјРј, С‰С–С‚РєР° СЃРєР»РѕРѕС‡РёСЃРЅРёРєР°</t>
  </si>
  <si>
    <t>286.70</t>
  </si>
  <si>
    <t>Р”РѕРІР¶РёРЅР° С‰С–С‚РєРё 550mm/22" Bmw 22mm TopLock</t>
  </si>
  <si>
    <t>NF600</t>
  </si>
  <si>
    <t>NF600 Trico Neoform 600 РјРј, С‰С–С‚РєР° СЃРєР»РѕРѕС‡РёСЃРЅРёРєР°</t>
  </si>
  <si>
    <t>287.25</t>
  </si>
  <si>
    <t>Р”РѕРІР¶РёРЅР° С‰С–С‚РєРё 600mm/24" Retro-Fit HookType</t>
  </si>
  <si>
    <t>NF6013</t>
  </si>
  <si>
    <t>NF6013 Trico Neoform 600 РјРј, С‰С–С‚РєР° СЃРєР»РѕРѕС‡РёСЃРЅРёРєР°</t>
  </si>
  <si>
    <t>293.32</t>
  </si>
  <si>
    <t>Р”РѕРІР¶РёРЅР° С‰С–С‚РєРё 600mm/24" 19mm TopLock</t>
  </si>
  <si>
    <t>NF606</t>
  </si>
  <si>
    <t>NF606 (TRICO)  Р©С–С‚РєР° СЃРєР»РѕРѕС‡РёСЃРЅРёРєР°</t>
  </si>
  <si>
    <t>Р”РѕРІР¶РёРЅР° С‰С–С‚РєРё 600mm/24" PinType</t>
  </si>
  <si>
    <t>NF650</t>
  </si>
  <si>
    <t>NF650 (TRICO)  Р©С–С‚РєР° СЃРєР»РѕРѕС‡РёСЃРЅРёРєР°</t>
  </si>
  <si>
    <t>301.78</t>
  </si>
  <si>
    <t>Р”РѕРІР¶РёРЅР° С‰С–С‚РєРё 650mm/26" Retro-Fit HookType</t>
  </si>
  <si>
    <t>NF656</t>
  </si>
  <si>
    <t>NF656 (TRICO) Р©С–С‚РєР° СЃРєР»РѕРѕС‡РёСЃРЅРёРєР°</t>
  </si>
  <si>
    <t>307.85</t>
  </si>
  <si>
    <t>Р”РѕРІР¶РёРЅР° С‰С–С‚РєРё 650mm/26" PinType</t>
  </si>
  <si>
    <t>NF709</t>
  </si>
  <si>
    <t>NF709 (TRICO)  Р©С–С‚РєР° СЃРєР»РѕРѕС‡РёСЃРЅРёРєР°</t>
  </si>
  <si>
    <t>303.44</t>
  </si>
  <si>
    <t>Р”РѕРІР¶РёРЅР° С‰С–С‚РєРё 700mm/28"   22mm TopLock</t>
  </si>
  <si>
    <t>Refill00320</t>
  </si>
  <si>
    <t>Refill00320 Р—РјС–РЅРЅР° РіСѓРјРєР° СЃРєР»РѕРѕС‡РёСЃРЅРёРєР°</t>
  </si>
  <si>
    <t>84.23</t>
  </si>
  <si>
    <t>Р—РјС–РЅРЅР° РіСѓРјРєР° СЃРєР»РѕРѕС‡РёСЃРЅРёРєР°  2С…610РјРј</t>
  </si>
  <si>
    <t>Refill00817</t>
  </si>
  <si>
    <t>Refill00817 Р—РјС–РЅРЅР° РіСѓРјРєР° СЃРєР»РѕРѕС‡РёСЃРЅРёРєР°</t>
  </si>
  <si>
    <t>39.35</t>
  </si>
  <si>
    <t>Р—РјС–РЅРЅР° РіСѓРјРєР° СЃРєР»РѕРѕС‡РёСЃРЅРёРєР° 1С…710РјРј</t>
  </si>
  <si>
    <t>Refill00818</t>
  </si>
  <si>
    <t>Refill00818 Р—РјС–РЅРЅР° РіСѓРјРєР° СЃРєР»РѕРѕС‡РёСЃРЅРёРєР°</t>
  </si>
  <si>
    <t>61.05</t>
  </si>
  <si>
    <t>Р—РјС–РЅРЅР° РіСѓРјРєР° СЃРєР»РѕРѕС‡РёСЃРЅРёРєР°  (СЃРµСЂРІС–СЃРЅР°СЏ СѓРїР°РєРѕРІРєР° 10 С€С‚СѓРє) 100 cm x 9mm</t>
  </si>
  <si>
    <t>РЎРєР»РѕРѕС‡РёСЃРЅРёРєРё VELGIO</t>
  </si>
  <si>
    <t xml:space="preserve">VELGIO  Р±/Рє С‰С–С‚РєР° СЃ-РєР°  Neo Vision 13/330РјРј (50С€С‚) </t>
  </si>
  <si>
    <t>82.70</t>
  </si>
  <si>
    <t xml:space="preserve">VELGIO  Р±/Рє С‰С–С‚РєР° СЃ-РєР°  Neo Vision 15/380РјРј (50С€С‚) </t>
  </si>
  <si>
    <t>90.23</t>
  </si>
  <si>
    <t xml:space="preserve">VELGIO  Р±/Рє С‰С–С‚РєР° СЃ-РєР°  Neo Vision 16/400РјРј (50С€С‚) </t>
  </si>
  <si>
    <t xml:space="preserve">VELGIO  Р±/Рє С‰С–С‚РєР° СЃ-РєР°  Neo Vision 17/430РјРј (50С€С‚) </t>
  </si>
  <si>
    <t xml:space="preserve">VELGIO  Р±/Рє С‰С–С‚РєР° СЃ-РєР°  Neo Vision 18/450РјРј (50С€С‚) </t>
  </si>
  <si>
    <t>99.21</t>
  </si>
  <si>
    <t xml:space="preserve">VELGIO  Р±/Рє С‰С–С‚РєР° СЃ-РєР°  Neo Vision 19/480РјРј (50С€С‚) </t>
  </si>
  <si>
    <t xml:space="preserve">VELGIO  Р±/Рє С‰С–С‚РєР° СЃ-РєР°  Neo Vision 20/500РјРј (50С€С‚) </t>
  </si>
  <si>
    <t xml:space="preserve">VELGIO  Р±/Рє С‰С–С‚РєР° СЃ-РєР°  Neo Vision 21/530РјРј (50С€С‚) </t>
  </si>
  <si>
    <t>111.23</t>
  </si>
  <si>
    <t xml:space="preserve">VELGIO  Р±/Рє С‰С–С‚РєР° СЃ-РєР°  Neo Vision 22/550РјРј (50С€С‚) </t>
  </si>
  <si>
    <t xml:space="preserve">VELGIO  Р±/Рє С‰С–С‚РєР° СЃ-РєР°  Neo Vision 23/580РјРј (50С€С‚) </t>
  </si>
  <si>
    <t>81600\t</t>
  </si>
  <si>
    <t xml:space="preserve">VELGIO  Р±/Рє С‰С–С‚РєР° СЃ-РєР°  Neo Vision 24/600РјРј (50С€С‚) </t>
  </si>
  <si>
    <t>115.23</t>
  </si>
  <si>
    <t>81650\t</t>
  </si>
  <si>
    <t xml:space="preserve">VELGIO  Р±/Рє С‰С–С‚РєР° СЃ-РєР°  Neo Vision 26/650РјРј (50С€С‚) </t>
  </si>
  <si>
    <t>127.09</t>
  </si>
  <si>
    <t xml:space="preserve">VELGIO  Р±/Рє С‰С–С‚РєР° СЃ-РєР°  Neo Vision 28/700РјРј (50С€С‚) </t>
  </si>
  <si>
    <t xml:space="preserve">VELGIO  Р±/Рє С‰С–С‚РєР° СЃ-РєР°  LL HYBRID 13/330РјРј (50С€С‚) </t>
  </si>
  <si>
    <t>76.93</t>
  </si>
  <si>
    <t xml:space="preserve">VELGIO  Р±/Рє С‰С–С‚РєР° СЃ-РєР°  LL HYBRID 14/350РјРј (50С€С‚) </t>
  </si>
  <si>
    <t xml:space="preserve">VELGIO  Р±/Рє С‰С–С‚РєР° СЃ-РєР°  LL HYBRID 15/380РјРј (50С€С‚) </t>
  </si>
  <si>
    <t xml:space="preserve">VELGIO  Р±/Рє С‰С–С‚РєР° СЃ-РєР°  LL HYBRID 16/400РјРј (50С€С‚) </t>
  </si>
  <si>
    <t xml:space="preserve">VELGIO  Р±/Рє С‰С–С‚РєР° СЃ-РєР°  LL HYBRID 17/430РјРј (50С€С‚) </t>
  </si>
  <si>
    <t xml:space="preserve">VELGIO  Р±/Рє С‰С–С‚РєР° СЃ-РєР°  LL HYBRID 18/450РјРј (50С€С‚) </t>
  </si>
  <si>
    <t xml:space="preserve">VELGIO  Р±/Рє С‰С–С‚РєР° СЃ-РєР°  LL HYBRID 19/480РјРј (50С€С‚) </t>
  </si>
  <si>
    <t>87.83</t>
  </si>
  <si>
    <t xml:space="preserve">VELGIO  Р±/Рє С‰С–С‚РєР° СЃ-РєР°  LL HYBRID 20/500РјРј (50С€С‚) </t>
  </si>
  <si>
    <t xml:space="preserve">VELGIO  Р±/Рє С‰С–С‚РєР° СЃ-РєР°  LL HYBRID 21/530РјРј (50С€С‚) </t>
  </si>
  <si>
    <t>91.51</t>
  </si>
  <si>
    <t xml:space="preserve">VELGIO  Р±/Рє С‰С–С‚РєР° СЃ-РєР°  LL HYBRID 22/550РјРј (50С€С‚) </t>
  </si>
  <si>
    <t xml:space="preserve">VELGIO  Р±/Рє С‰С–С‚РєР° СЃ-РєР°  LL HYBRID 23/580РјРј (50С€С‚) </t>
  </si>
  <si>
    <t xml:space="preserve">VELGIO  Р±/Рє С‰С–С‚РєР° СЃ-РєР°  LL HYBRID 24/600РјРј (50С€С‚) </t>
  </si>
  <si>
    <t xml:space="preserve">VELGIO  Р±/Рє С‰С–С‚РєР° СЃ-РєР°  LL HYBRID 26/650РјРј (50С€С‚) </t>
  </si>
  <si>
    <t xml:space="preserve">VELGIO  Р±/Рє С‰С–С‚РєР° СЃ-РєР°  LL HYBRID 28/700РјРј (50С€С‚) </t>
  </si>
  <si>
    <t xml:space="preserve">VELGIO  Р·Р°РјС–РЅРЅР° РіСѓРјРєР°  Neo Vision 20/500РјРј </t>
  </si>
  <si>
    <t xml:space="preserve">VELGIO  Р·Р°РјС–РЅРЅР° РіСѓРјРєР°  Neo Vision 24/600РјРј </t>
  </si>
  <si>
    <t xml:space="preserve">VELGIO  Р·Р°РјС–РЅРЅР° РіСѓРјРєР°  Neo Vision 28/700РјРј </t>
  </si>
  <si>
    <t>C60</t>
  </si>
  <si>
    <t xml:space="preserve">VELGIO  РєР°СЂРє.С‰С–С‚РєР° РґР»СЏ РІР°РЅС‚Р°Р¶РЅРёС… Р°РІС‚Рѕ  Cargo 24/600РјРј (1С€С‚) </t>
  </si>
  <si>
    <t>C65</t>
  </si>
  <si>
    <t xml:space="preserve">VELGIO  РєР°СЂРє.С‰С–С‚РєР° РґР»СЏ РІР°РЅС‚Р°Р¶РЅРёС… Р°РІС‚Рѕ  Cargo 26/650РјРј (1С€С‚) </t>
  </si>
  <si>
    <t>104.50</t>
  </si>
  <si>
    <t>EL33</t>
  </si>
  <si>
    <t xml:space="preserve">VELGIO  РєР°СЂРє.С‰С–С‚РєР°  Elite 13/330РјРј (1С€С‚) </t>
  </si>
  <si>
    <t>38.63</t>
  </si>
  <si>
    <t>EL36</t>
  </si>
  <si>
    <t xml:space="preserve">VELGIO  РєР°СЂРє.С‰С–С‚РєР°  Elite 14/360РјРј (1С€С‚) </t>
  </si>
  <si>
    <t>EL38</t>
  </si>
  <si>
    <t xml:space="preserve">VELGIO  РєР°СЂРє.С‰С–С‚РєР°  Elite 15/380РјРј (1С€С‚) </t>
  </si>
  <si>
    <t>EL40</t>
  </si>
  <si>
    <t xml:space="preserve">VELGIO  РєР°СЂРє.С‰С–С‚РєР°  Elite 16/400РјРј (1С€С‚) </t>
  </si>
  <si>
    <t>EL43</t>
  </si>
  <si>
    <t xml:space="preserve">VELGIO  РєР°СЂРє.С‰С–С‚РєР°  Elite 17/430РјРј (1С€С‚) </t>
  </si>
  <si>
    <t>46.00</t>
  </si>
  <si>
    <t>EL45</t>
  </si>
  <si>
    <t xml:space="preserve">VELGIO  РєР°СЂРє.С‰С–С‚РєР°  Elite 18/450РјРј (1С€С‚) </t>
  </si>
  <si>
    <t>EL48</t>
  </si>
  <si>
    <t xml:space="preserve">VELGIO  РєР°СЂРє.С‰С–С‚РєР°  Elite 19/480РјРј (1С€С‚) </t>
  </si>
  <si>
    <t>EL50</t>
  </si>
  <si>
    <t xml:space="preserve">VELGIO  РєР°СЂРє.С‰С–С‚РєР°  Elite 20/500РјРј (1С€С‚) </t>
  </si>
  <si>
    <t>EL53</t>
  </si>
  <si>
    <t xml:space="preserve">VELGIO  РєР°СЂРє.С‰С–С‚РєР°  Elite 21/530РјРј (1С€С‚) </t>
  </si>
  <si>
    <t>52.09</t>
  </si>
  <si>
    <t>EL55</t>
  </si>
  <si>
    <t xml:space="preserve">VELGIO  РєР°СЂРє.С‰С–С‚РєР°  Elite 22/550РјРј (1С€С‚) </t>
  </si>
  <si>
    <t>EL60</t>
  </si>
  <si>
    <t xml:space="preserve">VELGIO  РєР°СЂРє.С‰С–С‚РєР°  Elite 24/600РјРј (1С€С‚) </t>
  </si>
  <si>
    <t>EL65</t>
  </si>
  <si>
    <t xml:space="preserve">VELGIO  РєР°СЂРє.С‰С–С‚РєР°  Elite 26/650РјРј (1С€С‚) </t>
  </si>
  <si>
    <t>84.14</t>
  </si>
  <si>
    <t>EL70</t>
  </si>
  <si>
    <t xml:space="preserve">VELGIO  РєР°СЂРє.С‰С–С‚РєР°  Elite 28/700РјРј (1С€С‚) </t>
  </si>
  <si>
    <t>89.59</t>
  </si>
  <si>
    <t>EN33</t>
  </si>
  <si>
    <t xml:space="preserve">VELGIO  РєР°СЂРє.С‰С–С‚РєР°  Evolution Neo 13/330РјРј (1С€С‚) </t>
  </si>
  <si>
    <t>EN36</t>
  </si>
  <si>
    <t xml:space="preserve">VELGIO  РєР°СЂРє.С‰С–С‚РєР°  Evolution Neo 14/360РјРј (1С€С‚) </t>
  </si>
  <si>
    <t>EN38</t>
  </si>
  <si>
    <t xml:space="preserve">VELGIO  РєР°СЂРє.С‰С–С‚РєР°  Evolution Neo 15/380РјРј (1С€С‚) </t>
  </si>
  <si>
    <t>EN40</t>
  </si>
  <si>
    <t xml:space="preserve">VELGIO  РєР°СЂРє.С‰С–С‚РєР°  Evolution Neo 16/400РјРј (1С€С‚) </t>
  </si>
  <si>
    <t>EN43</t>
  </si>
  <si>
    <t xml:space="preserve">VELGIO  РєР°СЂРє.С‰С–С‚РєР°  Evolution Neo 17/430РјРј (1С€С‚) </t>
  </si>
  <si>
    <t>EN45</t>
  </si>
  <si>
    <t xml:space="preserve">VELGIO  РєР°СЂРє.С‰С–С‚РєР°  Evolution Neo 18/450РјРј (1С€С‚) </t>
  </si>
  <si>
    <t>EN48</t>
  </si>
  <si>
    <t xml:space="preserve">VELGIO  РєР°СЂРє.С‰С–С‚РєР°  Evolution Neo 19/480РјРј (1С€С‚) </t>
  </si>
  <si>
    <t>EN50</t>
  </si>
  <si>
    <t xml:space="preserve">VELGIO  РєР°СЂРє.С‰С–С‚РєР°  Evolution Neo 20/500РјРј (1С€С‚) </t>
  </si>
  <si>
    <t>EN53</t>
  </si>
  <si>
    <t xml:space="preserve">VELGIO  РєР°СЂРє.С‰С–С‚РєР°  Evolution Neo 21/530РјРј (1С€С‚) </t>
  </si>
  <si>
    <t>EN55</t>
  </si>
  <si>
    <t xml:space="preserve">VELGIO  РєР°СЂРє.С‰С–С‚РєР°  Evolution Neo 22/550РјРј (1С€С‚) </t>
  </si>
  <si>
    <t>EN58</t>
  </si>
  <si>
    <t xml:space="preserve">VELGIO  РєР°СЂРє.С‰С–С‚РєР°  Evolution Neo 23/580РјРј (1С€С‚) </t>
  </si>
  <si>
    <t>EN60</t>
  </si>
  <si>
    <t xml:space="preserve">VELGIO  РєР°СЂРє.С‰С–С‚РєР°  Evolution Neo 24/600РјРј (1С€С‚) </t>
  </si>
  <si>
    <t>41.83</t>
  </si>
  <si>
    <t>EN65</t>
  </si>
  <si>
    <t xml:space="preserve">VELGIO  РєР°СЂРє.С‰С–С‚РєР°  Evolution Neo 26/650РјРј (1С€С‚) </t>
  </si>
  <si>
    <t>EN70</t>
  </si>
  <si>
    <t xml:space="preserve">VELGIO  РєР°СЂРє.С‰С–С‚РєР°  Evolution Neo 28/700РјРј (1С€С‚) </t>
  </si>
  <si>
    <t>РЎ55</t>
  </si>
  <si>
    <t xml:space="preserve">VELGIO  РєР°СЂРє.С‰С–С‚РєР° РґР»СЏ РІР°РЅС‚Р°Р¶РЅРёС… Р°РІС‚Рѕ  Cargo 22/550РјРј (1С€С‚) </t>
  </si>
  <si>
    <t>РўРћРЎРћР›-РЎРРќРўР•Р—</t>
  </si>
  <si>
    <t>FELIX РєРѕРЅС†. Carbox(С‡РµСЂРІРѕРЅРёР№) 1РєРі С…15</t>
  </si>
  <si>
    <t>82.93</t>
  </si>
  <si>
    <t>430101Рќ02</t>
  </si>
  <si>
    <t>ROSDOT 4 455Рі x25</t>
  </si>
  <si>
    <t>43.79</t>
  </si>
  <si>
    <t>430101Рќ03</t>
  </si>
  <si>
    <t>ROSDOT 4 910Рі x15</t>
  </si>
  <si>
    <t>430104Рќ03</t>
  </si>
  <si>
    <t>РќРµРІР°-Рњ 910Рі x15</t>
  </si>
  <si>
    <t>59.85</t>
  </si>
  <si>
    <t>Felix DOT4 455Рі x25</t>
  </si>
  <si>
    <t>35.02</t>
  </si>
  <si>
    <t>Felix DOT4 910Рі x15</t>
  </si>
  <si>
    <t>68.71</t>
  </si>
  <si>
    <t>DOT4 400Рі x25</t>
  </si>
  <si>
    <t>24.21</t>
  </si>
  <si>
    <t>DOT4 800Рі x15</t>
  </si>
  <si>
    <t>47.52</t>
  </si>
  <si>
    <t>FELIX Energy(Р¶РѕРІС‚РёР№) 1РєРі x15</t>
  </si>
  <si>
    <t>52.29</t>
  </si>
  <si>
    <t>FELIX Energy(Р¶РѕРІС‚РёР№) 5РєРі x4</t>
  </si>
  <si>
    <t>221.54</t>
  </si>
  <si>
    <t>FELIX Prolonger (Р·РµР»РµРЅРёР№) 1РєРі x15</t>
  </si>
  <si>
    <t>46.34</t>
  </si>
  <si>
    <t>FELIX Prolonger(Р·РµР»РµРЅРёР№) 5РєРі x4</t>
  </si>
  <si>
    <t xml:space="preserve">FELIX РєРѕРЅС†. Prolonger(Р·РµР»РµРЅРёР№) 1РєРі </t>
  </si>
  <si>
    <t>80.40</t>
  </si>
  <si>
    <t xml:space="preserve">FELIX РєРѕРЅС†. Prolonger(Р·РµР»РµРЅРёР№) 5РєРі </t>
  </si>
  <si>
    <t>357.65</t>
  </si>
  <si>
    <t>FELIX 45  1РєРі x15</t>
  </si>
  <si>
    <t>30.52</t>
  </si>
  <si>
    <t>FELIX EXPERT(СЃРёРЅС–Р№) 5 РєРі x4</t>
  </si>
  <si>
    <t>FELIX EXPERT(СЃРёРЅС–Р№) 10 РєРі x2</t>
  </si>
  <si>
    <t>357.23</t>
  </si>
  <si>
    <t>FELIX 35 EURO 10РєРі x2</t>
  </si>
  <si>
    <t>240.11</t>
  </si>
  <si>
    <t>РўСЂРёРјР°С‡С–, СЂРѕР·РіР°Р»СѓР¶СѓРІР°С‡С–</t>
  </si>
  <si>
    <t>CS301</t>
  </si>
  <si>
    <t xml:space="preserve">CARLIFE  Р РѕР·РіР°Р»СѓР¶СѓРІР°С‡ РїСЂРёРєСѓСЂСЋРІР°С‡Р°  3РІ1 + USB, 12Р’, 5A </t>
  </si>
  <si>
    <t>66.99</t>
  </si>
  <si>
    <t>CS302</t>
  </si>
  <si>
    <t xml:space="preserve">CARLIFE  Р РѕР·РіР°Р»СѓР¶СѓРІР°С‡ РїСЂРёРєСѓСЂСЋРІР°С‡Р°  3РІ1 + USB Р· LED РїС–РґСЃРІС–С‡СѓРІР°РЅРЅСЏРј, 12Р’, 5A </t>
  </si>
  <si>
    <t>69.56</t>
  </si>
  <si>
    <t>CS303</t>
  </si>
  <si>
    <t xml:space="preserve">CARLIFE  Р РѕР·РіР°Р»СѓР¶СѓРІР°С‡ РїСЂРёРєСѓСЂСЋРІР°С‡Р°  2РІ1 + USB, 12Р’, 5A </t>
  </si>
  <si>
    <t>CS304</t>
  </si>
  <si>
    <t xml:space="preserve">CARLIFE  Р РѕР·РіР°Р»СѓР¶СѓРІР°С‡ РїСЂРёРєСѓСЂСЋРІР°С‡Р°  2РІ1 + 2 USB, 12Р’, 5A </t>
  </si>
  <si>
    <t>75.01</t>
  </si>
  <si>
    <t>LS401</t>
  </si>
  <si>
    <t xml:space="preserve">SOLAR  Р РѕР·РіР°Р»СѓР¶СѓРІР°С‡ РїСЂРёРєСѓСЂСЋРІР°С‡Р°  РЅР° 2РІ1,(50С€С‚.) </t>
  </si>
  <si>
    <t>63.63</t>
  </si>
  <si>
    <t>LS405</t>
  </si>
  <si>
    <t>SOLAR  РђРґР°РїС‚РµСЂ/Р·Р°СЂСЏРґРЅРµ РІ РїСЂРёРєСѓСЂСЋРІР°С‡ 12Р’ USB 1A</t>
  </si>
  <si>
    <t>PH601</t>
  </si>
  <si>
    <t xml:space="preserve">CARLIFE  РўСЂРёРјР°С‡ РјРѕР±С–Р»СЊРЅРѕРіРѕ С‚РµР»РµС„РѕРЅСѓ,Р°РІС‚РѕРјРѕР±С–Р»СЊРЅРёР№ ,С€РёСЂРёРЅР° 40-95РјРј.(100С€С‚/СѓРї.) </t>
  </si>
  <si>
    <t>98.41</t>
  </si>
  <si>
    <t>PH602</t>
  </si>
  <si>
    <t xml:space="preserve">CARLIFE  РўСЂРёРјР°С‡ РјРѕР±С–Р»СЊРЅРѕРіРѕ С‚РµР»РµС„РѕРЅСѓ,Р°РІС‚РѕРјРѕР±С–Р»СЊРЅРёР№ ,С€РёСЂРёРЅР° 50-115РјРј.(60С€С‚./СѓРї.) </t>
  </si>
  <si>
    <t>75.81</t>
  </si>
  <si>
    <t>PH603</t>
  </si>
  <si>
    <t xml:space="preserve">CARLIFE  РўСЂРёРјР°С‡ РјРѕР±С–Р»СЊРЅРѕРіРѕ С‚РµР»РµС„РѕРЅСѓ,Р°РІС‚РѕРјРѕР±С–Р»СЊРЅРёР№ ,С€РёСЂРёРЅР° 40-110РјРј.(60С€С‚./СѓРї.) </t>
  </si>
  <si>
    <t>PH604</t>
  </si>
  <si>
    <t xml:space="preserve">CARLIFE  РўСЂРёРјР°С‡ РјРѕР±С–Р»СЊРЅРѕРіРѕ С‚РµР»РµС„РѕРЅСѓ,Р°РІС‚РѕРјРѕР±С–Р»СЊРЅРёР№ ,С€РёСЂРёРЅР° 40-95РјРј.(60С€С‚./СѓРї.) </t>
  </si>
  <si>
    <t>Р”РЈ12</t>
  </si>
  <si>
    <t xml:space="preserve">Р‘Р•Р›РђР’РўРћ  РўСЂРёРјР°С‡ Р°РІС‚РѕРјРѕР±С–Р»СЊРЅРёР№ , РґР»СЏ РџРљ РїР»Р°РЅС€РµС‚С–РІ, 7"-10,1", РІРёСЃРѕС‚Р° 145-250РјРј (24С€С‚./СѓРї.) </t>
  </si>
  <si>
    <t>137.83</t>
  </si>
  <si>
    <t>Р”РЈ13</t>
  </si>
  <si>
    <t xml:space="preserve">Р‘Р•Р›РђР’РўРћ  РўСЂРёРјР°С‡ С‚РµР»РµС„РѕРЅСѓ Р°РІС‚РѕРјРѕР±С–Р»СЊРЅРёР№ , С€РёСЂРёРЅР° 58 - 90 РјРј (30С€С‚/СѓРї) </t>
  </si>
  <si>
    <t>127.41</t>
  </si>
  <si>
    <t>Р”РЈ14</t>
  </si>
  <si>
    <t xml:space="preserve">Р‘Р•Р›РђР’РўРћ  РўСЂРёРјР°С‡ Р°РІС‚РѕРјРѕР±С–Р»СЊРЅРёР№ , РґР»СЏ РџРљ РїР»Р°РЅС€РµС‚С–РІ 7"-10,1", РІРёСЃРѕС‚Р° 90-200РјРј (60С€С‚/СѓРї) </t>
  </si>
  <si>
    <t>104.34</t>
  </si>
  <si>
    <t>Р”РЈ15</t>
  </si>
  <si>
    <t xml:space="preserve">Р‘Р•Р›РђР’РўРћ  РўСЂРёРјР°С‡ С‚РµР»РµС„РѕРЅСѓ Р°РІС‚РѕРјРѕР±С–Р»СЊРЅРёР№ , С€РёСЂРёРЅР° 58-90РјРј (60С€С‚/СѓРї) </t>
  </si>
  <si>
    <t>Р”РЈ16</t>
  </si>
  <si>
    <t xml:space="preserve">Р‘Р•Р›РђР’РўРћ  РўСЂРёРјР°С‡ Р°РІС‚РѕРјРѕР±С–Р»СЊРЅРёР№ , РґР»СЏ РџРљ РїР»Р°РЅС€РµС‚С–РІ, 7"-10,1", РІРёСЃРѕС‚Р° 145-250РјРј (25С€С‚./СѓРї.) </t>
  </si>
  <si>
    <t>145.04</t>
  </si>
  <si>
    <t>Р”РЈ17</t>
  </si>
  <si>
    <t xml:space="preserve">Р‘Р•Р›РђР’РўРћ  РўСЂРёРјР°С‡ Р°РІС‚РѕРјРѕР±С–Р»СЊРЅРёР№ , СѓРЅС–РІРµСЂСЃР°Р»СЊРЅРёР№.РџРѕРІРѕСЂРѕС‚РЅРёР№ РјРµС…Р°РЅС–Р·Рј 360",С€РёСЂРёРЅР° 54-80РјРј </t>
  </si>
  <si>
    <t>121.64</t>
  </si>
  <si>
    <t>Р”РЈ18</t>
  </si>
  <si>
    <t xml:space="preserve">Р‘Р•Р›РђР’РўРћ  РўСЂРёРјР°С‡ Р°РІС‚РѕРјРѕР±С–Р»СЊРЅРёР№ , РґР»СЏ РџРљ РїР»Р°РЅС€РµС‚С–РІ, 7"-10,1", РІРёСЃРѕС‚Р° 125-200РјРј </t>
  </si>
  <si>
    <t>Р”РЈ19</t>
  </si>
  <si>
    <t xml:space="preserve">Р‘Р•Р›РђР’РўРћ  РўСЂРёРјР°С‡ Р°РІС‚РѕРјРѕР±С–Р»СЊРЅРёР№ , СѓРЅС–РІРµСЂСЃР°Р»СЊРЅРёР№.РџРѕРІРѕСЂРѕС‚РЅРёР№ РјРµС…Р°РЅС–Р·Рј 360",С€РёСЂРёРЅР° 51-98РјРј </t>
  </si>
  <si>
    <t>Р”РЈ20</t>
  </si>
  <si>
    <t>Р‘Р•Р›РђР’РўРћ  РўСЂРёРјР°С‡ Р°РІС‚РѕРјРѕР±С–Р»СЊРЅРёР№ , СѓРЅС–РІРµСЂСЃР°Р»СЊРЅРёР№.РџРѕРІРѕСЂРѕС‚РЅРёР№ РјРµС…Р°РЅС–Р·Рј 360",РјР°РіРЅС–С‚РЅРёР№,(100/СѓРї.)</t>
  </si>
  <si>
    <t>Р Рџ11</t>
  </si>
  <si>
    <t xml:space="preserve">Р‘Р•Р›РђР’РўРћ  Р РѕР·РіР°Р»СѓР¶СѓРІР°С‡ Р°РІС‚РѕРјРѕР±С–Р»СЊРЅРѕРіРѕ РїСЂРёРєСѓСЂСЋРІР°С‡Р°  2РІ1,(20С€С‚.) </t>
  </si>
  <si>
    <t>Р Рџ12</t>
  </si>
  <si>
    <t xml:space="preserve">Р‘Р•Р›РђР’РўРћ  Р РѕР·РіР°Р»СѓР¶СѓРІР°С‡ Р°РІС‚РѕРјРѕР±С–Р»СЊРЅРѕРіРѕ РїСЂРёРєСѓСЂСЋРІР°С‡Р°  3РІ1+USB,(20С€С‚.) </t>
  </si>
  <si>
    <t>173.25</t>
  </si>
  <si>
    <t>РўСЂРѕСЃРё, СЃС‚СЏР¶РєРё РІР°РЅС‚Р°Р¶Сѓ</t>
  </si>
  <si>
    <t>ES504</t>
  </si>
  <si>
    <t xml:space="preserve">CARLIFE  Р РµРјС–РЅС†С– РґР»СЏ Р·Р°РєСЂС–РїР»РµРЅРЅСЏ Р±Р°РіР°Р¶Сѓ 4x60СЃРј., 8-РЅС–Р¶РєР° </t>
  </si>
  <si>
    <t>ES505</t>
  </si>
  <si>
    <t xml:space="preserve">CARLIFE  Р РµРјС–РЅС†С– РґР»СЏ Р·Р°РєСЂС–РїР»РµРЅРЅСЏ Р±Р°РіР°Р¶Сѓ 4x80СЃРј., 8-РЅС–Р¶РєР° </t>
  </si>
  <si>
    <t>RD712</t>
  </si>
  <si>
    <t xml:space="preserve">CARLIFE  РЎС‚СЏР¶РЅРёР№ СЂРµРјС–РЅСЊ Р· Р·Р°РјРєРѕРј 3С‚ 6Рј </t>
  </si>
  <si>
    <t>158.35</t>
  </si>
  <si>
    <t>RD713</t>
  </si>
  <si>
    <t xml:space="preserve">CARLIFE  РЎС‚СЏР¶РЅРёР№ СЂРµРјС–РЅСЊ Р· Р·Р°РјРєРѕРј 3С‚ 8Рј </t>
  </si>
  <si>
    <t>168.44</t>
  </si>
  <si>
    <t>RD714</t>
  </si>
  <si>
    <t xml:space="preserve">CARLIFE  РЎС‚СЏР¶РЅРёР№ СЂРµРјС–РЅСЊ Р· Р·Р°РјРєРѕРј 3С‚ 10Рј </t>
  </si>
  <si>
    <t>RD718</t>
  </si>
  <si>
    <t xml:space="preserve">CARLIFE  РЎС‚СЏР¶РєР° РІР°РЅС‚Р°Р¶Сѓ, 5Рј Р· С‚СЂРµС‰С–С‚РєРѕСЋ </t>
  </si>
  <si>
    <t>53.53</t>
  </si>
  <si>
    <t>RD720</t>
  </si>
  <si>
    <t xml:space="preserve">CARLIFE  РЎС‚СЏР¶РєР° РІР°РЅС‚Р°Р¶Сѓ,5Рј.Р·С– С€РІРёРґРєРѕР·Р°Р¶РёРјРѕРј </t>
  </si>
  <si>
    <t>TR702</t>
  </si>
  <si>
    <t xml:space="preserve">CARLIFE  РўСЂРѕСЃ СЃС‚СЂС–С‡РєРѕРІРёР№, Р· РјРµС‚Р°Р»РµРІРёРјРё РіР°С‡РєР°РјРё 3С‚,4Рј.,Р±Р»С–СЃС‚РµСЂ </t>
  </si>
  <si>
    <t>TR702/P</t>
  </si>
  <si>
    <t xml:space="preserve">CARLIFE  РўСЂРѕСЃ СЃС‚СЂС–С‡РєРѕРІРёР№, Р· РјРµС‚Р°Р»РµРІРёРјРё РіР°С‡РєР°РјРё 3С‚,4Рј.,СЃСѓРјРѕС‡РєР° РїРѕР»С–РµС‚РёР». </t>
  </si>
  <si>
    <t>TR703/P</t>
  </si>
  <si>
    <t xml:space="preserve">CARLIFE  РўСЂРѕСЃ СЃС‚СЂС–С‡РєРѕРІРёР№, Р· РјРµС‚Р°Р»РµРІРёРјРё РіР°С‡РєР°РјРё 2,5С‚,4Рј.,СЃСѓРјРѕС‡РєР° РїРѕР»С–РµС‚РёР». </t>
  </si>
  <si>
    <t>TR704</t>
  </si>
  <si>
    <t xml:space="preserve">CARLIFE  РўСЂРѕСЃ СЃС‚СЂС–С‡РєРѕРІРёР№, Р· РјРµС‚Р°Р»РµРІРёРјРё РіР°С‡РєР°РјРё 6С‚,5,5Рј.,СЃСѓРјРѕС‡РєР° </t>
  </si>
  <si>
    <t>TR704/P</t>
  </si>
  <si>
    <t>РўСЂРѕСЃ СЃС‚СЂС–С‡РєРѕРІРёР№, Р· РјРµС‚Р°Р»РµРІРёРјРё РіР°С‡РєР°РјРё 6С‚,5,5Рј.,СЃСѓРјРѕС‡РєР° РїРѕР»С–РµС‚РёР».</t>
  </si>
  <si>
    <t>TR705</t>
  </si>
  <si>
    <t xml:space="preserve">CARLIFE  РўСЂРѕСЃ СЃС‚СЂС–С‡РєРѕРІРёР№, Р· РјРµС‚Р°Р»РµРІРёРјРё РіР°С‡РєР°РјРё 4,5С‚,5Рј.,СЃСѓРјРѕС‡РєР° </t>
  </si>
  <si>
    <t>TR705/P</t>
  </si>
  <si>
    <t>РўСЂРѕСЃ СЃС‚СЂС–С‡РєРѕРІРёР№, Р· РјРµС‚Р°Р»РµРІРёРјРё РіР°С‡РєР°РјРё 4,5С‚,5Рј.,СЃСѓРјРѕС‡РєР° РїРѕР»С–РµС‚РёР».</t>
  </si>
  <si>
    <t>98.73</t>
  </si>
  <si>
    <t>TR706</t>
  </si>
  <si>
    <t xml:space="preserve">CARLIFE  РўСЂРѕСЃ СЃС‚СЂС–С‡РєРѕРІРёР№, Р· РјРµС‚Р°Р»РµРІРёРјРё РіР°С‡РєР°РјРё 3С‚,5,5Рј.,Р±Р»С–СЃС‚РµСЂ </t>
  </si>
  <si>
    <t>TR706/P</t>
  </si>
  <si>
    <t xml:space="preserve">CARLIFE  РўСЂРѕСЃ СЃС‚СЂС–С‡РєРѕРІРёР№, Р· РјРµС‚Р°Р»РµРІРёРјРё РіР°С‡РєР°РјРё 3С‚,5,5Рј.,СЃСѓРјРѕС‡РєР° РїРѕР»С–РµС‚РёР». </t>
  </si>
  <si>
    <t>81.90</t>
  </si>
  <si>
    <t>TR707/P</t>
  </si>
  <si>
    <t xml:space="preserve">CARLIFE  РўСЂРѕСЃ СЃС‚СЂС–С‡РєРѕРІРёР№, Р· РјРµС‚Р°Р»РµРІРёРјРё РіР°С‡РєР°РјРё 8С‚,5,5Рј.,СЃСѓРјРѕС‡РєР° РїРѕР»С–РµС‚РёР». </t>
  </si>
  <si>
    <t>192.16</t>
  </si>
  <si>
    <t>Р‘РЎ 1-4</t>
  </si>
  <si>
    <t xml:space="preserve">Р‘Р•Р›РђР’РўРћ  РЎС‚СЏР¶РЅРёР№ СЂРµРјС–РЅСЊ, 1С‚ 4Рј, (40С€С‚.) </t>
  </si>
  <si>
    <t>Р‘РЎ 1-6</t>
  </si>
  <si>
    <t xml:space="preserve">Р‘Р•Р›РђР’РўРћ  РЎС‚СЏР¶РЅРёР№ СЂРµРјС–РЅСЊ, 1С‚ 6Рј, (35С€С‚.) </t>
  </si>
  <si>
    <t>93.76</t>
  </si>
  <si>
    <t>Р‘РЎ 15-5</t>
  </si>
  <si>
    <t xml:space="preserve">Р‘Р•Р›РђР’РўРћ  РЎС‚СЏР¶РЅРёР№ СЂРµРјС–РЅСЊ, 1,5С‚ 5Рј, (40С€С‚.) </t>
  </si>
  <si>
    <t>Р‘РЎ 15-7</t>
  </si>
  <si>
    <t xml:space="preserve">Р‘Р•Р›РђР’РўРћ  РЎС‚СЏР¶РЅРёР№ СЂРµРјС–РЅСЊ, 1,5С‚ 7Рј, (35С€С‚.) </t>
  </si>
  <si>
    <t>109.14</t>
  </si>
  <si>
    <t>Р‘РЎ 2-4</t>
  </si>
  <si>
    <t xml:space="preserve">Р‘Р•Р›РђР’РўРћ  РЎС‚СЏР¶РЅРёР№ СЂРµРјС–РЅСЊ, 2С‚ 4Рј, (30С€С‚.) </t>
  </si>
  <si>
    <t>Р‘РЎ 2-6</t>
  </si>
  <si>
    <t xml:space="preserve">Р‘Р•Р›РђР’РўРћ  РЎС‚СЏР¶РЅРёР№ СЂРµРјС–РЅСЊ, 2С‚ 6Рј, (25С€С‚.) </t>
  </si>
  <si>
    <t>136.55</t>
  </si>
  <si>
    <t>Р‘РЎ 2-8</t>
  </si>
  <si>
    <t xml:space="preserve">Р‘Р•Р›РђР’РўРћ  РЎС‚СЏР¶РЅРёР№ СЂРµРјС–РЅСЊ, 2С‚ 8Рј, (20С€С‚.) </t>
  </si>
  <si>
    <t>152.26</t>
  </si>
  <si>
    <t>Р‘РЎ 3-6</t>
  </si>
  <si>
    <t xml:space="preserve">Р‘Р•Р›РђР’РўРћ  РЎС‚СЏР¶РЅРёР№ СЂРµРјС–РЅСЊ, 3С‚ 6Рј, (20С€С‚.) </t>
  </si>
  <si>
    <t>184.15</t>
  </si>
  <si>
    <t>Р‘РЎ 3-8</t>
  </si>
  <si>
    <t xml:space="preserve">Р‘Р•Р›РђР’РўРћ  РЎС‚СЏР¶РЅРёР№ СЂРµРјС–РЅСЊ, 3С‚ 8Рј, (15С€С‚.) </t>
  </si>
  <si>
    <t>Р‘РЎ 5-12</t>
  </si>
  <si>
    <t xml:space="preserve">Р‘Р•Р›РђР’РўРћ  РЎС‚СЏР¶РЅРёР№ СЂРµРјС–РЅСЊ, 5С‚ 12Рј, (10С€С‚.) </t>
  </si>
  <si>
    <t>Р‘РЎ 5-14</t>
  </si>
  <si>
    <t xml:space="preserve">Р‘Р•Р›РђР’РўРћ  РЎС‚СЏР¶РЅРёР№ СЂРµРјС–РЅСЊ, 5С‚ 14Рј, (10С€С‚.) </t>
  </si>
  <si>
    <t>374.55</t>
  </si>
  <si>
    <t>Р‘Рў 45-5</t>
  </si>
  <si>
    <t xml:space="preserve">Р‘Р•Р›РђР’РўРћ  РўСЂРѕСЃ Р±СѓРєСЃРёСЂСѓРІР°Р»СЊРЅРёР№ СЃС‚СЂС–С‡РєРѕРІРёР№, 4,5С‚ 5Рј, (20С€С‚.) </t>
  </si>
  <si>
    <t>164.76</t>
  </si>
  <si>
    <t>Р‘Рў 65-6</t>
  </si>
  <si>
    <t xml:space="preserve">Р‘Р•Р›РђР’РўРћ  РўСЂРѕСЃ Р±СѓРєСЃРёСЂСѓРІР°Р»СЊРЅРёР№ СЃС‚СЂС–С‡РєРѕРІРёР№, 6,5С‚ 6Рј, (13С€С‚.) </t>
  </si>
  <si>
    <t>248.26</t>
  </si>
  <si>
    <t>Р‘Рў 80-6</t>
  </si>
  <si>
    <t xml:space="preserve">Р‘Р•Р›РђР’РўРћ  РўСЂРѕСЃ Р±СѓРєСЃРёСЂСѓРІР°Р»СЊРЅРёР№ СЃС‚СЂС–С‡РєРѕРІРёР№, 8С‚ 6Рј, (10С€С‚.) </t>
  </si>
  <si>
    <t>334.64</t>
  </si>
  <si>
    <t>РҐРѕРјСѓС‚Рё CarLife</t>
  </si>
  <si>
    <t>HC08-12</t>
  </si>
  <si>
    <t xml:space="preserve">CARLIFE  РҐРѕРјСѓС‚Рё  08-12,9mm, W1 (100С€С‚.) </t>
  </si>
  <si>
    <t>HC100-120</t>
  </si>
  <si>
    <t>CARLIFE  РҐРѕРјСѓС‚Рё  100-120,9mm, W1 (25С€С‚.)</t>
  </si>
  <si>
    <t>HC110-130</t>
  </si>
  <si>
    <t>CARLIFE  РҐРѕРјСѓС‚Рё  110-130,9mm, W1 (25С€С‚.)</t>
  </si>
  <si>
    <t>HC12-18</t>
  </si>
  <si>
    <t xml:space="preserve">CARLIFE  РҐРѕРјСѓС‚Рё  12-18,9mm, W1 (100С€С‚.) </t>
  </si>
  <si>
    <t>HC12-22</t>
  </si>
  <si>
    <t xml:space="preserve">CARLIFE  РҐРѕРјСѓС‚Рё  12-22,9mm, W1 (100С€С‚.) </t>
  </si>
  <si>
    <t>HC120-140</t>
  </si>
  <si>
    <t>CARLIFE  РҐРѕРјСѓС‚Рё  120-140,9mm, W1 (25С€С‚.)</t>
  </si>
  <si>
    <t>HC130-150</t>
  </si>
  <si>
    <t>CARLIFE  РҐРѕРјСѓС‚Рё  130-150,9mm, W1 (25С€С‚.)</t>
  </si>
  <si>
    <t>HC140-160</t>
  </si>
  <si>
    <t>CARLIFE  РҐРѕРјСѓС‚Рё  140-160,9mm, W1 (25С€С‚.)</t>
  </si>
  <si>
    <t>HC20-32</t>
  </si>
  <si>
    <t xml:space="preserve">CARLIFE  РҐРѕРјСѓС‚Рё  20-32,9mm, W1 (100С€С‚.) </t>
  </si>
  <si>
    <t>HC25-40</t>
  </si>
  <si>
    <t xml:space="preserve">CARLIFE  РҐРѕРјСѓС‚Рё  25-40,9mm, W1 (100С€С‚.) </t>
  </si>
  <si>
    <t>HC32-50</t>
  </si>
  <si>
    <t xml:space="preserve">CARLIFE  РҐРѕРјСѓС‚Рё  32-50,9mm, W1 (100С€С‚.) </t>
  </si>
  <si>
    <t>HC40-60</t>
  </si>
  <si>
    <t xml:space="preserve">CARLIFE  РҐРѕРјСѓС‚Рё  40-60,9mm, W1 (50С€С‚.) </t>
  </si>
  <si>
    <t>HC50-70</t>
  </si>
  <si>
    <t xml:space="preserve">CARLIFE  РҐРѕРјСѓС‚Рё  50-70,9mm, W1 (50С€С‚.) </t>
  </si>
  <si>
    <t>HC60-80</t>
  </si>
  <si>
    <t xml:space="preserve">CARLIFE  РҐРѕРјСѓС‚Рё  60-80,9mm, W1 (50С€С‚.) </t>
  </si>
  <si>
    <t>HC70-90</t>
  </si>
  <si>
    <t xml:space="preserve">CARLIFE  РҐРѕРјСѓС‚Рё  70-90,9mm, W1 (25С€С‚.) </t>
  </si>
  <si>
    <t>HC80-100</t>
  </si>
  <si>
    <t xml:space="preserve">CARLIFE  РҐРѕРјСѓС‚Рё  80-100,9mm, W1 (25С€С‚.) </t>
  </si>
  <si>
    <t>HC90-110</t>
  </si>
  <si>
    <t xml:space="preserve">CARLIFE  РҐРѕРјСѓС‚Рё  90-110,9mm, W1 (20С€С‚.) </t>
  </si>
  <si>
    <t>РҐРѕРјСѓС‚Рё K2 PRIMA</t>
  </si>
  <si>
    <t>P9 10-16</t>
  </si>
  <si>
    <t>PRIMA 10-16 С…РѕРјСѓС‚ СЃС‚Р°Р»СЊРЅРёР№ Р· СЂС–Р·СЊР±РѕСЋ</t>
  </si>
  <si>
    <t>P9 12-22</t>
  </si>
  <si>
    <t>PRIMA 12-22 С…РѕРјСѓС‚ СЃС‚Р°Р»СЊРЅРёР№ Р· СЂС–Р·СЊР±РѕСЋ</t>
  </si>
  <si>
    <t>P9 16-27</t>
  </si>
  <si>
    <t>PRIMA 16-27 С…РѕРјСѓС‚ СЃС‚Р°Р»СЊРЅРёР№ Р· СЂС–Р·СЊР±РѕСЋ</t>
  </si>
  <si>
    <t>P9 20-32</t>
  </si>
  <si>
    <t>PRIMA 20-32 С…РѕРјСѓС‚ СЃС‚Р°Р»СЊРЅРёР№ Р· СЂС–Р·СЊР±РѕСЋ</t>
  </si>
  <si>
    <t>P9 25-40</t>
  </si>
  <si>
    <t>PRIMA 25-40 С…РѕРјСѓС‚ СЃС‚Р°Р»СЊРЅРёР№ Р· СЂС–Р·СЊР±РѕСЋ</t>
  </si>
  <si>
    <t>P9 30-45</t>
  </si>
  <si>
    <t>PRIMA 30-45 С…РѕРјСѓС‚ СЃС‚Р°Р»СЊРЅРёР№ Р· СЂС–Р·СЊР±РѕСЋ</t>
  </si>
  <si>
    <t>P9 32-50</t>
  </si>
  <si>
    <t>PRIMA 32-50 С…РѕРјСѓС‚ СЃС‚Р°Р»СЊРЅРёР№ Р· СЂС–Р·СЊР±РѕСЋ</t>
  </si>
  <si>
    <t>P9 40-60</t>
  </si>
  <si>
    <t>PRIMA 40-60 С…РѕРјСѓС‚ СЃС‚Р°Р»СЊРЅРёР№ Р· СЂС–Р·СЊР±РѕСЋ</t>
  </si>
  <si>
    <t>P9 50-70</t>
  </si>
  <si>
    <t>PRIMA 50-70 С…РѕРјСѓС‚ СЃС‚Р°Р»СЊРЅРёР№ Р· СЂС–Р·СЊР±РѕСЋ</t>
  </si>
  <si>
    <t>P9 6-10</t>
  </si>
  <si>
    <t>PRIMA 06-10 С…РѕРјСѓС‚ СЃС‚Р°Р»СЊРЅРёР№ Р· СЂС–Р·СЊР±РѕСЋ</t>
  </si>
  <si>
    <t>P9 60-80</t>
  </si>
  <si>
    <t>PRIMA 60-80 С…РѕРјСѓС‚ СЃС‚Р°Р»СЊРЅРёР№ Р· СЂС–Р·СЊР±РѕСЋ</t>
  </si>
  <si>
    <t>P9 70-90</t>
  </si>
  <si>
    <t>PRIMA 70-90 С…РѕРјСѓС‚ СЃС‚Р°Р»СЊРЅРёР№ Р· СЂС–Р·СЊР±РѕСЋ</t>
  </si>
  <si>
    <t>P9 8-12</t>
  </si>
  <si>
    <t>PRIMA 08-12 С…РѕРјСѓС‚ СЃС‚Р°Р»СЊРЅРёР№ Р· СЂС–Р·СЊР±РѕСЋ</t>
  </si>
  <si>
    <t>P9 8-16</t>
  </si>
  <si>
    <t>PRIMA 08-16 С…РѕРјСѓС‚ СЃС‚Р°Р»СЊРЅРёР№ Р· СЂС–Р·СЊР±РѕСЋ</t>
  </si>
  <si>
    <t>P9 80-100</t>
  </si>
  <si>
    <t>PRIMA 80-100 С…РѕРјСѓС‚ СЃС‚Р°Р»СЊРЅРёР№ Р· СЂС–Р·СЊР±РѕСЋ</t>
  </si>
  <si>
    <t>P9 90-110</t>
  </si>
  <si>
    <t>PRIMA 90-110 С…РѕРјСѓС‚ СЃС‚Р°Р»СЊРЅРёР№ Р· СЂС–Р·СЊР±РѕСЋ</t>
  </si>
  <si>
    <t>РҐРѕРјСѓС‚Рё NORMA</t>
  </si>
  <si>
    <t xml:space="preserve">NORMA  РҐРѕРјСѓС‚Рё  12-18/9 C7 W1/I (1000С€С‚) </t>
  </si>
  <si>
    <t>NORMA</t>
  </si>
  <si>
    <t xml:space="preserve">NORMA  РҐРѕРјСѓС‚Рё  12-22/9 C7 W1/I (1000С€С‚) </t>
  </si>
  <si>
    <t xml:space="preserve">NORMA  РҐРѕРјСѓС‚Рё  20-32/9 C7 W1/I (1000С€С‚) </t>
  </si>
  <si>
    <t xml:space="preserve">NORMA  РҐРѕРјСѓС‚Рё  35-50/9 C7 W1/I (500С€С‚) </t>
  </si>
  <si>
    <t xml:space="preserve">NORMA  РҐРѕРјСѓС‚Рё  40-60/9 C7 W1/I (250С€С‚) </t>
  </si>
  <si>
    <t xml:space="preserve">NORMA  РҐРѕРјСѓС‚Рё  50-70/9 C7 W1/I (250С€С‚) </t>
  </si>
  <si>
    <t xml:space="preserve">NORMA  РҐРѕРјСѓС‚Рё  70-90/9 C7 W1/I (250С€С‚) </t>
  </si>
  <si>
    <t xml:space="preserve">NORMA  РҐРѕРјСѓС‚Рё  90-110/9 C7 W1/I (200С€С‚) </t>
  </si>
  <si>
    <t xml:space="preserve">NORMA  РҐРѕРјСѓС‚Рё   8-12/9 C7 W1 (100С€С‚) РѕС†РёРЅРє. </t>
  </si>
  <si>
    <t xml:space="preserve">NORMA  РҐРѕРјСѓС‚Рё  10-16/9 C7 W1 (100С€С‚) РѕС†РёРЅРє. </t>
  </si>
  <si>
    <t xml:space="preserve">NORMA  РҐРѕРјСѓС‚Рё  12-18/9 C7 W1 (100С€С‚) РѕС†РёРЅРє.. </t>
  </si>
  <si>
    <t xml:space="preserve">NORMA  РҐРѕРјСѓС‚Рё  12-22/9 C7 W1 (100С€С‚) РѕС†РёРЅРє.. </t>
  </si>
  <si>
    <t xml:space="preserve">NORMA  РҐРѕРјСѓС‚Рё  16-27/9 C7 W1 (100С€С‚) РѕС†РёРЅРє.. </t>
  </si>
  <si>
    <t xml:space="preserve">NORMA  РҐРѕРјСѓС‚Рё  20-32/9 C7 W1 (100С€С‚) РѕС†РёРЅРє </t>
  </si>
  <si>
    <t xml:space="preserve">NORMA  РҐРѕРјСѓС‚Рё  25-40/9 C7 W1 (100С€С‚) РѕС†РёРЅРє. </t>
  </si>
  <si>
    <t xml:space="preserve">NORMA  РҐРѕРјСѓС‚Рё  30-45/9 C7 W1 (100С€С‚) РѕС†РёРЅРє.. </t>
  </si>
  <si>
    <t xml:space="preserve">NORMA  РҐРѕРјСѓС‚Рё  35-50/9 C7 W1 (50С€С‚) РѕС†РёРЅРє.. </t>
  </si>
  <si>
    <t xml:space="preserve">NORMA  РҐРѕРјСѓС‚Рё  40-60/9 C7 W1 (50С€С‚) РѕС†РёРЅРє.. </t>
  </si>
  <si>
    <t xml:space="preserve">NORMA  РҐРѕРјСѓС‚Рё  50-70/9 C7 W1 (50С€С‚) РѕС†РёРЅРє.. </t>
  </si>
  <si>
    <t xml:space="preserve">NORMA  РҐРѕРјСѓС‚Рё  60-80/9 C7 W1 (25С€С‚) РѕС†РёРЅРє.. </t>
  </si>
  <si>
    <t xml:space="preserve">NORMA  РҐРѕРјСѓС‚Рё  70-90/9 C7 W1 (25С€С‚) </t>
  </si>
  <si>
    <t xml:space="preserve">NORMA  РҐРѕРјСѓС‚Рё  80-100/9 C7 W1 (25С€С‚) </t>
  </si>
  <si>
    <t xml:space="preserve">NORMA  РҐРѕРјСѓС‚Рё   8-16/9 C7 W2 (100С€С‚) РќР•Р Р–. </t>
  </si>
  <si>
    <t xml:space="preserve">NORMA  РҐРѕРјСѓС‚Рё  12-22/9 C7 W2 (100С€С‚) РќР•Р Р–. </t>
  </si>
  <si>
    <t xml:space="preserve">NORMA  РҐРѕРјСѓС‚Рё  16-27/9 C7 W2 (100С€С‚) РќР•Р Р– </t>
  </si>
  <si>
    <t xml:space="preserve">NORMA  РҐРѕРјСѓС‚Рё  20-32/9 C7 W2 (100С€С‚) РќР•Р Р– </t>
  </si>
  <si>
    <t xml:space="preserve">NORMA  РҐРѕРјСѓС‚Рё  25-40/9 C7 W2 (100С€С‚) РќР•Р Р– </t>
  </si>
  <si>
    <t xml:space="preserve">NORMA  РҐРѕРјСѓС‚Рё  30-45/9 C7 W2 (100С€С‚) РќР•Р Р– </t>
  </si>
  <si>
    <t xml:space="preserve">NORMA  РҐРѕРјСѓС‚Рё  40-60/9 C7 W2 (50С€С‚) РќР•Р Р– </t>
  </si>
  <si>
    <t xml:space="preserve">NORMA  РҐРѕРјСѓС‚Рё  50-70/9 C7 W2 (50С€С‚) РќР•Р Р– </t>
  </si>
  <si>
    <t xml:space="preserve">NORMA  РҐРѕРјСѓС‚Рё  60-80/9 C7 W2 (25С€С‚) </t>
  </si>
  <si>
    <t xml:space="preserve">NORMA  РҐРѕРјСѓС‚Рё  70-90/9 C7 W2 (25С€С‚) </t>
  </si>
  <si>
    <t xml:space="preserve">NORMA  РҐРѕРјСѓС‚Рё  80-100/9 C7 W2 (25С€С‚) </t>
  </si>
  <si>
    <t xml:space="preserve">NORMA  РҐРѕРјСѓС‚Рё  90-110/9 C7 W2 (25С€С‚) </t>
  </si>
  <si>
    <t>13.68</t>
  </si>
  <si>
    <t>РҐРѕРјСѓС‚Рё OETIKER</t>
  </si>
  <si>
    <t xml:space="preserve">OETIKER  РҐРѕРјСѓС‚Рё  РѕС†РёРЅРєРѕРІР°РЅС– 24,5-29,5РјРј.(7РјРј/0,75РјРј/10РјРј) </t>
  </si>
  <si>
    <t>OETIKER</t>
  </si>
  <si>
    <t xml:space="preserve">OETIKER  РҐРѕРјСѓС‚Рё  РѕС†РёРЅРєРѕРІР°РЅС– 24,5-29,5РјРј.(9РјРј/0,75РјРј/10РјРј) </t>
  </si>
  <si>
    <t xml:space="preserve">OETIKER  РҐРѕРјСѓС‚Рё  РѕС†РёРЅРєРѕРІР°РЅС– 85,5-122РјРј.(7РјРј/0,75РјРј/10РјРј) </t>
  </si>
  <si>
    <t xml:space="preserve">OETIKER  РҐРѕРјСѓС‚Рё  РѕС†РёРЅРєРѕРІР°РЅС– 85,5-122РјРј.(9РјРј/0,75РјРј/10РјРј) </t>
  </si>
  <si>
    <t xml:space="preserve">OETIKER  РҐРѕРјСѓС‚Рё  РѕС†РёРЅРєРѕРІР°РЅС– 29,5-36РјРј.(7РјРј/0,75РјРј/10РјРј) </t>
  </si>
  <si>
    <t xml:space="preserve">OETIKER  РҐРѕРјСѓС‚Рё  РѕС†РёРЅРєРѕРІР°РЅС– 29,5-36РјРј.(9РјРј/0,75РјРј/10РјРј) </t>
  </si>
  <si>
    <t xml:space="preserve">OETIKER  РҐРѕРјСѓС‚Рё  РѕС†РёРЅРєРѕРІР°РЅС– 36-45,5РјРј.(7РјРј/0,75РјРј/10РјРј) </t>
  </si>
  <si>
    <t xml:space="preserve">OETIKER  РҐРѕРјСѓС‚Рё  РѕС†РёРЅРєРѕРІР°РЅС– 36-45,5РјРј.(9РјРј/0,75РјРј/10РјРј) </t>
  </si>
  <si>
    <t>OETIKER  РҐРѕРјСѓС‚Рё  РѕС†РёРЅРєРѕРІР°РЅС– 45,5-61,5РјРј.(9РјРј/0,75РјРј/10РјРј)</t>
  </si>
  <si>
    <t xml:space="preserve">OETIKER  РҐРѕРјСѓС‚Рё  РѕС†РёРЅРєРѕРІР°РЅС– 61,5-85,5РјРј.(7РјРј/0,75РјРј/10РјРј) </t>
  </si>
  <si>
    <t xml:space="preserve">OETIKER  РҐРѕРјСѓС‚Рё  РѕС†РёРЅРєРѕРІР°РЅС– 61,5-85,5РјРј.(9РјРј/0,75РјРј/10РјРј) </t>
  </si>
  <si>
    <t xml:space="preserve">OETIKER  РҐРѕРјСѓС‚Рё  РЅРµСЂР¶Р°РІС–Р№РєР° 25-50РјРј.(7РјРј/0,8РјРј/10РјРј) (100С€С‚.) </t>
  </si>
  <si>
    <t xml:space="preserve">OETIKER  РҐРѕРјСѓС‚Рё  РЅРµСЂР¶Р°РІС–Р№РєР° 40-110РјРј.(7РјРј/0,8РјРј/10РјРј) (100С€С‚) </t>
  </si>
  <si>
    <t xml:space="preserve">OETIKER  РҐРѕРјСѓС‚Рё Mini R 1 6-11РјРј (5РјРј) РІ СЂРѕР·РєСЂРёС‚РѕРјСѓ СЃС‚Р°РЅС– (10/100С€С‚.) </t>
  </si>
  <si>
    <t xml:space="preserve">OETIKER  РљРѕРјРїР»РµРєС‚ С…РѕРјСѓС‚С–РІ  РЅРµСЂР¶Р°РІС–Р№РєР° 25-50РјРј.(10С€С‚)+40-110РјРј.(10С€С‚),(7РјРј/0,8РјРј/10РјРј) (50РєРѕРјРїР».) </t>
  </si>
  <si>
    <t>262.43</t>
  </si>
  <si>
    <t>РҐРѕРјСѓС‚Рё Profi</t>
  </si>
  <si>
    <t xml:space="preserve">PROFI  РҐРѕРјСѓС‚Рё  06-10,9mm, W2 (100С€С‚.) </t>
  </si>
  <si>
    <t>PROFI</t>
  </si>
  <si>
    <t xml:space="preserve">PROFI  РҐРѕРјСѓС‚Рё  08-12,9mm, W2 (100С€С‚.) </t>
  </si>
  <si>
    <t>10-16/W2</t>
  </si>
  <si>
    <t xml:space="preserve">PROFI  РҐРѕРјСѓС‚Рё  10-16,9mm, W2 (100С€С‚.) </t>
  </si>
  <si>
    <t>100-120/W2</t>
  </si>
  <si>
    <t>PROFI  РҐРѕРјСѓС‚Рё 100-120,9mm, W2 (25С€С‚.)</t>
  </si>
  <si>
    <t>110-130/W2</t>
  </si>
  <si>
    <t>PROFI  РҐРѕРјСѓС‚Рё 110-130,9mm, W2 (25С€С‚.)</t>
  </si>
  <si>
    <t>12-18/W2</t>
  </si>
  <si>
    <t xml:space="preserve">PROFI  РҐРѕРјСѓС‚Рё  12-18,9mm, W2 (100С€С‚.) </t>
  </si>
  <si>
    <t>12-22/W2</t>
  </si>
  <si>
    <t xml:space="preserve">PROFI  РҐРѕРјСѓС‚Рё  12-22,9mm, W2 (100С€С‚.) </t>
  </si>
  <si>
    <t>120-140/W2</t>
  </si>
  <si>
    <t>PROFI  РҐРѕРјСѓС‚Рё 120-140,9mm, W2 (25С€С‚.)</t>
  </si>
  <si>
    <t>130-150/W2</t>
  </si>
  <si>
    <t>PROFI  РҐРѕРјСѓС‚Рё 130-150,9mm, W2 (25С€С‚.)</t>
  </si>
  <si>
    <t>140-160/W2</t>
  </si>
  <si>
    <t>PROFI  РҐРѕРјСѓС‚Рё 140-160,9mm, W2 (25С€С‚.)</t>
  </si>
  <si>
    <t>16-27/W2</t>
  </si>
  <si>
    <t xml:space="preserve">PROFI  РҐРѕРјСѓС‚Рё  16-27,9mm, W2 (100С€С‚.) </t>
  </si>
  <si>
    <t>20-32/W2</t>
  </si>
  <si>
    <t xml:space="preserve">PROFI  РҐРѕРјСѓС‚Рё  20-32,9mm, W2 (100С€С‚.) </t>
  </si>
  <si>
    <t>25-40/W2</t>
  </si>
  <si>
    <t xml:space="preserve">PROFI  РҐРѕРјСѓС‚Рё  25-40,9mm, W2 (100С€С‚.) </t>
  </si>
  <si>
    <t>32-50/W2</t>
  </si>
  <si>
    <t xml:space="preserve">PROFI  РҐРѕРјСѓС‚Рё  32-50,9mm, W2 (50С€С‚.) </t>
  </si>
  <si>
    <t>40-60/W2</t>
  </si>
  <si>
    <t xml:space="preserve">PROFI  РҐРѕРјСѓС‚Рё  40-60,9mm, W2 (50С€С‚.) </t>
  </si>
  <si>
    <t>50-70/W2</t>
  </si>
  <si>
    <t xml:space="preserve">PROFI  РҐРѕРјСѓС‚Рё  50-70,9mm, W2 (50С€С‚.) </t>
  </si>
  <si>
    <t>60-80/W2</t>
  </si>
  <si>
    <t xml:space="preserve">PROFI  РҐРѕРјСѓС‚Рё  60-80,9mm, W2 (25С€С‚.) </t>
  </si>
  <si>
    <t>70-90/W2</t>
  </si>
  <si>
    <t xml:space="preserve">PROFI  РҐРѕРјСѓС‚Рё  70-90,9mm, W2 (25С€С‚.) </t>
  </si>
  <si>
    <t>80-100/W2</t>
  </si>
  <si>
    <t xml:space="preserve">PROFI  РҐРѕРјСѓС‚Рё  80-100,9mm, W2 (25С€С‚.) </t>
  </si>
  <si>
    <t>90-110/W2</t>
  </si>
  <si>
    <t xml:space="preserve">PROFI  РҐРѕРјСѓС‚Рё  90-110,9mm, W2 (25С€С‚.) </t>
  </si>
  <si>
    <t>РҐРѕРјСѓС‚Рё Р‘Р•Р›РђР’РўРћ</t>
  </si>
  <si>
    <t>B25100</t>
  </si>
  <si>
    <t xml:space="preserve">Р‘Р•Р›РђР’РўРћ  РҐРѕРјСѓС‚Рё  РїР»Р°СЃС‚РёРєРѕРІС– С‡РѕСЂРЅС– 2,5x100 (100С€С‚.) </t>
  </si>
  <si>
    <t>B25150</t>
  </si>
  <si>
    <t xml:space="preserve">Р‘Р•Р›РђР’РўРћ  РҐРѕРјСѓС‚Рё  РїР»Р°СЃС‚РёРєРѕРІС– С‡РѕСЂРЅС– 2,5x150 (100С€С‚.) </t>
  </si>
  <si>
    <t>B25200</t>
  </si>
  <si>
    <t xml:space="preserve">Р‘Р•Р›РђР’РўРћ  РҐРѕРјСѓС‚Рё  РїР»Р°СЃС‚РёРєРѕРІС– С‡РѕСЂРЅС– 2,5x200 (100С€С‚.) </t>
  </si>
  <si>
    <t>B36150</t>
  </si>
  <si>
    <t xml:space="preserve">Р‘Р•Р›РђР’РўРћ  РҐРѕРјСѓС‚Рё  РїР»Р°СЃС‚РёРєРѕРІС– С‡РѕСЂРЅС– 3.6x150 (100С€С‚.) </t>
  </si>
  <si>
    <t>16.99</t>
  </si>
  <si>
    <t>B36200</t>
  </si>
  <si>
    <t xml:space="preserve">Р‘Р•Р›РђР’РўРћ  РҐРѕРјСѓС‚Рё  РїР»Р°СЃС‚РёРєРѕРІС– С‡РѕСЂРЅС– 3.6x200 (100С€С‚.) </t>
  </si>
  <si>
    <t>B36300</t>
  </si>
  <si>
    <t xml:space="preserve">Р‘Р•Р›РђР’РўРћ  РҐРѕРјСѓС‚Рё  РїР»Р°СЃС‚РёРєРѕРІС– С‡РѕСЂРЅС– 3.6x300 (100С€С‚.) </t>
  </si>
  <si>
    <t>38.30</t>
  </si>
  <si>
    <t>B36370</t>
  </si>
  <si>
    <t xml:space="preserve">Р‘Р•Р›РђР’РўРћ  РҐРѕРјСѓС‚Рё  РїР»Р°СЃС‚РёРєРѕРІС– С‡РѕСЂРЅС– 3.6x370 (100С€С‚.) </t>
  </si>
  <si>
    <t>W25100</t>
  </si>
  <si>
    <t xml:space="preserve">Р‘Р•Р›РђР’РўРћ  РҐРѕРјСѓС‚Рё  РїР»Р°СЃС‚РёРєРѕРІС– Р±С–Р»С– 2,5x100 (100С€С‚.) </t>
  </si>
  <si>
    <t>W36200</t>
  </si>
  <si>
    <t xml:space="preserve">Р‘Р•Р›РђР’РўРћ  РҐРѕРјСѓС‚Рё  РїР»Р°СЃС‚РёРєРѕРІС– Р±С–Р»С– 3,6x200 (100С€С‚.) </t>
  </si>
  <si>
    <t>W36300</t>
  </si>
  <si>
    <t xml:space="preserve">Р‘Р•Р›РђР’РўРћ  РҐРѕРјСѓС‚Рё  РїР»Р°СЃС‚РёРєРѕРІС– Р±С–Р»С– 3,6x300 (100С€С‚.) </t>
  </si>
  <si>
    <t>W36370</t>
  </si>
  <si>
    <t xml:space="preserve">Р‘Р•Р›РђР’РўРћ  РҐРѕРјСѓС‚Рё  РїР»Р°СЃС‚РёРєРѕРІС– Р±С–Р»С– 3,6x370 (100С€С‚.) </t>
  </si>
  <si>
    <t>W48250</t>
  </si>
  <si>
    <t xml:space="preserve">Р‘Р•Р›РђР’РўРћ  РҐРѕРјСѓС‚Рё  РїР»Р°СЃС‚РёРєРѕРІС– Р±С–Р»С– 4.8x250 (100С€С‚.) </t>
  </si>
  <si>
    <t>W48300</t>
  </si>
  <si>
    <t xml:space="preserve">Р‘Р•Р›РђР’РўРћ  РҐРѕРјСѓС‚Рё  РїР»Р°СЃС‚РёРєРѕРІС– Р±С–Р»С– 4.8x300 (100С€С‚.) </t>
  </si>
  <si>
    <t>W48380</t>
  </si>
  <si>
    <t xml:space="preserve">Р‘Р•Р›РђР’РўРћ  РҐРѕРјСѓС‚Рё  РїР»Р°СЃС‚РёРєРѕРІС– Р±С–Р»С– 4.8x380 (100С€С‚.) </t>
  </si>
  <si>
    <t>РҐРѕРјСѓС‚Рё РїР»Р°СЃС‚РёРєРѕРІС–</t>
  </si>
  <si>
    <t>BL2.5x100</t>
  </si>
  <si>
    <t xml:space="preserve">CARLIFE  РҐРѕРјСѓС‚Рё РїР»Р°СЃС‚РёРєРѕРІС– С‡РѕСЂРЅС– 2,5x100 (100С€С‚.) </t>
  </si>
  <si>
    <t>BL2.5x150</t>
  </si>
  <si>
    <t xml:space="preserve">CARLIFE  РҐРѕРјСѓС‚Рё РїР»Р°СЃС‚РёРєРѕРІС– С‡РѕСЂРЅС– 2,5x150 (100С€С‚.) </t>
  </si>
  <si>
    <t>BL2.5x200</t>
  </si>
  <si>
    <t xml:space="preserve">CARLIFE  РҐРѕРјСѓС‚Рё РїР»Р°СЃС‚РёРєРѕРІС– С‡РѕСЂРЅС– 2,5x200 (100С€С‚.) </t>
  </si>
  <si>
    <t>BL3.6x150</t>
  </si>
  <si>
    <t xml:space="preserve">CARLIFE  РҐРѕРјСѓС‚Рё РїР»Р°СЃС‚РёРєРѕРІС– С‡РѕСЂРЅС– 3,6x150 (100С€С‚.) </t>
  </si>
  <si>
    <t>BL3.6x200</t>
  </si>
  <si>
    <t xml:space="preserve">CARLIFE  РҐРѕРјСѓС‚Рё РїР»Р°СЃС‚РёРєРѕРІС– С‡РѕСЂРЅС– 3,6x200 (100С€С‚.) </t>
  </si>
  <si>
    <t>BL3.6x300</t>
  </si>
  <si>
    <t xml:space="preserve">CARLIFE  РҐРѕРјСѓС‚Рё РїР»Р°СЃС‚РёРєРѕРІС– С‡РѕСЂРЅС– 3,6x300 (100С€С‚.) </t>
  </si>
  <si>
    <t>BL3.6x370</t>
  </si>
  <si>
    <t xml:space="preserve">CARLIFE  РҐРѕРјСѓС‚Рё РїР»Р°СЃС‚РёРєРѕРІС– С‡РѕСЂРЅС– 3,6x370 (100С€С‚.) </t>
  </si>
  <si>
    <t>BL4.8x250</t>
  </si>
  <si>
    <t xml:space="preserve">CARLIFE  РҐРѕРјСѓС‚Рё РїР»Р°СЃС‚РёРєРѕРІС– С‡РѕСЂРЅС– 4,8x250 (100С€С‚.) </t>
  </si>
  <si>
    <t>BL4.8x300</t>
  </si>
  <si>
    <t xml:space="preserve">CARLIFE  РҐРѕРјСѓС‚Рё РїР»Р°СЃС‚РёРєРѕРІС– С‡РѕСЂРЅС– 4,8x300 (100С€С‚.) </t>
  </si>
  <si>
    <t>47.44</t>
  </si>
  <si>
    <t>BL4.8x350</t>
  </si>
  <si>
    <t xml:space="preserve">CARLIFE  РҐРѕРјСѓС‚Рё РїР»Р°СЃС‚РёРєРѕРІС– С‡РѕСЂРЅС– 4,8x350 (100С€С‚.) </t>
  </si>
  <si>
    <t>BL4.8x380</t>
  </si>
  <si>
    <t xml:space="preserve">CARLIFE  РҐРѕРјСѓС‚Рё РїР»Р°СЃС‚РёРєРѕРІС– С‡РѕСЂРЅС– 4,8x380 (100С€С‚.) </t>
  </si>
  <si>
    <t>56.09</t>
  </si>
  <si>
    <t>BL4.8x400</t>
  </si>
  <si>
    <t xml:space="preserve">CARLIFE  РҐРѕРјСѓС‚Рё РїР»Р°СЃС‚РёРєРѕРІС– С‡РѕСЂРЅС– 4,8x400 (100С€С‚.) </t>
  </si>
  <si>
    <t>BL4.8x450</t>
  </si>
  <si>
    <t xml:space="preserve">CARLIFE  РҐРѕРјСѓС‚Рё РїР»Р°СЃС‚РёРєРѕРІС– С‡РѕСЂРЅС– 4,8x450 (100С€С‚.) </t>
  </si>
  <si>
    <t>BL7,6x300</t>
  </si>
  <si>
    <t xml:space="preserve">CARLIFE  РҐРѕРјСѓС‚Рё РїР»Р°СЃС‚РёРєРѕРІС– С‡РѕСЂРЅС– 7,6x300 (100С€С‚.) </t>
  </si>
  <si>
    <t>BL7,6x350</t>
  </si>
  <si>
    <t xml:space="preserve">CARLIFE  РҐРѕРјСѓС‚Рё РїР»Р°СЃС‚РёРєРѕРІС– С‡РѕСЂРЅС– 7,6x350 (100С€С‚.) </t>
  </si>
  <si>
    <t>BL7,6x400</t>
  </si>
  <si>
    <t xml:space="preserve">CARLIFE  РҐРѕРјСѓС‚Рё РїР»Р°СЃС‚РёРєРѕРІС– С‡РѕСЂРЅС– 7,6x400 (100С€С‚.) </t>
  </si>
  <si>
    <t>121.00</t>
  </si>
  <si>
    <t>BL7,6x450</t>
  </si>
  <si>
    <t xml:space="preserve">CARLIFE  РҐРѕРјСѓС‚Рё РїР»Р°СЃС‚РёРєРѕРІС– С‡РѕСЂРЅС– 7,6x450 (100С€С‚.) </t>
  </si>
  <si>
    <t>135.59</t>
  </si>
  <si>
    <t>BL7,6x500</t>
  </si>
  <si>
    <t xml:space="preserve">CARLIFE  РҐРѕРјСѓС‚Рё РїР»Р°СЃС‚РёРєРѕРІС– С‡РѕСЂРЅС– 7,6x500 (100С€С‚.) </t>
  </si>
  <si>
    <t>BL7,6x750</t>
  </si>
  <si>
    <t xml:space="preserve">CARLIFE  РҐРѕРјСѓС‚Рё РїР»Р°СЃС‚РёРєРѕРІС– С‡РѕСЂРЅС– 7,6x750 (100С€С‚.) </t>
  </si>
  <si>
    <t>193.93</t>
  </si>
  <si>
    <t>W2.5x100</t>
  </si>
  <si>
    <t xml:space="preserve">CARLIFE  РҐРѕРјСѓС‚Рё РїР»Р°СЃС‚РёРєРѕРІС– Р±С–Р»С– 2,5x100 (100С€С‚.) </t>
  </si>
  <si>
    <t>W2.5x150</t>
  </si>
  <si>
    <t xml:space="preserve">CARLIFE  РҐРѕРјСѓС‚Рё РїР»Р°СЃС‚РёРєРѕРІС– Р±С–Р»С– 2,5x150 (100С€С‚.) </t>
  </si>
  <si>
    <t>W2.5x200</t>
  </si>
  <si>
    <t xml:space="preserve">CARLIFE  РҐРѕРјСѓС‚Рё РїР»Р°СЃС‚РёРєРѕРІС– Р±С–Р»С– 2,5x200 (100С€С‚.) </t>
  </si>
  <si>
    <t>W3.6x150</t>
  </si>
  <si>
    <t xml:space="preserve">CARLIFE  РҐРѕРјСѓС‚Рё РїР»Р°СЃС‚РёРєРѕРІС– Р±С–Р»С– 3,6x150 (100С€С‚.) </t>
  </si>
  <si>
    <t>16.19</t>
  </si>
  <si>
    <t>W3.6x200</t>
  </si>
  <si>
    <t xml:space="preserve">CARLIFE  РҐРѕРјСѓС‚Рё РїР»Р°СЃС‚РёРєРѕРІС– Р±С–Р»С– 3,6x200 (100С€С‚.) </t>
  </si>
  <si>
    <t>22.44</t>
  </si>
  <si>
    <t>W3.6x300</t>
  </si>
  <si>
    <t xml:space="preserve">CARLIFE  РҐРѕРјСѓС‚Рё РїР»Р°СЃС‚РёРєРѕРІС– Р±С–Р»С– 3,6x300 (100С€С‚.) </t>
  </si>
  <si>
    <t>W3.6x370</t>
  </si>
  <si>
    <t xml:space="preserve">CARLIFE  РҐРѕРјСѓС‚Рё РїР»Р°СЃС‚РёРєРѕРІС– Р±С–Р»С– 3,6x370 (100С€С‚.) </t>
  </si>
  <si>
    <t>W4.8x250</t>
  </si>
  <si>
    <t xml:space="preserve">CARLIFE  РҐРѕРјСѓС‚Рё РїР»Р°СЃС‚РёРєРѕРІС– Р±С–Р»С– 4,8x250 (100С€С‚.) </t>
  </si>
  <si>
    <t>W4.8x300</t>
  </si>
  <si>
    <t xml:space="preserve">CARLIFE  РҐРѕРјСѓС‚Рё РїР»Р°СЃС‚РёРєРѕРІС– Р±С–Р»С– 4,8x300 (100С€С‚.) </t>
  </si>
  <si>
    <t>W4.8x350</t>
  </si>
  <si>
    <t xml:space="preserve">CARLIFE  РҐРѕРјСѓС‚Рё РїР»Р°СЃС‚РёРєРѕРІС– Р±С–Р»С– 4,8x350 (100С€С‚.) </t>
  </si>
  <si>
    <t>W4.8x380</t>
  </si>
  <si>
    <t xml:space="preserve">CARLIFE  РҐРѕРјСѓС‚Рё РїР»Р°СЃС‚РёРєРѕРІС– Р±С–Р»С– 4,8x380 (100С€С‚.) </t>
  </si>
  <si>
    <t>W4.8x400</t>
  </si>
  <si>
    <t xml:space="preserve">CARLIFE  РҐРѕРјСѓС‚Рё РїР»Р°СЃС‚РёРєРѕРІС– Р±С–Р»С– 4,8x400 (100С€С‚.) </t>
  </si>
  <si>
    <t>W4.8x450</t>
  </si>
  <si>
    <t xml:space="preserve">CARLIFE  РҐРѕРјСѓС‚Рё РїР»Р°СЃС‚РёРєРѕРІС– Р±С–Р»С– 4,8x450 (100С€С‚.) </t>
  </si>
  <si>
    <t>W7.6x300</t>
  </si>
  <si>
    <t xml:space="preserve">CARLIFE  РҐРѕРјСѓС‚Рё РїР»Р°СЃС‚РёРєРѕРІС– Р±С–Р»С– 7.6x300 (100С€С‚.) </t>
  </si>
  <si>
    <t>W7.6x350</t>
  </si>
  <si>
    <t xml:space="preserve">CARLIFE  РҐРѕРјСѓС‚Рё РїР»Р°СЃС‚РёРєРѕРІС– Р±С–Р»С– 7.6x350 (100С€С‚.) </t>
  </si>
  <si>
    <t>W7.6x400</t>
  </si>
  <si>
    <t xml:space="preserve">CARLIFE  РҐРѕРјСѓС‚Рё РїР»Р°СЃС‚РёРєРѕРІС– Р±С–Р»С– 7.6x400 (100С€С‚.) </t>
  </si>
  <si>
    <t>121.16</t>
  </si>
  <si>
    <t>W7.6x450</t>
  </si>
  <si>
    <t xml:space="preserve">CARLIFE  РҐРѕРјСѓС‚Рё РїР»Р°СЃС‚РёРєРѕРІС– Р±С–Р»С– 7.6x450 (100С€С‚.) </t>
  </si>
  <si>
    <t>W7.6x500</t>
  </si>
  <si>
    <t xml:space="preserve">CARLIFE  РҐРѕРјСѓС‚Рё РїР»Р°СЃС‚РёРєРѕРІС– Р±С–Р»С– 7.6x500 (100С€С‚.) </t>
  </si>
  <si>
    <t>W7.6x750</t>
  </si>
  <si>
    <t xml:space="preserve">CARLIFE  РҐРѕРјСѓС‚Рё РїР»Р°СЃС‚РёРєРѕРІС– Р±С–Р»С– 7.6x750 (100С€С‚.) </t>
  </si>
  <si>
    <t>Р§РѕС…Р»Рё, РјР°Р№РєРё СЃРёРґС–РЅРЅСЏ, СЃСѓРјРєРё</t>
  </si>
  <si>
    <t>BELTEX РњР°Р№РєРё СѓРЅС–РІРµСЂСЃР°Р»  Cotton СЃС–СЂРёР№,Рє-С‚ 2С€С‚.РЅР° РїРµСЂРµРґРЅС– СЃРёРґС–РЅРЅСЏ Р±РµР· РїС–РґРіРѕР»РѕРІРЅРёРєС–РІ</t>
  </si>
  <si>
    <t>212.52</t>
  </si>
  <si>
    <t>BELTEX</t>
  </si>
  <si>
    <t>BELTEX РњР°Р№РєРё СѓРЅС–РІРµСЂСЃР°Р»  Cotton С‡РѕСЂРЅРёР№,Рє-С‚ 2С€С‚.РЅР° РїРµСЂРµРґРЅС– СЃРёРґС–РЅРЅСЏ Р±РµР· РїС–РґРіРѕР»РѕРІРЅРёРєС–РІ</t>
  </si>
  <si>
    <t>BELTEX РњР°Р№РєРё СѓРЅС–РІРµСЂСЃР°Р»  Cotton СЃРёРЅС–Р№,Рє-С‚ 2С€С‚.РЅР° РїРµСЂРµРґРЅС– СЃРёРґС–РЅРЅСЏ Р±РµР· РїС–РґРіРѕР»РѕРІРЅРёРєС–РІ</t>
  </si>
  <si>
    <t>BELTEX РњР°Р№РєРё СѓРЅС–РІРµСЂСЃР°Р»  Cotton РіСЂР°С„С–С‚,Рє-С‚ 2С€С‚.РЅР° РїРµСЂРµРґРЅС– СЃРёРґС–РЅРЅСЏ Р±РµР· РїС–РґРіРѕР»РѕРІРЅРёРєС–РІ</t>
  </si>
  <si>
    <t xml:space="preserve">BELTEX  РњР°Р№РєРё СѓРЅС–РІРµСЂСЃР°Р» Beltex Polo СЃС–СЂРёР№,РєРѕРјРїР»РµРєС‚ 2С€С‚.РЅР° РїРµСЂРµРґРЅС– СЃРёРґС–РЅРЅСЏ, Р±РµР· РїС–РґРіРѕР»РѕРІРЅРёРєС–РІ </t>
  </si>
  <si>
    <t xml:space="preserve">BELTEX  РњР°Р№РєРё СѓРЅС–РІРµСЂСЃР°Р» Beltex Polo СЃРёРЅС–Р№,РєРѕРјРїР»РµРєС‚ 2С€С‚.РЅР° РїРµСЂРµРґРЅС– СЃРёРґС–РЅРЅСЏ, Р±РµР· РїС–РґРіРѕР»РѕРІРЅРёРєС–РІ </t>
  </si>
  <si>
    <t xml:space="preserve">BELTEX  РњР°Р№РєРё СѓРЅС–РІРµСЂСЃР°Р» Beltex Polo С‡РµСЂРІРѕРЅРёР№,РєРѕРјРїР»РµРєС‚ 2С€С‚.РЅР° РїРµСЂРµРґРЅС– СЃРёРґС–РЅРЅСЏ, Р±РµР· РїС–РґРіРѕР»РѕРІРЅРёРєС–РІ </t>
  </si>
  <si>
    <t>BELTEX РњР°Р№РєРё СѓРЅС–РІРµСЂСЃР°Р»  Polo С‡РµСЂРІРѕРЅРёР№,РєРѕРјРїР»РµРєС‚ 2С€С‚.РЅР° Р·Р°РґРЅС– СЃРёРґС–РЅРЅСЏ, Р±РµР· РїС–РґРіРѕР»РѕРІРЅРёРєС–РІ</t>
  </si>
  <si>
    <t>214.12</t>
  </si>
  <si>
    <t>BELTEX  РЎРёРіРЅР°Р»СЊРЅРёР№ Р¶РёР»РµС‚, XL,Р·РµР».</t>
  </si>
  <si>
    <t>BELTEX  РЎРёРіРЅР°Р»СЊРЅРёР№ Р¶РёР»РµС‚, XL,РѕСЂР°РЅР¶.</t>
  </si>
  <si>
    <t>BELTEX  РЎРёРіРЅР°Р»СЊРЅРёР№ Р¶РёР»РµС‚, XXL,,Р·РµР».</t>
  </si>
  <si>
    <t>BELTEX  РЎРёРіРЅР°Р»СЊРЅРёР№ Р¶РёР»РµС‚, XXL,РѕСЂР°РЅР¶.</t>
  </si>
  <si>
    <t>РЁС‚РѕСЂРєРё СЃРѕРЅС†РµР·Р°С…РёСЃРЅС–</t>
  </si>
  <si>
    <t>SS044</t>
  </si>
  <si>
    <t xml:space="preserve">CARLIFE  РЁС‚РѕСЂРєРё СЃРѕРЅС†РµР·Р°С…РёСЃРЅС–, Р±РѕРєРѕРІС– 44С…38 СЃРј., 2С€С‚. </t>
  </si>
  <si>
    <t>19.23</t>
  </si>
  <si>
    <t>SS065</t>
  </si>
  <si>
    <t xml:space="preserve">CARLIFE  РЁС‚РѕСЂРєРё СЃРѕРЅС†РµР·Р°С…РёСЃРЅС–, Р±РѕРєРѕРІС– 65x38СЃРј.,2С€С‚. </t>
  </si>
  <si>
    <t>29.17</t>
  </si>
  <si>
    <t>SS090</t>
  </si>
  <si>
    <t xml:space="preserve">CARLIFE  РЁС‚РѕСЂРєР° СЃРѕРЅС†РµР·Р°С…РёСЃРЅР°, РЅР° СЂРѕР»РµС‚С– 90С…57 СЃРј. 1С€С‚. </t>
  </si>
  <si>
    <t>105.30</t>
  </si>
  <si>
    <t>SS100</t>
  </si>
  <si>
    <t xml:space="preserve">CARLIFE  РЁС‚РѕСЂРєР° СЃРѕРЅС†РµР·Р°С…РёСЃРЅР°, РЅР° СЂРѕР»РµС‚С– 100С…57 СЃРј. 1С€С‚. </t>
  </si>
  <si>
    <t>119.72</t>
  </si>
  <si>
    <t>SS110</t>
  </si>
  <si>
    <t xml:space="preserve">CARLIFE  РЁС‚РѕСЂРєР° СЃРѕРЅС†РµР·Р°С…РёСЃРЅР°, РЅР° СЂРѕР»РµС‚С– 110С…57 СЃРј. 1С€С‚. </t>
  </si>
  <si>
    <t>SS130</t>
  </si>
  <si>
    <t xml:space="preserve">CARLIFE  РЁС‚РѕСЂРєР° СЃРѕРЅС†РµР·Р°С…РёСЃРЅР°, Р»РѕР±РѕРІР° 130С…60 СЃРј.,СЃСЂС–Р±РЅР° </t>
  </si>
  <si>
    <t>30.77</t>
  </si>
  <si>
    <t>SS145</t>
  </si>
  <si>
    <t xml:space="preserve">CARLIFE  РЁС‚РѕСЂРєР° СЃРѕРЅС†РµР·Р°С…РёСЃРЅР°, Р»РѕР±РѕРІР° 145С…70 СЃРј., СЃСЂС–Р±РЅР° </t>
  </si>
  <si>
    <t>42.15</t>
  </si>
  <si>
    <t>SS150</t>
  </si>
  <si>
    <t xml:space="preserve">CARLIFE  РЁС‚РѕСЂРєР° СЃРѕРЅС†РµР·Р°С…РёСЃРЅР°, Р»РѕР±РѕРІР° 150С…80 СЃРј, СЃСЂС–Р±РЅР°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</si>
</sst>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0" fillId="0" borderId="0" xfId="0" applyNumberFormat="1"/>
    <xf numFmtId="17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223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tr">
        <f>"0019486 "</f>
        <v xml:space="preserve">0019486 </v>
      </c>
      <c r="B2" t="s">
        <v>9</v>
      </c>
      <c r="C2" t="s">
        <v>10</v>
      </c>
      <c r="D2" t="s">
        <v>11</v>
      </c>
      <c r="E2">
        <v>5</v>
      </c>
      <c r="F2" t="s">
        <v>12</v>
      </c>
      <c r="G2" t="s">
        <v>13</v>
      </c>
      <c r="H2" t="s">
        <v>10</v>
      </c>
      <c r="I2">
        <v>12</v>
      </c>
    </row>
    <row r="3" spans="1:9">
      <c r="A3" t="str">
        <f>"0019488 "</f>
        <v xml:space="preserve">0019488 </v>
      </c>
      <c r="B3" t="s">
        <v>9</v>
      </c>
      <c r="C3" t="s">
        <v>14</v>
      </c>
      <c r="D3" t="s">
        <v>15</v>
      </c>
      <c r="E3" t="s">
        <v>16</v>
      </c>
      <c r="F3" t="s">
        <v>17</v>
      </c>
      <c r="G3" t="s">
        <v>13</v>
      </c>
      <c r="H3" t="s">
        <v>14</v>
      </c>
      <c r="I3">
        <v>12</v>
      </c>
    </row>
    <row r="4" spans="1:9">
      <c r="A4" t="str">
        <f>"0019484 "</f>
        <v xml:space="preserve">0019484 </v>
      </c>
      <c r="B4" t="s">
        <v>9</v>
      </c>
      <c r="C4" t="s">
        <v>18</v>
      </c>
      <c r="D4" t="s">
        <v>19</v>
      </c>
      <c r="E4" t="s">
        <v>16</v>
      </c>
      <c r="F4" t="s">
        <v>20</v>
      </c>
      <c r="G4" t="s">
        <v>13</v>
      </c>
      <c r="H4" t="s">
        <v>18</v>
      </c>
      <c r="I4">
        <v>12</v>
      </c>
    </row>
    <row r="5" spans="1:9">
      <c r="A5" t="str">
        <f>"0019494 "</f>
        <v xml:space="preserve">0019494 </v>
      </c>
      <c r="B5" t="s">
        <v>9</v>
      </c>
      <c r="C5" t="s">
        <v>21</v>
      </c>
      <c r="D5" t="s">
        <v>22</v>
      </c>
      <c r="E5" t="s">
        <v>16</v>
      </c>
      <c r="F5" t="s">
        <v>23</v>
      </c>
      <c r="G5" t="s">
        <v>13</v>
      </c>
      <c r="H5" t="s">
        <v>21</v>
      </c>
      <c r="I5">
        <v>12</v>
      </c>
    </row>
    <row r="6" spans="1:9">
      <c r="A6" t="str">
        <f>"0019485 "</f>
        <v xml:space="preserve">0019485 </v>
      </c>
      <c r="B6" t="s">
        <v>9</v>
      </c>
      <c r="C6" t="s">
        <v>24</v>
      </c>
      <c r="D6" t="s">
        <v>25</v>
      </c>
      <c r="E6">
        <v>4</v>
      </c>
      <c r="F6" t="s">
        <v>26</v>
      </c>
      <c r="G6" t="s">
        <v>13</v>
      </c>
      <c r="H6" t="s">
        <v>24</v>
      </c>
      <c r="I6">
        <v>12</v>
      </c>
    </row>
    <row r="7" spans="1:9">
      <c r="A7" t="str">
        <f>"0019493 "</f>
        <v xml:space="preserve">0019493 </v>
      </c>
      <c r="B7" t="s">
        <v>9</v>
      </c>
      <c r="C7" t="s">
        <v>27</v>
      </c>
      <c r="D7" t="s">
        <v>28</v>
      </c>
      <c r="E7" t="s">
        <v>16</v>
      </c>
      <c r="F7" t="s">
        <v>20</v>
      </c>
      <c r="G7" t="s">
        <v>13</v>
      </c>
      <c r="H7" t="s">
        <v>27</v>
      </c>
      <c r="I7">
        <v>12</v>
      </c>
    </row>
    <row r="8" spans="1:9">
      <c r="A8" t="str">
        <f>"0019482 "</f>
        <v xml:space="preserve">0019482 </v>
      </c>
      <c r="B8" t="s">
        <v>9</v>
      </c>
      <c r="C8" t="s">
        <v>29</v>
      </c>
      <c r="D8" t="s">
        <v>30</v>
      </c>
      <c r="E8">
        <v>3</v>
      </c>
      <c r="F8" t="s">
        <v>31</v>
      </c>
      <c r="G8" t="s">
        <v>13</v>
      </c>
      <c r="H8" t="s">
        <v>29</v>
      </c>
      <c r="I8">
        <v>12</v>
      </c>
    </row>
    <row r="9" spans="1:9">
      <c r="A9" t="str">
        <f>"0019512 "</f>
        <v xml:space="preserve">0019512 </v>
      </c>
      <c r="B9" t="s">
        <v>9</v>
      </c>
      <c r="C9" t="s">
        <v>32</v>
      </c>
      <c r="D9" t="s">
        <v>33</v>
      </c>
      <c r="E9" t="s">
        <v>16</v>
      </c>
      <c r="F9" t="s">
        <v>34</v>
      </c>
      <c r="G9" t="s">
        <v>13</v>
      </c>
      <c r="H9" t="s">
        <v>32</v>
      </c>
      <c r="I9">
        <v>12</v>
      </c>
    </row>
    <row r="10" spans="1:9">
      <c r="A10" t="str">
        <f>"0019865 "</f>
        <v xml:space="preserve">0019865 </v>
      </c>
      <c r="B10" t="s">
        <v>9</v>
      </c>
      <c r="C10" t="s">
        <v>35</v>
      </c>
      <c r="D10" t="s">
        <v>36</v>
      </c>
      <c r="E10">
        <v>4</v>
      </c>
      <c r="F10" s="1">
        <v>42849</v>
      </c>
      <c r="G10" t="s">
        <v>13</v>
      </c>
      <c r="H10" t="s">
        <v>35</v>
      </c>
      <c r="I10">
        <v>12</v>
      </c>
    </row>
    <row r="11" spans="1:9">
      <c r="A11" t="str">
        <f>"0019867 "</f>
        <v xml:space="preserve">0019867 </v>
      </c>
      <c r="B11" t="s">
        <v>9</v>
      </c>
      <c r="C11" t="s">
        <v>37</v>
      </c>
      <c r="D11" t="s">
        <v>38</v>
      </c>
      <c r="E11" t="s">
        <v>16</v>
      </c>
      <c r="F11" t="s">
        <v>39</v>
      </c>
      <c r="G11" t="s">
        <v>13</v>
      </c>
      <c r="H11" t="s">
        <v>37</v>
      </c>
      <c r="I11">
        <v>12</v>
      </c>
    </row>
    <row r="12" spans="1:9">
      <c r="A12" t="str">
        <f>"0019869 "</f>
        <v xml:space="preserve">0019869 </v>
      </c>
      <c r="B12" t="s">
        <v>9</v>
      </c>
      <c r="C12" t="s">
        <v>40</v>
      </c>
      <c r="D12" t="s">
        <v>41</v>
      </c>
      <c r="E12">
        <v>2</v>
      </c>
      <c r="F12" t="s">
        <v>42</v>
      </c>
      <c r="G12" t="s">
        <v>13</v>
      </c>
      <c r="H12" t="s">
        <v>40</v>
      </c>
      <c r="I12">
        <v>12</v>
      </c>
    </row>
    <row r="13" spans="1:9">
      <c r="A13" t="str">
        <f>"0159341 "</f>
        <v xml:space="preserve">0159341 </v>
      </c>
      <c r="B13" t="s">
        <v>9</v>
      </c>
      <c r="C13" t="s">
        <v>43</v>
      </c>
      <c r="D13" t="s">
        <v>44</v>
      </c>
      <c r="E13">
        <v>3</v>
      </c>
      <c r="F13" t="s">
        <v>45</v>
      </c>
      <c r="G13" t="s">
        <v>13</v>
      </c>
      <c r="H13" t="s">
        <v>43</v>
      </c>
      <c r="I13">
        <v>12</v>
      </c>
    </row>
    <row r="14" spans="1:9">
      <c r="A14" t="str">
        <f>"0019569 "</f>
        <v xml:space="preserve">0019569 </v>
      </c>
      <c r="B14" t="s">
        <v>9</v>
      </c>
      <c r="C14" t="s">
        <v>46</v>
      </c>
      <c r="D14" t="s">
        <v>47</v>
      </c>
      <c r="E14">
        <v>5</v>
      </c>
      <c r="F14" t="s">
        <v>48</v>
      </c>
      <c r="G14" t="s">
        <v>13</v>
      </c>
      <c r="H14" t="s">
        <v>46</v>
      </c>
      <c r="I14">
        <v>12</v>
      </c>
    </row>
    <row r="15" spans="1:9">
      <c r="A15" t="str">
        <f>"0019568 "</f>
        <v xml:space="preserve">0019568 </v>
      </c>
      <c r="B15" t="s">
        <v>9</v>
      </c>
      <c r="C15" t="s">
        <v>49</v>
      </c>
      <c r="D15" t="s">
        <v>50</v>
      </c>
      <c r="E15" t="s">
        <v>16</v>
      </c>
      <c r="F15" t="s">
        <v>48</v>
      </c>
      <c r="G15" t="s">
        <v>13</v>
      </c>
      <c r="H15" t="s">
        <v>49</v>
      </c>
      <c r="I15">
        <v>12</v>
      </c>
    </row>
    <row r="16" spans="1:9">
      <c r="A16" t="str">
        <f>"0019592 "</f>
        <v xml:space="preserve">0019592 </v>
      </c>
      <c r="B16" t="s">
        <v>9</v>
      </c>
      <c r="C16" t="s">
        <v>51</v>
      </c>
      <c r="D16" t="s">
        <v>52</v>
      </c>
      <c r="E16">
        <v>3</v>
      </c>
      <c r="F16" t="s">
        <v>53</v>
      </c>
      <c r="G16" t="s">
        <v>13</v>
      </c>
      <c r="H16" t="s">
        <v>51</v>
      </c>
      <c r="I16">
        <v>12</v>
      </c>
    </row>
    <row r="17" spans="1:9">
      <c r="A17" t="str">
        <f>"0019524 "</f>
        <v xml:space="preserve">0019524 </v>
      </c>
      <c r="B17" t="s">
        <v>9</v>
      </c>
      <c r="C17" t="s">
        <v>54</v>
      </c>
      <c r="D17" t="s">
        <v>55</v>
      </c>
      <c r="E17" t="s">
        <v>16</v>
      </c>
      <c r="F17" t="s">
        <v>56</v>
      </c>
      <c r="G17" t="s">
        <v>13</v>
      </c>
      <c r="H17" t="s">
        <v>54</v>
      </c>
      <c r="I17">
        <v>12</v>
      </c>
    </row>
    <row r="18" spans="1:9">
      <c r="A18" t="str">
        <f>"0019525 "</f>
        <v xml:space="preserve">0019525 </v>
      </c>
      <c r="B18" t="s">
        <v>9</v>
      </c>
      <c r="C18" t="s">
        <v>57</v>
      </c>
      <c r="D18" t="s">
        <v>58</v>
      </c>
      <c r="E18" t="s">
        <v>16</v>
      </c>
      <c r="F18" t="s">
        <v>59</v>
      </c>
      <c r="G18" t="s">
        <v>13</v>
      </c>
      <c r="H18" t="s">
        <v>57</v>
      </c>
      <c r="I18">
        <v>12</v>
      </c>
    </row>
    <row r="19" spans="1:9">
      <c r="A19" t="str">
        <f>"0019588 "</f>
        <v xml:space="preserve">0019588 </v>
      </c>
      <c r="B19" t="s">
        <v>9</v>
      </c>
      <c r="C19" t="s">
        <v>60</v>
      </c>
      <c r="D19" t="s">
        <v>61</v>
      </c>
      <c r="E19">
        <v>4</v>
      </c>
      <c r="F19" t="s">
        <v>62</v>
      </c>
      <c r="G19" t="s">
        <v>13</v>
      </c>
      <c r="H19" t="s">
        <v>60</v>
      </c>
      <c r="I19">
        <v>12</v>
      </c>
    </row>
    <row r="20" spans="1:9">
      <c r="A20" t="str">
        <f>"0019802 "</f>
        <v xml:space="preserve">0019802 </v>
      </c>
      <c r="B20" t="s">
        <v>9</v>
      </c>
      <c r="C20" t="s">
        <v>63</v>
      </c>
      <c r="D20" t="s">
        <v>64</v>
      </c>
      <c r="E20">
        <v>2</v>
      </c>
      <c r="F20" t="s">
        <v>48</v>
      </c>
      <c r="G20" t="s">
        <v>13</v>
      </c>
      <c r="H20" t="s">
        <v>63</v>
      </c>
      <c r="I20">
        <v>12</v>
      </c>
    </row>
    <row r="21" spans="1:9">
      <c r="A21" t="str">
        <f>"0019457 "</f>
        <v xml:space="preserve">0019457 </v>
      </c>
      <c r="B21" t="s">
        <v>9</v>
      </c>
      <c r="C21" t="s">
        <v>65</v>
      </c>
      <c r="D21" t="s">
        <v>66</v>
      </c>
      <c r="E21" t="s">
        <v>16</v>
      </c>
      <c r="F21" t="s">
        <v>67</v>
      </c>
      <c r="G21" t="s">
        <v>13</v>
      </c>
      <c r="H21" t="s">
        <v>65</v>
      </c>
      <c r="I21">
        <v>12</v>
      </c>
    </row>
    <row r="22" spans="1:9">
      <c r="A22" t="str">
        <f>"0019456 "</f>
        <v xml:space="preserve">0019456 </v>
      </c>
      <c r="B22" t="s">
        <v>9</v>
      </c>
      <c r="C22" t="s">
        <v>68</v>
      </c>
      <c r="D22" t="s">
        <v>69</v>
      </c>
      <c r="E22" t="s">
        <v>16</v>
      </c>
      <c r="F22" t="s">
        <v>70</v>
      </c>
      <c r="G22" t="s">
        <v>13</v>
      </c>
      <c r="H22" t="s">
        <v>68</v>
      </c>
      <c r="I22">
        <v>12</v>
      </c>
    </row>
    <row r="23" spans="1:9">
      <c r="A23" t="str">
        <f>"0019935 "</f>
        <v xml:space="preserve">0019935 </v>
      </c>
      <c r="B23" t="s">
        <v>9</v>
      </c>
      <c r="C23" t="s">
        <v>71</v>
      </c>
      <c r="D23" t="s">
        <v>72</v>
      </c>
      <c r="E23">
        <v>3</v>
      </c>
      <c r="F23" t="s">
        <v>73</v>
      </c>
      <c r="G23" t="s">
        <v>13</v>
      </c>
      <c r="H23" t="s">
        <v>71</v>
      </c>
      <c r="I23">
        <v>12</v>
      </c>
    </row>
    <row r="24" spans="1:9">
      <c r="A24" t="str">
        <f>"0019898 "</f>
        <v xml:space="preserve">0019898 </v>
      </c>
      <c r="B24" t="s">
        <v>9</v>
      </c>
      <c r="C24" t="s">
        <v>74</v>
      </c>
      <c r="D24" t="s">
        <v>75</v>
      </c>
      <c r="E24">
        <v>5</v>
      </c>
      <c r="F24" t="s">
        <v>67</v>
      </c>
      <c r="G24" t="s">
        <v>13</v>
      </c>
      <c r="H24" t="s">
        <v>74</v>
      </c>
      <c r="I24">
        <v>12</v>
      </c>
    </row>
    <row r="25" spans="1:9">
      <c r="A25" t="str">
        <f>"0019897 "</f>
        <v xml:space="preserve">0019897 </v>
      </c>
      <c r="B25" t="s">
        <v>9</v>
      </c>
      <c r="C25" t="s">
        <v>76</v>
      </c>
      <c r="D25" t="s">
        <v>77</v>
      </c>
      <c r="E25">
        <v>2</v>
      </c>
      <c r="F25" t="s">
        <v>78</v>
      </c>
      <c r="G25" t="s">
        <v>13</v>
      </c>
      <c r="H25" t="s">
        <v>76</v>
      </c>
      <c r="I25">
        <v>12</v>
      </c>
    </row>
    <row r="26" spans="1:9">
      <c r="A26" t="str">
        <f>"0019900 "</f>
        <v xml:space="preserve">0019900 </v>
      </c>
      <c r="B26" t="s">
        <v>9</v>
      </c>
      <c r="C26" t="s">
        <v>79</v>
      </c>
      <c r="D26" t="s">
        <v>80</v>
      </c>
      <c r="E26">
        <v>2</v>
      </c>
      <c r="F26" t="s">
        <v>81</v>
      </c>
      <c r="G26" t="s">
        <v>13</v>
      </c>
      <c r="H26" t="s">
        <v>79</v>
      </c>
      <c r="I26">
        <v>12</v>
      </c>
    </row>
    <row r="27" spans="1:9">
      <c r="A27" t="str">
        <f>"0019896 "</f>
        <v xml:space="preserve">0019896 </v>
      </c>
      <c r="B27" t="s">
        <v>9</v>
      </c>
      <c r="C27" t="s">
        <v>82</v>
      </c>
      <c r="D27" t="s">
        <v>83</v>
      </c>
      <c r="E27">
        <v>5</v>
      </c>
      <c r="F27" t="s">
        <v>84</v>
      </c>
      <c r="G27" t="s">
        <v>13</v>
      </c>
      <c r="H27" t="s">
        <v>82</v>
      </c>
      <c r="I27">
        <v>12</v>
      </c>
    </row>
    <row r="28" spans="1:9">
      <c r="A28" t="str">
        <f>"0019453 "</f>
        <v xml:space="preserve">0019453 </v>
      </c>
      <c r="B28" t="s">
        <v>9</v>
      </c>
      <c r="C28" t="s">
        <v>85</v>
      </c>
      <c r="D28" t="s">
        <v>86</v>
      </c>
      <c r="E28" t="s">
        <v>16</v>
      </c>
      <c r="F28" t="s">
        <v>87</v>
      </c>
      <c r="G28" t="s">
        <v>13</v>
      </c>
      <c r="H28" t="s">
        <v>85</v>
      </c>
      <c r="I28">
        <v>12</v>
      </c>
    </row>
    <row r="29" spans="1:9">
      <c r="A29" t="str">
        <f>"0019455 "</f>
        <v xml:space="preserve">0019455 </v>
      </c>
      <c r="B29" t="s">
        <v>9</v>
      </c>
      <c r="C29" t="s">
        <v>88</v>
      </c>
      <c r="D29" t="s">
        <v>89</v>
      </c>
      <c r="E29">
        <v>4</v>
      </c>
      <c r="F29" t="s">
        <v>90</v>
      </c>
      <c r="G29" t="s">
        <v>13</v>
      </c>
      <c r="H29" t="s">
        <v>88</v>
      </c>
      <c r="I29">
        <v>12</v>
      </c>
    </row>
    <row r="30" spans="1:9">
      <c r="A30" t="str">
        <f>"0019454 "</f>
        <v xml:space="preserve">0019454 </v>
      </c>
      <c r="B30" t="s">
        <v>9</v>
      </c>
      <c r="C30" t="s">
        <v>91</v>
      </c>
      <c r="D30" t="s">
        <v>92</v>
      </c>
      <c r="E30">
        <v>5</v>
      </c>
      <c r="F30" t="s">
        <v>93</v>
      </c>
      <c r="G30" t="s">
        <v>13</v>
      </c>
      <c r="H30" t="s">
        <v>91</v>
      </c>
      <c r="I30">
        <v>12</v>
      </c>
    </row>
    <row r="31" spans="1:9">
      <c r="A31" t="str">
        <f>"0019601 "</f>
        <v xml:space="preserve">0019601 </v>
      </c>
      <c r="B31" t="s">
        <v>9</v>
      </c>
      <c r="C31" t="s">
        <v>94</v>
      </c>
      <c r="D31" t="s">
        <v>95</v>
      </c>
      <c r="E31">
        <v>4</v>
      </c>
      <c r="F31" t="s">
        <v>96</v>
      </c>
      <c r="G31" t="s">
        <v>13</v>
      </c>
      <c r="H31" t="s">
        <v>94</v>
      </c>
      <c r="I31">
        <v>12</v>
      </c>
    </row>
    <row r="32" spans="1:9">
      <c r="A32" t="str">
        <f>"0019883 "</f>
        <v xml:space="preserve">0019883 </v>
      </c>
      <c r="B32" t="s">
        <v>9</v>
      </c>
      <c r="C32" t="s">
        <v>97</v>
      </c>
      <c r="D32" t="s">
        <v>98</v>
      </c>
      <c r="E32">
        <v>5</v>
      </c>
      <c r="F32" t="s">
        <v>99</v>
      </c>
      <c r="G32" t="s">
        <v>13</v>
      </c>
      <c r="H32" t="s">
        <v>97</v>
      </c>
      <c r="I32">
        <v>12</v>
      </c>
    </row>
    <row r="33" spans="1:9">
      <c r="A33" t="str">
        <f>"0204146 "</f>
        <v xml:space="preserve">0204146 </v>
      </c>
      <c r="B33" t="s">
        <v>9</v>
      </c>
      <c r="C33" t="s">
        <v>100</v>
      </c>
      <c r="D33" t="s">
        <v>101</v>
      </c>
      <c r="E33">
        <v>2</v>
      </c>
      <c r="F33" t="s">
        <v>102</v>
      </c>
      <c r="G33" t="s">
        <v>13</v>
      </c>
      <c r="H33" t="s">
        <v>100</v>
      </c>
      <c r="I33">
        <v>18</v>
      </c>
    </row>
    <row r="34" spans="1:9">
      <c r="A34" t="str">
        <f>"0019924 "</f>
        <v xml:space="preserve">0019924 </v>
      </c>
      <c r="B34" t="s">
        <v>9</v>
      </c>
      <c r="C34" t="s">
        <v>103</v>
      </c>
      <c r="D34" t="s">
        <v>104</v>
      </c>
      <c r="E34">
        <v>2</v>
      </c>
      <c r="F34" t="s">
        <v>105</v>
      </c>
      <c r="G34" t="s">
        <v>13</v>
      </c>
      <c r="H34" t="s">
        <v>103</v>
      </c>
      <c r="I34">
        <v>12</v>
      </c>
    </row>
    <row r="35" spans="1:9">
      <c r="A35" t="str">
        <f>"0019441 "</f>
        <v xml:space="preserve">0019441 </v>
      </c>
      <c r="B35" t="s">
        <v>9</v>
      </c>
      <c r="C35" t="s">
        <v>106</v>
      </c>
      <c r="D35" t="s">
        <v>107</v>
      </c>
      <c r="E35">
        <v>2</v>
      </c>
      <c r="F35" t="s">
        <v>59</v>
      </c>
      <c r="G35" t="s">
        <v>13</v>
      </c>
      <c r="H35" t="s">
        <v>106</v>
      </c>
      <c r="I35">
        <v>12</v>
      </c>
    </row>
    <row r="36" spans="1:9">
      <c r="A36" t="str">
        <f>"0019465 "</f>
        <v xml:space="preserve">0019465 </v>
      </c>
      <c r="B36" t="s">
        <v>9</v>
      </c>
      <c r="C36" t="s">
        <v>108</v>
      </c>
      <c r="D36" t="s">
        <v>109</v>
      </c>
      <c r="E36">
        <v>2</v>
      </c>
      <c r="F36" t="s">
        <v>110</v>
      </c>
      <c r="G36" t="s">
        <v>13</v>
      </c>
      <c r="H36" t="s">
        <v>108</v>
      </c>
      <c r="I36">
        <v>12</v>
      </c>
    </row>
    <row r="37" spans="1:9">
      <c r="A37" t="str">
        <f>"0019982 "</f>
        <v xml:space="preserve">0019982 </v>
      </c>
      <c r="B37" t="s">
        <v>9</v>
      </c>
      <c r="C37" t="s">
        <v>111</v>
      </c>
      <c r="D37" t="s">
        <v>112</v>
      </c>
      <c r="E37" t="s">
        <v>16</v>
      </c>
      <c r="F37" t="s">
        <v>113</v>
      </c>
      <c r="G37" t="s">
        <v>114</v>
      </c>
      <c r="H37" t="s">
        <v>111</v>
      </c>
      <c r="I37">
        <v>24</v>
      </c>
    </row>
    <row r="38" spans="1:9">
      <c r="A38" t="str">
        <f>"0019741 "</f>
        <v xml:space="preserve">0019741 </v>
      </c>
      <c r="B38" t="s">
        <v>9</v>
      </c>
      <c r="C38" t="s">
        <v>115</v>
      </c>
      <c r="D38" t="s">
        <v>116</v>
      </c>
      <c r="E38">
        <v>4</v>
      </c>
      <c r="F38" t="s">
        <v>117</v>
      </c>
      <c r="G38" t="s">
        <v>114</v>
      </c>
      <c r="H38" t="s">
        <v>115</v>
      </c>
      <c r="I38">
        <v>12</v>
      </c>
    </row>
    <row r="39" spans="1:9">
      <c r="A39" t="str">
        <f>"0019822 "</f>
        <v xml:space="preserve">0019822 </v>
      </c>
      <c r="B39" t="s">
        <v>9</v>
      </c>
      <c r="C39" t="s">
        <v>118</v>
      </c>
      <c r="D39" t="s">
        <v>119</v>
      </c>
      <c r="E39">
        <v>1</v>
      </c>
      <c r="F39" t="s">
        <v>120</v>
      </c>
      <c r="G39" t="s">
        <v>114</v>
      </c>
      <c r="H39" t="s">
        <v>118</v>
      </c>
      <c r="I39">
        <v>12</v>
      </c>
    </row>
    <row r="40" spans="1:9">
      <c r="A40" t="str">
        <f>"0019706 "</f>
        <v xml:space="preserve">0019706 </v>
      </c>
      <c r="B40" t="s">
        <v>9</v>
      </c>
      <c r="C40" t="s">
        <v>121</v>
      </c>
      <c r="D40" t="s">
        <v>122</v>
      </c>
      <c r="E40">
        <v>2</v>
      </c>
      <c r="F40" t="s">
        <v>123</v>
      </c>
      <c r="G40" t="s">
        <v>114</v>
      </c>
      <c r="H40" t="s">
        <v>121</v>
      </c>
      <c r="I40">
        <v>12</v>
      </c>
    </row>
    <row r="41" spans="1:9">
      <c r="A41" t="str">
        <f>"0019977 "</f>
        <v xml:space="preserve">0019977 </v>
      </c>
      <c r="B41" t="s">
        <v>9</v>
      </c>
      <c r="C41" t="s">
        <v>124</v>
      </c>
      <c r="D41" t="s">
        <v>125</v>
      </c>
      <c r="E41">
        <v>2</v>
      </c>
      <c r="F41" t="s">
        <v>126</v>
      </c>
      <c r="G41" t="s">
        <v>114</v>
      </c>
      <c r="H41" t="s">
        <v>124</v>
      </c>
      <c r="I41">
        <v>12</v>
      </c>
    </row>
    <row r="42" spans="1:9">
      <c r="A42" t="str">
        <f>"0019973 "</f>
        <v xml:space="preserve">0019973 </v>
      </c>
      <c r="B42" t="s">
        <v>9</v>
      </c>
      <c r="C42" t="s">
        <v>127</v>
      </c>
      <c r="D42" t="s">
        <v>128</v>
      </c>
      <c r="E42">
        <v>2</v>
      </c>
      <c r="F42" t="s">
        <v>129</v>
      </c>
      <c r="G42" t="s">
        <v>114</v>
      </c>
      <c r="H42" t="s">
        <v>127</v>
      </c>
      <c r="I42">
        <v>12</v>
      </c>
    </row>
    <row r="43" spans="1:9">
      <c r="A43" t="str">
        <f>"0019974 "</f>
        <v xml:space="preserve">0019974 </v>
      </c>
      <c r="B43" t="s">
        <v>9</v>
      </c>
      <c r="C43" t="s">
        <v>130</v>
      </c>
      <c r="D43" t="s">
        <v>131</v>
      </c>
      <c r="E43">
        <v>1</v>
      </c>
      <c r="F43" t="s">
        <v>132</v>
      </c>
      <c r="G43" t="s">
        <v>114</v>
      </c>
      <c r="H43" t="s">
        <v>130</v>
      </c>
      <c r="I43">
        <v>6</v>
      </c>
    </row>
    <row r="44" spans="1:9">
      <c r="A44" t="str">
        <f>"0019792 "</f>
        <v xml:space="preserve">0019792 </v>
      </c>
      <c r="B44" t="s">
        <v>9</v>
      </c>
      <c r="C44" t="s">
        <v>133</v>
      </c>
      <c r="D44" t="s">
        <v>134</v>
      </c>
      <c r="E44">
        <v>3</v>
      </c>
      <c r="F44" t="s">
        <v>135</v>
      </c>
      <c r="G44" t="s">
        <v>114</v>
      </c>
      <c r="H44" t="s">
        <v>133</v>
      </c>
      <c r="I44">
        <v>12</v>
      </c>
    </row>
    <row r="45" spans="1:9">
      <c r="A45" t="str">
        <f>"0019794 "</f>
        <v xml:space="preserve">0019794 </v>
      </c>
      <c r="B45" t="s">
        <v>9</v>
      </c>
      <c r="C45" t="s">
        <v>136</v>
      </c>
      <c r="D45" t="s">
        <v>137</v>
      </c>
      <c r="E45">
        <v>1</v>
      </c>
      <c r="F45" t="s">
        <v>113</v>
      </c>
      <c r="G45" t="s">
        <v>114</v>
      </c>
      <c r="H45" t="s">
        <v>136</v>
      </c>
      <c r="I45">
        <v>12</v>
      </c>
    </row>
    <row r="46" spans="1:9">
      <c r="A46" t="str">
        <f>"0019765 "</f>
        <v xml:space="preserve">0019765 </v>
      </c>
      <c r="B46" t="s">
        <v>9</v>
      </c>
      <c r="C46" t="s">
        <v>138</v>
      </c>
      <c r="D46" t="s">
        <v>139</v>
      </c>
      <c r="E46">
        <v>2</v>
      </c>
      <c r="F46" t="s">
        <v>140</v>
      </c>
      <c r="G46" t="s">
        <v>114</v>
      </c>
      <c r="H46" t="s">
        <v>138</v>
      </c>
      <c r="I46">
        <v>12</v>
      </c>
    </row>
    <row r="47" spans="1:9">
      <c r="A47" t="str">
        <f>"0019773 "</f>
        <v xml:space="preserve">0019773 </v>
      </c>
      <c r="B47" t="s">
        <v>9</v>
      </c>
      <c r="C47" t="s">
        <v>141</v>
      </c>
      <c r="D47" t="s">
        <v>142</v>
      </c>
      <c r="E47">
        <v>4</v>
      </c>
      <c r="F47" t="s">
        <v>143</v>
      </c>
      <c r="G47" t="s">
        <v>114</v>
      </c>
      <c r="H47" t="s">
        <v>141</v>
      </c>
      <c r="I47">
        <v>12</v>
      </c>
    </row>
    <row r="48" spans="1:9">
      <c r="A48" t="str">
        <f>"0019496 "</f>
        <v xml:space="preserve">0019496 </v>
      </c>
      <c r="B48" t="s">
        <v>9</v>
      </c>
      <c r="C48" t="s">
        <v>144</v>
      </c>
      <c r="D48" t="s">
        <v>145</v>
      </c>
      <c r="E48">
        <v>1</v>
      </c>
      <c r="F48" t="s">
        <v>146</v>
      </c>
      <c r="G48" t="s">
        <v>114</v>
      </c>
      <c r="H48" t="s">
        <v>144</v>
      </c>
      <c r="I48">
        <v>12</v>
      </c>
    </row>
    <row r="49" spans="1:9">
      <c r="A49" t="str">
        <f>"0019902 "</f>
        <v xml:space="preserve">0019902 </v>
      </c>
      <c r="B49" t="s">
        <v>9</v>
      </c>
      <c r="C49" t="s">
        <v>147</v>
      </c>
      <c r="D49" t="s">
        <v>148</v>
      </c>
      <c r="E49">
        <v>4</v>
      </c>
      <c r="F49" t="s">
        <v>149</v>
      </c>
      <c r="G49" t="s">
        <v>114</v>
      </c>
      <c r="H49" t="s">
        <v>147</v>
      </c>
      <c r="I49">
        <v>12</v>
      </c>
    </row>
    <row r="50" spans="1:9">
      <c r="A50" t="str">
        <f>"0019746 "</f>
        <v xml:space="preserve">0019746 </v>
      </c>
      <c r="B50" t="s">
        <v>9</v>
      </c>
      <c r="C50" t="s">
        <v>150</v>
      </c>
      <c r="D50" t="s">
        <v>151</v>
      </c>
      <c r="E50">
        <v>3</v>
      </c>
      <c r="F50" t="s">
        <v>152</v>
      </c>
      <c r="G50" t="s">
        <v>114</v>
      </c>
      <c r="H50" t="s">
        <v>150</v>
      </c>
      <c r="I50">
        <v>12</v>
      </c>
    </row>
    <row r="51" spans="1:9">
      <c r="A51" t="str">
        <f>"0019760 "</f>
        <v xml:space="preserve">0019760 </v>
      </c>
      <c r="B51" t="s">
        <v>9</v>
      </c>
      <c r="C51" t="s">
        <v>153</v>
      </c>
      <c r="D51" t="s">
        <v>154</v>
      </c>
      <c r="E51" t="s">
        <v>16</v>
      </c>
      <c r="F51" t="s">
        <v>155</v>
      </c>
      <c r="G51" t="s">
        <v>114</v>
      </c>
      <c r="H51" t="s">
        <v>153</v>
      </c>
      <c r="I51">
        <v>12</v>
      </c>
    </row>
    <row r="52" spans="1:9">
      <c r="A52" t="str">
        <f>"0019953 "</f>
        <v xml:space="preserve">0019953 </v>
      </c>
      <c r="B52" t="s">
        <v>9</v>
      </c>
      <c r="C52" t="s">
        <v>156</v>
      </c>
      <c r="D52" t="s">
        <v>157</v>
      </c>
      <c r="E52">
        <v>2</v>
      </c>
      <c r="F52" t="s">
        <v>158</v>
      </c>
      <c r="G52" t="s">
        <v>114</v>
      </c>
      <c r="H52" t="s">
        <v>156</v>
      </c>
      <c r="I52">
        <v>12</v>
      </c>
    </row>
    <row r="53" spans="1:9">
      <c r="A53" t="str">
        <f>"0019955 "</f>
        <v xml:space="preserve">0019955 </v>
      </c>
      <c r="B53" t="s">
        <v>9</v>
      </c>
      <c r="C53" t="s">
        <v>159</v>
      </c>
      <c r="D53" t="s">
        <v>160</v>
      </c>
      <c r="E53">
        <v>2</v>
      </c>
      <c r="F53" t="s">
        <v>158</v>
      </c>
      <c r="G53" t="s">
        <v>114</v>
      </c>
      <c r="H53" t="s">
        <v>159</v>
      </c>
      <c r="I53">
        <v>12</v>
      </c>
    </row>
    <row r="54" spans="1:9">
      <c r="A54" t="str">
        <f>"0019951 "</f>
        <v xml:space="preserve">0019951 </v>
      </c>
      <c r="B54" t="s">
        <v>9</v>
      </c>
      <c r="C54" t="s">
        <v>161</v>
      </c>
      <c r="D54" t="s">
        <v>162</v>
      </c>
      <c r="E54">
        <v>2</v>
      </c>
      <c r="F54" t="s">
        <v>158</v>
      </c>
      <c r="G54" t="s">
        <v>114</v>
      </c>
      <c r="H54" t="s">
        <v>161</v>
      </c>
      <c r="I54">
        <v>12</v>
      </c>
    </row>
    <row r="55" spans="1:9">
      <c r="A55" t="str">
        <f>"0019947 "</f>
        <v xml:space="preserve">0019947 </v>
      </c>
      <c r="B55" t="s">
        <v>9</v>
      </c>
      <c r="C55" t="s">
        <v>163</v>
      </c>
      <c r="D55" t="s">
        <v>164</v>
      </c>
      <c r="E55">
        <v>2</v>
      </c>
      <c r="F55" t="s">
        <v>158</v>
      </c>
      <c r="G55" t="s">
        <v>114</v>
      </c>
      <c r="H55" t="s">
        <v>163</v>
      </c>
      <c r="I55">
        <v>12</v>
      </c>
    </row>
    <row r="56" spans="1:9">
      <c r="A56" t="str">
        <f>"0019958 "</f>
        <v xml:space="preserve">0019958 </v>
      </c>
      <c r="B56" t="s">
        <v>9</v>
      </c>
      <c r="C56" t="s">
        <v>165</v>
      </c>
      <c r="D56" t="s">
        <v>166</v>
      </c>
      <c r="E56">
        <v>2</v>
      </c>
      <c r="F56" t="s">
        <v>158</v>
      </c>
      <c r="G56" t="s">
        <v>114</v>
      </c>
      <c r="H56" t="s">
        <v>165</v>
      </c>
      <c r="I56">
        <v>12</v>
      </c>
    </row>
    <row r="57" spans="1:9">
      <c r="A57" t="str">
        <f>"0019559 "</f>
        <v xml:space="preserve">0019559 </v>
      </c>
      <c r="B57" t="s">
        <v>9</v>
      </c>
      <c r="C57" t="s">
        <v>167</v>
      </c>
      <c r="D57" t="s">
        <v>168</v>
      </c>
      <c r="E57">
        <v>2</v>
      </c>
      <c r="F57" t="s">
        <v>169</v>
      </c>
      <c r="G57" t="s">
        <v>114</v>
      </c>
      <c r="H57" t="s">
        <v>167</v>
      </c>
      <c r="I57">
        <v>24</v>
      </c>
    </row>
    <row r="58" spans="1:9">
      <c r="A58" t="str">
        <f>"0019556 "</f>
        <v xml:space="preserve">0019556 </v>
      </c>
      <c r="B58" t="s">
        <v>9</v>
      </c>
      <c r="C58" t="s">
        <v>170</v>
      </c>
      <c r="D58" t="s">
        <v>171</v>
      </c>
      <c r="E58">
        <v>2</v>
      </c>
      <c r="F58" t="s">
        <v>172</v>
      </c>
      <c r="G58" t="s">
        <v>173</v>
      </c>
      <c r="H58" t="s">
        <v>170</v>
      </c>
      <c r="I58">
        <v>8</v>
      </c>
    </row>
    <row r="59" spans="1:9">
      <c r="A59" t="str">
        <f>"0019554 "</f>
        <v xml:space="preserve">0019554 </v>
      </c>
      <c r="B59" t="s">
        <v>9</v>
      </c>
      <c r="C59" t="s">
        <v>174</v>
      </c>
      <c r="D59" t="s">
        <v>175</v>
      </c>
      <c r="E59">
        <v>5</v>
      </c>
      <c r="F59" t="s">
        <v>176</v>
      </c>
      <c r="G59" t="s">
        <v>173</v>
      </c>
      <c r="H59" t="s">
        <v>174</v>
      </c>
      <c r="I59">
        <v>12</v>
      </c>
    </row>
    <row r="60" spans="1:9">
      <c r="A60" t="str">
        <f>"0019555 "</f>
        <v xml:space="preserve">0019555 </v>
      </c>
      <c r="B60" t="s">
        <v>9</v>
      </c>
      <c r="C60" t="s">
        <v>177</v>
      </c>
      <c r="D60" t="s">
        <v>178</v>
      </c>
      <c r="E60" t="s">
        <v>16</v>
      </c>
      <c r="F60" t="s">
        <v>179</v>
      </c>
      <c r="G60" t="s">
        <v>173</v>
      </c>
      <c r="H60" t="s">
        <v>177</v>
      </c>
      <c r="I60">
        <v>12</v>
      </c>
    </row>
    <row r="61" spans="1:9">
      <c r="A61" t="str">
        <f>"0019491 "</f>
        <v xml:space="preserve">0019491 </v>
      </c>
      <c r="B61" t="s">
        <v>9</v>
      </c>
      <c r="C61" t="s">
        <v>180</v>
      </c>
      <c r="D61" t="s">
        <v>181</v>
      </c>
      <c r="E61">
        <v>5</v>
      </c>
      <c r="F61" t="s">
        <v>182</v>
      </c>
      <c r="G61" t="s">
        <v>183</v>
      </c>
      <c r="H61" t="s">
        <v>180</v>
      </c>
      <c r="I61">
        <v>12</v>
      </c>
    </row>
    <row r="62" spans="1:9">
      <c r="A62" t="str">
        <f>"0019489 "</f>
        <v xml:space="preserve">0019489 </v>
      </c>
      <c r="B62" t="s">
        <v>9</v>
      </c>
      <c r="C62" t="s">
        <v>184</v>
      </c>
      <c r="D62" t="s">
        <v>185</v>
      </c>
      <c r="E62" t="s">
        <v>16</v>
      </c>
      <c r="F62" t="s">
        <v>117</v>
      </c>
      <c r="G62" t="s">
        <v>183</v>
      </c>
      <c r="H62" t="s">
        <v>184</v>
      </c>
      <c r="I62">
        <v>12</v>
      </c>
    </row>
    <row r="63" spans="1:9">
      <c r="A63" t="str">
        <f>"0019641 "</f>
        <v xml:space="preserve">0019641 </v>
      </c>
      <c r="B63" t="s">
        <v>9</v>
      </c>
      <c r="C63" t="s">
        <v>186</v>
      </c>
      <c r="D63" t="s">
        <v>187</v>
      </c>
      <c r="E63" t="s">
        <v>16</v>
      </c>
      <c r="F63" t="s">
        <v>188</v>
      </c>
      <c r="G63" t="s">
        <v>183</v>
      </c>
      <c r="H63" t="s">
        <v>186</v>
      </c>
      <c r="I63">
        <v>12</v>
      </c>
    </row>
    <row r="64" spans="1:9">
      <c r="A64" t="str">
        <f>"0019639 "</f>
        <v xml:space="preserve">0019639 </v>
      </c>
      <c r="B64" t="s">
        <v>9</v>
      </c>
      <c r="C64" t="s">
        <v>189</v>
      </c>
      <c r="D64" t="s">
        <v>190</v>
      </c>
      <c r="E64" t="s">
        <v>16</v>
      </c>
      <c r="F64" t="s">
        <v>191</v>
      </c>
      <c r="G64" t="s">
        <v>183</v>
      </c>
      <c r="H64" t="s">
        <v>189</v>
      </c>
      <c r="I64">
        <v>12</v>
      </c>
    </row>
    <row r="65" spans="1:9">
      <c r="A65" t="str">
        <f>"0019492 "</f>
        <v xml:space="preserve">0019492 </v>
      </c>
      <c r="B65" t="s">
        <v>9</v>
      </c>
      <c r="C65" t="s">
        <v>192</v>
      </c>
      <c r="D65" t="s">
        <v>193</v>
      </c>
      <c r="E65">
        <v>2</v>
      </c>
      <c r="F65" t="s">
        <v>194</v>
      </c>
      <c r="G65" t="s">
        <v>183</v>
      </c>
      <c r="H65" t="s">
        <v>192</v>
      </c>
      <c r="I65">
        <v>12</v>
      </c>
    </row>
    <row r="66" spans="1:9">
      <c r="A66" t="str">
        <f>"0019477 "</f>
        <v xml:space="preserve">0019477 </v>
      </c>
      <c r="B66" t="s">
        <v>9</v>
      </c>
      <c r="C66" t="s">
        <v>195</v>
      </c>
      <c r="D66" t="s">
        <v>196</v>
      </c>
      <c r="E66">
        <v>1</v>
      </c>
      <c r="F66" t="s">
        <v>197</v>
      </c>
      <c r="G66" t="s">
        <v>183</v>
      </c>
      <c r="H66" t="s">
        <v>195</v>
      </c>
      <c r="I66">
        <v>12</v>
      </c>
    </row>
    <row r="67" spans="1:9">
      <c r="A67" t="str">
        <f>"0019479 "</f>
        <v xml:space="preserve">0019479 </v>
      </c>
      <c r="B67" t="s">
        <v>9</v>
      </c>
      <c r="C67" t="s">
        <v>198</v>
      </c>
      <c r="D67" t="s">
        <v>199</v>
      </c>
      <c r="E67">
        <v>4</v>
      </c>
      <c r="F67" t="s">
        <v>200</v>
      </c>
      <c r="G67" t="s">
        <v>183</v>
      </c>
      <c r="H67" t="s">
        <v>198</v>
      </c>
      <c r="I67">
        <v>12</v>
      </c>
    </row>
    <row r="68" spans="1:9">
      <c r="A68" t="str">
        <f>"0019834 "</f>
        <v xml:space="preserve">0019834 </v>
      </c>
      <c r="B68" t="s">
        <v>9</v>
      </c>
      <c r="C68" t="s">
        <v>201</v>
      </c>
      <c r="D68" t="s">
        <v>202</v>
      </c>
      <c r="E68">
        <v>2</v>
      </c>
      <c r="F68" t="s">
        <v>203</v>
      </c>
      <c r="G68" t="s">
        <v>183</v>
      </c>
      <c r="H68" t="s">
        <v>201</v>
      </c>
      <c r="I68">
        <v>12</v>
      </c>
    </row>
    <row r="69" spans="1:9">
      <c r="A69" t="str">
        <f>"0019855 "</f>
        <v xml:space="preserve">0019855 </v>
      </c>
      <c r="B69" t="s">
        <v>9</v>
      </c>
      <c r="C69" t="s">
        <v>204</v>
      </c>
      <c r="D69" t="s">
        <v>205</v>
      </c>
      <c r="E69">
        <v>4</v>
      </c>
      <c r="F69" t="s">
        <v>206</v>
      </c>
      <c r="G69" t="s">
        <v>183</v>
      </c>
      <c r="H69" t="s">
        <v>204</v>
      </c>
      <c r="I69">
        <v>12</v>
      </c>
    </row>
    <row r="70" spans="1:9">
      <c r="A70" t="str">
        <f>"0019818 "</f>
        <v xml:space="preserve">0019818 </v>
      </c>
      <c r="B70" t="s">
        <v>9</v>
      </c>
      <c r="C70" t="s">
        <v>207</v>
      </c>
      <c r="D70" t="s">
        <v>208</v>
      </c>
      <c r="E70" t="s">
        <v>16</v>
      </c>
      <c r="F70" t="s">
        <v>209</v>
      </c>
      <c r="G70" t="s">
        <v>183</v>
      </c>
      <c r="H70" t="s">
        <v>207</v>
      </c>
      <c r="I70">
        <v>12</v>
      </c>
    </row>
    <row r="71" spans="1:9">
      <c r="A71" t="str">
        <f>"0019854 "</f>
        <v xml:space="preserve">0019854 </v>
      </c>
      <c r="B71" t="s">
        <v>9</v>
      </c>
      <c r="C71" t="s">
        <v>210</v>
      </c>
      <c r="D71" t="s">
        <v>211</v>
      </c>
      <c r="E71" t="s">
        <v>16</v>
      </c>
      <c r="F71" t="s">
        <v>212</v>
      </c>
      <c r="G71" t="s">
        <v>183</v>
      </c>
      <c r="H71" t="s">
        <v>210</v>
      </c>
      <c r="I71">
        <v>12</v>
      </c>
    </row>
    <row r="72" spans="1:9">
      <c r="A72" t="str">
        <f>"0019609 "</f>
        <v xml:space="preserve">0019609 </v>
      </c>
      <c r="B72" t="s">
        <v>9</v>
      </c>
      <c r="C72" t="s">
        <v>213</v>
      </c>
      <c r="D72" t="s">
        <v>214</v>
      </c>
      <c r="E72" t="s">
        <v>16</v>
      </c>
      <c r="F72" t="s">
        <v>215</v>
      </c>
      <c r="G72" t="s">
        <v>183</v>
      </c>
      <c r="H72" t="s">
        <v>213</v>
      </c>
      <c r="I72">
        <v>12</v>
      </c>
    </row>
    <row r="73" spans="1:9">
      <c r="A73" t="str">
        <f>"0019611 "</f>
        <v xml:space="preserve">0019611 </v>
      </c>
      <c r="B73" t="s">
        <v>9</v>
      </c>
      <c r="C73" t="s">
        <v>216</v>
      </c>
      <c r="D73" t="s">
        <v>217</v>
      </c>
      <c r="E73">
        <v>2</v>
      </c>
      <c r="F73" t="s">
        <v>218</v>
      </c>
      <c r="G73" t="s">
        <v>183</v>
      </c>
      <c r="H73" t="s">
        <v>216</v>
      </c>
      <c r="I73">
        <v>12</v>
      </c>
    </row>
    <row r="74" spans="1:9">
      <c r="A74" t="str">
        <f>"0019613 "</f>
        <v xml:space="preserve">0019613 </v>
      </c>
      <c r="B74" t="s">
        <v>9</v>
      </c>
      <c r="C74" t="s">
        <v>219</v>
      </c>
      <c r="D74" t="s">
        <v>220</v>
      </c>
      <c r="E74" t="s">
        <v>16</v>
      </c>
      <c r="F74" t="s">
        <v>221</v>
      </c>
      <c r="G74" t="s">
        <v>183</v>
      </c>
      <c r="H74" t="s">
        <v>219</v>
      </c>
      <c r="I74">
        <v>12</v>
      </c>
    </row>
    <row r="75" spans="1:9">
      <c r="A75" t="str">
        <f>"0019614 "</f>
        <v xml:space="preserve">0019614 </v>
      </c>
      <c r="B75" t="s">
        <v>9</v>
      </c>
      <c r="C75" t="s">
        <v>222</v>
      </c>
      <c r="D75" t="s">
        <v>223</v>
      </c>
      <c r="E75" t="s">
        <v>16</v>
      </c>
      <c r="F75" t="s">
        <v>224</v>
      </c>
      <c r="G75" t="s">
        <v>183</v>
      </c>
      <c r="H75" t="s">
        <v>222</v>
      </c>
      <c r="I75">
        <v>12</v>
      </c>
    </row>
    <row r="76" spans="1:9">
      <c r="A76" t="str">
        <f>"0019697 "</f>
        <v xml:space="preserve">0019697 </v>
      </c>
      <c r="B76" t="s">
        <v>9</v>
      </c>
      <c r="C76" t="s">
        <v>225</v>
      </c>
      <c r="D76" t="s">
        <v>226</v>
      </c>
      <c r="E76" t="s">
        <v>16</v>
      </c>
      <c r="F76" t="s">
        <v>227</v>
      </c>
      <c r="G76" t="s">
        <v>183</v>
      </c>
      <c r="H76" t="s">
        <v>225</v>
      </c>
      <c r="I76">
        <v>12</v>
      </c>
    </row>
    <row r="77" spans="1:9">
      <c r="A77" t="str">
        <f>"0019698 "</f>
        <v xml:space="preserve">0019698 </v>
      </c>
      <c r="B77" t="s">
        <v>9</v>
      </c>
      <c r="C77" t="s">
        <v>228</v>
      </c>
      <c r="D77" t="s">
        <v>229</v>
      </c>
      <c r="E77">
        <v>4</v>
      </c>
      <c r="F77" t="s">
        <v>230</v>
      </c>
      <c r="G77" t="s">
        <v>183</v>
      </c>
      <c r="H77" t="s">
        <v>228</v>
      </c>
      <c r="I77">
        <v>12</v>
      </c>
    </row>
    <row r="78" spans="1:9">
      <c r="A78" t="str">
        <f>"0019701 "</f>
        <v xml:space="preserve">0019701 </v>
      </c>
      <c r="B78" t="s">
        <v>9</v>
      </c>
      <c r="C78" t="s">
        <v>231</v>
      </c>
      <c r="D78" t="s">
        <v>232</v>
      </c>
      <c r="E78">
        <v>1</v>
      </c>
      <c r="F78" t="s">
        <v>233</v>
      </c>
      <c r="G78" t="s">
        <v>183</v>
      </c>
      <c r="H78" t="s">
        <v>231</v>
      </c>
      <c r="I78">
        <v>12</v>
      </c>
    </row>
    <row r="79" spans="1:9">
      <c r="A79" t="str">
        <f>"0019695 "</f>
        <v xml:space="preserve">0019695 </v>
      </c>
      <c r="B79" t="s">
        <v>9</v>
      </c>
      <c r="C79" t="s">
        <v>234</v>
      </c>
      <c r="D79" t="s">
        <v>235</v>
      </c>
      <c r="E79" t="s">
        <v>16</v>
      </c>
      <c r="F79" t="s">
        <v>236</v>
      </c>
      <c r="G79" t="s">
        <v>183</v>
      </c>
      <c r="H79" t="s">
        <v>234</v>
      </c>
      <c r="I79">
        <v>12</v>
      </c>
    </row>
    <row r="80" spans="1:9">
      <c r="A80" t="str">
        <f>"0019688 "</f>
        <v xml:space="preserve">0019688 </v>
      </c>
      <c r="B80" t="s">
        <v>9</v>
      </c>
      <c r="C80" t="s">
        <v>237</v>
      </c>
      <c r="D80" t="s">
        <v>238</v>
      </c>
      <c r="E80" t="s">
        <v>16</v>
      </c>
      <c r="F80" t="s">
        <v>182</v>
      </c>
      <c r="G80" t="s">
        <v>183</v>
      </c>
      <c r="H80" t="s">
        <v>237</v>
      </c>
      <c r="I80">
        <v>12</v>
      </c>
    </row>
    <row r="81" spans="1:9">
      <c r="A81" t="str">
        <f>"0019686 "</f>
        <v xml:space="preserve">0019686 </v>
      </c>
      <c r="B81" t="s">
        <v>9</v>
      </c>
      <c r="C81" t="s">
        <v>239</v>
      </c>
      <c r="D81" t="s">
        <v>240</v>
      </c>
      <c r="E81" t="s">
        <v>16</v>
      </c>
      <c r="F81" t="s">
        <v>241</v>
      </c>
      <c r="G81" t="s">
        <v>183</v>
      </c>
      <c r="H81" t="s">
        <v>239</v>
      </c>
      <c r="I81">
        <v>12</v>
      </c>
    </row>
    <row r="82" spans="1:9">
      <c r="A82" t="str">
        <f>"0019842 "</f>
        <v xml:space="preserve">0019842 </v>
      </c>
      <c r="B82" t="s">
        <v>9</v>
      </c>
      <c r="C82" t="s">
        <v>242</v>
      </c>
      <c r="D82" t="s">
        <v>243</v>
      </c>
      <c r="E82">
        <v>1</v>
      </c>
      <c r="F82" t="s">
        <v>244</v>
      </c>
      <c r="G82" t="s">
        <v>183</v>
      </c>
      <c r="H82" t="s">
        <v>242</v>
      </c>
      <c r="I82">
        <v>12</v>
      </c>
    </row>
    <row r="83" spans="1:9">
      <c r="A83" t="str">
        <f>"0019690 "</f>
        <v xml:space="preserve">0019690 </v>
      </c>
      <c r="B83" t="s">
        <v>9</v>
      </c>
      <c r="C83" t="s">
        <v>245</v>
      </c>
      <c r="D83" t="s">
        <v>246</v>
      </c>
      <c r="E83" t="s">
        <v>16</v>
      </c>
      <c r="F83" t="s">
        <v>233</v>
      </c>
      <c r="G83" t="s">
        <v>183</v>
      </c>
      <c r="H83" t="s">
        <v>245</v>
      </c>
      <c r="I83">
        <v>12</v>
      </c>
    </row>
    <row r="84" spans="1:9">
      <c r="A84" t="str">
        <f>"0019913 "</f>
        <v xml:space="preserve">0019913 </v>
      </c>
      <c r="B84" t="s">
        <v>9</v>
      </c>
      <c r="C84" t="s">
        <v>247</v>
      </c>
      <c r="D84" t="s">
        <v>248</v>
      </c>
      <c r="E84">
        <v>3</v>
      </c>
      <c r="F84" t="s">
        <v>140</v>
      </c>
      <c r="G84" t="s">
        <v>183</v>
      </c>
      <c r="H84" t="s">
        <v>247</v>
      </c>
      <c r="I84">
        <v>12</v>
      </c>
    </row>
    <row r="85" spans="1:9">
      <c r="A85" t="str">
        <f>"0019914 "</f>
        <v xml:space="preserve">0019914 </v>
      </c>
      <c r="B85" t="s">
        <v>9</v>
      </c>
      <c r="C85" t="s">
        <v>249</v>
      </c>
      <c r="D85" t="s">
        <v>250</v>
      </c>
      <c r="E85">
        <v>5</v>
      </c>
      <c r="F85" t="s">
        <v>251</v>
      </c>
      <c r="G85" t="s">
        <v>183</v>
      </c>
      <c r="H85" t="s">
        <v>249</v>
      </c>
      <c r="I85">
        <v>12</v>
      </c>
    </row>
    <row r="86" spans="1:9">
      <c r="A86" t="str">
        <f>"0019687 "</f>
        <v xml:space="preserve">0019687 </v>
      </c>
      <c r="B86" t="s">
        <v>9</v>
      </c>
      <c r="C86" t="s">
        <v>252</v>
      </c>
      <c r="D86" t="s">
        <v>253</v>
      </c>
      <c r="E86">
        <v>2</v>
      </c>
      <c r="F86" t="s">
        <v>254</v>
      </c>
      <c r="G86" t="s">
        <v>183</v>
      </c>
      <c r="H86" t="s">
        <v>252</v>
      </c>
      <c r="I86">
        <v>12</v>
      </c>
    </row>
    <row r="87" spans="1:9">
      <c r="A87" t="str">
        <f>"0019685 "</f>
        <v xml:space="preserve">0019685 </v>
      </c>
      <c r="B87" t="s">
        <v>9</v>
      </c>
      <c r="C87" t="s">
        <v>255</v>
      </c>
      <c r="D87" t="s">
        <v>256</v>
      </c>
      <c r="E87">
        <v>3</v>
      </c>
      <c r="F87" t="s">
        <v>254</v>
      </c>
      <c r="G87" t="s">
        <v>183</v>
      </c>
      <c r="H87" t="s">
        <v>255</v>
      </c>
      <c r="I87">
        <v>12</v>
      </c>
    </row>
    <row r="88" spans="1:9">
      <c r="A88" t="str">
        <f>"0019670 "</f>
        <v xml:space="preserve">0019670 </v>
      </c>
      <c r="B88" t="s">
        <v>9</v>
      </c>
      <c r="C88" t="s">
        <v>257</v>
      </c>
      <c r="D88" t="s">
        <v>258</v>
      </c>
      <c r="E88">
        <v>3</v>
      </c>
      <c r="F88" t="s">
        <v>259</v>
      </c>
      <c r="G88" t="s">
        <v>183</v>
      </c>
      <c r="H88" t="s">
        <v>257</v>
      </c>
      <c r="I88">
        <v>12</v>
      </c>
    </row>
    <row r="89" spans="1:9">
      <c r="A89" t="str">
        <f>"0019870 "</f>
        <v xml:space="preserve">0019870 </v>
      </c>
      <c r="B89" t="s">
        <v>9</v>
      </c>
      <c r="C89" t="s">
        <v>260</v>
      </c>
      <c r="D89" t="s">
        <v>261</v>
      </c>
      <c r="E89">
        <v>1</v>
      </c>
      <c r="F89" t="s">
        <v>262</v>
      </c>
      <c r="G89" t="s">
        <v>183</v>
      </c>
      <c r="H89" t="s">
        <v>260</v>
      </c>
      <c r="I89">
        <v>12</v>
      </c>
    </row>
    <row r="90" spans="1:9">
      <c r="A90" t="str">
        <f>"0019654 "</f>
        <v xml:space="preserve">0019654 </v>
      </c>
      <c r="B90" t="s">
        <v>9</v>
      </c>
      <c r="C90" t="s">
        <v>263</v>
      </c>
      <c r="D90" t="s">
        <v>264</v>
      </c>
      <c r="E90">
        <v>3</v>
      </c>
      <c r="F90" t="s">
        <v>265</v>
      </c>
      <c r="G90" t="s">
        <v>183</v>
      </c>
      <c r="H90" t="s">
        <v>263</v>
      </c>
      <c r="I90">
        <v>12</v>
      </c>
    </row>
    <row r="91" spans="1:9">
      <c r="A91" t="str">
        <f>"0019450 "</f>
        <v xml:space="preserve">0019450 </v>
      </c>
      <c r="B91" t="s">
        <v>9</v>
      </c>
      <c r="C91" t="s">
        <v>266</v>
      </c>
      <c r="D91" t="s">
        <v>267</v>
      </c>
      <c r="E91" t="s">
        <v>16</v>
      </c>
      <c r="F91" t="s">
        <v>182</v>
      </c>
      <c r="G91" t="s">
        <v>183</v>
      </c>
      <c r="H91" t="s">
        <v>266</v>
      </c>
      <c r="I91">
        <v>12</v>
      </c>
    </row>
    <row r="92" spans="1:9">
      <c r="A92" t="str">
        <f>"0019528 "</f>
        <v xml:space="preserve">0019528 </v>
      </c>
      <c r="B92" t="s">
        <v>9</v>
      </c>
      <c r="C92" t="s">
        <v>268</v>
      </c>
      <c r="D92" t="s">
        <v>269</v>
      </c>
      <c r="E92">
        <v>2</v>
      </c>
      <c r="F92" t="s">
        <v>270</v>
      </c>
      <c r="G92" t="s">
        <v>183</v>
      </c>
      <c r="H92" t="s">
        <v>268</v>
      </c>
      <c r="I92">
        <v>12</v>
      </c>
    </row>
    <row r="93" spans="1:9">
      <c r="A93" t="str">
        <f>"0019732 "</f>
        <v xml:space="preserve">0019732 </v>
      </c>
      <c r="B93" t="s">
        <v>9</v>
      </c>
      <c r="C93" t="s">
        <v>271</v>
      </c>
      <c r="D93" t="s">
        <v>272</v>
      </c>
      <c r="E93">
        <v>3</v>
      </c>
      <c r="F93" t="s">
        <v>182</v>
      </c>
      <c r="G93" t="s">
        <v>183</v>
      </c>
      <c r="H93" t="s">
        <v>271</v>
      </c>
      <c r="I93">
        <v>12</v>
      </c>
    </row>
    <row r="94" spans="1:9">
      <c r="A94" t="str">
        <f>"0019734 "</f>
        <v xml:space="preserve">0019734 </v>
      </c>
      <c r="B94" t="s">
        <v>9</v>
      </c>
      <c r="C94" t="s">
        <v>273</v>
      </c>
      <c r="D94" t="s">
        <v>274</v>
      </c>
      <c r="E94">
        <v>4</v>
      </c>
      <c r="F94" t="s">
        <v>275</v>
      </c>
      <c r="G94" t="s">
        <v>183</v>
      </c>
      <c r="H94" t="s">
        <v>273</v>
      </c>
      <c r="I94">
        <v>12</v>
      </c>
    </row>
    <row r="95" spans="1:9">
      <c r="A95" t="str">
        <f>"0019960 "</f>
        <v xml:space="preserve">0019960 </v>
      </c>
      <c r="B95" t="s">
        <v>9</v>
      </c>
      <c r="C95" t="s">
        <v>276</v>
      </c>
      <c r="D95" t="s">
        <v>277</v>
      </c>
      <c r="E95">
        <v>4</v>
      </c>
      <c r="F95" t="s">
        <v>265</v>
      </c>
      <c r="G95" t="s">
        <v>183</v>
      </c>
      <c r="H95" t="s">
        <v>276</v>
      </c>
      <c r="I95">
        <v>12</v>
      </c>
    </row>
    <row r="96" spans="1:9">
      <c r="A96" t="str">
        <f>"0019726 "</f>
        <v xml:space="preserve">0019726 </v>
      </c>
      <c r="B96" t="s">
        <v>9</v>
      </c>
      <c r="C96" t="s">
        <v>278</v>
      </c>
      <c r="D96" t="s">
        <v>279</v>
      </c>
      <c r="E96" t="s">
        <v>16</v>
      </c>
      <c r="F96" t="s">
        <v>26</v>
      </c>
      <c r="G96" t="s">
        <v>183</v>
      </c>
      <c r="H96" t="s">
        <v>278</v>
      </c>
      <c r="I96">
        <v>12</v>
      </c>
    </row>
    <row r="97" spans="1:9">
      <c r="A97" t="str">
        <f>"0019731 "</f>
        <v xml:space="preserve">0019731 </v>
      </c>
      <c r="B97" t="s">
        <v>9</v>
      </c>
      <c r="C97" t="s">
        <v>280</v>
      </c>
      <c r="D97" t="s">
        <v>281</v>
      </c>
      <c r="E97">
        <v>4</v>
      </c>
      <c r="F97" t="s">
        <v>282</v>
      </c>
      <c r="G97" t="s">
        <v>183</v>
      </c>
      <c r="H97" t="s">
        <v>280</v>
      </c>
      <c r="I97">
        <v>12</v>
      </c>
    </row>
    <row r="98" spans="1:9">
      <c r="A98" t="str">
        <f>"0019730 "</f>
        <v xml:space="preserve">0019730 </v>
      </c>
      <c r="B98" t="s">
        <v>9</v>
      </c>
      <c r="C98" t="s">
        <v>283</v>
      </c>
      <c r="D98" t="s">
        <v>284</v>
      </c>
      <c r="E98" t="s">
        <v>16</v>
      </c>
      <c r="F98" t="s">
        <v>285</v>
      </c>
      <c r="G98" t="s">
        <v>183</v>
      </c>
      <c r="H98" t="s">
        <v>283</v>
      </c>
      <c r="I98">
        <v>12</v>
      </c>
    </row>
    <row r="99" spans="1:9">
      <c r="A99" t="str">
        <f>"0019862 "</f>
        <v xml:space="preserve">0019862 </v>
      </c>
      <c r="B99" t="s">
        <v>9</v>
      </c>
      <c r="C99" t="s">
        <v>286</v>
      </c>
      <c r="D99" t="s">
        <v>287</v>
      </c>
      <c r="E99" t="s">
        <v>16</v>
      </c>
      <c r="F99" t="s">
        <v>288</v>
      </c>
      <c r="G99" t="s">
        <v>183</v>
      </c>
      <c r="H99" t="s">
        <v>286</v>
      </c>
      <c r="I99">
        <v>12</v>
      </c>
    </row>
    <row r="100" spans="1:9">
      <c r="A100" t="str">
        <f>"0019861 "</f>
        <v xml:space="preserve">0019861 </v>
      </c>
      <c r="B100" t="s">
        <v>9</v>
      </c>
      <c r="C100" t="s">
        <v>289</v>
      </c>
      <c r="D100" t="s">
        <v>290</v>
      </c>
      <c r="E100" t="s">
        <v>16</v>
      </c>
      <c r="F100" t="s">
        <v>288</v>
      </c>
      <c r="G100" t="s">
        <v>183</v>
      </c>
      <c r="H100" t="s">
        <v>289</v>
      </c>
      <c r="I100">
        <v>12</v>
      </c>
    </row>
    <row r="101" spans="1:9">
      <c r="A101" t="str">
        <f>"0019863 "</f>
        <v xml:space="preserve">0019863 </v>
      </c>
      <c r="B101" t="s">
        <v>9</v>
      </c>
      <c r="C101" t="s">
        <v>291</v>
      </c>
      <c r="D101" t="s">
        <v>292</v>
      </c>
      <c r="E101" t="s">
        <v>16</v>
      </c>
      <c r="F101" t="s">
        <v>293</v>
      </c>
      <c r="G101" t="s">
        <v>183</v>
      </c>
      <c r="H101" t="s">
        <v>291</v>
      </c>
      <c r="I101">
        <v>12</v>
      </c>
    </row>
    <row r="102" spans="1:9">
      <c r="A102" t="str">
        <f>"0019864 "</f>
        <v xml:space="preserve">0019864 </v>
      </c>
      <c r="B102" t="s">
        <v>9</v>
      </c>
      <c r="C102" t="s">
        <v>294</v>
      </c>
      <c r="D102" t="s">
        <v>295</v>
      </c>
      <c r="E102" t="s">
        <v>16</v>
      </c>
      <c r="F102" t="s">
        <v>296</v>
      </c>
      <c r="G102" t="s">
        <v>183</v>
      </c>
      <c r="H102" t="s">
        <v>294</v>
      </c>
      <c r="I102">
        <v>6</v>
      </c>
    </row>
    <row r="103" spans="1:9">
      <c r="A103" t="str">
        <f>"0019740 "</f>
        <v xml:space="preserve">0019740 </v>
      </c>
      <c r="B103" t="s">
        <v>9</v>
      </c>
      <c r="C103" t="s">
        <v>297</v>
      </c>
      <c r="D103" t="s">
        <v>298</v>
      </c>
      <c r="E103">
        <v>4</v>
      </c>
      <c r="F103" t="s">
        <v>299</v>
      </c>
      <c r="G103" t="s">
        <v>183</v>
      </c>
      <c r="H103" t="s">
        <v>297</v>
      </c>
      <c r="I103">
        <v>12</v>
      </c>
    </row>
    <row r="104" spans="1:9">
      <c r="A104" t="str">
        <f>"0019739 "</f>
        <v xml:space="preserve">0019739 </v>
      </c>
      <c r="B104" t="s">
        <v>9</v>
      </c>
      <c r="C104" t="s">
        <v>300</v>
      </c>
      <c r="D104" t="s">
        <v>301</v>
      </c>
      <c r="E104" t="s">
        <v>16</v>
      </c>
      <c r="F104" t="s">
        <v>302</v>
      </c>
      <c r="G104" t="s">
        <v>183</v>
      </c>
      <c r="H104" t="s">
        <v>300</v>
      </c>
      <c r="I104">
        <v>12</v>
      </c>
    </row>
    <row r="105" spans="1:9">
      <c r="A105" t="str">
        <f>"0019846 "</f>
        <v xml:space="preserve">0019846 </v>
      </c>
      <c r="B105" t="s">
        <v>9</v>
      </c>
      <c r="C105" t="s">
        <v>303</v>
      </c>
      <c r="D105" t="s">
        <v>304</v>
      </c>
      <c r="E105">
        <v>4</v>
      </c>
      <c r="F105" t="s">
        <v>224</v>
      </c>
      <c r="G105" t="s">
        <v>183</v>
      </c>
      <c r="H105" t="s">
        <v>303</v>
      </c>
      <c r="I105">
        <v>12</v>
      </c>
    </row>
    <row r="106" spans="1:9">
      <c r="A106" t="str">
        <f>"0019738 "</f>
        <v xml:space="preserve">0019738 </v>
      </c>
      <c r="B106" t="s">
        <v>9</v>
      </c>
      <c r="C106" t="s">
        <v>305</v>
      </c>
      <c r="D106" t="s">
        <v>306</v>
      </c>
      <c r="E106">
        <v>1</v>
      </c>
      <c r="F106" t="s">
        <v>307</v>
      </c>
      <c r="G106" t="s">
        <v>183</v>
      </c>
      <c r="H106" t="s">
        <v>305</v>
      </c>
      <c r="I106">
        <v>6</v>
      </c>
    </row>
    <row r="107" spans="1:9">
      <c r="A107" t="str">
        <f>"0019813 "</f>
        <v xml:space="preserve">0019813 </v>
      </c>
      <c r="B107" t="s">
        <v>9</v>
      </c>
      <c r="C107" t="s">
        <v>308</v>
      </c>
      <c r="D107" t="s">
        <v>309</v>
      </c>
      <c r="E107" t="s">
        <v>16</v>
      </c>
      <c r="F107" t="s">
        <v>310</v>
      </c>
      <c r="G107" t="s">
        <v>183</v>
      </c>
      <c r="H107" t="s">
        <v>308</v>
      </c>
      <c r="I107">
        <v>6</v>
      </c>
    </row>
    <row r="108" spans="1:9">
      <c r="A108" t="str">
        <f>"0038749 "</f>
        <v xml:space="preserve">0038749 </v>
      </c>
      <c r="B108" t="s">
        <v>9</v>
      </c>
      <c r="C108" t="s">
        <v>311</v>
      </c>
      <c r="D108" t="s">
        <v>312</v>
      </c>
      <c r="E108" t="s">
        <v>16</v>
      </c>
      <c r="F108" t="s">
        <v>313</v>
      </c>
      <c r="G108" t="s">
        <v>183</v>
      </c>
      <c r="H108" t="s">
        <v>311</v>
      </c>
      <c r="I108">
        <v>6</v>
      </c>
    </row>
    <row r="109" spans="1:9">
      <c r="A109" t="str">
        <f>"0019648 "</f>
        <v xml:space="preserve">0019648 </v>
      </c>
      <c r="B109" t="s">
        <v>9</v>
      </c>
      <c r="C109" t="s">
        <v>314</v>
      </c>
      <c r="D109" t="s">
        <v>315</v>
      </c>
      <c r="E109">
        <v>4</v>
      </c>
      <c r="F109" t="s">
        <v>316</v>
      </c>
      <c r="G109" t="s">
        <v>183</v>
      </c>
      <c r="H109" t="s">
        <v>314</v>
      </c>
      <c r="I109">
        <v>12</v>
      </c>
    </row>
    <row r="110" spans="1:9">
      <c r="A110" t="str">
        <f>"0019755 "</f>
        <v xml:space="preserve">0019755 </v>
      </c>
      <c r="B110" t="s">
        <v>9</v>
      </c>
      <c r="C110" t="s">
        <v>317</v>
      </c>
      <c r="D110" t="s">
        <v>318</v>
      </c>
      <c r="E110">
        <v>3</v>
      </c>
      <c r="F110" t="s">
        <v>319</v>
      </c>
      <c r="G110" t="s">
        <v>183</v>
      </c>
      <c r="H110" t="s">
        <v>317</v>
      </c>
      <c r="I110">
        <v>12</v>
      </c>
    </row>
    <row r="111" spans="1:9">
      <c r="A111" t="str">
        <f>"0155792 "</f>
        <v xml:space="preserve">0155792 </v>
      </c>
      <c r="B111" t="s">
        <v>9</v>
      </c>
      <c r="C111" t="s">
        <v>320</v>
      </c>
      <c r="D111" t="s">
        <v>321</v>
      </c>
      <c r="E111">
        <v>2</v>
      </c>
      <c r="F111" t="s">
        <v>322</v>
      </c>
      <c r="G111" t="s">
        <v>183</v>
      </c>
      <c r="H111" t="s">
        <v>320</v>
      </c>
      <c r="I111">
        <v>12</v>
      </c>
    </row>
    <row r="112" spans="1:9">
      <c r="A112" t="str">
        <f>"0019756 "</f>
        <v xml:space="preserve">0019756 </v>
      </c>
      <c r="B112" t="s">
        <v>9</v>
      </c>
      <c r="C112" t="s">
        <v>323</v>
      </c>
      <c r="D112" t="s">
        <v>324</v>
      </c>
      <c r="E112">
        <v>2</v>
      </c>
      <c r="F112" t="s">
        <v>325</v>
      </c>
      <c r="G112" t="s">
        <v>183</v>
      </c>
      <c r="H112" t="s">
        <v>323</v>
      </c>
      <c r="I112">
        <v>12</v>
      </c>
    </row>
    <row r="113" spans="1:9">
      <c r="A113" t="str">
        <f>"0155793 "</f>
        <v xml:space="preserve">0155793 </v>
      </c>
      <c r="B113" t="s">
        <v>9</v>
      </c>
      <c r="C113" t="s">
        <v>326</v>
      </c>
      <c r="D113" t="s">
        <v>327</v>
      </c>
      <c r="E113">
        <v>2</v>
      </c>
      <c r="F113" t="s">
        <v>328</v>
      </c>
      <c r="G113" t="s">
        <v>183</v>
      </c>
      <c r="H113" t="s">
        <v>326</v>
      </c>
      <c r="I113">
        <v>12</v>
      </c>
    </row>
    <row r="114" spans="1:9">
      <c r="A114" t="str">
        <f>"0019464 "</f>
        <v xml:space="preserve">0019464 </v>
      </c>
      <c r="B114" t="s">
        <v>9</v>
      </c>
      <c r="C114" t="s">
        <v>329</v>
      </c>
      <c r="D114" t="s">
        <v>330</v>
      </c>
      <c r="E114">
        <v>4</v>
      </c>
      <c r="F114" t="s">
        <v>188</v>
      </c>
      <c r="G114" t="s">
        <v>183</v>
      </c>
      <c r="H114" t="s">
        <v>329</v>
      </c>
      <c r="I114">
        <v>12</v>
      </c>
    </row>
    <row r="115" spans="1:9">
      <c r="A115" t="str">
        <f>"0155794 "</f>
        <v xml:space="preserve">0155794 </v>
      </c>
      <c r="B115" t="s">
        <v>9</v>
      </c>
      <c r="C115" t="s">
        <v>331</v>
      </c>
      <c r="D115" t="s">
        <v>332</v>
      </c>
      <c r="E115">
        <v>2</v>
      </c>
      <c r="F115" t="s">
        <v>191</v>
      </c>
      <c r="G115" t="s">
        <v>183</v>
      </c>
      <c r="H115" t="s">
        <v>331</v>
      </c>
      <c r="I115">
        <v>12</v>
      </c>
    </row>
    <row r="116" spans="1:9">
      <c r="A116" t="str">
        <f>"0019743 "</f>
        <v xml:space="preserve">0019743 </v>
      </c>
      <c r="B116" t="s">
        <v>9</v>
      </c>
      <c r="C116" t="s">
        <v>333</v>
      </c>
      <c r="D116" t="s">
        <v>334</v>
      </c>
      <c r="E116">
        <v>5</v>
      </c>
      <c r="F116" t="s">
        <v>335</v>
      </c>
      <c r="G116" t="s">
        <v>183</v>
      </c>
      <c r="H116" t="s">
        <v>333</v>
      </c>
      <c r="I116">
        <v>12</v>
      </c>
    </row>
    <row r="117" spans="1:9">
      <c r="A117" t="str">
        <f>"0155795 "</f>
        <v xml:space="preserve">0155795 </v>
      </c>
      <c r="B117" t="s">
        <v>9</v>
      </c>
      <c r="C117" t="s">
        <v>336</v>
      </c>
      <c r="D117" t="s">
        <v>337</v>
      </c>
      <c r="E117">
        <v>2</v>
      </c>
      <c r="F117" t="s">
        <v>338</v>
      </c>
      <c r="G117" t="s">
        <v>183</v>
      </c>
      <c r="H117" t="s">
        <v>336</v>
      </c>
      <c r="I117">
        <v>12</v>
      </c>
    </row>
    <row r="118" spans="1:9">
      <c r="A118" t="str">
        <f>"0019537 "</f>
        <v xml:space="preserve">0019537 </v>
      </c>
      <c r="B118" t="s">
        <v>9</v>
      </c>
      <c r="C118" t="s">
        <v>339</v>
      </c>
      <c r="D118" t="s">
        <v>340</v>
      </c>
      <c r="E118">
        <v>3</v>
      </c>
      <c r="F118" t="s">
        <v>341</v>
      </c>
      <c r="G118" t="s">
        <v>183</v>
      </c>
      <c r="H118" t="s">
        <v>339</v>
      </c>
      <c r="I118">
        <v>12</v>
      </c>
    </row>
    <row r="119" spans="1:9">
      <c r="A119" t="str">
        <f>"0019536 "</f>
        <v xml:space="preserve">0019536 </v>
      </c>
      <c r="B119" t="s">
        <v>9</v>
      </c>
      <c r="C119" t="s">
        <v>342</v>
      </c>
      <c r="D119" t="s">
        <v>343</v>
      </c>
      <c r="E119">
        <v>3</v>
      </c>
      <c r="F119" t="s">
        <v>194</v>
      </c>
      <c r="G119" t="s">
        <v>183</v>
      </c>
      <c r="H119" t="s">
        <v>342</v>
      </c>
      <c r="I119">
        <v>12</v>
      </c>
    </row>
    <row r="120" spans="1:9">
      <c r="A120" t="str">
        <f>"0019538 "</f>
        <v xml:space="preserve">0019538 </v>
      </c>
      <c r="B120" t="s">
        <v>9</v>
      </c>
      <c r="C120" t="s">
        <v>344</v>
      </c>
      <c r="D120" t="s">
        <v>345</v>
      </c>
      <c r="E120">
        <v>5</v>
      </c>
      <c r="F120" t="s">
        <v>346</v>
      </c>
      <c r="G120" t="s">
        <v>183</v>
      </c>
      <c r="H120" t="s">
        <v>344</v>
      </c>
      <c r="I120">
        <v>12</v>
      </c>
    </row>
    <row r="121" spans="1:9">
      <c r="A121" t="str">
        <f>"0019500 "</f>
        <v xml:space="preserve">0019500 </v>
      </c>
      <c r="B121" t="s">
        <v>9</v>
      </c>
      <c r="C121" t="s">
        <v>347</v>
      </c>
      <c r="D121" t="s">
        <v>348</v>
      </c>
      <c r="E121">
        <v>5</v>
      </c>
      <c r="F121" t="s">
        <v>349</v>
      </c>
      <c r="G121" t="s">
        <v>183</v>
      </c>
      <c r="H121" t="s">
        <v>347</v>
      </c>
      <c r="I121">
        <v>12</v>
      </c>
    </row>
    <row r="122" spans="1:9">
      <c r="A122" t="str">
        <f>"0019753 "</f>
        <v xml:space="preserve">0019753 </v>
      </c>
      <c r="B122" t="s">
        <v>9</v>
      </c>
      <c r="C122" t="s">
        <v>350</v>
      </c>
      <c r="D122" t="s">
        <v>351</v>
      </c>
      <c r="E122">
        <v>2</v>
      </c>
      <c r="F122" t="s">
        <v>206</v>
      </c>
      <c r="G122" t="s">
        <v>183</v>
      </c>
      <c r="H122" t="s">
        <v>350</v>
      </c>
      <c r="I122">
        <v>12</v>
      </c>
    </row>
    <row r="123" spans="1:9">
      <c r="A123" t="str">
        <f>"0019826 "</f>
        <v xml:space="preserve">0019826 </v>
      </c>
      <c r="B123" t="s">
        <v>9</v>
      </c>
      <c r="C123" t="s">
        <v>352</v>
      </c>
      <c r="D123" t="s">
        <v>353</v>
      </c>
      <c r="E123" t="s">
        <v>16</v>
      </c>
      <c r="F123" t="s">
        <v>182</v>
      </c>
      <c r="G123" t="s">
        <v>183</v>
      </c>
      <c r="H123" t="s">
        <v>352</v>
      </c>
      <c r="I123">
        <v>12</v>
      </c>
    </row>
    <row r="124" spans="1:9">
      <c r="A124" t="str">
        <f>"0155789 "</f>
        <v xml:space="preserve">0155789 </v>
      </c>
      <c r="B124" t="s">
        <v>9</v>
      </c>
      <c r="C124" t="s">
        <v>354</v>
      </c>
      <c r="D124" t="s">
        <v>355</v>
      </c>
      <c r="E124">
        <v>3</v>
      </c>
      <c r="F124" t="s">
        <v>356</v>
      </c>
      <c r="G124" t="s">
        <v>183</v>
      </c>
      <c r="H124" t="s">
        <v>354</v>
      </c>
      <c r="I124">
        <v>12</v>
      </c>
    </row>
    <row r="125" spans="1:9">
      <c r="A125" t="str">
        <f>"0019622 "</f>
        <v xml:space="preserve">0019622 </v>
      </c>
      <c r="B125" t="s">
        <v>9</v>
      </c>
      <c r="C125" t="s">
        <v>357</v>
      </c>
      <c r="D125" t="s">
        <v>358</v>
      </c>
      <c r="E125" t="s">
        <v>16</v>
      </c>
      <c r="F125" t="s">
        <v>20</v>
      </c>
      <c r="G125" t="s">
        <v>183</v>
      </c>
      <c r="H125" t="s">
        <v>357</v>
      </c>
      <c r="I125">
        <v>12</v>
      </c>
    </row>
    <row r="126" spans="1:9">
      <c r="A126" t="str">
        <f>"0155798 "</f>
        <v xml:space="preserve">0155798 </v>
      </c>
      <c r="B126" t="s">
        <v>9</v>
      </c>
      <c r="C126" t="s">
        <v>359</v>
      </c>
      <c r="D126" t="s">
        <v>360</v>
      </c>
      <c r="E126" t="s">
        <v>16</v>
      </c>
      <c r="F126" t="s">
        <v>361</v>
      </c>
      <c r="G126" t="s">
        <v>183</v>
      </c>
      <c r="H126" t="s">
        <v>359</v>
      </c>
      <c r="I126">
        <v>12</v>
      </c>
    </row>
    <row r="127" spans="1:9">
      <c r="A127" t="str">
        <f>"0019602 "</f>
        <v xml:space="preserve">0019602 </v>
      </c>
      <c r="B127" t="s">
        <v>9</v>
      </c>
      <c r="C127" t="s">
        <v>362</v>
      </c>
      <c r="D127" t="s">
        <v>363</v>
      </c>
      <c r="E127" t="s">
        <v>16</v>
      </c>
      <c r="F127" t="s">
        <v>53</v>
      </c>
      <c r="G127" t="s">
        <v>183</v>
      </c>
      <c r="H127" t="s">
        <v>362</v>
      </c>
      <c r="I127">
        <v>12</v>
      </c>
    </row>
    <row r="128" spans="1:9">
      <c r="A128" t="str">
        <f>"0019807 "</f>
        <v xml:space="preserve">0019807 </v>
      </c>
      <c r="B128" t="s">
        <v>9</v>
      </c>
      <c r="C128" t="s">
        <v>364</v>
      </c>
      <c r="D128" t="s">
        <v>365</v>
      </c>
      <c r="E128">
        <v>2</v>
      </c>
      <c r="F128" t="s">
        <v>140</v>
      </c>
      <c r="G128" t="s">
        <v>183</v>
      </c>
      <c r="H128" t="s">
        <v>364</v>
      </c>
      <c r="I128">
        <v>12</v>
      </c>
    </row>
    <row r="129" spans="1:9">
      <c r="A129" t="str">
        <f>"0019804 "</f>
        <v xml:space="preserve">0019804 </v>
      </c>
      <c r="B129" t="s">
        <v>9</v>
      </c>
      <c r="C129" t="s">
        <v>366</v>
      </c>
      <c r="D129" t="s">
        <v>367</v>
      </c>
      <c r="E129">
        <v>2</v>
      </c>
      <c r="F129" t="s">
        <v>368</v>
      </c>
      <c r="G129" t="s">
        <v>183</v>
      </c>
      <c r="H129" t="s">
        <v>366</v>
      </c>
      <c r="I129">
        <v>12</v>
      </c>
    </row>
    <row r="130" spans="1:9">
      <c r="A130" t="str">
        <f>"0019636 "</f>
        <v xml:space="preserve">0019636 </v>
      </c>
      <c r="B130" t="s">
        <v>9</v>
      </c>
      <c r="C130" t="s">
        <v>369</v>
      </c>
      <c r="D130" t="s">
        <v>370</v>
      </c>
      <c r="E130">
        <v>2</v>
      </c>
      <c r="F130" t="s">
        <v>293</v>
      </c>
      <c r="G130" t="s">
        <v>183</v>
      </c>
      <c r="H130" t="s">
        <v>369</v>
      </c>
      <c r="I130">
        <v>12</v>
      </c>
    </row>
    <row r="131" spans="1:9">
      <c r="A131" t="str">
        <f>"0019680 "</f>
        <v xml:space="preserve">0019680 </v>
      </c>
      <c r="B131" t="s">
        <v>9</v>
      </c>
      <c r="C131" t="s">
        <v>371</v>
      </c>
      <c r="D131" t="s">
        <v>372</v>
      </c>
      <c r="E131">
        <v>4</v>
      </c>
      <c r="F131" t="s">
        <v>373</v>
      </c>
      <c r="G131" t="s">
        <v>183</v>
      </c>
      <c r="H131" t="s">
        <v>371</v>
      </c>
      <c r="I131">
        <v>12</v>
      </c>
    </row>
    <row r="132" spans="1:9">
      <c r="A132" t="str">
        <f>"0019677 "</f>
        <v xml:space="preserve">0019677 </v>
      </c>
      <c r="B132" t="s">
        <v>9</v>
      </c>
      <c r="C132" t="s">
        <v>374</v>
      </c>
      <c r="D132" t="s">
        <v>375</v>
      </c>
      <c r="E132">
        <v>2</v>
      </c>
      <c r="F132" t="s">
        <v>373</v>
      </c>
      <c r="G132" t="s">
        <v>183</v>
      </c>
      <c r="H132" t="s">
        <v>374</v>
      </c>
      <c r="I132">
        <v>12</v>
      </c>
    </row>
    <row r="133" spans="1:9">
      <c r="A133" t="str">
        <f>"0019714 "</f>
        <v xml:space="preserve">0019714 </v>
      </c>
      <c r="B133" t="s">
        <v>9</v>
      </c>
      <c r="C133" t="s">
        <v>376</v>
      </c>
      <c r="D133" t="s">
        <v>377</v>
      </c>
      <c r="E133">
        <v>2</v>
      </c>
      <c r="F133" t="s">
        <v>378</v>
      </c>
      <c r="G133" t="s">
        <v>183</v>
      </c>
      <c r="H133" t="s">
        <v>376</v>
      </c>
      <c r="I133">
        <v>12</v>
      </c>
    </row>
    <row r="134" spans="1:9">
      <c r="A134" t="str">
        <f>"0155799 "</f>
        <v xml:space="preserve">0155799 </v>
      </c>
      <c r="B134" t="s">
        <v>9</v>
      </c>
      <c r="C134" t="s">
        <v>379</v>
      </c>
      <c r="D134" t="s">
        <v>380</v>
      </c>
      <c r="E134">
        <v>1</v>
      </c>
      <c r="F134" t="s">
        <v>381</v>
      </c>
      <c r="G134" t="s">
        <v>183</v>
      </c>
      <c r="H134" t="s">
        <v>379</v>
      </c>
      <c r="I134">
        <v>12</v>
      </c>
    </row>
    <row r="135" spans="1:9">
      <c r="A135" t="str">
        <f>"0019707 "</f>
        <v xml:space="preserve">0019707 </v>
      </c>
      <c r="B135" t="s">
        <v>9</v>
      </c>
      <c r="C135" t="s">
        <v>382</v>
      </c>
      <c r="D135" t="s">
        <v>383</v>
      </c>
      <c r="E135">
        <v>1</v>
      </c>
      <c r="F135" t="s">
        <v>373</v>
      </c>
      <c r="G135" t="s">
        <v>183</v>
      </c>
      <c r="H135" t="s">
        <v>382</v>
      </c>
      <c r="I135">
        <v>12</v>
      </c>
    </row>
    <row r="136" spans="1:9">
      <c r="A136" t="str">
        <f>"0019777 "</f>
        <v xml:space="preserve">0019777 </v>
      </c>
      <c r="B136" t="s">
        <v>9</v>
      </c>
      <c r="C136" t="s">
        <v>384</v>
      </c>
      <c r="D136" t="s">
        <v>385</v>
      </c>
      <c r="E136">
        <v>1</v>
      </c>
      <c r="F136" t="s">
        <v>338</v>
      </c>
      <c r="G136" t="s">
        <v>183</v>
      </c>
      <c r="H136" t="s">
        <v>384</v>
      </c>
      <c r="I136">
        <v>12</v>
      </c>
    </row>
    <row r="137" spans="1:9">
      <c r="A137" t="str">
        <f>"0155790 "</f>
        <v xml:space="preserve">0155790 </v>
      </c>
      <c r="B137" t="s">
        <v>9</v>
      </c>
      <c r="C137" t="s">
        <v>386</v>
      </c>
      <c r="D137" t="s">
        <v>387</v>
      </c>
      <c r="E137" t="s">
        <v>16</v>
      </c>
      <c r="F137" t="s">
        <v>388</v>
      </c>
      <c r="G137" t="s">
        <v>183</v>
      </c>
      <c r="H137" t="s">
        <v>386</v>
      </c>
      <c r="I137">
        <v>16</v>
      </c>
    </row>
    <row r="138" spans="1:9">
      <c r="A138" t="str">
        <f>"0019798 "</f>
        <v xml:space="preserve">0019798 </v>
      </c>
      <c r="B138" t="s">
        <v>9</v>
      </c>
      <c r="C138" t="s">
        <v>389</v>
      </c>
      <c r="D138" t="s">
        <v>390</v>
      </c>
      <c r="E138">
        <v>3</v>
      </c>
      <c r="F138" t="s">
        <v>391</v>
      </c>
      <c r="G138" t="s">
        <v>183</v>
      </c>
      <c r="H138" t="s">
        <v>389</v>
      </c>
      <c r="I138">
        <v>12</v>
      </c>
    </row>
    <row r="139" spans="1:9">
      <c r="A139" t="str">
        <f>"0019799 "</f>
        <v xml:space="preserve">0019799 </v>
      </c>
      <c r="B139" t="s">
        <v>9</v>
      </c>
      <c r="C139" t="s">
        <v>392</v>
      </c>
      <c r="D139" t="s">
        <v>393</v>
      </c>
      <c r="E139">
        <v>2</v>
      </c>
      <c r="F139" t="s">
        <v>394</v>
      </c>
      <c r="G139" t="s">
        <v>183</v>
      </c>
      <c r="H139" t="s">
        <v>392</v>
      </c>
      <c r="I139">
        <v>12</v>
      </c>
    </row>
    <row r="140" spans="1:9">
      <c r="A140" t="str">
        <f>"0019986 "</f>
        <v xml:space="preserve">0019986 </v>
      </c>
      <c r="B140" t="s">
        <v>9</v>
      </c>
      <c r="C140" t="s">
        <v>395</v>
      </c>
      <c r="D140" t="s">
        <v>396</v>
      </c>
      <c r="E140">
        <v>2</v>
      </c>
      <c r="F140" t="s">
        <v>31</v>
      </c>
      <c r="G140" t="s">
        <v>183</v>
      </c>
      <c r="H140" t="s">
        <v>395</v>
      </c>
      <c r="I140">
        <v>12</v>
      </c>
    </row>
    <row r="141" spans="1:9">
      <c r="A141" t="str">
        <f>"0019531 "</f>
        <v xml:space="preserve">0019531 </v>
      </c>
      <c r="B141" t="s">
        <v>9</v>
      </c>
      <c r="C141" t="s">
        <v>397</v>
      </c>
      <c r="D141" t="s">
        <v>398</v>
      </c>
      <c r="E141">
        <v>2</v>
      </c>
      <c r="F141" t="s">
        <v>399</v>
      </c>
      <c r="G141" t="s">
        <v>183</v>
      </c>
      <c r="H141" t="s">
        <v>397</v>
      </c>
      <c r="I141">
        <v>12</v>
      </c>
    </row>
    <row r="142" spans="1:9">
      <c r="A142" t="str">
        <f>"0019442 "</f>
        <v xml:space="preserve">0019442 </v>
      </c>
      <c r="B142" t="s">
        <v>9</v>
      </c>
      <c r="C142" t="s">
        <v>400</v>
      </c>
      <c r="D142" t="s">
        <v>401</v>
      </c>
      <c r="E142">
        <v>2</v>
      </c>
      <c r="F142" t="s">
        <v>402</v>
      </c>
      <c r="G142" t="s">
        <v>183</v>
      </c>
      <c r="H142" t="s">
        <v>400</v>
      </c>
      <c r="I142">
        <v>12</v>
      </c>
    </row>
    <row r="143" spans="1:9">
      <c r="A143" t="str">
        <f>"0019447 "</f>
        <v xml:space="preserve">0019447 </v>
      </c>
      <c r="B143" t="s">
        <v>9</v>
      </c>
      <c r="C143" t="s">
        <v>403</v>
      </c>
      <c r="D143" t="s">
        <v>404</v>
      </c>
      <c r="E143" t="s">
        <v>16</v>
      </c>
      <c r="F143" t="s">
        <v>405</v>
      </c>
      <c r="G143" t="s">
        <v>183</v>
      </c>
      <c r="H143" t="s">
        <v>403</v>
      </c>
      <c r="I143">
        <v>24</v>
      </c>
    </row>
    <row r="144" spans="1:9">
      <c r="A144" t="str">
        <f>"0019444 "</f>
        <v xml:space="preserve">0019444 </v>
      </c>
      <c r="B144" t="s">
        <v>9</v>
      </c>
      <c r="C144" t="s">
        <v>406</v>
      </c>
      <c r="D144" t="s">
        <v>407</v>
      </c>
      <c r="E144" t="s">
        <v>16</v>
      </c>
      <c r="F144" t="s">
        <v>408</v>
      </c>
      <c r="G144" t="s">
        <v>183</v>
      </c>
      <c r="H144" t="s">
        <v>406</v>
      </c>
      <c r="I144">
        <v>24</v>
      </c>
    </row>
    <row r="145" spans="1:9">
      <c r="A145" t="str">
        <f>"0019824 "</f>
        <v xml:space="preserve">0019824 </v>
      </c>
      <c r="B145" t="s">
        <v>9</v>
      </c>
      <c r="C145" t="s">
        <v>409</v>
      </c>
      <c r="D145" t="s">
        <v>410</v>
      </c>
      <c r="E145">
        <v>2</v>
      </c>
      <c r="F145" t="s">
        <v>411</v>
      </c>
      <c r="G145" t="s">
        <v>183</v>
      </c>
      <c r="H145" t="s">
        <v>409</v>
      </c>
      <c r="I145">
        <v>12</v>
      </c>
    </row>
    <row r="146" spans="1:9">
      <c r="A146" t="str">
        <f>"0019481 "</f>
        <v xml:space="preserve">0019481 </v>
      </c>
      <c r="B146" t="s">
        <v>9</v>
      </c>
      <c r="C146" t="s">
        <v>412</v>
      </c>
      <c r="D146" t="s">
        <v>413</v>
      </c>
      <c r="E146">
        <v>1</v>
      </c>
      <c r="F146" t="s">
        <v>414</v>
      </c>
      <c r="G146" t="s">
        <v>183</v>
      </c>
      <c r="H146" t="s">
        <v>412</v>
      </c>
      <c r="I146">
        <v>12</v>
      </c>
    </row>
    <row r="147" spans="1:9">
      <c r="A147" t="str">
        <f>"0019915 "</f>
        <v xml:space="preserve">0019915 </v>
      </c>
      <c r="B147" t="s">
        <v>9</v>
      </c>
      <c r="C147" t="s">
        <v>415</v>
      </c>
      <c r="D147" t="s">
        <v>416</v>
      </c>
      <c r="E147">
        <v>2</v>
      </c>
      <c r="F147" t="s">
        <v>417</v>
      </c>
      <c r="G147" t="s">
        <v>183</v>
      </c>
      <c r="H147" t="s">
        <v>415</v>
      </c>
      <c r="I147">
        <v>12</v>
      </c>
    </row>
    <row r="148" spans="1:9">
      <c r="A148" t="str">
        <f>"0019577 "</f>
        <v xml:space="preserve">0019577 </v>
      </c>
      <c r="B148" t="s">
        <v>9</v>
      </c>
      <c r="C148" t="s">
        <v>418</v>
      </c>
      <c r="D148" t="s">
        <v>419</v>
      </c>
      <c r="E148">
        <v>2</v>
      </c>
      <c r="F148" t="s">
        <v>224</v>
      </c>
      <c r="G148" t="s">
        <v>183</v>
      </c>
      <c r="H148" t="s">
        <v>418</v>
      </c>
      <c r="I148">
        <v>12</v>
      </c>
    </row>
    <row r="149" spans="1:9">
      <c r="A149" t="str">
        <f>"0019917 "</f>
        <v xml:space="preserve">0019917 </v>
      </c>
      <c r="B149" t="s">
        <v>9</v>
      </c>
      <c r="C149" t="s">
        <v>420</v>
      </c>
      <c r="D149" t="s">
        <v>421</v>
      </c>
      <c r="E149">
        <v>2</v>
      </c>
      <c r="F149" t="s">
        <v>422</v>
      </c>
      <c r="G149" t="s">
        <v>183</v>
      </c>
      <c r="H149" t="s">
        <v>420</v>
      </c>
      <c r="I149">
        <v>12</v>
      </c>
    </row>
    <row r="150" spans="1:9">
      <c r="A150" t="str">
        <f>"0019920 "</f>
        <v xml:space="preserve">0019920 </v>
      </c>
      <c r="B150" t="s">
        <v>9</v>
      </c>
      <c r="C150" t="s">
        <v>423</v>
      </c>
      <c r="D150" t="s">
        <v>424</v>
      </c>
      <c r="E150">
        <v>2</v>
      </c>
      <c r="F150" t="s">
        <v>425</v>
      </c>
      <c r="G150" t="s">
        <v>183</v>
      </c>
      <c r="H150" t="s">
        <v>423</v>
      </c>
      <c r="I150">
        <v>6</v>
      </c>
    </row>
    <row r="151" spans="1:9">
      <c r="A151" t="str">
        <f>"0019582 "</f>
        <v xml:space="preserve">0019582 </v>
      </c>
      <c r="B151" t="s">
        <v>9</v>
      </c>
      <c r="C151" t="s">
        <v>426</v>
      </c>
      <c r="D151" t="s">
        <v>427</v>
      </c>
      <c r="E151">
        <v>1</v>
      </c>
      <c r="F151" t="s">
        <v>428</v>
      </c>
      <c r="G151" t="s">
        <v>183</v>
      </c>
      <c r="H151" t="s">
        <v>426</v>
      </c>
      <c r="I151">
        <v>12</v>
      </c>
    </row>
    <row r="152" spans="1:9">
      <c r="A152" t="str">
        <f>"0019495 "</f>
        <v xml:space="preserve">0019495 </v>
      </c>
      <c r="B152" t="s">
        <v>9</v>
      </c>
      <c r="C152" t="s">
        <v>429</v>
      </c>
      <c r="D152" t="s">
        <v>430</v>
      </c>
      <c r="E152" t="s">
        <v>16</v>
      </c>
      <c r="F152" t="s">
        <v>155</v>
      </c>
      <c r="G152" t="s">
        <v>183</v>
      </c>
      <c r="H152" t="s">
        <v>429</v>
      </c>
      <c r="I152">
        <v>12</v>
      </c>
    </row>
    <row r="153" spans="1:9">
      <c r="A153" t="str">
        <f>"0019803 "</f>
        <v xml:space="preserve">0019803 </v>
      </c>
      <c r="B153" t="s">
        <v>9</v>
      </c>
      <c r="C153" t="s">
        <v>431</v>
      </c>
      <c r="D153" t="s">
        <v>432</v>
      </c>
      <c r="E153">
        <v>1</v>
      </c>
      <c r="F153" t="s">
        <v>433</v>
      </c>
      <c r="G153" t="s">
        <v>183</v>
      </c>
      <c r="H153" t="s">
        <v>431</v>
      </c>
      <c r="I153">
        <v>12</v>
      </c>
    </row>
    <row r="154" spans="1:9">
      <c r="A154" t="str">
        <f>"0019850 "</f>
        <v xml:space="preserve">0019850 </v>
      </c>
      <c r="B154" t="s">
        <v>9</v>
      </c>
      <c r="C154" t="s">
        <v>434</v>
      </c>
      <c r="D154" t="s">
        <v>435</v>
      </c>
      <c r="E154" t="s">
        <v>16</v>
      </c>
      <c r="F154" t="s">
        <v>436</v>
      </c>
      <c r="G154" t="s">
        <v>183</v>
      </c>
      <c r="H154" t="s">
        <v>434</v>
      </c>
      <c r="I154">
        <v>12</v>
      </c>
    </row>
    <row r="155" spans="1:9">
      <c r="A155" t="str">
        <f>"0019851 "</f>
        <v xml:space="preserve">0019851 </v>
      </c>
      <c r="B155" t="s">
        <v>9</v>
      </c>
      <c r="C155" t="s">
        <v>437</v>
      </c>
      <c r="D155" t="s">
        <v>438</v>
      </c>
      <c r="E155" t="s">
        <v>16</v>
      </c>
      <c r="F155" t="s">
        <v>117</v>
      </c>
      <c r="G155" t="s">
        <v>183</v>
      </c>
      <c r="H155" t="s">
        <v>437</v>
      </c>
      <c r="I155">
        <v>12</v>
      </c>
    </row>
    <row r="156" spans="1:9">
      <c r="A156" t="str">
        <f>"0019631 "</f>
        <v xml:space="preserve">0019631 </v>
      </c>
      <c r="B156" t="s">
        <v>9</v>
      </c>
      <c r="C156" t="s">
        <v>439</v>
      </c>
      <c r="D156" t="s">
        <v>440</v>
      </c>
      <c r="E156">
        <v>5</v>
      </c>
      <c r="F156" t="s">
        <v>441</v>
      </c>
      <c r="G156" t="s">
        <v>183</v>
      </c>
      <c r="H156" t="s">
        <v>439</v>
      </c>
      <c r="I156">
        <v>12</v>
      </c>
    </row>
    <row r="157" spans="1:9">
      <c r="A157" t="str">
        <f>"0019629 "</f>
        <v xml:space="preserve">0019629 </v>
      </c>
      <c r="B157" t="s">
        <v>9</v>
      </c>
      <c r="C157" t="s">
        <v>442</v>
      </c>
      <c r="D157" t="s">
        <v>443</v>
      </c>
      <c r="E157" t="s">
        <v>16</v>
      </c>
      <c r="F157" t="s">
        <v>182</v>
      </c>
      <c r="G157" t="s">
        <v>183</v>
      </c>
      <c r="H157" t="s">
        <v>442</v>
      </c>
      <c r="I157">
        <v>12</v>
      </c>
    </row>
    <row r="158" spans="1:9">
      <c r="A158" t="str">
        <f>"0019633 "</f>
        <v xml:space="preserve">0019633 </v>
      </c>
      <c r="B158" t="s">
        <v>9</v>
      </c>
      <c r="C158" t="s">
        <v>444</v>
      </c>
      <c r="D158" t="s">
        <v>445</v>
      </c>
      <c r="E158" t="s">
        <v>16</v>
      </c>
      <c r="F158" t="s">
        <v>446</v>
      </c>
      <c r="G158" t="s">
        <v>183</v>
      </c>
      <c r="H158" t="s">
        <v>444</v>
      </c>
      <c r="I158">
        <v>12</v>
      </c>
    </row>
    <row r="159" spans="1:9">
      <c r="A159" t="str">
        <f>"0019632 "</f>
        <v xml:space="preserve">0019632 </v>
      </c>
      <c r="B159" t="s">
        <v>9</v>
      </c>
      <c r="C159" t="s">
        <v>447</v>
      </c>
      <c r="D159" t="s">
        <v>448</v>
      </c>
      <c r="E159" t="s">
        <v>16</v>
      </c>
      <c r="F159" t="s">
        <v>449</v>
      </c>
      <c r="G159" t="s">
        <v>183</v>
      </c>
      <c r="H159" t="s">
        <v>447</v>
      </c>
      <c r="I159">
        <v>12</v>
      </c>
    </row>
    <row r="160" spans="1:9">
      <c r="A160" t="str">
        <f>"0019628 "</f>
        <v xml:space="preserve">0019628 </v>
      </c>
      <c r="B160" t="s">
        <v>9</v>
      </c>
      <c r="C160" t="s">
        <v>450</v>
      </c>
      <c r="D160" t="s">
        <v>451</v>
      </c>
      <c r="E160">
        <v>2</v>
      </c>
      <c r="F160" t="s">
        <v>452</v>
      </c>
      <c r="G160" t="s">
        <v>183</v>
      </c>
      <c r="H160" t="s">
        <v>450</v>
      </c>
      <c r="I160">
        <v>12</v>
      </c>
    </row>
    <row r="161" spans="1:9">
      <c r="A161" t="str">
        <f>"0019715 "</f>
        <v xml:space="preserve">0019715 </v>
      </c>
      <c r="B161" t="s">
        <v>9</v>
      </c>
      <c r="C161" t="s">
        <v>453</v>
      </c>
      <c r="D161" t="s">
        <v>454</v>
      </c>
      <c r="E161">
        <v>1</v>
      </c>
      <c r="F161" t="s">
        <v>45</v>
      </c>
      <c r="G161" t="s">
        <v>455</v>
      </c>
      <c r="H161" t="s">
        <v>453</v>
      </c>
      <c r="I161">
        <v>6</v>
      </c>
    </row>
    <row r="162" spans="1:9">
      <c r="A162" t="str">
        <f>"0019918 "</f>
        <v xml:space="preserve">0019918 </v>
      </c>
      <c r="B162" t="s">
        <v>9</v>
      </c>
      <c r="C162" t="s">
        <v>456</v>
      </c>
      <c r="D162" t="s">
        <v>457</v>
      </c>
      <c r="E162">
        <v>2</v>
      </c>
      <c r="F162" t="s">
        <v>458</v>
      </c>
      <c r="G162" t="s">
        <v>455</v>
      </c>
      <c r="H162" t="s">
        <v>456</v>
      </c>
      <c r="I162">
        <v>6</v>
      </c>
    </row>
    <row r="163" spans="1:9">
      <c r="A163" t="str">
        <f>"0019557 "</f>
        <v xml:space="preserve">0019557 </v>
      </c>
      <c r="B163" t="s">
        <v>9</v>
      </c>
      <c r="C163" t="s">
        <v>459</v>
      </c>
      <c r="D163" t="s">
        <v>460</v>
      </c>
      <c r="E163">
        <v>2</v>
      </c>
      <c r="F163" t="s">
        <v>461</v>
      </c>
      <c r="G163" t="s">
        <v>173</v>
      </c>
      <c r="H163" t="s">
        <v>459</v>
      </c>
      <c r="I163">
        <v>4</v>
      </c>
    </row>
    <row r="164" spans="1:9">
      <c r="A164" t="str">
        <f>"0019470 "</f>
        <v xml:space="preserve">0019470 </v>
      </c>
      <c r="B164" t="s">
        <v>9</v>
      </c>
      <c r="C164" t="s">
        <v>462</v>
      </c>
      <c r="D164" t="s">
        <v>463</v>
      </c>
      <c r="E164" t="s">
        <v>16</v>
      </c>
      <c r="F164" t="s">
        <v>464</v>
      </c>
      <c r="G164" t="s">
        <v>465</v>
      </c>
      <c r="H164" t="s">
        <v>462</v>
      </c>
      <c r="I164">
        <v>12</v>
      </c>
    </row>
    <row r="165" spans="1:9">
      <c r="A165" t="str">
        <f>"0019469 "</f>
        <v xml:space="preserve">0019469 </v>
      </c>
      <c r="B165" t="s">
        <v>9</v>
      </c>
      <c r="C165" t="s">
        <v>466</v>
      </c>
      <c r="D165" t="s">
        <v>467</v>
      </c>
      <c r="E165" t="s">
        <v>16</v>
      </c>
      <c r="F165" t="s">
        <v>468</v>
      </c>
      <c r="G165" t="s">
        <v>465</v>
      </c>
      <c r="H165" t="s">
        <v>466</v>
      </c>
      <c r="I165">
        <v>12</v>
      </c>
    </row>
    <row r="166" spans="1:9">
      <c r="A166" t="str">
        <f>"0019471 "</f>
        <v xml:space="preserve">0019471 </v>
      </c>
      <c r="B166" t="s">
        <v>9</v>
      </c>
      <c r="C166" t="s">
        <v>469</v>
      </c>
      <c r="D166" t="s">
        <v>470</v>
      </c>
      <c r="E166">
        <v>2</v>
      </c>
      <c r="F166" t="s">
        <v>471</v>
      </c>
      <c r="G166" t="s">
        <v>465</v>
      </c>
      <c r="H166" t="s">
        <v>469</v>
      </c>
      <c r="I166">
        <v>12</v>
      </c>
    </row>
    <row r="167" spans="1:9">
      <c r="A167" t="str">
        <f>"0019472 "</f>
        <v xml:space="preserve">0019472 </v>
      </c>
      <c r="B167" t="s">
        <v>9</v>
      </c>
      <c r="C167" t="s">
        <v>472</v>
      </c>
      <c r="D167" t="s">
        <v>473</v>
      </c>
      <c r="E167">
        <v>1</v>
      </c>
      <c r="F167" t="s">
        <v>474</v>
      </c>
      <c r="G167" t="s">
        <v>465</v>
      </c>
      <c r="H167" t="s">
        <v>472</v>
      </c>
      <c r="I167">
        <v>6</v>
      </c>
    </row>
    <row r="168" spans="1:9">
      <c r="A168" t="str">
        <f>"0019473 "</f>
        <v xml:space="preserve">0019473 </v>
      </c>
      <c r="B168" t="s">
        <v>9</v>
      </c>
      <c r="C168" t="s">
        <v>475</v>
      </c>
      <c r="D168" t="s">
        <v>476</v>
      </c>
      <c r="E168" t="s">
        <v>16</v>
      </c>
      <c r="F168" t="s">
        <v>477</v>
      </c>
      <c r="G168" t="s">
        <v>465</v>
      </c>
      <c r="H168" t="s">
        <v>475</v>
      </c>
      <c r="I168">
        <v>6</v>
      </c>
    </row>
    <row r="169" spans="1:9">
      <c r="A169" t="str">
        <f>"0019919 "</f>
        <v xml:space="preserve">0019919 </v>
      </c>
      <c r="B169" t="s">
        <v>9</v>
      </c>
      <c r="C169" t="s">
        <v>478</v>
      </c>
      <c r="D169" t="s">
        <v>479</v>
      </c>
      <c r="E169">
        <v>2</v>
      </c>
      <c r="F169" t="s">
        <v>480</v>
      </c>
      <c r="G169" t="s">
        <v>481</v>
      </c>
      <c r="H169" t="s">
        <v>478</v>
      </c>
      <c r="I169">
        <v>12</v>
      </c>
    </row>
    <row r="170" spans="1:9">
      <c r="A170" t="str">
        <f>"0019796 "</f>
        <v xml:space="preserve">0019796 </v>
      </c>
      <c r="B170" t="s">
        <v>9</v>
      </c>
      <c r="C170" t="s">
        <v>482</v>
      </c>
      <c r="D170" t="s">
        <v>483</v>
      </c>
      <c r="E170">
        <v>4</v>
      </c>
      <c r="F170" t="s">
        <v>484</v>
      </c>
      <c r="G170" t="s">
        <v>481</v>
      </c>
      <c r="H170" t="s">
        <v>482</v>
      </c>
      <c r="I170">
        <v>12</v>
      </c>
    </row>
    <row r="171" spans="1:9">
      <c r="A171" t="str">
        <f>"0019682 "</f>
        <v xml:space="preserve">0019682 </v>
      </c>
      <c r="B171" t="s">
        <v>9</v>
      </c>
      <c r="C171" t="s">
        <v>485</v>
      </c>
      <c r="D171" t="s">
        <v>486</v>
      </c>
      <c r="E171">
        <v>2</v>
      </c>
      <c r="F171" t="s">
        <v>487</v>
      </c>
      <c r="G171" t="s">
        <v>481</v>
      </c>
      <c r="H171" t="s">
        <v>485</v>
      </c>
      <c r="I171">
        <v>12</v>
      </c>
    </row>
    <row r="172" spans="1:9">
      <c r="A172" t="str">
        <f>"0019723 "</f>
        <v xml:space="preserve">0019723 </v>
      </c>
      <c r="B172" t="s">
        <v>9</v>
      </c>
      <c r="C172" t="s">
        <v>488</v>
      </c>
      <c r="D172" t="s">
        <v>489</v>
      </c>
      <c r="E172">
        <v>1</v>
      </c>
      <c r="F172" t="s">
        <v>490</v>
      </c>
      <c r="G172" t="s">
        <v>481</v>
      </c>
      <c r="H172" t="s">
        <v>488</v>
      </c>
      <c r="I172">
        <v>12</v>
      </c>
    </row>
    <row r="173" spans="1:9">
      <c r="A173" t="str">
        <f>"0019679 "</f>
        <v xml:space="preserve">0019679 </v>
      </c>
      <c r="B173" t="s">
        <v>9</v>
      </c>
      <c r="C173" t="s">
        <v>491</v>
      </c>
      <c r="D173" t="s">
        <v>492</v>
      </c>
      <c r="E173">
        <v>2</v>
      </c>
      <c r="F173" t="s">
        <v>493</v>
      </c>
      <c r="G173" t="s">
        <v>481</v>
      </c>
      <c r="H173" t="s">
        <v>491</v>
      </c>
      <c r="I173">
        <v>12</v>
      </c>
    </row>
    <row r="174" spans="1:9">
      <c r="A174" t="str">
        <f>"0019463 "</f>
        <v xml:space="preserve">0019463 </v>
      </c>
      <c r="B174" t="s">
        <v>9</v>
      </c>
      <c r="C174" t="s">
        <v>494</v>
      </c>
      <c r="D174" t="s">
        <v>495</v>
      </c>
      <c r="E174">
        <v>2</v>
      </c>
      <c r="F174" t="s">
        <v>496</v>
      </c>
      <c r="G174" t="s">
        <v>481</v>
      </c>
      <c r="H174" t="s">
        <v>494</v>
      </c>
      <c r="I174">
        <v>12</v>
      </c>
    </row>
    <row r="175" spans="1:9">
      <c r="A175" t="str">
        <f>"0019752 "</f>
        <v xml:space="preserve">0019752 </v>
      </c>
      <c r="B175" t="s">
        <v>9</v>
      </c>
      <c r="C175" t="s">
        <v>497</v>
      </c>
      <c r="D175" t="s">
        <v>498</v>
      </c>
      <c r="E175">
        <v>2</v>
      </c>
      <c r="F175" t="s">
        <v>499</v>
      </c>
      <c r="G175" t="s">
        <v>481</v>
      </c>
      <c r="H175" t="s">
        <v>497</v>
      </c>
      <c r="I175">
        <v>12</v>
      </c>
    </row>
    <row r="176" spans="1:9">
      <c r="A176" t="str">
        <f>"0019754 "</f>
        <v xml:space="preserve">0019754 </v>
      </c>
      <c r="B176" t="s">
        <v>9</v>
      </c>
      <c r="C176" t="s">
        <v>500</v>
      </c>
      <c r="D176" t="s">
        <v>501</v>
      </c>
      <c r="E176">
        <v>1</v>
      </c>
      <c r="F176" t="s">
        <v>188</v>
      </c>
      <c r="G176" t="s">
        <v>481</v>
      </c>
      <c r="H176" t="s">
        <v>500</v>
      </c>
      <c r="I176">
        <v>12</v>
      </c>
    </row>
    <row r="177" spans="1:9">
      <c r="A177" t="str">
        <f>"0019620 "</f>
        <v xml:space="preserve">0019620 </v>
      </c>
      <c r="B177" t="s">
        <v>9</v>
      </c>
      <c r="C177" t="s">
        <v>502</v>
      </c>
      <c r="D177" t="s">
        <v>503</v>
      </c>
      <c r="E177" t="s">
        <v>16</v>
      </c>
      <c r="F177" t="s">
        <v>504</v>
      </c>
      <c r="G177" t="s">
        <v>481</v>
      </c>
      <c r="H177" t="s">
        <v>502</v>
      </c>
      <c r="I177">
        <v>24</v>
      </c>
    </row>
    <row r="178" spans="1:9">
      <c r="A178" t="str">
        <f>"0019621 "</f>
        <v xml:space="preserve">0019621 </v>
      </c>
      <c r="B178" t="s">
        <v>9</v>
      </c>
      <c r="C178" t="s">
        <v>505</v>
      </c>
      <c r="D178" t="s">
        <v>506</v>
      </c>
      <c r="E178">
        <v>3</v>
      </c>
      <c r="F178" t="s">
        <v>507</v>
      </c>
      <c r="G178" t="s">
        <v>481</v>
      </c>
      <c r="H178" t="s">
        <v>505</v>
      </c>
      <c r="I178">
        <v>12</v>
      </c>
    </row>
    <row r="179" spans="1:9">
      <c r="A179" t="str">
        <f>"0019596 "</f>
        <v xml:space="preserve">0019596 </v>
      </c>
      <c r="B179" t="s">
        <v>9</v>
      </c>
      <c r="C179" t="s">
        <v>508</v>
      </c>
      <c r="D179" t="s">
        <v>509</v>
      </c>
      <c r="E179" t="s">
        <v>16</v>
      </c>
      <c r="F179" t="s">
        <v>129</v>
      </c>
      <c r="G179" t="s">
        <v>481</v>
      </c>
      <c r="H179" t="s">
        <v>508</v>
      </c>
      <c r="I179">
        <v>24</v>
      </c>
    </row>
    <row r="180" spans="1:9">
      <c r="A180" t="str">
        <f>"0019597 "</f>
        <v xml:space="preserve">0019597 </v>
      </c>
      <c r="B180" t="s">
        <v>9</v>
      </c>
      <c r="C180" t="s">
        <v>510</v>
      </c>
      <c r="D180" t="s">
        <v>511</v>
      </c>
      <c r="E180">
        <v>5</v>
      </c>
      <c r="F180" t="s">
        <v>512</v>
      </c>
      <c r="G180" t="s">
        <v>481</v>
      </c>
      <c r="H180" t="s">
        <v>510</v>
      </c>
      <c r="I180">
        <v>12</v>
      </c>
    </row>
    <row r="181" spans="1:9">
      <c r="A181" t="str">
        <f>"0019583 "</f>
        <v xml:space="preserve">0019583 </v>
      </c>
      <c r="B181" t="s">
        <v>9</v>
      </c>
      <c r="C181" t="s">
        <v>513</v>
      </c>
      <c r="D181" t="s">
        <v>514</v>
      </c>
      <c r="E181">
        <v>2</v>
      </c>
      <c r="F181" t="s">
        <v>515</v>
      </c>
      <c r="G181" t="s">
        <v>481</v>
      </c>
      <c r="H181" t="s">
        <v>513</v>
      </c>
      <c r="I181">
        <v>12</v>
      </c>
    </row>
    <row r="182" spans="1:9">
      <c r="A182" t="str">
        <f>"0204406 "</f>
        <v xml:space="preserve">0204406 </v>
      </c>
      <c r="B182" t="s">
        <v>516</v>
      </c>
      <c r="C182" t="s">
        <v>517</v>
      </c>
      <c r="D182" t="s">
        <v>518</v>
      </c>
      <c r="E182">
        <v>2</v>
      </c>
      <c r="F182" t="s">
        <v>519</v>
      </c>
      <c r="G182" t="s">
        <v>516</v>
      </c>
      <c r="H182" t="s">
        <v>517</v>
      </c>
      <c r="I182" t="s">
        <v>520</v>
      </c>
    </row>
    <row r="183" spans="1:9">
      <c r="A183" t="str">
        <f>"0204106 "</f>
        <v xml:space="preserve">0204106 </v>
      </c>
      <c r="B183" t="s">
        <v>516</v>
      </c>
      <c r="C183" t="s">
        <v>521</v>
      </c>
      <c r="D183" t="s">
        <v>522</v>
      </c>
      <c r="E183" t="s">
        <v>16</v>
      </c>
      <c r="F183" t="s">
        <v>523</v>
      </c>
      <c r="G183" t="s">
        <v>516</v>
      </c>
      <c r="H183" t="s">
        <v>521</v>
      </c>
      <c r="I183" t="s">
        <v>524</v>
      </c>
    </row>
    <row r="184" spans="1:9">
      <c r="A184" t="str">
        <f>"0204114 "</f>
        <v xml:space="preserve">0204114 </v>
      </c>
      <c r="B184" t="s">
        <v>516</v>
      </c>
      <c r="C184" t="s">
        <v>525</v>
      </c>
      <c r="D184" t="s">
        <v>526</v>
      </c>
      <c r="E184" t="s">
        <v>16</v>
      </c>
      <c r="F184" t="s">
        <v>527</v>
      </c>
      <c r="G184" t="s">
        <v>516</v>
      </c>
      <c r="H184" t="s">
        <v>525</v>
      </c>
      <c r="I184" t="s">
        <v>528</v>
      </c>
    </row>
    <row r="185" spans="1:9">
      <c r="A185" t="str">
        <f>"0204104 "</f>
        <v xml:space="preserve">0204104 </v>
      </c>
      <c r="B185" t="s">
        <v>516</v>
      </c>
      <c r="C185" t="s">
        <v>529</v>
      </c>
      <c r="D185" t="s">
        <v>530</v>
      </c>
      <c r="E185" t="s">
        <v>16</v>
      </c>
      <c r="F185" t="s">
        <v>531</v>
      </c>
      <c r="G185" t="s">
        <v>516</v>
      </c>
      <c r="H185" t="s">
        <v>529</v>
      </c>
      <c r="I185" t="s">
        <v>532</v>
      </c>
    </row>
    <row r="186" spans="1:9">
      <c r="A186" t="str">
        <f>"0204105 "</f>
        <v xml:space="preserve">0204105 </v>
      </c>
      <c r="B186" t="s">
        <v>516</v>
      </c>
      <c r="C186" t="s">
        <v>533</v>
      </c>
      <c r="D186" t="s">
        <v>534</v>
      </c>
      <c r="E186" t="s">
        <v>16</v>
      </c>
      <c r="F186" t="s">
        <v>535</v>
      </c>
      <c r="G186" t="s">
        <v>516</v>
      </c>
      <c r="H186" t="s">
        <v>533</v>
      </c>
      <c r="I186" t="s">
        <v>532</v>
      </c>
    </row>
    <row r="187" spans="1:9">
      <c r="A187" t="str">
        <f>"0204116 "</f>
        <v xml:space="preserve">0204116 </v>
      </c>
      <c r="B187" t="s">
        <v>516</v>
      </c>
      <c r="C187" t="s">
        <v>536</v>
      </c>
      <c r="D187" t="s">
        <v>537</v>
      </c>
      <c r="E187" t="s">
        <v>16</v>
      </c>
      <c r="F187" t="s">
        <v>538</v>
      </c>
      <c r="G187" t="s">
        <v>516</v>
      </c>
      <c r="H187" t="s">
        <v>536</v>
      </c>
      <c r="I187" t="s">
        <v>539</v>
      </c>
    </row>
    <row r="188" spans="1:9">
      <c r="A188" t="str">
        <f>"0204112 "</f>
        <v xml:space="preserve">0204112 </v>
      </c>
      <c r="B188" t="s">
        <v>516</v>
      </c>
      <c r="C188" t="s">
        <v>540</v>
      </c>
      <c r="D188" t="s">
        <v>541</v>
      </c>
      <c r="E188" t="s">
        <v>16</v>
      </c>
      <c r="F188" t="s">
        <v>542</v>
      </c>
      <c r="G188" t="s">
        <v>516</v>
      </c>
      <c r="H188" t="s">
        <v>540</v>
      </c>
      <c r="I188" t="s">
        <v>543</v>
      </c>
    </row>
    <row r="189" spans="1:9">
      <c r="A189" t="str">
        <f>"0204113 "</f>
        <v xml:space="preserve">0204113 </v>
      </c>
      <c r="B189" t="s">
        <v>516</v>
      </c>
      <c r="C189" t="s">
        <v>544</v>
      </c>
      <c r="D189" t="s">
        <v>545</v>
      </c>
      <c r="E189">
        <v>1</v>
      </c>
      <c r="F189" t="s">
        <v>546</v>
      </c>
      <c r="G189" t="s">
        <v>516</v>
      </c>
      <c r="H189" t="s">
        <v>544</v>
      </c>
      <c r="I189" t="s">
        <v>543</v>
      </c>
    </row>
    <row r="190" spans="1:9">
      <c r="A190" t="str">
        <f>"0204107 "</f>
        <v xml:space="preserve">0204107 </v>
      </c>
      <c r="B190" t="s">
        <v>516</v>
      </c>
      <c r="C190" t="s">
        <v>547</v>
      </c>
      <c r="D190" t="s">
        <v>548</v>
      </c>
      <c r="E190" t="s">
        <v>16</v>
      </c>
      <c r="F190" t="s">
        <v>549</v>
      </c>
      <c r="G190" t="s">
        <v>516</v>
      </c>
      <c r="H190" t="s">
        <v>547</v>
      </c>
      <c r="I190" t="s">
        <v>524</v>
      </c>
    </row>
    <row r="191" spans="1:9">
      <c r="A191" t="str">
        <f>"0038484 "</f>
        <v xml:space="preserve">0038484 </v>
      </c>
      <c r="B191" t="s">
        <v>516</v>
      </c>
      <c r="C191" t="s">
        <v>550</v>
      </c>
      <c r="D191" t="s">
        <v>551</v>
      </c>
      <c r="E191" t="s">
        <v>16</v>
      </c>
      <c r="F191" t="s">
        <v>552</v>
      </c>
      <c r="G191" t="s">
        <v>516</v>
      </c>
      <c r="H191" t="s">
        <v>550</v>
      </c>
      <c r="I191" t="s">
        <v>553</v>
      </c>
    </row>
    <row r="192" spans="1:9">
      <c r="A192" t="str">
        <f>"0038485 "</f>
        <v xml:space="preserve">0038485 </v>
      </c>
      <c r="B192" t="s">
        <v>516</v>
      </c>
      <c r="C192" t="s">
        <v>554</v>
      </c>
      <c r="D192" t="s">
        <v>555</v>
      </c>
      <c r="E192" t="s">
        <v>16</v>
      </c>
      <c r="F192" t="s">
        <v>556</v>
      </c>
      <c r="G192" t="s">
        <v>516</v>
      </c>
      <c r="H192" t="s">
        <v>554</v>
      </c>
      <c r="I192" t="s">
        <v>553</v>
      </c>
    </row>
    <row r="193" spans="1:9">
      <c r="A193" t="str">
        <f>"0007545 "</f>
        <v xml:space="preserve">0007545 </v>
      </c>
      <c r="B193" t="s">
        <v>516</v>
      </c>
      <c r="C193" t="s">
        <v>557</v>
      </c>
      <c r="D193" t="s">
        <v>558</v>
      </c>
      <c r="E193">
        <v>2</v>
      </c>
      <c r="F193" t="s">
        <v>559</v>
      </c>
      <c r="G193" t="s">
        <v>516</v>
      </c>
      <c r="H193" t="s">
        <v>557</v>
      </c>
      <c r="I193" t="s">
        <v>560</v>
      </c>
    </row>
    <row r="194" spans="1:9">
      <c r="A194" t="str">
        <f>"0067702 "</f>
        <v xml:space="preserve">0067702 </v>
      </c>
      <c r="B194" t="s">
        <v>516</v>
      </c>
      <c r="C194" t="s">
        <v>561</v>
      </c>
      <c r="D194" t="s">
        <v>562</v>
      </c>
      <c r="E194">
        <v>3</v>
      </c>
      <c r="F194" t="s">
        <v>563</v>
      </c>
      <c r="G194" t="s">
        <v>516</v>
      </c>
      <c r="H194" t="s">
        <v>561</v>
      </c>
      <c r="I194" t="s">
        <v>560</v>
      </c>
    </row>
    <row r="195" spans="1:9">
      <c r="A195" t="str">
        <f>"0007526 "</f>
        <v xml:space="preserve">0007526 </v>
      </c>
      <c r="B195" t="s">
        <v>516</v>
      </c>
      <c r="C195" t="s">
        <v>564</v>
      </c>
      <c r="D195" t="s">
        <v>565</v>
      </c>
      <c r="E195">
        <v>3</v>
      </c>
      <c r="F195" t="s">
        <v>566</v>
      </c>
      <c r="G195" t="s">
        <v>516</v>
      </c>
      <c r="H195" t="s">
        <v>564</v>
      </c>
      <c r="I195" t="s">
        <v>520</v>
      </c>
    </row>
    <row r="196" spans="1:9">
      <c r="A196" t="str">
        <f>"0038926 "</f>
        <v xml:space="preserve">0038926 </v>
      </c>
      <c r="B196" t="s">
        <v>516</v>
      </c>
      <c r="C196" t="s">
        <v>567</v>
      </c>
      <c r="D196" t="s">
        <v>568</v>
      </c>
      <c r="E196">
        <v>2</v>
      </c>
      <c r="F196" t="s">
        <v>569</v>
      </c>
      <c r="G196" t="s">
        <v>516</v>
      </c>
      <c r="H196" t="s">
        <v>567</v>
      </c>
      <c r="I196" t="s">
        <v>570</v>
      </c>
    </row>
    <row r="197" spans="1:9">
      <c r="A197" t="str">
        <f>"0007539 "</f>
        <v xml:space="preserve">0007539 </v>
      </c>
      <c r="B197" t="s">
        <v>516</v>
      </c>
      <c r="C197" t="s">
        <v>571</v>
      </c>
      <c r="D197" t="s">
        <v>572</v>
      </c>
      <c r="E197" t="s">
        <v>16</v>
      </c>
      <c r="F197" t="s">
        <v>573</v>
      </c>
      <c r="G197" t="s">
        <v>516</v>
      </c>
      <c r="H197" t="s">
        <v>571</v>
      </c>
      <c r="I197" t="s">
        <v>574</v>
      </c>
    </row>
    <row r="198" spans="1:9">
      <c r="A198" t="str">
        <f>"0007540 "</f>
        <v xml:space="preserve">0007540 </v>
      </c>
      <c r="B198" t="s">
        <v>516</v>
      </c>
      <c r="C198" t="s">
        <v>575</v>
      </c>
      <c r="D198" t="s">
        <v>576</v>
      </c>
      <c r="E198">
        <v>1</v>
      </c>
      <c r="F198" t="s">
        <v>577</v>
      </c>
      <c r="G198" t="s">
        <v>516</v>
      </c>
      <c r="H198" t="s">
        <v>575</v>
      </c>
      <c r="I198" t="s">
        <v>574</v>
      </c>
    </row>
    <row r="199" spans="1:9">
      <c r="A199" t="str">
        <f>"0203632 "</f>
        <v xml:space="preserve">0203632 </v>
      </c>
      <c r="B199" t="s">
        <v>516</v>
      </c>
      <c r="C199" t="s">
        <v>578</v>
      </c>
      <c r="D199" t="s">
        <v>579</v>
      </c>
      <c r="E199" t="s">
        <v>16</v>
      </c>
      <c r="F199" t="s">
        <v>580</v>
      </c>
      <c r="G199" t="s">
        <v>516</v>
      </c>
      <c r="H199" t="s">
        <v>578</v>
      </c>
      <c r="I199" t="s">
        <v>560</v>
      </c>
    </row>
    <row r="200" spans="1:9">
      <c r="A200" t="str">
        <f>"0007543 "</f>
        <v xml:space="preserve">0007543 </v>
      </c>
      <c r="B200" t="s">
        <v>516</v>
      </c>
      <c r="C200" t="s">
        <v>581</v>
      </c>
      <c r="D200" t="s">
        <v>582</v>
      </c>
      <c r="E200" t="s">
        <v>16</v>
      </c>
      <c r="F200" t="s">
        <v>583</v>
      </c>
      <c r="G200" t="s">
        <v>516</v>
      </c>
      <c r="H200" t="s">
        <v>581</v>
      </c>
      <c r="I200" t="s">
        <v>560</v>
      </c>
    </row>
    <row r="201" spans="1:9">
      <c r="A201" t="str">
        <f>"0007544 "</f>
        <v xml:space="preserve">0007544 </v>
      </c>
      <c r="B201" t="s">
        <v>516</v>
      </c>
      <c r="C201" t="s">
        <v>584</v>
      </c>
      <c r="D201" t="s">
        <v>585</v>
      </c>
      <c r="E201" t="s">
        <v>16</v>
      </c>
      <c r="F201" t="s">
        <v>586</v>
      </c>
      <c r="G201" t="s">
        <v>516</v>
      </c>
      <c r="H201" t="s">
        <v>584</v>
      </c>
      <c r="I201" t="s">
        <v>560</v>
      </c>
    </row>
    <row r="202" spans="1:9">
      <c r="A202" t="str">
        <f>"0007524 "</f>
        <v xml:space="preserve">0007524 </v>
      </c>
      <c r="B202" t="s">
        <v>516</v>
      </c>
      <c r="C202" t="s">
        <v>587</v>
      </c>
      <c r="D202" t="s">
        <v>588</v>
      </c>
      <c r="E202">
        <v>2</v>
      </c>
      <c r="F202" t="s">
        <v>589</v>
      </c>
      <c r="G202" t="s">
        <v>516</v>
      </c>
      <c r="H202" t="s">
        <v>587</v>
      </c>
      <c r="I202" t="s">
        <v>520</v>
      </c>
    </row>
    <row r="203" spans="1:9">
      <c r="A203" t="str">
        <f>"0007525 "</f>
        <v xml:space="preserve">0007525 </v>
      </c>
      <c r="B203" t="s">
        <v>516</v>
      </c>
      <c r="C203" t="s">
        <v>590</v>
      </c>
      <c r="D203" t="s">
        <v>591</v>
      </c>
      <c r="E203" t="s">
        <v>16</v>
      </c>
      <c r="F203" t="s">
        <v>592</v>
      </c>
      <c r="G203" t="s">
        <v>516</v>
      </c>
      <c r="H203" t="s">
        <v>590</v>
      </c>
      <c r="I203" t="s">
        <v>520</v>
      </c>
    </row>
    <row r="204" spans="1:9">
      <c r="A204" t="str">
        <f>"0203630 "</f>
        <v xml:space="preserve">0203630 </v>
      </c>
      <c r="B204" t="s">
        <v>516</v>
      </c>
      <c r="C204" t="s">
        <v>593</v>
      </c>
      <c r="D204" t="s">
        <v>594</v>
      </c>
      <c r="E204" t="s">
        <v>16</v>
      </c>
      <c r="F204" t="s">
        <v>595</v>
      </c>
      <c r="G204" t="s">
        <v>516</v>
      </c>
      <c r="H204" t="s">
        <v>593</v>
      </c>
      <c r="I204" t="s">
        <v>520</v>
      </c>
    </row>
    <row r="205" spans="1:9">
      <c r="A205" t="str">
        <f>"0007523 "</f>
        <v xml:space="preserve">0007523 </v>
      </c>
      <c r="B205" t="s">
        <v>516</v>
      </c>
      <c r="C205" t="s">
        <v>596</v>
      </c>
      <c r="D205" t="s">
        <v>597</v>
      </c>
      <c r="E205" t="s">
        <v>16</v>
      </c>
      <c r="F205" t="s">
        <v>598</v>
      </c>
      <c r="G205" t="s">
        <v>516</v>
      </c>
      <c r="H205" t="s">
        <v>596</v>
      </c>
      <c r="I205" t="s">
        <v>520</v>
      </c>
    </row>
    <row r="206" spans="1:9">
      <c r="A206" t="str">
        <f>"0007534 "</f>
        <v xml:space="preserve">0007534 </v>
      </c>
      <c r="B206" t="s">
        <v>516</v>
      </c>
      <c r="C206" t="s">
        <v>599</v>
      </c>
      <c r="D206" t="s">
        <v>600</v>
      </c>
      <c r="E206">
        <v>1</v>
      </c>
      <c r="F206" t="s">
        <v>601</v>
      </c>
      <c r="G206" t="s">
        <v>516</v>
      </c>
      <c r="H206" t="s">
        <v>599</v>
      </c>
      <c r="I206" t="s">
        <v>602</v>
      </c>
    </row>
    <row r="207" spans="1:9">
      <c r="A207" t="str">
        <f>"0033851 "</f>
        <v xml:space="preserve">0033851 </v>
      </c>
      <c r="B207" t="s">
        <v>516</v>
      </c>
      <c r="C207" t="s">
        <v>603</v>
      </c>
      <c r="D207" t="s">
        <v>604</v>
      </c>
      <c r="E207">
        <v>1</v>
      </c>
      <c r="F207" t="s">
        <v>605</v>
      </c>
      <c r="G207" t="s">
        <v>516</v>
      </c>
      <c r="H207" t="s">
        <v>603</v>
      </c>
      <c r="I207" t="s">
        <v>602</v>
      </c>
    </row>
    <row r="208" spans="1:9">
      <c r="A208" t="str">
        <f>"0007533 "</f>
        <v xml:space="preserve">0007533 </v>
      </c>
      <c r="B208" t="s">
        <v>516</v>
      </c>
      <c r="C208" t="s">
        <v>606</v>
      </c>
      <c r="D208" t="s">
        <v>607</v>
      </c>
      <c r="E208" t="s">
        <v>16</v>
      </c>
      <c r="F208" t="s">
        <v>608</v>
      </c>
      <c r="G208" t="s">
        <v>516</v>
      </c>
      <c r="H208" t="s">
        <v>606</v>
      </c>
      <c r="I208" t="s">
        <v>602</v>
      </c>
    </row>
    <row r="209" spans="1:9">
      <c r="A209" t="str">
        <f>"0203631 "</f>
        <v xml:space="preserve">0203631 </v>
      </c>
      <c r="B209" t="s">
        <v>516</v>
      </c>
      <c r="C209" t="s">
        <v>609</v>
      </c>
      <c r="D209" t="s">
        <v>610</v>
      </c>
      <c r="E209" t="s">
        <v>16</v>
      </c>
      <c r="F209" t="s">
        <v>611</v>
      </c>
      <c r="G209" t="s">
        <v>516</v>
      </c>
      <c r="H209" t="s">
        <v>609</v>
      </c>
      <c r="I209" t="s">
        <v>602</v>
      </c>
    </row>
    <row r="210" spans="1:9">
      <c r="A210" t="str">
        <f>"0007532 "</f>
        <v xml:space="preserve">0007532 </v>
      </c>
      <c r="B210" t="s">
        <v>516</v>
      </c>
      <c r="C210" t="s">
        <v>612</v>
      </c>
      <c r="D210" t="s">
        <v>613</v>
      </c>
      <c r="E210" t="s">
        <v>16</v>
      </c>
      <c r="F210" t="s">
        <v>614</v>
      </c>
      <c r="G210" t="s">
        <v>516</v>
      </c>
      <c r="H210" t="s">
        <v>612</v>
      </c>
      <c r="I210" t="s">
        <v>602</v>
      </c>
    </row>
    <row r="211" spans="1:9">
      <c r="A211" t="str">
        <f>"0087959 "</f>
        <v xml:space="preserve">0087959 </v>
      </c>
      <c r="B211" t="s">
        <v>516</v>
      </c>
      <c r="C211" t="s">
        <v>615</v>
      </c>
      <c r="D211" t="s">
        <v>616</v>
      </c>
      <c r="E211">
        <v>1</v>
      </c>
      <c r="F211" t="s">
        <v>617</v>
      </c>
      <c r="G211" t="s">
        <v>516</v>
      </c>
      <c r="H211" t="s">
        <v>615</v>
      </c>
      <c r="I211" s="2" t="s">
        <v>618</v>
      </c>
    </row>
    <row r="212" spans="1:9">
      <c r="A212" t="str">
        <f>"0087960 "</f>
        <v xml:space="preserve">0087960 </v>
      </c>
      <c r="B212" t="s">
        <v>516</v>
      </c>
      <c r="C212" t="s">
        <v>619</v>
      </c>
      <c r="D212" t="s">
        <v>620</v>
      </c>
      <c r="E212">
        <v>1</v>
      </c>
      <c r="F212" t="s">
        <v>621</v>
      </c>
      <c r="G212" t="s">
        <v>516</v>
      </c>
      <c r="H212" t="s">
        <v>619</v>
      </c>
      <c r="I212" s="2" t="s">
        <v>618</v>
      </c>
    </row>
    <row r="213" spans="1:9">
      <c r="A213" t="str">
        <f>"0087961 "</f>
        <v xml:space="preserve">0087961 </v>
      </c>
      <c r="B213" t="s">
        <v>516</v>
      </c>
      <c r="C213" t="s">
        <v>622</v>
      </c>
      <c r="D213" t="s">
        <v>623</v>
      </c>
      <c r="E213">
        <v>3</v>
      </c>
      <c r="F213" t="s">
        <v>624</v>
      </c>
      <c r="G213" t="s">
        <v>516</v>
      </c>
      <c r="H213" t="s">
        <v>622</v>
      </c>
      <c r="I213" s="2" t="s">
        <v>618</v>
      </c>
    </row>
    <row r="214" spans="1:9">
      <c r="A214" t="str">
        <f>"0088254 "</f>
        <v xml:space="preserve">0088254 </v>
      </c>
      <c r="B214" t="s">
        <v>516</v>
      </c>
      <c r="C214" t="s">
        <v>625</v>
      </c>
      <c r="D214" t="s">
        <v>626</v>
      </c>
      <c r="E214" t="s">
        <v>16</v>
      </c>
      <c r="F214" t="s">
        <v>627</v>
      </c>
      <c r="G214" t="s">
        <v>516</v>
      </c>
      <c r="H214" t="s">
        <v>625</v>
      </c>
      <c r="I214" s="2" t="s">
        <v>618</v>
      </c>
    </row>
    <row r="215" spans="1:9">
      <c r="A215" t="str">
        <f>"0140124 "</f>
        <v xml:space="preserve">0140124 </v>
      </c>
      <c r="B215" t="s">
        <v>628</v>
      </c>
      <c r="C215" t="s">
        <v>629</v>
      </c>
      <c r="D215" t="s">
        <v>630</v>
      </c>
      <c r="E215">
        <v>1</v>
      </c>
      <c r="F215" t="s">
        <v>631</v>
      </c>
      <c r="G215" t="s">
        <v>628</v>
      </c>
      <c r="H215" t="s">
        <v>629</v>
      </c>
      <c r="I215" t="s">
        <v>632</v>
      </c>
    </row>
    <row r="216" spans="1:9">
      <c r="A216" t="str">
        <f>"0140373 "</f>
        <v xml:space="preserve">0140373 </v>
      </c>
      <c r="B216" t="s">
        <v>628</v>
      </c>
      <c r="C216" t="s">
        <v>633</v>
      </c>
      <c r="D216" t="s">
        <v>634</v>
      </c>
      <c r="E216">
        <v>1</v>
      </c>
      <c r="F216" t="s">
        <v>635</v>
      </c>
      <c r="G216" t="s">
        <v>628</v>
      </c>
      <c r="H216" t="s">
        <v>633</v>
      </c>
      <c r="I216" t="s">
        <v>636</v>
      </c>
    </row>
    <row r="217" spans="1:9">
      <c r="A217" t="str">
        <f>"0258159 "</f>
        <v xml:space="preserve">0258159 </v>
      </c>
      <c r="B217" t="s">
        <v>637</v>
      </c>
      <c r="C217" t="s">
        <v>638</v>
      </c>
      <c r="D217" t="s">
        <v>639</v>
      </c>
      <c r="E217" t="s">
        <v>16</v>
      </c>
      <c r="F217" t="s">
        <v>640</v>
      </c>
      <c r="G217" t="s">
        <v>637</v>
      </c>
      <c r="H217" t="s">
        <v>638</v>
      </c>
    </row>
    <row r="218" spans="1:9">
      <c r="A218" t="str">
        <f>"0258158 "</f>
        <v xml:space="preserve">0258158 </v>
      </c>
      <c r="B218" t="s">
        <v>637</v>
      </c>
      <c r="C218" t="s">
        <v>641</v>
      </c>
      <c r="D218" t="s">
        <v>642</v>
      </c>
      <c r="E218" t="s">
        <v>16</v>
      </c>
      <c r="F218" t="s">
        <v>640</v>
      </c>
      <c r="G218" t="s">
        <v>637</v>
      </c>
      <c r="H218" t="s">
        <v>641</v>
      </c>
    </row>
    <row r="219" spans="1:9">
      <c r="A219" t="str">
        <f>"0257714 "</f>
        <v xml:space="preserve">0257714 </v>
      </c>
      <c r="B219" t="s">
        <v>637</v>
      </c>
      <c r="C219" t="s">
        <v>643</v>
      </c>
      <c r="D219" t="s">
        <v>644</v>
      </c>
      <c r="E219" t="s">
        <v>16</v>
      </c>
      <c r="F219" t="s">
        <v>645</v>
      </c>
      <c r="G219" t="s">
        <v>637</v>
      </c>
      <c r="H219" t="s">
        <v>643</v>
      </c>
    </row>
    <row r="220" spans="1:9">
      <c r="A220" t="str">
        <f>"0257705 "</f>
        <v xml:space="preserve">0257705 </v>
      </c>
      <c r="B220" t="s">
        <v>637</v>
      </c>
      <c r="C220" t="s">
        <v>646</v>
      </c>
      <c r="D220" t="s">
        <v>647</v>
      </c>
      <c r="E220" t="s">
        <v>16</v>
      </c>
      <c r="F220" t="s">
        <v>648</v>
      </c>
      <c r="G220" t="s">
        <v>637</v>
      </c>
      <c r="H220" t="s">
        <v>646</v>
      </c>
    </row>
    <row r="221" spans="1:9">
      <c r="A221" t="str">
        <f>"0257710 "</f>
        <v xml:space="preserve">0257710 </v>
      </c>
      <c r="B221" t="s">
        <v>637</v>
      </c>
      <c r="C221" t="s">
        <v>649</v>
      </c>
      <c r="D221" t="s">
        <v>650</v>
      </c>
      <c r="E221" t="s">
        <v>16</v>
      </c>
      <c r="F221" t="s">
        <v>651</v>
      </c>
      <c r="G221" t="s">
        <v>637</v>
      </c>
      <c r="H221" t="s">
        <v>649</v>
      </c>
    </row>
    <row r="222" spans="1:9">
      <c r="A222" t="str">
        <f>"0257711 "</f>
        <v xml:space="preserve">0257711 </v>
      </c>
      <c r="B222" t="s">
        <v>637</v>
      </c>
      <c r="C222" t="s">
        <v>652</v>
      </c>
      <c r="D222" t="s">
        <v>653</v>
      </c>
      <c r="E222">
        <v>5</v>
      </c>
      <c r="F222" t="s">
        <v>654</v>
      </c>
      <c r="G222" t="s">
        <v>637</v>
      </c>
      <c r="H222" t="s">
        <v>652</v>
      </c>
    </row>
    <row r="223" spans="1:9">
      <c r="A223" t="str">
        <f>"0257712 "</f>
        <v xml:space="preserve">0257712 </v>
      </c>
      <c r="B223" t="s">
        <v>637</v>
      </c>
      <c r="C223" t="s">
        <v>655</v>
      </c>
      <c r="D223" t="s">
        <v>656</v>
      </c>
      <c r="E223" t="s">
        <v>16</v>
      </c>
      <c r="F223" t="s">
        <v>657</v>
      </c>
      <c r="G223" t="s">
        <v>637</v>
      </c>
      <c r="H223" t="s">
        <v>655</v>
      </c>
    </row>
    <row r="224" spans="1:9">
      <c r="A224" t="str">
        <f>"0257715 "</f>
        <v xml:space="preserve">0257715 </v>
      </c>
      <c r="B224" t="s">
        <v>637</v>
      </c>
      <c r="C224" t="s">
        <v>658</v>
      </c>
      <c r="D224" t="s">
        <v>659</v>
      </c>
      <c r="E224" t="s">
        <v>16</v>
      </c>
      <c r="F224" t="s">
        <v>660</v>
      </c>
      <c r="G224" t="s">
        <v>637</v>
      </c>
      <c r="H224" t="s">
        <v>658</v>
      </c>
    </row>
    <row r="225" spans="1:9">
      <c r="A225" t="str">
        <f>"0257716 "</f>
        <v xml:space="preserve">0257716 </v>
      </c>
      <c r="B225" t="s">
        <v>637</v>
      </c>
      <c r="C225" t="s">
        <v>661</v>
      </c>
      <c r="D225" t="s">
        <v>662</v>
      </c>
      <c r="E225" t="s">
        <v>16</v>
      </c>
      <c r="F225" t="s">
        <v>663</v>
      </c>
      <c r="G225" t="s">
        <v>637</v>
      </c>
      <c r="H225" t="s">
        <v>661</v>
      </c>
    </row>
    <row r="226" spans="1:9">
      <c r="A226" t="str">
        <f>"0269030 "</f>
        <v xml:space="preserve">0269030 </v>
      </c>
      <c r="B226" t="s">
        <v>637</v>
      </c>
      <c r="C226" t="s">
        <v>664</v>
      </c>
      <c r="D226" t="s">
        <v>665</v>
      </c>
      <c r="E226" t="s">
        <v>16</v>
      </c>
      <c r="F226" t="s">
        <v>666</v>
      </c>
      <c r="G226" t="s">
        <v>637</v>
      </c>
      <c r="H226" t="s">
        <v>664</v>
      </c>
    </row>
    <row r="227" spans="1:9">
      <c r="A227" t="str">
        <f>"0257701 "</f>
        <v xml:space="preserve">0257701 </v>
      </c>
      <c r="B227" t="s">
        <v>637</v>
      </c>
      <c r="C227" t="s">
        <v>667</v>
      </c>
      <c r="D227" t="s">
        <v>668</v>
      </c>
      <c r="E227" t="s">
        <v>16</v>
      </c>
      <c r="F227" t="s">
        <v>669</v>
      </c>
      <c r="G227" t="s">
        <v>637</v>
      </c>
      <c r="H227" t="s">
        <v>667</v>
      </c>
    </row>
    <row r="228" spans="1:9">
      <c r="A228" t="str">
        <f>"0257713 "</f>
        <v xml:space="preserve">0257713 </v>
      </c>
      <c r="B228" t="s">
        <v>637</v>
      </c>
      <c r="C228" t="s">
        <v>670</v>
      </c>
      <c r="D228" t="s">
        <v>671</v>
      </c>
      <c r="E228" t="s">
        <v>16</v>
      </c>
      <c r="F228" t="s">
        <v>640</v>
      </c>
      <c r="G228" t="s">
        <v>637</v>
      </c>
      <c r="H228" t="s">
        <v>670</v>
      </c>
    </row>
    <row r="229" spans="1:9">
      <c r="A229" t="str">
        <f>"0269213 "</f>
        <v xml:space="preserve">0269213 </v>
      </c>
      <c r="B229" t="s">
        <v>637</v>
      </c>
      <c r="C229" t="s">
        <v>672</v>
      </c>
      <c r="D229" t="s">
        <v>673</v>
      </c>
      <c r="E229" t="s">
        <v>16</v>
      </c>
      <c r="F229" s="1">
        <v>42814</v>
      </c>
      <c r="G229" t="s">
        <v>637</v>
      </c>
      <c r="H229" t="s">
        <v>672</v>
      </c>
    </row>
    <row r="230" spans="1:9">
      <c r="A230" t="str">
        <f>"0269109 "</f>
        <v xml:space="preserve">0269109 </v>
      </c>
      <c r="B230" t="s">
        <v>637</v>
      </c>
      <c r="C230" t="s">
        <v>674</v>
      </c>
      <c r="D230" t="s">
        <v>675</v>
      </c>
      <c r="E230" t="s">
        <v>16</v>
      </c>
      <c r="F230" s="1">
        <v>42814</v>
      </c>
      <c r="G230" t="s">
        <v>637</v>
      </c>
      <c r="H230" t="s">
        <v>674</v>
      </c>
    </row>
    <row r="231" spans="1:9">
      <c r="A231" t="str">
        <f>"0097048 "</f>
        <v xml:space="preserve">0097048 </v>
      </c>
      <c r="B231" t="s">
        <v>676</v>
      </c>
      <c r="C231" t="s">
        <v>677</v>
      </c>
      <c r="D231" t="s">
        <v>678</v>
      </c>
      <c r="E231">
        <v>1</v>
      </c>
      <c r="F231" t="s">
        <v>679</v>
      </c>
      <c r="G231" t="s">
        <v>676</v>
      </c>
      <c r="H231" t="s">
        <v>677</v>
      </c>
      <c r="I231" t="s">
        <v>680</v>
      </c>
    </row>
    <row r="232" spans="1:9">
      <c r="A232" t="str">
        <f>"0097215 "</f>
        <v xml:space="preserve">0097215 </v>
      </c>
      <c r="B232" t="s">
        <v>676</v>
      </c>
      <c r="C232" t="s">
        <v>681</v>
      </c>
      <c r="D232" t="s">
        <v>682</v>
      </c>
      <c r="E232" t="s">
        <v>16</v>
      </c>
      <c r="F232" t="s">
        <v>683</v>
      </c>
      <c r="G232" t="s">
        <v>676</v>
      </c>
      <c r="H232" t="s">
        <v>681</v>
      </c>
      <c r="I232" t="s">
        <v>684</v>
      </c>
    </row>
    <row r="233" spans="1:9">
      <c r="A233" t="str">
        <f>"0020228 "</f>
        <v xml:space="preserve">0020228 </v>
      </c>
      <c r="B233" t="s">
        <v>685</v>
      </c>
      <c r="C233" t="str">
        <f>"0020228"</f>
        <v>0020228</v>
      </c>
      <c r="D233" t="s">
        <v>686</v>
      </c>
      <c r="E233" t="s">
        <v>16</v>
      </c>
      <c r="F233" t="s">
        <v>433</v>
      </c>
      <c r="G233" t="s">
        <v>685</v>
      </c>
      <c r="H233" t="str">
        <f>"0020228"</f>
        <v>0020228</v>
      </c>
    </row>
    <row r="234" spans="1:9">
      <c r="A234" t="str">
        <f>"0020229 "</f>
        <v xml:space="preserve">0020229 </v>
      </c>
      <c r="B234" t="s">
        <v>685</v>
      </c>
      <c r="C234" t="str">
        <f>"0020229"</f>
        <v>0020229</v>
      </c>
      <c r="D234" t="s">
        <v>687</v>
      </c>
      <c r="E234" t="s">
        <v>16</v>
      </c>
      <c r="F234" t="s">
        <v>688</v>
      </c>
      <c r="G234" t="s">
        <v>685</v>
      </c>
      <c r="H234" t="str">
        <f>"0020229"</f>
        <v>0020229</v>
      </c>
    </row>
    <row r="235" spans="1:9">
      <c r="A235" t="str">
        <f>"0021008 "</f>
        <v xml:space="preserve">0021008 </v>
      </c>
      <c r="B235" t="s">
        <v>685</v>
      </c>
      <c r="C235" t="str">
        <f>"0021008"</f>
        <v>0021008</v>
      </c>
      <c r="D235" t="s">
        <v>689</v>
      </c>
      <c r="E235" t="s">
        <v>16</v>
      </c>
      <c r="F235" t="s">
        <v>690</v>
      </c>
      <c r="G235" t="s">
        <v>685</v>
      </c>
      <c r="H235" t="str">
        <f>"0021008"</f>
        <v>0021008</v>
      </c>
    </row>
    <row r="236" spans="1:9">
      <c r="A236" t="str">
        <f>"0021009 "</f>
        <v xml:space="preserve">0021009 </v>
      </c>
      <c r="B236" t="s">
        <v>685</v>
      </c>
      <c r="C236" t="str">
        <f>"0021009"</f>
        <v>0021009</v>
      </c>
      <c r="D236" t="s">
        <v>691</v>
      </c>
      <c r="E236" t="s">
        <v>16</v>
      </c>
      <c r="F236" t="s">
        <v>692</v>
      </c>
      <c r="G236" t="s">
        <v>685</v>
      </c>
      <c r="H236" t="str">
        <f>"0021009"</f>
        <v>0021009</v>
      </c>
    </row>
    <row r="237" spans="1:9">
      <c r="A237" t="str">
        <f>"0021010 "</f>
        <v xml:space="preserve">0021010 </v>
      </c>
      <c r="B237" t="s">
        <v>685</v>
      </c>
      <c r="C237" t="str">
        <f>"0021010"</f>
        <v>0021010</v>
      </c>
      <c r="D237" t="s">
        <v>693</v>
      </c>
      <c r="E237" t="s">
        <v>16</v>
      </c>
      <c r="F237" t="s">
        <v>694</v>
      </c>
      <c r="G237" t="s">
        <v>685</v>
      </c>
      <c r="H237" t="str">
        <f>"0021010"</f>
        <v>0021010</v>
      </c>
    </row>
    <row r="238" spans="1:9">
      <c r="A238" t="str">
        <f>"0021011 "</f>
        <v xml:space="preserve">0021011 </v>
      </c>
      <c r="B238" t="s">
        <v>685</v>
      </c>
      <c r="C238" t="str">
        <f>"0021011"</f>
        <v>0021011</v>
      </c>
      <c r="D238" t="s">
        <v>695</v>
      </c>
      <c r="E238">
        <v>3</v>
      </c>
      <c r="F238" t="s">
        <v>696</v>
      </c>
      <c r="G238" t="s">
        <v>685</v>
      </c>
      <c r="H238" t="str">
        <f>"0021011"</f>
        <v>0021011</v>
      </c>
    </row>
    <row r="239" spans="1:9">
      <c r="A239" t="str">
        <f>"0021012 "</f>
        <v xml:space="preserve">0021012 </v>
      </c>
      <c r="B239" t="s">
        <v>685</v>
      </c>
      <c r="C239" t="str">
        <f>"0021012"</f>
        <v>0021012</v>
      </c>
      <c r="D239" t="s">
        <v>697</v>
      </c>
      <c r="E239" t="s">
        <v>16</v>
      </c>
      <c r="F239" t="s">
        <v>698</v>
      </c>
      <c r="G239" t="s">
        <v>685</v>
      </c>
      <c r="H239" t="str">
        <f>"0021012"</f>
        <v>0021012</v>
      </c>
    </row>
    <row r="240" spans="1:9">
      <c r="A240" t="str">
        <f>"0021013 "</f>
        <v xml:space="preserve">0021013 </v>
      </c>
      <c r="B240" t="s">
        <v>685</v>
      </c>
      <c r="C240" t="str">
        <f>"0021013"</f>
        <v>0021013</v>
      </c>
      <c r="D240" t="s">
        <v>699</v>
      </c>
      <c r="E240" t="s">
        <v>16</v>
      </c>
      <c r="F240" t="s">
        <v>700</v>
      </c>
      <c r="G240" t="s">
        <v>685</v>
      </c>
      <c r="H240" t="str">
        <f>"0021013"</f>
        <v>0021013</v>
      </c>
    </row>
    <row r="241" spans="1:9">
      <c r="A241" t="str">
        <f>"0033845 "</f>
        <v xml:space="preserve">0033845 </v>
      </c>
      <c r="B241" t="s">
        <v>685</v>
      </c>
      <c r="C241" t="str">
        <f>"0033845"</f>
        <v>0033845</v>
      </c>
      <c r="D241" t="s">
        <v>701</v>
      </c>
      <c r="E241" t="s">
        <v>16</v>
      </c>
      <c r="F241" t="s">
        <v>402</v>
      </c>
      <c r="G241" t="s">
        <v>685</v>
      </c>
      <c r="H241" t="str">
        <f>"0033845"</f>
        <v>0033845</v>
      </c>
    </row>
    <row r="242" spans="1:9">
      <c r="A242" t="str">
        <f>"0216008 "</f>
        <v xml:space="preserve">0216008 </v>
      </c>
      <c r="B242" t="s">
        <v>702</v>
      </c>
      <c r="C242" t="s">
        <v>703</v>
      </c>
      <c r="D242" t="s">
        <v>704</v>
      </c>
      <c r="E242" t="s">
        <v>16</v>
      </c>
      <c r="F242" t="s">
        <v>705</v>
      </c>
      <c r="G242" t="s">
        <v>706</v>
      </c>
      <c r="H242" t="s">
        <v>703</v>
      </c>
      <c r="I242" t="s">
        <v>707</v>
      </c>
    </row>
    <row r="243" spans="1:9">
      <c r="A243" t="str">
        <f>"0216039 "</f>
        <v xml:space="preserve">0216039 </v>
      </c>
      <c r="B243" t="s">
        <v>702</v>
      </c>
      <c r="C243" t="s">
        <v>708</v>
      </c>
      <c r="D243" t="s">
        <v>709</v>
      </c>
      <c r="E243">
        <v>2</v>
      </c>
      <c r="F243" t="s">
        <v>710</v>
      </c>
      <c r="G243" t="s">
        <v>706</v>
      </c>
      <c r="H243" t="s">
        <v>708</v>
      </c>
      <c r="I243" t="s">
        <v>711</v>
      </c>
    </row>
    <row r="244" spans="1:9">
      <c r="A244" t="str">
        <f>"0216057 "</f>
        <v xml:space="preserve">0216057 </v>
      </c>
      <c r="B244" t="s">
        <v>702</v>
      </c>
      <c r="C244" t="s">
        <v>712</v>
      </c>
      <c r="D244" t="s">
        <v>713</v>
      </c>
      <c r="E244">
        <v>1</v>
      </c>
      <c r="F244" t="s">
        <v>714</v>
      </c>
      <c r="G244" t="s">
        <v>706</v>
      </c>
      <c r="H244" t="s">
        <v>712</v>
      </c>
      <c r="I244" t="s">
        <v>715</v>
      </c>
    </row>
    <row r="245" spans="1:9">
      <c r="A245" t="str">
        <f>"0215958 "</f>
        <v xml:space="preserve">0215958 </v>
      </c>
      <c r="B245" t="s">
        <v>702</v>
      </c>
      <c r="C245" t="s">
        <v>716</v>
      </c>
      <c r="D245" t="s">
        <v>717</v>
      </c>
      <c r="E245">
        <v>1</v>
      </c>
      <c r="F245" t="s">
        <v>718</v>
      </c>
      <c r="G245" t="s">
        <v>706</v>
      </c>
      <c r="H245" t="s">
        <v>716</v>
      </c>
      <c r="I245" t="s">
        <v>719</v>
      </c>
    </row>
    <row r="246" spans="1:9">
      <c r="A246" t="str">
        <f>"0215984 "</f>
        <v xml:space="preserve">0215984 </v>
      </c>
      <c r="B246" t="s">
        <v>702</v>
      </c>
      <c r="C246" t="s">
        <v>720</v>
      </c>
      <c r="D246" t="s">
        <v>721</v>
      </c>
      <c r="E246">
        <v>2</v>
      </c>
      <c r="F246" t="s">
        <v>722</v>
      </c>
      <c r="G246" t="s">
        <v>706</v>
      </c>
      <c r="H246" t="s">
        <v>720</v>
      </c>
      <c r="I246" t="s">
        <v>723</v>
      </c>
    </row>
    <row r="247" spans="1:9">
      <c r="A247" t="str">
        <f>"0215996 "</f>
        <v xml:space="preserve">0215996 </v>
      </c>
      <c r="B247" t="s">
        <v>702</v>
      </c>
      <c r="C247" t="s">
        <v>724</v>
      </c>
      <c r="D247" t="s">
        <v>725</v>
      </c>
      <c r="E247">
        <v>2</v>
      </c>
      <c r="F247" t="s">
        <v>726</v>
      </c>
      <c r="G247" t="s">
        <v>706</v>
      </c>
      <c r="H247" t="s">
        <v>724</v>
      </c>
      <c r="I247" t="s">
        <v>727</v>
      </c>
    </row>
    <row r="248" spans="1:9">
      <c r="A248" t="str">
        <f>"0215524 "</f>
        <v xml:space="preserve">0215524 </v>
      </c>
      <c r="B248" t="s">
        <v>702</v>
      </c>
      <c r="C248" t="s">
        <v>728</v>
      </c>
      <c r="D248" t="s">
        <v>729</v>
      </c>
      <c r="E248">
        <v>2</v>
      </c>
      <c r="F248" t="s">
        <v>730</v>
      </c>
      <c r="G248" t="s">
        <v>706</v>
      </c>
      <c r="H248" t="s">
        <v>728</v>
      </c>
      <c r="I248" t="s">
        <v>731</v>
      </c>
    </row>
    <row r="249" spans="1:9">
      <c r="A249" t="str">
        <f>"0215528 "</f>
        <v xml:space="preserve">0215528 </v>
      </c>
      <c r="B249" t="s">
        <v>702</v>
      </c>
      <c r="C249" t="s">
        <v>732</v>
      </c>
      <c r="D249" t="s">
        <v>733</v>
      </c>
      <c r="E249" t="s">
        <v>16</v>
      </c>
      <c r="F249" t="s">
        <v>734</v>
      </c>
      <c r="G249" t="s">
        <v>706</v>
      </c>
      <c r="H249" t="s">
        <v>732</v>
      </c>
      <c r="I249" t="s">
        <v>735</v>
      </c>
    </row>
    <row r="250" spans="1:9">
      <c r="A250" t="str">
        <f>"0215530 "</f>
        <v xml:space="preserve">0215530 </v>
      </c>
      <c r="B250" t="s">
        <v>702</v>
      </c>
      <c r="C250" t="s">
        <v>736</v>
      </c>
      <c r="D250" t="s">
        <v>737</v>
      </c>
      <c r="E250">
        <v>1</v>
      </c>
      <c r="F250" t="s">
        <v>738</v>
      </c>
      <c r="G250" t="s">
        <v>706</v>
      </c>
      <c r="H250" t="s">
        <v>736</v>
      </c>
      <c r="I250" t="s">
        <v>739</v>
      </c>
    </row>
    <row r="251" spans="1:9">
      <c r="A251" t="str">
        <f>"0215531 "</f>
        <v xml:space="preserve">0215531 </v>
      </c>
      <c r="B251" t="s">
        <v>702</v>
      </c>
      <c r="C251" t="s">
        <v>740</v>
      </c>
      <c r="D251" t="s">
        <v>741</v>
      </c>
      <c r="E251">
        <v>2</v>
      </c>
      <c r="F251" t="s">
        <v>742</v>
      </c>
      <c r="G251" t="s">
        <v>706</v>
      </c>
      <c r="H251" t="s">
        <v>740</v>
      </c>
      <c r="I251" t="s">
        <v>743</v>
      </c>
    </row>
    <row r="252" spans="1:9">
      <c r="A252" t="str">
        <f>"0215536 "</f>
        <v xml:space="preserve">0215536 </v>
      </c>
      <c r="B252" t="s">
        <v>702</v>
      </c>
      <c r="C252" t="s">
        <v>744</v>
      </c>
      <c r="D252" t="s">
        <v>745</v>
      </c>
      <c r="E252">
        <v>2</v>
      </c>
      <c r="F252" t="s">
        <v>746</v>
      </c>
      <c r="G252" t="s">
        <v>706</v>
      </c>
      <c r="H252" t="s">
        <v>744</v>
      </c>
      <c r="I252" t="s">
        <v>747</v>
      </c>
    </row>
    <row r="253" spans="1:9">
      <c r="A253" t="str">
        <f>"0215548 "</f>
        <v xml:space="preserve">0215548 </v>
      </c>
      <c r="B253" t="s">
        <v>702</v>
      </c>
      <c r="C253" t="s">
        <v>748</v>
      </c>
      <c r="D253" t="s">
        <v>749</v>
      </c>
      <c r="E253">
        <v>2</v>
      </c>
      <c r="F253" t="s">
        <v>750</v>
      </c>
      <c r="G253" t="s">
        <v>706</v>
      </c>
      <c r="H253" t="s">
        <v>748</v>
      </c>
      <c r="I253" t="s">
        <v>751</v>
      </c>
    </row>
    <row r="254" spans="1:9">
      <c r="A254" t="str">
        <f>"0215565 "</f>
        <v xml:space="preserve">0215565 </v>
      </c>
      <c r="B254" t="s">
        <v>702</v>
      </c>
      <c r="C254" t="s">
        <v>752</v>
      </c>
      <c r="D254" t="s">
        <v>753</v>
      </c>
      <c r="E254">
        <v>5</v>
      </c>
      <c r="F254" t="s">
        <v>705</v>
      </c>
      <c r="G254" t="s">
        <v>706</v>
      </c>
      <c r="H254" t="s">
        <v>752</v>
      </c>
      <c r="I254" t="s">
        <v>754</v>
      </c>
    </row>
    <row r="255" spans="1:9">
      <c r="A255" t="str">
        <f>"0215580 "</f>
        <v xml:space="preserve">0215580 </v>
      </c>
      <c r="B255" t="s">
        <v>702</v>
      </c>
      <c r="C255" t="s">
        <v>755</v>
      </c>
      <c r="D255" t="s">
        <v>756</v>
      </c>
      <c r="E255" t="s">
        <v>16</v>
      </c>
      <c r="F255" t="s">
        <v>757</v>
      </c>
      <c r="G255" t="s">
        <v>706</v>
      </c>
      <c r="H255" t="s">
        <v>755</v>
      </c>
      <c r="I255" t="s">
        <v>758</v>
      </c>
    </row>
    <row r="256" spans="1:9">
      <c r="A256" t="str">
        <f>"0215588 "</f>
        <v xml:space="preserve">0215588 </v>
      </c>
      <c r="B256" t="s">
        <v>702</v>
      </c>
      <c r="C256" t="s">
        <v>759</v>
      </c>
      <c r="D256" t="s">
        <v>760</v>
      </c>
      <c r="E256">
        <v>5</v>
      </c>
      <c r="F256" t="s">
        <v>738</v>
      </c>
      <c r="G256" t="s">
        <v>706</v>
      </c>
      <c r="H256" t="s">
        <v>759</v>
      </c>
      <c r="I256" t="s">
        <v>761</v>
      </c>
    </row>
    <row r="257" spans="1:9">
      <c r="A257" t="str">
        <f>"0215605 "</f>
        <v xml:space="preserve">0215605 </v>
      </c>
      <c r="B257" t="s">
        <v>702</v>
      </c>
      <c r="C257" t="s">
        <v>762</v>
      </c>
      <c r="D257" t="s">
        <v>763</v>
      </c>
      <c r="E257">
        <v>1</v>
      </c>
      <c r="F257" t="s">
        <v>764</v>
      </c>
      <c r="G257" t="s">
        <v>706</v>
      </c>
      <c r="H257" t="s">
        <v>762</v>
      </c>
      <c r="I257" t="s">
        <v>765</v>
      </c>
    </row>
    <row r="258" spans="1:9">
      <c r="A258" t="str">
        <f>"0215607 "</f>
        <v xml:space="preserve">0215607 </v>
      </c>
      <c r="B258" t="s">
        <v>702</v>
      </c>
      <c r="C258" t="s">
        <v>766</v>
      </c>
      <c r="D258" t="s">
        <v>767</v>
      </c>
      <c r="E258">
        <v>1</v>
      </c>
      <c r="F258" t="s">
        <v>768</v>
      </c>
      <c r="G258" t="s">
        <v>706</v>
      </c>
      <c r="H258" t="s">
        <v>766</v>
      </c>
      <c r="I258" t="s">
        <v>769</v>
      </c>
    </row>
    <row r="259" spans="1:9">
      <c r="A259" t="str">
        <f>"0215611 "</f>
        <v xml:space="preserve">0215611 </v>
      </c>
      <c r="B259" t="s">
        <v>702</v>
      </c>
      <c r="C259" t="s">
        <v>770</v>
      </c>
      <c r="D259" t="s">
        <v>771</v>
      </c>
      <c r="E259">
        <v>3</v>
      </c>
      <c r="F259" t="s">
        <v>772</v>
      </c>
      <c r="G259" t="s">
        <v>706</v>
      </c>
      <c r="H259" t="s">
        <v>770</v>
      </c>
      <c r="I259" t="s">
        <v>773</v>
      </c>
    </row>
    <row r="260" spans="1:9">
      <c r="A260" t="str">
        <f>"0215623 "</f>
        <v xml:space="preserve">0215623 </v>
      </c>
      <c r="B260" t="s">
        <v>702</v>
      </c>
      <c r="C260" t="s">
        <v>774</v>
      </c>
      <c r="D260" t="s">
        <v>775</v>
      </c>
      <c r="E260">
        <v>1</v>
      </c>
      <c r="F260" t="s">
        <v>776</v>
      </c>
      <c r="G260" t="s">
        <v>706</v>
      </c>
      <c r="H260" t="s">
        <v>774</v>
      </c>
      <c r="I260" t="s">
        <v>777</v>
      </c>
    </row>
    <row r="261" spans="1:9">
      <c r="A261" t="str">
        <f>"0215625 "</f>
        <v xml:space="preserve">0215625 </v>
      </c>
      <c r="B261" t="s">
        <v>702</v>
      </c>
      <c r="C261" t="s">
        <v>778</v>
      </c>
      <c r="D261" t="s">
        <v>779</v>
      </c>
      <c r="E261">
        <v>2</v>
      </c>
      <c r="F261" t="s">
        <v>780</v>
      </c>
      <c r="G261" t="s">
        <v>706</v>
      </c>
      <c r="H261" t="s">
        <v>778</v>
      </c>
      <c r="I261" t="s">
        <v>781</v>
      </c>
    </row>
    <row r="262" spans="1:9">
      <c r="A262" t="str">
        <f>"0215629 "</f>
        <v xml:space="preserve">0215629 </v>
      </c>
      <c r="B262" t="s">
        <v>702</v>
      </c>
      <c r="C262" t="s">
        <v>782</v>
      </c>
      <c r="D262" t="s">
        <v>783</v>
      </c>
      <c r="E262">
        <v>1</v>
      </c>
      <c r="F262" t="s">
        <v>784</v>
      </c>
      <c r="G262" t="s">
        <v>706</v>
      </c>
      <c r="H262" t="s">
        <v>782</v>
      </c>
      <c r="I262" t="s">
        <v>785</v>
      </c>
    </row>
    <row r="263" spans="1:9">
      <c r="A263" t="str">
        <f>"0215630 "</f>
        <v xml:space="preserve">0215630 </v>
      </c>
      <c r="B263" t="s">
        <v>702</v>
      </c>
      <c r="C263" t="s">
        <v>786</v>
      </c>
      <c r="D263" t="s">
        <v>787</v>
      </c>
      <c r="E263">
        <v>2</v>
      </c>
      <c r="F263" t="s">
        <v>788</v>
      </c>
      <c r="G263" t="s">
        <v>706</v>
      </c>
      <c r="H263" t="s">
        <v>786</v>
      </c>
      <c r="I263" t="s">
        <v>789</v>
      </c>
    </row>
    <row r="264" spans="1:9">
      <c r="A264" t="str">
        <f>"0215635 "</f>
        <v xml:space="preserve">0215635 </v>
      </c>
      <c r="B264" t="s">
        <v>702</v>
      </c>
      <c r="C264" t="s">
        <v>790</v>
      </c>
      <c r="D264" t="s">
        <v>791</v>
      </c>
      <c r="E264">
        <v>2</v>
      </c>
      <c r="F264" t="s">
        <v>788</v>
      </c>
      <c r="G264" t="s">
        <v>706</v>
      </c>
      <c r="H264" t="s">
        <v>790</v>
      </c>
      <c r="I264" t="s">
        <v>792</v>
      </c>
    </row>
    <row r="265" spans="1:9">
      <c r="A265" t="str">
        <f>"0215642 "</f>
        <v xml:space="preserve">0215642 </v>
      </c>
      <c r="B265" t="s">
        <v>702</v>
      </c>
      <c r="C265" t="s">
        <v>793</v>
      </c>
      <c r="D265" t="s">
        <v>794</v>
      </c>
      <c r="E265">
        <v>2</v>
      </c>
      <c r="F265" t="s">
        <v>795</v>
      </c>
      <c r="G265" t="s">
        <v>706</v>
      </c>
      <c r="H265" t="s">
        <v>793</v>
      </c>
      <c r="I265" t="s">
        <v>796</v>
      </c>
    </row>
    <row r="266" spans="1:9">
      <c r="A266" t="str">
        <f>"0215647 "</f>
        <v xml:space="preserve">0215647 </v>
      </c>
      <c r="B266" t="s">
        <v>702</v>
      </c>
      <c r="C266" t="s">
        <v>797</v>
      </c>
      <c r="D266" t="s">
        <v>798</v>
      </c>
      <c r="E266">
        <v>3</v>
      </c>
      <c r="F266" t="s">
        <v>799</v>
      </c>
      <c r="G266" t="s">
        <v>706</v>
      </c>
      <c r="H266" t="s">
        <v>797</v>
      </c>
      <c r="I266" t="s">
        <v>800</v>
      </c>
    </row>
    <row r="267" spans="1:9">
      <c r="A267" t="str">
        <f>"0215656 "</f>
        <v xml:space="preserve">0215656 </v>
      </c>
      <c r="B267" t="s">
        <v>702</v>
      </c>
      <c r="C267" t="s">
        <v>801</v>
      </c>
      <c r="D267" t="s">
        <v>802</v>
      </c>
      <c r="E267">
        <v>2</v>
      </c>
      <c r="F267" t="s">
        <v>803</v>
      </c>
      <c r="G267" t="s">
        <v>706</v>
      </c>
      <c r="H267" t="s">
        <v>801</v>
      </c>
      <c r="I267" t="s">
        <v>804</v>
      </c>
    </row>
    <row r="268" spans="1:9">
      <c r="A268" t="str">
        <f>"0215657 "</f>
        <v xml:space="preserve">0215657 </v>
      </c>
      <c r="B268" t="s">
        <v>702</v>
      </c>
      <c r="C268" t="s">
        <v>805</v>
      </c>
      <c r="D268" t="s">
        <v>806</v>
      </c>
      <c r="E268">
        <v>1</v>
      </c>
      <c r="F268" t="s">
        <v>807</v>
      </c>
      <c r="G268" t="s">
        <v>706</v>
      </c>
      <c r="H268" t="s">
        <v>805</v>
      </c>
      <c r="I268" t="s">
        <v>808</v>
      </c>
    </row>
    <row r="269" spans="1:9">
      <c r="A269" t="str">
        <f>"0215658 "</f>
        <v xml:space="preserve">0215658 </v>
      </c>
      <c r="B269" t="s">
        <v>702</v>
      </c>
      <c r="C269" t="s">
        <v>809</v>
      </c>
      <c r="D269" t="s">
        <v>810</v>
      </c>
      <c r="E269">
        <v>1</v>
      </c>
      <c r="F269" t="s">
        <v>811</v>
      </c>
      <c r="G269" t="s">
        <v>706</v>
      </c>
      <c r="H269" t="s">
        <v>809</v>
      </c>
      <c r="I269" t="s">
        <v>812</v>
      </c>
    </row>
    <row r="270" spans="1:9">
      <c r="A270" t="str">
        <f>"0215665 "</f>
        <v xml:space="preserve">0215665 </v>
      </c>
      <c r="B270" t="s">
        <v>702</v>
      </c>
      <c r="C270" t="s">
        <v>813</v>
      </c>
      <c r="D270" t="s">
        <v>814</v>
      </c>
      <c r="E270">
        <v>2</v>
      </c>
      <c r="F270" t="s">
        <v>815</v>
      </c>
      <c r="G270" t="s">
        <v>706</v>
      </c>
      <c r="H270" t="s">
        <v>813</v>
      </c>
      <c r="I270" t="s">
        <v>816</v>
      </c>
    </row>
    <row r="271" spans="1:9">
      <c r="A271" t="str">
        <f>"0215668 "</f>
        <v xml:space="preserve">0215668 </v>
      </c>
      <c r="B271" t="s">
        <v>702</v>
      </c>
      <c r="C271" t="s">
        <v>817</v>
      </c>
      <c r="D271" t="s">
        <v>818</v>
      </c>
      <c r="E271">
        <v>1</v>
      </c>
      <c r="F271" t="s">
        <v>718</v>
      </c>
      <c r="G271" t="s">
        <v>706</v>
      </c>
      <c r="H271" t="s">
        <v>817</v>
      </c>
      <c r="I271" t="s">
        <v>819</v>
      </c>
    </row>
    <row r="272" spans="1:9">
      <c r="A272" t="str">
        <f>"0215671 "</f>
        <v xml:space="preserve">0215671 </v>
      </c>
      <c r="B272" t="s">
        <v>702</v>
      </c>
      <c r="C272" t="s">
        <v>820</v>
      </c>
      <c r="D272" t="s">
        <v>821</v>
      </c>
      <c r="E272">
        <v>1</v>
      </c>
      <c r="F272" t="s">
        <v>822</v>
      </c>
      <c r="G272" t="s">
        <v>706</v>
      </c>
      <c r="H272" t="s">
        <v>820</v>
      </c>
      <c r="I272" t="s">
        <v>823</v>
      </c>
    </row>
    <row r="273" spans="1:9">
      <c r="A273" t="str">
        <f>"0215672 "</f>
        <v xml:space="preserve">0215672 </v>
      </c>
      <c r="B273" t="s">
        <v>702</v>
      </c>
      <c r="C273" t="s">
        <v>824</v>
      </c>
      <c r="D273" t="s">
        <v>825</v>
      </c>
      <c r="E273" t="s">
        <v>16</v>
      </c>
      <c r="F273" t="s">
        <v>826</v>
      </c>
      <c r="G273" t="s">
        <v>706</v>
      </c>
      <c r="H273" t="s">
        <v>824</v>
      </c>
      <c r="I273" t="s">
        <v>827</v>
      </c>
    </row>
    <row r="274" spans="1:9">
      <c r="A274" t="str">
        <f>"0215675 "</f>
        <v xml:space="preserve">0215675 </v>
      </c>
      <c r="B274" t="s">
        <v>702</v>
      </c>
      <c r="C274" t="s">
        <v>828</v>
      </c>
      <c r="D274" t="s">
        <v>829</v>
      </c>
      <c r="E274">
        <v>3</v>
      </c>
      <c r="F274" t="s">
        <v>830</v>
      </c>
      <c r="G274" t="s">
        <v>706</v>
      </c>
      <c r="H274" t="s">
        <v>828</v>
      </c>
      <c r="I274" t="s">
        <v>831</v>
      </c>
    </row>
    <row r="275" spans="1:9">
      <c r="A275" t="str">
        <f>"0215678 "</f>
        <v xml:space="preserve">0215678 </v>
      </c>
      <c r="B275" t="s">
        <v>702</v>
      </c>
      <c r="C275" t="s">
        <v>832</v>
      </c>
      <c r="D275" t="s">
        <v>833</v>
      </c>
      <c r="E275">
        <v>1</v>
      </c>
      <c r="F275" t="s">
        <v>834</v>
      </c>
      <c r="G275" t="s">
        <v>706</v>
      </c>
      <c r="H275" t="s">
        <v>832</v>
      </c>
      <c r="I275" t="s">
        <v>835</v>
      </c>
    </row>
    <row r="276" spans="1:9">
      <c r="A276" t="str">
        <f>"0215679 "</f>
        <v xml:space="preserve">0215679 </v>
      </c>
      <c r="B276" t="s">
        <v>702</v>
      </c>
      <c r="C276" t="s">
        <v>836</v>
      </c>
      <c r="D276" t="s">
        <v>837</v>
      </c>
      <c r="E276">
        <v>1</v>
      </c>
      <c r="F276" t="s">
        <v>838</v>
      </c>
      <c r="G276" t="s">
        <v>706</v>
      </c>
      <c r="H276" t="s">
        <v>836</v>
      </c>
      <c r="I276" t="s">
        <v>839</v>
      </c>
    </row>
    <row r="277" spans="1:9">
      <c r="A277" t="str">
        <f>"0215682 "</f>
        <v xml:space="preserve">0215682 </v>
      </c>
      <c r="B277" t="s">
        <v>702</v>
      </c>
      <c r="C277" t="s">
        <v>840</v>
      </c>
      <c r="D277" t="s">
        <v>841</v>
      </c>
      <c r="E277">
        <v>2</v>
      </c>
      <c r="F277" t="s">
        <v>842</v>
      </c>
      <c r="G277" t="s">
        <v>706</v>
      </c>
      <c r="H277" t="s">
        <v>840</v>
      </c>
      <c r="I277" t="s">
        <v>843</v>
      </c>
    </row>
    <row r="278" spans="1:9">
      <c r="A278" t="str">
        <f>"0215686 "</f>
        <v xml:space="preserve">0215686 </v>
      </c>
      <c r="B278" t="s">
        <v>702</v>
      </c>
      <c r="C278" t="s">
        <v>844</v>
      </c>
      <c r="D278" t="s">
        <v>845</v>
      </c>
      <c r="E278">
        <v>1</v>
      </c>
      <c r="F278" t="s">
        <v>846</v>
      </c>
      <c r="G278" t="s">
        <v>706</v>
      </c>
      <c r="H278" t="s">
        <v>844</v>
      </c>
      <c r="I278" t="s">
        <v>847</v>
      </c>
    </row>
    <row r="279" spans="1:9">
      <c r="A279" t="str">
        <f>"0215687 "</f>
        <v xml:space="preserve">0215687 </v>
      </c>
      <c r="B279" t="s">
        <v>702</v>
      </c>
      <c r="C279" t="s">
        <v>848</v>
      </c>
      <c r="D279" t="s">
        <v>849</v>
      </c>
      <c r="E279">
        <v>2</v>
      </c>
      <c r="F279" t="s">
        <v>850</v>
      </c>
      <c r="G279" t="s">
        <v>706</v>
      </c>
      <c r="H279" t="s">
        <v>848</v>
      </c>
      <c r="I279" t="s">
        <v>851</v>
      </c>
    </row>
    <row r="280" spans="1:9">
      <c r="A280" t="str">
        <f>"0215688 "</f>
        <v xml:space="preserve">0215688 </v>
      </c>
      <c r="B280" t="s">
        <v>702</v>
      </c>
      <c r="C280" t="s">
        <v>852</v>
      </c>
      <c r="D280" t="s">
        <v>853</v>
      </c>
      <c r="E280">
        <v>3</v>
      </c>
      <c r="F280" t="s">
        <v>854</v>
      </c>
      <c r="G280" t="s">
        <v>706</v>
      </c>
      <c r="H280" t="s">
        <v>852</v>
      </c>
      <c r="I280" t="s">
        <v>855</v>
      </c>
    </row>
    <row r="281" spans="1:9">
      <c r="A281" t="str">
        <f>"0216106 "</f>
        <v xml:space="preserve">0216106 </v>
      </c>
      <c r="B281" t="s">
        <v>702</v>
      </c>
      <c r="C281" t="s">
        <v>856</v>
      </c>
      <c r="D281" t="s">
        <v>857</v>
      </c>
      <c r="E281">
        <v>4</v>
      </c>
      <c r="F281" t="s">
        <v>858</v>
      </c>
      <c r="G281" t="s">
        <v>706</v>
      </c>
      <c r="H281" t="s">
        <v>856</v>
      </c>
      <c r="I281" t="s">
        <v>859</v>
      </c>
    </row>
    <row r="282" spans="1:9">
      <c r="A282" t="str">
        <f>"0215696 "</f>
        <v xml:space="preserve">0215696 </v>
      </c>
      <c r="B282" t="s">
        <v>702</v>
      </c>
      <c r="C282" t="s">
        <v>860</v>
      </c>
      <c r="D282" t="s">
        <v>861</v>
      </c>
      <c r="E282">
        <v>3</v>
      </c>
      <c r="F282" t="s">
        <v>746</v>
      </c>
      <c r="G282" t="s">
        <v>706</v>
      </c>
      <c r="H282" t="s">
        <v>860</v>
      </c>
      <c r="I282" t="s">
        <v>862</v>
      </c>
    </row>
    <row r="283" spans="1:9">
      <c r="A283" t="str">
        <f>"0216107 "</f>
        <v xml:space="preserve">0216107 </v>
      </c>
      <c r="B283" t="s">
        <v>702</v>
      </c>
      <c r="C283" t="s">
        <v>863</v>
      </c>
      <c r="D283" t="s">
        <v>864</v>
      </c>
      <c r="E283">
        <v>4</v>
      </c>
      <c r="F283" t="s">
        <v>865</v>
      </c>
      <c r="G283" t="s">
        <v>706</v>
      </c>
      <c r="H283" t="s">
        <v>863</v>
      </c>
      <c r="I283" t="s">
        <v>866</v>
      </c>
    </row>
    <row r="284" spans="1:9">
      <c r="A284" t="str">
        <f>"0215699 "</f>
        <v xml:space="preserve">0215699 </v>
      </c>
      <c r="B284" t="s">
        <v>702</v>
      </c>
      <c r="C284" t="s">
        <v>867</v>
      </c>
      <c r="D284" t="s">
        <v>868</v>
      </c>
      <c r="E284">
        <v>2</v>
      </c>
      <c r="F284" t="s">
        <v>869</v>
      </c>
      <c r="G284" t="s">
        <v>706</v>
      </c>
      <c r="H284" t="s">
        <v>867</v>
      </c>
      <c r="I284" t="s">
        <v>870</v>
      </c>
    </row>
    <row r="285" spans="1:9">
      <c r="A285" t="str">
        <f>"0215700 "</f>
        <v xml:space="preserve">0215700 </v>
      </c>
      <c r="B285" t="s">
        <v>702</v>
      </c>
      <c r="C285" t="s">
        <v>871</v>
      </c>
      <c r="D285" t="s">
        <v>872</v>
      </c>
      <c r="E285">
        <v>2</v>
      </c>
      <c r="F285" t="s">
        <v>865</v>
      </c>
      <c r="G285" t="s">
        <v>706</v>
      </c>
      <c r="H285" t="s">
        <v>871</v>
      </c>
      <c r="I285" t="s">
        <v>873</v>
      </c>
    </row>
    <row r="286" spans="1:9">
      <c r="A286" t="str">
        <f>"0215703 "</f>
        <v xml:space="preserve">0215703 </v>
      </c>
      <c r="B286" t="s">
        <v>702</v>
      </c>
      <c r="C286" t="s">
        <v>874</v>
      </c>
      <c r="D286" t="s">
        <v>875</v>
      </c>
      <c r="E286">
        <v>1</v>
      </c>
      <c r="F286" t="s">
        <v>876</v>
      </c>
      <c r="G286" t="s">
        <v>706</v>
      </c>
      <c r="H286" t="s">
        <v>874</v>
      </c>
      <c r="I286" t="s">
        <v>877</v>
      </c>
    </row>
    <row r="287" spans="1:9">
      <c r="A287" t="str">
        <f>"0215714 "</f>
        <v xml:space="preserve">0215714 </v>
      </c>
      <c r="B287" t="s">
        <v>702</v>
      </c>
      <c r="C287" t="s">
        <v>878</v>
      </c>
      <c r="D287" t="s">
        <v>879</v>
      </c>
      <c r="E287" t="s">
        <v>16</v>
      </c>
      <c r="F287" t="s">
        <v>880</v>
      </c>
      <c r="G287" t="s">
        <v>706</v>
      </c>
      <c r="H287" t="s">
        <v>878</v>
      </c>
      <c r="I287" t="s">
        <v>881</v>
      </c>
    </row>
    <row r="288" spans="1:9">
      <c r="A288" t="str">
        <f>"0215715 "</f>
        <v xml:space="preserve">0215715 </v>
      </c>
      <c r="B288" t="s">
        <v>702</v>
      </c>
      <c r="C288" t="s">
        <v>882</v>
      </c>
      <c r="D288" t="s">
        <v>883</v>
      </c>
      <c r="E288">
        <v>2</v>
      </c>
      <c r="F288" t="s">
        <v>884</v>
      </c>
      <c r="G288" t="s">
        <v>706</v>
      </c>
      <c r="H288" t="s">
        <v>882</v>
      </c>
      <c r="I288" t="s">
        <v>885</v>
      </c>
    </row>
    <row r="289" spans="1:9">
      <c r="A289" t="str">
        <f>"0215716 "</f>
        <v xml:space="preserve">0215716 </v>
      </c>
      <c r="B289" t="s">
        <v>702</v>
      </c>
      <c r="C289" t="s">
        <v>886</v>
      </c>
      <c r="D289" t="s">
        <v>887</v>
      </c>
      <c r="E289">
        <v>2</v>
      </c>
      <c r="F289" t="s">
        <v>888</v>
      </c>
      <c r="G289" t="s">
        <v>706</v>
      </c>
      <c r="H289" t="s">
        <v>886</v>
      </c>
      <c r="I289" t="s">
        <v>889</v>
      </c>
    </row>
    <row r="290" spans="1:9">
      <c r="A290" t="str">
        <f>"0215717 "</f>
        <v xml:space="preserve">0215717 </v>
      </c>
      <c r="B290" t="s">
        <v>702</v>
      </c>
      <c r="C290" t="s">
        <v>890</v>
      </c>
      <c r="D290" t="s">
        <v>891</v>
      </c>
      <c r="E290">
        <v>2</v>
      </c>
      <c r="F290" t="s">
        <v>892</v>
      </c>
      <c r="G290" t="s">
        <v>706</v>
      </c>
      <c r="H290" t="s">
        <v>890</v>
      </c>
      <c r="I290" t="s">
        <v>893</v>
      </c>
    </row>
    <row r="291" spans="1:9">
      <c r="A291" t="str">
        <f>"0215718 "</f>
        <v xml:space="preserve">0215718 </v>
      </c>
      <c r="B291" t="s">
        <v>702</v>
      </c>
      <c r="C291" t="s">
        <v>894</v>
      </c>
      <c r="D291" t="s">
        <v>895</v>
      </c>
      <c r="E291" t="s">
        <v>16</v>
      </c>
      <c r="F291" t="s">
        <v>896</v>
      </c>
      <c r="G291" t="s">
        <v>706</v>
      </c>
      <c r="H291" t="s">
        <v>894</v>
      </c>
      <c r="I291" t="s">
        <v>897</v>
      </c>
    </row>
    <row r="292" spans="1:9">
      <c r="A292" t="str">
        <f>"0215720 "</f>
        <v xml:space="preserve">0215720 </v>
      </c>
      <c r="B292" t="s">
        <v>702</v>
      </c>
      <c r="C292" t="s">
        <v>898</v>
      </c>
      <c r="D292" t="s">
        <v>899</v>
      </c>
      <c r="E292">
        <v>3</v>
      </c>
      <c r="F292" t="s">
        <v>900</v>
      </c>
      <c r="G292" t="s">
        <v>706</v>
      </c>
      <c r="H292" t="s">
        <v>898</v>
      </c>
      <c r="I292" t="s">
        <v>901</v>
      </c>
    </row>
    <row r="293" spans="1:9">
      <c r="A293" t="str">
        <f>"0215723 "</f>
        <v xml:space="preserve">0215723 </v>
      </c>
      <c r="B293" t="s">
        <v>702</v>
      </c>
      <c r="C293" t="s">
        <v>902</v>
      </c>
      <c r="D293" t="s">
        <v>903</v>
      </c>
      <c r="E293">
        <v>2</v>
      </c>
      <c r="F293" t="s">
        <v>904</v>
      </c>
      <c r="G293" t="s">
        <v>706</v>
      </c>
      <c r="H293" t="s">
        <v>902</v>
      </c>
      <c r="I293" t="s">
        <v>905</v>
      </c>
    </row>
    <row r="294" spans="1:9">
      <c r="A294" t="str">
        <f>"0215727 "</f>
        <v xml:space="preserve">0215727 </v>
      </c>
      <c r="B294" t="s">
        <v>702</v>
      </c>
      <c r="C294" t="s">
        <v>906</v>
      </c>
      <c r="D294" t="s">
        <v>907</v>
      </c>
      <c r="E294">
        <v>3</v>
      </c>
      <c r="F294" t="s">
        <v>908</v>
      </c>
      <c r="G294" t="s">
        <v>706</v>
      </c>
      <c r="H294" t="s">
        <v>906</v>
      </c>
      <c r="I294" t="s">
        <v>909</v>
      </c>
    </row>
    <row r="295" spans="1:9">
      <c r="A295" t="str">
        <f>"0215730 "</f>
        <v xml:space="preserve">0215730 </v>
      </c>
      <c r="B295" t="s">
        <v>702</v>
      </c>
      <c r="C295" t="s">
        <v>910</v>
      </c>
      <c r="D295" t="s">
        <v>911</v>
      </c>
      <c r="E295">
        <v>2</v>
      </c>
      <c r="F295" t="s">
        <v>912</v>
      </c>
      <c r="G295" t="s">
        <v>706</v>
      </c>
      <c r="H295" t="s">
        <v>910</v>
      </c>
      <c r="I295" t="s">
        <v>913</v>
      </c>
    </row>
    <row r="296" spans="1:9">
      <c r="A296" t="str">
        <f>"0215733 "</f>
        <v xml:space="preserve">0215733 </v>
      </c>
      <c r="B296" t="s">
        <v>702</v>
      </c>
      <c r="C296" t="s">
        <v>914</v>
      </c>
      <c r="D296" t="s">
        <v>915</v>
      </c>
      <c r="E296">
        <v>2</v>
      </c>
      <c r="F296" t="s">
        <v>916</v>
      </c>
      <c r="G296" t="s">
        <v>706</v>
      </c>
      <c r="H296" t="s">
        <v>914</v>
      </c>
      <c r="I296" t="s">
        <v>917</v>
      </c>
    </row>
    <row r="297" spans="1:9">
      <c r="A297" t="str">
        <f>"0215735 "</f>
        <v xml:space="preserve">0215735 </v>
      </c>
      <c r="B297" t="s">
        <v>702</v>
      </c>
      <c r="C297" t="s">
        <v>918</v>
      </c>
      <c r="D297" t="s">
        <v>919</v>
      </c>
      <c r="E297">
        <v>3</v>
      </c>
      <c r="F297" t="s">
        <v>920</v>
      </c>
      <c r="G297" t="s">
        <v>706</v>
      </c>
      <c r="H297" t="s">
        <v>918</v>
      </c>
      <c r="I297" t="s">
        <v>921</v>
      </c>
    </row>
    <row r="298" spans="1:9">
      <c r="A298" t="str">
        <f>"0215740 "</f>
        <v xml:space="preserve">0215740 </v>
      </c>
      <c r="B298" t="s">
        <v>702</v>
      </c>
      <c r="C298" t="s">
        <v>922</v>
      </c>
      <c r="D298" t="s">
        <v>923</v>
      </c>
      <c r="E298">
        <v>1</v>
      </c>
      <c r="F298" t="s">
        <v>924</v>
      </c>
      <c r="G298" t="s">
        <v>706</v>
      </c>
      <c r="H298" t="s">
        <v>922</v>
      </c>
      <c r="I298" t="s">
        <v>925</v>
      </c>
    </row>
    <row r="299" spans="1:9">
      <c r="A299" t="str">
        <f>"0215746 "</f>
        <v xml:space="preserve">0215746 </v>
      </c>
      <c r="B299" t="s">
        <v>702</v>
      </c>
      <c r="C299" t="s">
        <v>926</v>
      </c>
      <c r="D299" t="s">
        <v>927</v>
      </c>
      <c r="E299">
        <v>1</v>
      </c>
      <c r="F299" t="s">
        <v>928</v>
      </c>
      <c r="G299" t="s">
        <v>706</v>
      </c>
      <c r="H299" t="s">
        <v>926</v>
      </c>
      <c r="I299" t="s">
        <v>929</v>
      </c>
    </row>
    <row r="300" spans="1:9">
      <c r="A300" t="str">
        <f>"0215747 "</f>
        <v xml:space="preserve">0215747 </v>
      </c>
      <c r="B300" t="s">
        <v>702</v>
      </c>
      <c r="C300" t="s">
        <v>930</v>
      </c>
      <c r="D300" t="s">
        <v>931</v>
      </c>
      <c r="E300" t="s">
        <v>16</v>
      </c>
      <c r="F300" t="s">
        <v>932</v>
      </c>
      <c r="G300" t="s">
        <v>706</v>
      </c>
      <c r="H300" t="s">
        <v>930</v>
      </c>
      <c r="I300" t="s">
        <v>933</v>
      </c>
    </row>
    <row r="301" spans="1:9">
      <c r="A301" t="str">
        <f>"0215756 "</f>
        <v xml:space="preserve">0215756 </v>
      </c>
      <c r="B301" t="s">
        <v>702</v>
      </c>
      <c r="C301" t="s">
        <v>934</v>
      </c>
      <c r="D301" t="s">
        <v>935</v>
      </c>
      <c r="E301">
        <v>3</v>
      </c>
      <c r="F301" t="s">
        <v>936</v>
      </c>
      <c r="G301" t="s">
        <v>706</v>
      </c>
      <c r="H301" t="s">
        <v>934</v>
      </c>
      <c r="I301" t="s">
        <v>937</v>
      </c>
    </row>
    <row r="302" spans="1:9">
      <c r="A302" t="str">
        <f>"0215758 "</f>
        <v xml:space="preserve">0215758 </v>
      </c>
      <c r="B302" t="s">
        <v>702</v>
      </c>
      <c r="C302" t="s">
        <v>938</v>
      </c>
      <c r="D302" t="s">
        <v>939</v>
      </c>
      <c r="E302">
        <v>1</v>
      </c>
      <c r="F302" t="s">
        <v>940</v>
      </c>
      <c r="G302" t="s">
        <v>706</v>
      </c>
      <c r="H302" t="s">
        <v>938</v>
      </c>
      <c r="I302" t="s">
        <v>941</v>
      </c>
    </row>
    <row r="303" spans="1:9">
      <c r="A303" t="str">
        <f>"0215759 "</f>
        <v xml:space="preserve">0215759 </v>
      </c>
      <c r="B303" t="s">
        <v>702</v>
      </c>
      <c r="C303" t="s">
        <v>942</v>
      </c>
      <c r="D303" t="s">
        <v>943</v>
      </c>
      <c r="E303">
        <v>4</v>
      </c>
      <c r="F303" t="s">
        <v>944</v>
      </c>
      <c r="G303" t="s">
        <v>706</v>
      </c>
      <c r="H303" t="s">
        <v>942</v>
      </c>
      <c r="I303" t="s">
        <v>945</v>
      </c>
    </row>
    <row r="304" spans="1:9">
      <c r="A304" t="str">
        <f>"0215761 "</f>
        <v xml:space="preserve">0215761 </v>
      </c>
      <c r="B304" t="s">
        <v>702</v>
      </c>
      <c r="C304" t="s">
        <v>946</v>
      </c>
      <c r="D304" t="s">
        <v>947</v>
      </c>
      <c r="E304">
        <v>1</v>
      </c>
      <c r="F304" t="s">
        <v>948</v>
      </c>
      <c r="G304" t="s">
        <v>706</v>
      </c>
      <c r="H304" t="s">
        <v>946</v>
      </c>
      <c r="I304" t="s">
        <v>949</v>
      </c>
    </row>
    <row r="305" spans="1:9">
      <c r="A305" t="str">
        <f>"0215771 "</f>
        <v xml:space="preserve">0215771 </v>
      </c>
      <c r="B305" t="s">
        <v>702</v>
      </c>
      <c r="C305" t="s">
        <v>950</v>
      </c>
      <c r="D305" t="s">
        <v>951</v>
      </c>
      <c r="E305">
        <v>2</v>
      </c>
      <c r="F305" t="s">
        <v>952</v>
      </c>
      <c r="G305" t="s">
        <v>706</v>
      </c>
      <c r="H305" t="s">
        <v>950</v>
      </c>
      <c r="I305" t="s">
        <v>953</v>
      </c>
    </row>
    <row r="306" spans="1:9">
      <c r="A306" t="str">
        <f>"0215772 "</f>
        <v xml:space="preserve">0215772 </v>
      </c>
      <c r="B306" t="s">
        <v>702</v>
      </c>
      <c r="C306" t="s">
        <v>954</v>
      </c>
      <c r="D306" t="s">
        <v>955</v>
      </c>
      <c r="E306">
        <v>1</v>
      </c>
      <c r="F306" t="s">
        <v>956</v>
      </c>
      <c r="G306" t="s">
        <v>706</v>
      </c>
      <c r="H306" t="s">
        <v>954</v>
      </c>
      <c r="I306" t="s">
        <v>957</v>
      </c>
    </row>
    <row r="307" spans="1:9">
      <c r="A307" t="str">
        <f>"0215774 "</f>
        <v xml:space="preserve">0215774 </v>
      </c>
      <c r="B307" t="s">
        <v>702</v>
      </c>
      <c r="C307" t="s">
        <v>958</v>
      </c>
      <c r="D307" t="s">
        <v>959</v>
      </c>
      <c r="E307">
        <v>4</v>
      </c>
      <c r="F307" t="s">
        <v>960</v>
      </c>
      <c r="G307" t="s">
        <v>706</v>
      </c>
      <c r="H307" t="s">
        <v>958</v>
      </c>
      <c r="I307" t="s">
        <v>961</v>
      </c>
    </row>
    <row r="308" spans="1:9">
      <c r="A308" t="str">
        <f>"0215800 "</f>
        <v xml:space="preserve">0215800 </v>
      </c>
      <c r="B308" t="s">
        <v>702</v>
      </c>
      <c r="C308" t="s">
        <v>962</v>
      </c>
      <c r="D308" t="s">
        <v>963</v>
      </c>
      <c r="E308">
        <v>2</v>
      </c>
      <c r="F308" t="s">
        <v>964</v>
      </c>
      <c r="G308" t="s">
        <v>706</v>
      </c>
      <c r="H308" t="s">
        <v>962</v>
      </c>
      <c r="I308" t="s">
        <v>965</v>
      </c>
    </row>
    <row r="309" spans="1:9">
      <c r="A309" t="str">
        <f>"0215801 "</f>
        <v xml:space="preserve">0215801 </v>
      </c>
      <c r="B309" t="s">
        <v>702</v>
      </c>
      <c r="C309" t="s">
        <v>966</v>
      </c>
      <c r="D309" t="s">
        <v>967</v>
      </c>
      <c r="E309">
        <v>5</v>
      </c>
      <c r="F309" t="s">
        <v>968</v>
      </c>
      <c r="G309" t="s">
        <v>706</v>
      </c>
      <c r="H309" t="s">
        <v>966</v>
      </c>
      <c r="I309" t="s">
        <v>969</v>
      </c>
    </row>
    <row r="310" spans="1:9">
      <c r="A310" t="str">
        <f>"0215803 "</f>
        <v xml:space="preserve">0215803 </v>
      </c>
      <c r="B310" t="s">
        <v>702</v>
      </c>
      <c r="C310" t="s">
        <v>970</v>
      </c>
      <c r="D310" t="s">
        <v>971</v>
      </c>
      <c r="E310">
        <v>1</v>
      </c>
      <c r="F310" t="s">
        <v>972</v>
      </c>
      <c r="G310" t="s">
        <v>706</v>
      </c>
      <c r="H310" t="s">
        <v>970</v>
      </c>
      <c r="I310" t="s">
        <v>973</v>
      </c>
    </row>
    <row r="311" spans="1:9">
      <c r="A311" t="str">
        <f>"0215832 "</f>
        <v xml:space="preserve">0215832 </v>
      </c>
      <c r="B311" t="s">
        <v>702</v>
      </c>
      <c r="C311" t="s">
        <v>974</v>
      </c>
      <c r="D311" t="s">
        <v>975</v>
      </c>
      <c r="E311">
        <v>1</v>
      </c>
      <c r="F311" t="s">
        <v>976</v>
      </c>
      <c r="G311" t="s">
        <v>706</v>
      </c>
      <c r="H311" t="s">
        <v>974</v>
      </c>
      <c r="I311" t="s">
        <v>977</v>
      </c>
    </row>
    <row r="312" spans="1:9">
      <c r="A312" t="str">
        <f>"0215834 "</f>
        <v xml:space="preserve">0215834 </v>
      </c>
      <c r="B312" t="s">
        <v>702</v>
      </c>
      <c r="C312" t="s">
        <v>978</v>
      </c>
      <c r="D312" t="s">
        <v>979</v>
      </c>
      <c r="E312">
        <v>2</v>
      </c>
      <c r="F312" t="s">
        <v>968</v>
      </c>
      <c r="G312" t="s">
        <v>706</v>
      </c>
      <c r="H312" t="s">
        <v>978</v>
      </c>
      <c r="I312" t="s">
        <v>980</v>
      </c>
    </row>
    <row r="313" spans="1:9">
      <c r="A313" t="str">
        <f>"0215835 "</f>
        <v xml:space="preserve">0215835 </v>
      </c>
      <c r="B313" t="s">
        <v>702</v>
      </c>
      <c r="C313" t="s">
        <v>981</v>
      </c>
      <c r="D313" t="s">
        <v>982</v>
      </c>
      <c r="E313" t="s">
        <v>16</v>
      </c>
      <c r="F313" t="s">
        <v>983</v>
      </c>
      <c r="G313" t="s">
        <v>706</v>
      </c>
      <c r="H313" t="s">
        <v>981</v>
      </c>
      <c r="I313" t="s">
        <v>984</v>
      </c>
    </row>
    <row r="314" spans="1:9">
      <c r="A314" t="str">
        <f>"0215836 "</f>
        <v xml:space="preserve">0215836 </v>
      </c>
      <c r="B314" t="s">
        <v>702</v>
      </c>
      <c r="C314" t="s">
        <v>985</v>
      </c>
      <c r="D314" t="s">
        <v>986</v>
      </c>
      <c r="E314">
        <v>3</v>
      </c>
      <c r="F314" t="s">
        <v>987</v>
      </c>
      <c r="G314" t="s">
        <v>706</v>
      </c>
      <c r="H314" t="s">
        <v>985</v>
      </c>
      <c r="I314" t="s">
        <v>988</v>
      </c>
    </row>
    <row r="315" spans="1:9">
      <c r="A315" t="str">
        <f>"0215848 "</f>
        <v xml:space="preserve">0215848 </v>
      </c>
      <c r="B315" t="s">
        <v>702</v>
      </c>
      <c r="C315" t="s">
        <v>989</v>
      </c>
      <c r="D315" t="s">
        <v>990</v>
      </c>
      <c r="E315">
        <v>1</v>
      </c>
      <c r="F315" t="s">
        <v>991</v>
      </c>
      <c r="G315" t="s">
        <v>706</v>
      </c>
      <c r="H315" t="s">
        <v>989</v>
      </c>
      <c r="I315" t="s">
        <v>992</v>
      </c>
    </row>
    <row r="316" spans="1:9">
      <c r="A316" t="str">
        <f>"0215852 "</f>
        <v xml:space="preserve">0215852 </v>
      </c>
      <c r="B316" t="s">
        <v>702</v>
      </c>
      <c r="C316" t="s">
        <v>993</v>
      </c>
      <c r="D316" t="s">
        <v>994</v>
      </c>
      <c r="E316">
        <v>2</v>
      </c>
      <c r="F316" t="s">
        <v>995</v>
      </c>
      <c r="G316" t="s">
        <v>706</v>
      </c>
      <c r="H316" t="s">
        <v>993</v>
      </c>
      <c r="I316" t="s">
        <v>996</v>
      </c>
    </row>
    <row r="317" spans="1:9">
      <c r="A317" t="str">
        <f>"0215854 "</f>
        <v xml:space="preserve">0215854 </v>
      </c>
      <c r="B317" t="s">
        <v>702</v>
      </c>
      <c r="C317" t="s">
        <v>997</v>
      </c>
      <c r="D317" t="s">
        <v>998</v>
      </c>
      <c r="E317">
        <v>1</v>
      </c>
      <c r="F317" t="s">
        <v>999</v>
      </c>
      <c r="G317" t="s">
        <v>706</v>
      </c>
      <c r="H317" t="s">
        <v>997</v>
      </c>
      <c r="I317" t="s">
        <v>1000</v>
      </c>
    </row>
    <row r="318" spans="1:9">
      <c r="A318" t="str">
        <f>"0215862 "</f>
        <v xml:space="preserve">0215862 </v>
      </c>
      <c r="B318" t="s">
        <v>702</v>
      </c>
      <c r="C318" t="s">
        <v>1001</v>
      </c>
      <c r="D318" t="s">
        <v>1002</v>
      </c>
      <c r="E318">
        <v>2</v>
      </c>
      <c r="F318" t="s">
        <v>1003</v>
      </c>
      <c r="G318" t="s">
        <v>706</v>
      </c>
      <c r="H318" t="s">
        <v>1001</v>
      </c>
      <c r="I318" t="s">
        <v>1004</v>
      </c>
    </row>
    <row r="319" spans="1:9">
      <c r="A319" t="str">
        <f>"0215867 "</f>
        <v xml:space="preserve">0215867 </v>
      </c>
      <c r="B319" t="s">
        <v>702</v>
      </c>
      <c r="C319" t="s">
        <v>1005</v>
      </c>
      <c r="D319" t="s">
        <v>1006</v>
      </c>
      <c r="E319">
        <v>2</v>
      </c>
      <c r="F319" t="s">
        <v>710</v>
      </c>
      <c r="G319" t="s">
        <v>706</v>
      </c>
      <c r="H319" t="s">
        <v>1005</v>
      </c>
      <c r="I319" t="s">
        <v>1007</v>
      </c>
    </row>
    <row r="320" spans="1:9">
      <c r="A320" t="str">
        <f>"0215873 "</f>
        <v xml:space="preserve">0215873 </v>
      </c>
      <c r="B320" t="s">
        <v>702</v>
      </c>
      <c r="C320" t="s">
        <v>1008</v>
      </c>
      <c r="D320" t="s">
        <v>1009</v>
      </c>
      <c r="E320">
        <v>1</v>
      </c>
      <c r="F320" t="s">
        <v>1010</v>
      </c>
      <c r="G320" t="s">
        <v>706</v>
      </c>
      <c r="H320" t="s">
        <v>1008</v>
      </c>
      <c r="I320" t="s">
        <v>1011</v>
      </c>
    </row>
    <row r="321" spans="1:9">
      <c r="A321" t="str">
        <f>"0215879 "</f>
        <v xml:space="preserve">0215879 </v>
      </c>
      <c r="B321" t="s">
        <v>702</v>
      </c>
      <c r="C321" t="s">
        <v>1012</v>
      </c>
      <c r="D321" t="s">
        <v>1013</v>
      </c>
      <c r="E321">
        <v>1</v>
      </c>
      <c r="F321" t="s">
        <v>1014</v>
      </c>
      <c r="G321" t="s">
        <v>706</v>
      </c>
      <c r="H321" t="s">
        <v>1012</v>
      </c>
      <c r="I321" t="s">
        <v>1015</v>
      </c>
    </row>
    <row r="322" spans="1:9">
      <c r="A322" t="str">
        <f>"0215880 "</f>
        <v xml:space="preserve">0215880 </v>
      </c>
      <c r="B322" t="s">
        <v>702</v>
      </c>
      <c r="C322" t="s">
        <v>1016</v>
      </c>
      <c r="D322" t="s">
        <v>1017</v>
      </c>
      <c r="E322">
        <v>1</v>
      </c>
      <c r="F322" t="s">
        <v>1018</v>
      </c>
      <c r="G322" t="s">
        <v>706</v>
      </c>
      <c r="H322" t="s">
        <v>1016</v>
      </c>
      <c r="I322" t="s">
        <v>1019</v>
      </c>
    </row>
    <row r="323" spans="1:9">
      <c r="A323" t="str">
        <f>"0215885 "</f>
        <v xml:space="preserve">0215885 </v>
      </c>
      <c r="B323" t="s">
        <v>702</v>
      </c>
      <c r="C323" t="s">
        <v>1020</v>
      </c>
      <c r="D323" t="s">
        <v>1021</v>
      </c>
      <c r="E323">
        <v>1</v>
      </c>
      <c r="F323" t="s">
        <v>1022</v>
      </c>
      <c r="G323" t="s">
        <v>706</v>
      </c>
      <c r="H323" t="s">
        <v>1020</v>
      </c>
      <c r="I323" t="s">
        <v>1023</v>
      </c>
    </row>
    <row r="324" spans="1:9">
      <c r="A324" t="str">
        <f>"0215889 "</f>
        <v xml:space="preserve">0215889 </v>
      </c>
      <c r="B324" t="s">
        <v>702</v>
      </c>
      <c r="C324" t="s">
        <v>1024</v>
      </c>
      <c r="D324" t="s">
        <v>1025</v>
      </c>
      <c r="E324">
        <v>1</v>
      </c>
      <c r="F324" t="s">
        <v>1026</v>
      </c>
      <c r="G324" t="s">
        <v>706</v>
      </c>
      <c r="H324" t="s">
        <v>1024</v>
      </c>
      <c r="I324" t="s">
        <v>1027</v>
      </c>
    </row>
    <row r="325" spans="1:9">
      <c r="A325" t="str">
        <f>"0215896 "</f>
        <v xml:space="preserve">0215896 </v>
      </c>
      <c r="B325" t="s">
        <v>702</v>
      </c>
      <c r="C325" t="s">
        <v>1028</v>
      </c>
      <c r="D325" t="s">
        <v>1029</v>
      </c>
      <c r="E325">
        <v>1</v>
      </c>
      <c r="F325" t="s">
        <v>1030</v>
      </c>
      <c r="G325" t="s">
        <v>706</v>
      </c>
      <c r="H325" t="s">
        <v>1028</v>
      </c>
      <c r="I325" t="s">
        <v>1031</v>
      </c>
    </row>
    <row r="326" spans="1:9">
      <c r="A326" t="str">
        <f>"0215898 "</f>
        <v xml:space="preserve">0215898 </v>
      </c>
      <c r="B326" t="s">
        <v>702</v>
      </c>
      <c r="C326" t="s">
        <v>1032</v>
      </c>
      <c r="D326" t="s">
        <v>1033</v>
      </c>
      <c r="E326">
        <v>1</v>
      </c>
      <c r="F326" t="s">
        <v>1034</v>
      </c>
      <c r="G326" t="s">
        <v>706</v>
      </c>
      <c r="H326" t="s">
        <v>1032</v>
      </c>
      <c r="I326" t="s">
        <v>1035</v>
      </c>
    </row>
    <row r="327" spans="1:9">
      <c r="A327" t="str">
        <f>"0215900 "</f>
        <v xml:space="preserve">0215900 </v>
      </c>
      <c r="B327" t="s">
        <v>702</v>
      </c>
      <c r="C327" t="s">
        <v>1036</v>
      </c>
      <c r="D327" t="s">
        <v>1037</v>
      </c>
      <c r="E327">
        <v>1</v>
      </c>
      <c r="F327" t="s">
        <v>1038</v>
      </c>
      <c r="G327" t="s">
        <v>706</v>
      </c>
      <c r="H327" t="s">
        <v>1036</v>
      </c>
      <c r="I327" t="s">
        <v>1039</v>
      </c>
    </row>
    <row r="328" spans="1:9">
      <c r="A328" t="str">
        <f>"0215913 "</f>
        <v xml:space="preserve">0215913 </v>
      </c>
      <c r="B328" t="s">
        <v>702</v>
      </c>
      <c r="C328" t="s">
        <v>1040</v>
      </c>
      <c r="D328" t="s">
        <v>1041</v>
      </c>
      <c r="E328">
        <v>1</v>
      </c>
      <c r="F328" t="s">
        <v>1042</v>
      </c>
      <c r="G328" t="s">
        <v>706</v>
      </c>
      <c r="H328" t="s">
        <v>1040</v>
      </c>
      <c r="I328" t="s">
        <v>1043</v>
      </c>
    </row>
    <row r="329" spans="1:9">
      <c r="A329" t="str">
        <f>"0215916 "</f>
        <v xml:space="preserve">0215916 </v>
      </c>
      <c r="B329" t="s">
        <v>702</v>
      </c>
      <c r="C329" t="s">
        <v>1044</v>
      </c>
      <c r="D329" t="s">
        <v>1045</v>
      </c>
      <c r="E329">
        <v>1</v>
      </c>
      <c r="F329" t="s">
        <v>924</v>
      </c>
      <c r="G329" t="s">
        <v>706</v>
      </c>
      <c r="H329" t="s">
        <v>1044</v>
      </c>
      <c r="I329" t="s">
        <v>1046</v>
      </c>
    </row>
    <row r="330" spans="1:9">
      <c r="A330" t="str">
        <f>"0215923 "</f>
        <v xml:space="preserve">0215923 </v>
      </c>
      <c r="B330" t="s">
        <v>702</v>
      </c>
      <c r="C330" t="s">
        <v>1047</v>
      </c>
      <c r="D330" t="s">
        <v>1048</v>
      </c>
      <c r="E330">
        <v>1</v>
      </c>
      <c r="F330" t="s">
        <v>1049</v>
      </c>
      <c r="G330" t="s">
        <v>706</v>
      </c>
      <c r="H330" t="s">
        <v>1047</v>
      </c>
      <c r="I330" t="s">
        <v>1050</v>
      </c>
    </row>
    <row r="331" spans="1:9">
      <c r="A331" t="str">
        <f>"0215928 "</f>
        <v xml:space="preserve">0215928 </v>
      </c>
      <c r="B331" t="s">
        <v>702</v>
      </c>
      <c r="C331" t="s">
        <v>1051</v>
      </c>
      <c r="D331" t="s">
        <v>1052</v>
      </c>
      <c r="E331">
        <v>1</v>
      </c>
      <c r="F331" t="s">
        <v>795</v>
      </c>
      <c r="G331" t="s">
        <v>706</v>
      </c>
      <c r="H331" t="s">
        <v>1051</v>
      </c>
      <c r="I331" t="s">
        <v>1053</v>
      </c>
    </row>
    <row r="332" spans="1:9">
      <c r="A332" t="str">
        <f>"0213757 "</f>
        <v xml:space="preserve">0213757 </v>
      </c>
      <c r="B332" t="s">
        <v>702</v>
      </c>
      <c r="C332" t="s">
        <v>1054</v>
      </c>
      <c r="D332" t="s">
        <v>1055</v>
      </c>
      <c r="E332">
        <v>4</v>
      </c>
      <c r="F332" t="s">
        <v>1056</v>
      </c>
      <c r="G332" t="s">
        <v>706</v>
      </c>
      <c r="H332" t="s">
        <v>1054</v>
      </c>
      <c r="I332" t="s">
        <v>1057</v>
      </c>
    </row>
    <row r="333" spans="1:9">
      <c r="A333" t="str">
        <f>"0213758 "</f>
        <v xml:space="preserve">0213758 </v>
      </c>
      <c r="B333" t="s">
        <v>702</v>
      </c>
      <c r="C333" t="s">
        <v>1058</v>
      </c>
      <c r="D333" t="s">
        <v>1059</v>
      </c>
      <c r="E333">
        <v>1</v>
      </c>
      <c r="F333" t="s">
        <v>846</v>
      </c>
      <c r="G333" t="s">
        <v>706</v>
      </c>
      <c r="H333" t="s">
        <v>1058</v>
      </c>
      <c r="I333" t="s">
        <v>1060</v>
      </c>
    </row>
    <row r="334" spans="1:9">
      <c r="A334" t="str">
        <f>"0213761 "</f>
        <v xml:space="preserve">0213761 </v>
      </c>
      <c r="B334" t="s">
        <v>702</v>
      </c>
      <c r="C334" t="s">
        <v>1061</v>
      </c>
      <c r="D334" t="s">
        <v>1062</v>
      </c>
      <c r="E334">
        <v>4</v>
      </c>
      <c r="F334" t="s">
        <v>1063</v>
      </c>
      <c r="G334" t="s">
        <v>706</v>
      </c>
      <c r="H334" t="s">
        <v>1061</v>
      </c>
      <c r="I334" t="s">
        <v>1064</v>
      </c>
    </row>
    <row r="335" spans="1:9">
      <c r="A335" t="str">
        <f>"0213763 "</f>
        <v xml:space="preserve">0213763 </v>
      </c>
      <c r="B335" t="s">
        <v>702</v>
      </c>
      <c r="C335" t="s">
        <v>1065</v>
      </c>
      <c r="D335" t="s">
        <v>1066</v>
      </c>
      <c r="E335">
        <v>1</v>
      </c>
      <c r="F335" t="s">
        <v>1067</v>
      </c>
      <c r="G335" t="s">
        <v>706</v>
      </c>
      <c r="H335" t="s">
        <v>1065</v>
      </c>
      <c r="I335" t="s">
        <v>1068</v>
      </c>
    </row>
    <row r="336" spans="1:9">
      <c r="A336" t="str">
        <f>"0213773 "</f>
        <v xml:space="preserve">0213773 </v>
      </c>
      <c r="B336" t="s">
        <v>702</v>
      </c>
      <c r="C336" t="s">
        <v>1069</v>
      </c>
      <c r="D336" t="s">
        <v>1070</v>
      </c>
      <c r="E336">
        <v>2</v>
      </c>
      <c r="F336" t="s">
        <v>1071</v>
      </c>
      <c r="G336" t="s">
        <v>706</v>
      </c>
      <c r="H336" t="s">
        <v>1069</v>
      </c>
      <c r="I336" t="s">
        <v>1072</v>
      </c>
    </row>
    <row r="337" spans="1:9">
      <c r="A337" t="str">
        <f>"0213774 "</f>
        <v xml:space="preserve">0213774 </v>
      </c>
      <c r="B337" t="s">
        <v>702</v>
      </c>
      <c r="C337" t="s">
        <v>1073</v>
      </c>
      <c r="D337" t="s">
        <v>1074</v>
      </c>
      <c r="E337">
        <v>1</v>
      </c>
      <c r="F337" t="s">
        <v>1075</v>
      </c>
      <c r="G337" t="s">
        <v>706</v>
      </c>
      <c r="H337" t="s">
        <v>1073</v>
      </c>
      <c r="I337" t="s">
        <v>1076</v>
      </c>
    </row>
    <row r="338" spans="1:9">
      <c r="A338" t="str">
        <f>"0213782 "</f>
        <v xml:space="preserve">0213782 </v>
      </c>
      <c r="B338" t="s">
        <v>702</v>
      </c>
      <c r="C338" t="s">
        <v>1077</v>
      </c>
      <c r="D338" t="s">
        <v>1078</v>
      </c>
      <c r="E338">
        <v>2</v>
      </c>
      <c r="F338" t="s">
        <v>1079</v>
      </c>
      <c r="G338" t="s">
        <v>706</v>
      </c>
      <c r="H338" t="s">
        <v>1077</v>
      </c>
      <c r="I338" t="s">
        <v>1080</v>
      </c>
    </row>
    <row r="339" spans="1:9">
      <c r="A339" t="str">
        <f>"0213784 "</f>
        <v xml:space="preserve">0213784 </v>
      </c>
      <c r="B339" t="s">
        <v>702</v>
      </c>
      <c r="C339" t="s">
        <v>1081</v>
      </c>
      <c r="D339" t="s">
        <v>1082</v>
      </c>
      <c r="E339">
        <v>1</v>
      </c>
      <c r="F339" t="s">
        <v>1083</v>
      </c>
      <c r="G339" t="s">
        <v>706</v>
      </c>
      <c r="H339" t="s">
        <v>1081</v>
      </c>
      <c r="I339" t="s">
        <v>1084</v>
      </c>
    </row>
    <row r="340" spans="1:9">
      <c r="A340" t="str">
        <f>"0213785 "</f>
        <v xml:space="preserve">0213785 </v>
      </c>
      <c r="B340" t="s">
        <v>702</v>
      </c>
      <c r="C340" t="s">
        <v>1085</v>
      </c>
      <c r="D340" t="s">
        <v>1086</v>
      </c>
      <c r="E340">
        <v>2</v>
      </c>
      <c r="F340" t="s">
        <v>1063</v>
      </c>
      <c r="G340" t="s">
        <v>706</v>
      </c>
      <c r="H340" t="s">
        <v>1085</v>
      </c>
      <c r="I340" t="s">
        <v>1087</v>
      </c>
    </row>
    <row r="341" spans="1:9">
      <c r="A341" t="str">
        <f>"0213786 "</f>
        <v xml:space="preserve">0213786 </v>
      </c>
      <c r="B341" t="s">
        <v>702</v>
      </c>
      <c r="C341" t="s">
        <v>1088</v>
      </c>
      <c r="D341" t="s">
        <v>1089</v>
      </c>
      <c r="E341">
        <v>1</v>
      </c>
      <c r="F341" t="s">
        <v>1090</v>
      </c>
      <c r="G341" t="s">
        <v>706</v>
      </c>
      <c r="H341" t="s">
        <v>1088</v>
      </c>
      <c r="I341" t="s">
        <v>1091</v>
      </c>
    </row>
    <row r="342" spans="1:9">
      <c r="A342" t="str">
        <f>"0213787 "</f>
        <v xml:space="preserve">0213787 </v>
      </c>
      <c r="B342" t="s">
        <v>702</v>
      </c>
      <c r="C342" t="s">
        <v>1092</v>
      </c>
      <c r="D342" t="s">
        <v>1093</v>
      </c>
      <c r="E342">
        <v>1</v>
      </c>
      <c r="F342" t="s">
        <v>1094</v>
      </c>
      <c r="G342" t="s">
        <v>706</v>
      </c>
      <c r="H342" t="s">
        <v>1092</v>
      </c>
      <c r="I342" t="s">
        <v>1095</v>
      </c>
    </row>
    <row r="343" spans="1:9">
      <c r="A343" t="str">
        <f>"0213788 "</f>
        <v xml:space="preserve">0213788 </v>
      </c>
      <c r="B343" t="s">
        <v>702</v>
      </c>
      <c r="C343" t="s">
        <v>1096</v>
      </c>
      <c r="D343" t="s">
        <v>1097</v>
      </c>
      <c r="E343">
        <v>1</v>
      </c>
      <c r="F343" t="s">
        <v>1098</v>
      </c>
      <c r="G343" t="s">
        <v>706</v>
      </c>
      <c r="H343" t="s">
        <v>1096</v>
      </c>
      <c r="I343" t="s">
        <v>1099</v>
      </c>
    </row>
    <row r="344" spans="1:9">
      <c r="A344" t="str">
        <f>"0213790 "</f>
        <v xml:space="preserve">0213790 </v>
      </c>
      <c r="B344" t="s">
        <v>702</v>
      </c>
      <c r="C344" t="s">
        <v>1100</v>
      </c>
      <c r="D344" t="s">
        <v>1101</v>
      </c>
      <c r="E344">
        <v>2</v>
      </c>
      <c r="F344" t="s">
        <v>1102</v>
      </c>
      <c r="G344" t="s">
        <v>706</v>
      </c>
      <c r="H344" t="s">
        <v>1100</v>
      </c>
      <c r="I344" t="s">
        <v>1103</v>
      </c>
    </row>
    <row r="345" spans="1:9">
      <c r="A345" t="str">
        <f>"0213791 "</f>
        <v xml:space="preserve">0213791 </v>
      </c>
      <c r="B345" t="s">
        <v>702</v>
      </c>
      <c r="C345" t="s">
        <v>1104</v>
      </c>
      <c r="D345" t="s">
        <v>1105</v>
      </c>
      <c r="E345">
        <v>1</v>
      </c>
      <c r="F345" t="s">
        <v>1106</v>
      </c>
      <c r="G345" t="s">
        <v>706</v>
      </c>
      <c r="H345" t="s">
        <v>1104</v>
      </c>
      <c r="I345" t="s">
        <v>1107</v>
      </c>
    </row>
    <row r="346" spans="1:9">
      <c r="A346" t="str">
        <f>"0213792 "</f>
        <v xml:space="preserve">0213792 </v>
      </c>
      <c r="B346" t="s">
        <v>702</v>
      </c>
      <c r="C346" t="s">
        <v>1108</v>
      </c>
      <c r="D346" t="s">
        <v>1109</v>
      </c>
      <c r="E346">
        <v>1</v>
      </c>
      <c r="F346" t="s">
        <v>1110</v>
      </c>
      <c r="G346" t="s">
        <v>706</v>
      </c>
      <c r="H346" t="s">
        <v>1108</v>
      </c>
      <c r="I346" t="s">
        <v>1111</v>
      </c>
    </row>
    <row r="347" spans="1:9">
      <c r="A347" t="str">
        <f>"0213796 "</f>
        <v xml:space="preserve">0213796 </v>
      </c>
      <c r="B347" t="s">
        <v>702</v>
      </c>
      <c r="C347" t="s">
        <v>1112</v>
      </c>
      <c r="D347" t="s">
        <v>1113</v>
      </c>
      <c r="E347">
        <v>1</v>
      </c>
      <c r="F347" t="s">
        <v>1102</v>
      </c>
      <c r="G347" t="s">
        <v>706</v>
      </c>
      <c r="H347" t="s">
        <v>1112</v>
      </c>
      <c r="I347" t="s">
        <v>1114</v>
      </c>
    </row>
    <row r="348" spans="1:9">
      <c r="A348" t="str">
        <f>"0213798 "</f>
        <v xml:space="preserve">0213798 </v>
      </c>
      <c r="B348" t="s">
        <v>702</v>
      </c>
      <c r="C348" t="s">
        <v>1115</v>
      </c>
      <c r="D348" t="s">
        <v>1116</v>
      </c>
      <c r="E348">
        <v>1</v>
      </c>
      <c r="F348" t="s">
        <v>1117</v>
      </c>
      <c r="G348" t="s">
        <v>706</v>
      </c>
      <c r="H348" t="s">
        <v>1115</v>
      </c>
      <c r="I348" t="s">
        <v>1118</v>
      </c>
    </row>
    <row r="349" spans="1:9">
      <c r="A349" t="str">
        <f>"0213806 "</f>
        <v xml:space="preserve">0213806 </v>
      </c>
      <c r="B349" t="s">
        <v>702</v>
      </c>
      <c r="C349" t="s">
        <v>1119</v>
      </c>
      <c r="D349" t="s">
        <v>1120</v>
      </c>
      <c r="E349">
        <v>1</v>
      </c>
      <c r="F349" t="s">
        <v>1121</v>
      </c>
      <c r="G349" t="s">
        <v>706</v>
      </c>
      <c r="H349" t="s">
        <v>1119</v>
      </c>
      <c r="I349" t="s">
        <v>1122</v>
      </c>
    </row>
    <row r="350" spans="1:9">
      <c r="A350" t="str">
        <f>"0213814 "</f>
        <v xml:space="preserve">0213814 </v>
      </c>
      <c r="B350" t="s">
        <v>702</v>
      </c>
      <c r="C350" t="s">
        <v>1123</v>
      </c>
      <c r="D350" t="s">
        <v>1124</v>
      </c>
      <c r="E350">
        <v>1</v>
      </c>
      <c r="F350" t="s">
        <v>1125</v>
      </c>
      <c r="G350" t="s">
        <v>706</v>
      </c>
      <c r="H350" t="s">
        <v>1123</v>
      </c>
      <c r="I350" t="s">
        <v>1126</v>
      </c>
    </row>
    <row r="351" spans="1:9">
      <c r="A351" t="str">
        <f>"0213815 "</f>
        <v xml:space="preserve">0213815 </v>
      </c>
      <c r="B351" t="s">
        <v>702</v>
      </c>
      <c r="C351" t="s">
        <v>1127</v>
      </c>
      <c r="D351" t="s">
        <v>1128</v>
      </c>
      <c r="E351">
        <v>2</v>
      </c>
      <c r="F351" t="s">
        <v>1129</v>
      </c>
      <c r="G351" t="s">
        <v>706</v>
      </c>
      <c r="H351" t="s">
        <v>1127</v>
      </c>
      <c r="I351" t="s">
        <v>1130</v>
      </c>
    </row>
    <row r="352" spans="1:9">
      <c r="A352" t="str">
        <f>"0213817 "</f>
        <v xml:space="preserve">0213817 </v>
      </c>
      <c r="B352" t="s">
        <v>702</v>
      </c>
      <c r="C352" t="s">
        <v>1131</v>
      </c>
      <c r="D352" t="s">
        <v>1132</v>
      </c>
      <c r="E352">
        <v>1</v>
      </c>
      <c r="F352" t="s">
        <v>952</v>
      </c>
      <c r="G352" t="s">
        <v>706</v>
      </c>
      <c r="H352" t="s">
        <v>1131</v>
      </c>
      <c r="I352" t="s">
        <v>1133</v>
      </c>
    </row>
    <row r="353" spans="1:9">
      <c r="A353" t="str">
        <f>"0213826 "</f>
        <v xml:space="preserve">0213826 </v>
      </c>
      <c r="B353" t="s">
        <v>702</v>
      </c>
      <c r="C353" t="s">
        <v>1134</v>
      </c>
      <c r="D353" t="s">
        <v>1135</v>
      </c>
      <c r="E353">
        <v>1</v>
      </c>
      <c r="F353" t="s">
        <v>1136</v>
      </c>
      <c r="G353" t="s">
        <v>706</v>
      </c>
      <c r="H353" t="s">
        <v>1134</v>
      </c>
      <c r="I353" t="s">
        <v>1137</v>
      </c>
    </row>
    <row r="354" spans="1:9">
      <c r="A354" t="str">
        <f>"0213827 "</f>
        <v xml:space="preserve">0213827 </v>
      </c>
      <c r="B354" t="s">
        <v>702</v>
      </c>
      <c r="C354" t="s">
        <v>1138</v>
      </c>
      <c r="D354" t="s">
        <v>1139</v>
      </c>
      <c r="E354">
        <v>1</v>
      </c>
      <c r="F354" t="s">
        <v>1140</v>
      </c>
      <c r="G354" t="s">
        <v>706</v>
      </c>
      <c r="H354" t="s">
        <v>1138</v>
      </c>
      <c r="I354" t="s">
        <v>1141</v>
      </c>
    </row>
    <row r="355" spans="1:9">
      <c r="A355" t="str">
        <f>"0213831 "</f>
        <v xml:space="preserve">0213831 </v>
      </c>
      <c r="B355" t="s">
        <v>702</v>
      </c>
      <c r="C355" t="s">
        <v>1142</v>
      </c>
      <c r="D355" t="s">
        <v>1143</v>
      </c>
      <c r="E355">
        <v>1</v>
      </c>
      <c r="F355" t="s">
        <v>714</v>
      </c>
      <c r="G355" t="s">
        <v>706</v>
      </c>
      <c r="H355" t="s">
        <v>1142</v>
      </c>
      <c r="I355" t="s">
        <v>1144</v>
      </c>
    </row>
    <row r="356" spans="1:9">
      <c r="A356" t="str">
        <f>"0213836 "</f>
        <v xml:space="preserve">0213836 </v>
      </c>
      <c r="B356" t="s">
        <v>702</v>
      </c>
      <c r="C356" t="s">
        <v>1145</v>
      </c>
      <c r="D356" t="s">
        <v>1146</v>
      </c>
      <c r="E356">
        <v>1</v>
      </c>
      <c r="F356" t="s">
        <v>1147</v>
      </c>
      <c r="G356" t="s">
        <v>706</v>
      </c>
      <c r="H356" t="s">
        <v>1145</v>
      </c>
      <c r="I356" t="s">
        <v>1148</v>
      </c>
    </row>
    <row r="357" spans="1:9">
      <c r="A357" t="str">
        <f>"0213841 "</f>
        <v xml:space="preserve">0213841 </v>
      </c>
      <c r="B357" t="s">
        <v>702</v>
      </c>
      <c r="C357" t="s">
        <v>1149</v>
      </c>
      <c r="D357" t="s">
        <v>1150</v>
      </c>
      <c r="E357">
        <v>1</v>
      </c>
      <c r="F357" t="s">
        <v>780</v>
      </c>
      <c r="G357" t="s">
        <v>706</v>
      </c>
      <c r="H357" t="s">
        <v>1149</v>
      </c>
      <c r="I357" t="s">
        <v>1151</v>
      </c>
    </row>
    <row r="358" spans="1:9">
      <c r="A358" t="str">
        <f>"0213843 "</f>
        <v xml:space="preserve">0213843 </v>
      </c>
      <c r="B358" t="s">
        <v>702</v>
      </c>
      <c r="C358" t="s">
        <v>1152</v>
      </c>
      <c r="D358" t="s">
        <v>1153</v>
      </c>
      <c r="E358">
        <v>5</v>
      </c>
      <c r="F358" t="s">
        <v>944</v>
      </c>
      <c r="G358" t="s">
        <v>706</v>
      </c>
      <c r="H358" t="s">
        <v>1152</v>
      </c>
      <c r="I358" t="s">
        <v>1154</v>
      </c>
    </row>
    <row r="359" spans="1:9">
      <c r="A359" t="str">
        <f>"0213850 "</f>
        <v xml:space="preserve">0213850 </v>
      </c>
      <c r="B359" t="s">
        <v>702</v>
      </c>
      <c r="C359" t="s">
        <v>1155</v>
      </c>
      <c r="D359" t="s">
        <v>1156</v>
      </c>
      <c r="E359">
        <v>1</v>
      </c>
      <c r="F359" t="s">
        <v>1030</v>
      </c>
      <c r="G359" t="s">
        <v>706</v>
      </c>
      <c r="H359" t="s">
        <v>1155</v>
      </c>
      <c r="I359" t="s">
        <v>1157</v>
      </c>
    </row>
    <row r="360" spans="1:9">
      <c r="A360" t="str">
        <f>"0213863 "</f>
        <v xml:space="preserve">0213863 </v>
      </c>
      <c r="B360" t="s">
        <v>702</v>
      </c>
      <c r="C360" t="s">
        <v>1158</v>
      </c>
      <c r="D360" t="s">
        <v>1159</v>
      </c>
      <c r="E360">
        <v>1</v>
      </c>
      <c r="F360" t="s">
        <v>1160</v>
      </c>
      <c r="G360" t="s">
        <v>706</v>
      </c>
      <c r="H360" t="s">
        <v>1158</v>
      </c>
      <c r="I360" t="s">
        <v>1161</v>
      </c>
    </row>
    <row r="361" spans="1:9">
      <c r="A361" t="str">
        <f>"0213866 "</f>
        <v xml:space="preserve">0213866 </v>
      </c>
      <c r="B361" t="s">
        <v>702</v>
      </c>
      <c r="C361" t="s">
        <v>1162</v>
      </c>
      <c r="D361" t="s">
        <v>1163</v>
      </c>
      <c r="E361">
        <v>2</v>
      </c>
      <c r="F361" t="s">
        <v>1164</v>
      </c>
      <c r="G361" t="s">
        <v>706</v>
      </c>
      <c r="H361" t="s">
        <v>1162</v>
      </c>
      <c r="I361" t="s">
        <v>1165</v>
      </c>
    </row>
    <row r="362" spans="1:9">
      <c r="A362" t="str">
        <f>"0213870 "</f>
        <v xml:space="preserve">0213870 </v>
      </c>
      <c r="B362" t="s">
        <v>702</v>
      </c>
      <c r="C362" t="s">
        <v>1166</v>
      </c>
      <c r="D362" t="s">
        <v>1167</v>
      </c>
      <c r="E362">
        <v>2</v>
      </c>
      <c r="F362" t="s">
        <v>1168</v>
      </c>
      <c r="G362" t="s">
        <v>706</v>
      </c>
      <c r="H362" t="s">
        <v>1166</v>
      </c>
      <c r="I362" t="s">
        <v>1169</v>
      </c>
    </row>
    <row r="363" spans="1:9">
      <c r="A363" t="str">
        <f>"0213876 "</f>
        <v xml:space="preserve">0213876 </v>
      </c>
      <c r="B363" t="s">
        <v>702</v>
      </c>
      <c r="C363" t="s">
        <v>1170</v>
      </c>
      <c r="D363" t="s">
        <v>1171</v>
      </c>
      <c r="E363">
        <v>2</v>
      </c>
      <c r="F363" t="s">
        <v>1172</v>
      </c>
      <c r="G363" t="s">
        <v>706</v>
      </c>
      <c r="H363" t="s">
        <v>1170</v>
      </c>
      <c r="I363" t="s">
        <v>1173</v>
      </c>
    </row>
    <row r="364" spans="1:9">
      <c r="A364" t="str">
        <f>"0213882 "</f>
        <v xml:space="preserve">0213882 </v>
      </c>
      <c r="B364" t="s">
        <v>702</v>
      </c>
      <c r="C364" t="s">
        <v>1174</v>
      </c>
      <c r="D364" t="s">
        <v>1175</v>
      </c>
      <c r="E364">
        <v>2</v>
      </c>
      <c r="F364" t="s">
        <v>1176</v>
      </c>
      <c r="G364" t="s">
        <v>706</v>
      </c>
      <c r="H364" t="s">
        <v>1174</v>
      </c>
      <c r="I364" t="s">
        <v>1177</v>
      </c>
    </row>
    <row r="365" spans="1:9">
      <c r="A365" t="str">
        <f>"0213883 "</f>
        <v xml:space="preserve">0213883 </v>
      </c>
      <c r="B365" t="s">
        <v>702</v>
      </c>
      <c r="C365" t="s">
        <v>1178</v>
      </c>
      <c r="D365" t="s">
        <v>1179</v>
      </c>
      <c r="E365">
        <v>1</v>
      </c>
      <c r="F365" t="s">
        <v>834</v>
      </c>
      <c r="G365" t="s">
        <v>706</v>
      </c>
      <c r="H365" t="s">
        <v>1178</v>
      </c>
      <c r="I365" t="s">
        <v>1180</v>
      </c>
    </row>
    <row r="366" spans="1:9">
      <c r="A366" t="str">
        <f>"0213887 "</f>
        <v xml:space="preserve">0213887 </v>
      </c>
      <c r="B366" t="s">
        <v>702</v>
      </c>
      <c r="C366" t="s">
        <v>1181</v>
      </c>
      <c r="D366" t="s">
        <v>1182</v>
      </c>
      <c r="E366">
        <v>2</v>
      </c>
      <c r="F366" t="s">
        <v>1183</v>
      </c>
      <c r="G366" t="s">
        <v>706</v>
      </c>
      <c r="H366" t="s">
        <v>1181</v>
      </c>
      <c r="I366" t="s">
        <v>1184</v>
      </c>
    </row>
    <row r="367" spans="1:9">
      <c r="A367" t="str">
        <f>"0213895 "</f>
        <v xml:space="preserve">0213895 </v>
      </c>
      <c r="B367" t="s">
        <v>702</v>
      </c>
      <c r="C367" t="s">
        <v>1185</v>
      </c>
      <c r="D367" t="s">
        <v>1186</v>
      </c>
      <c r="E367">
        <v>4</v>
      </c>
      <c r="F367" t="s">
        <v>1187</v>
      </c>
      <c r="G367" t="s">
        <v>706</v>
      </c>
      <c r="H367" t="s">
        <v>1185</v>
      </c>
      <c r="I367" t="s">
        <v>1188</v>
      </c>
    </row>
    <row r="368" spans="1:9">
      <c r="A368" t="str">
        <f>"0213899 "</f>
        <v xml:space="preserve">0213899 </v>
      </c>
      <c r="B368" t="s">
        <v>702</v>
      </c>
      <c r="C368" t="s">
        <v>1189</v>
      </c>
      <c r="D368" t="s">
        <v>1190</v>
      </c>
      <c r="E368">
        <v>1</v>
      </c>
      <c r="F368" t="s">
        <v>1022</v>
      </c>
      <c r="G368" t="s">
        <v>706</v>
      </c>
      <c r="H368" t="s">
        <v>1189</v>
      </c>
      <c r="I368" t="s">
        <v>1191</v>
      </c>
    </row>
    <row r="369" spans="1:9">
      <c r="A369" t="str">
        <f>"0213901 "</f>
        <v xml:space="preserve">0213901 </v>
      </c>
      <c r="B369" t="s">
        <v>702</v>
      </c>
      <c r="C369" t="s">
        <v>1192</v>
      </c>
      <c r="D369" t="s">
        <v>1193</v>
      </c>
      <c r="E369">
        <v>2</v>
      </c>
      <c r="F369" t="s">
        <v>991</v>
      </c>
      <c r="G369" t="s">
        <v>706</v>
      </c>
      <c r="H369" t="s">
        <v>1192</v>
      </c>
      <c r="I369" t="s">
        <v>1194</v>
      </c>
    </row>
    <row r="370" spans="1:9">
      <c r="A370" t="str">
        <f>"0213906 "</f>
        <v xml:space="preserve">0213906 </v>
      </c>
      <c r="B370" t="s">
        <v>702</v>
      </c>
      <c r="C370" t="s">
        <v>1195</v>
      </c>
      <c r="D370" t="s">
        <v>1196</v>
      </c>
      <c r="E370">
        <v>2</v>
      </c>
      <c r="F370" t="s">
        <v>1197</v>
      </c>
      <c r="G370" t="s">
        <v>706</v>
      </c>
      <c r="H370" t="s">
        <v>1195</v>
      </c>
      <c r="I370" t="s">
        <v>1198</v>
      </c>
    </row>
    <row r="371" spans="1:9">
      <c r="A371" t="str">
        <f>"0213912 "</f>
        <v xml:space="preserve">0213912 </v>
      </c>
      <c r="B371" t="s">
        <v>702</v>
      </c>
      <c r="C371" t="s">
        <v>1199</v>
      </c>
      <c r="D371" t="s">
        <v>1200</v>
      </c>
      <c r="E371">
        <v>1</v>
      </c>
      <c r="F371" t="s">
        <v>1201</v>
      </c>
      <c r="G371" t="s">
        <v>706</v>
      </c>
      <c r="H371" t="s">
        <v>1199</v>
      </c>
      <c r="I371" t="s">
        <v>1202</v>
      </c>
    </row>
    <row r="372" spans="1:9">
      <c r="A372" t="str">
        <f>"0213914 "</f>
        <v xml:space="preserve">0213914 </v>
      </c>
      <c r="B372" t="s">
        <v>702</v>
      </c>
      <c r="C372" t="s">
        <v>1203</v>
      </c>
      <c r="D372" t="s">
        <v>1204</v>
      </c>
      <c r="E372">
        <v>1</v>
      </c>
      <c r="F372" t="s">
        <v>1205</v>
      </c>
      <c r="G372" t="s">
        <v>706</v>
      </c>
      <c r="H372" t="s">
        <v>1203</v>
      </c>
      <c r="I372" t="s">
        <v>1206</v>
      </c>
    </row>
    <row r="373" spans="1:9">
      <c r="A373" t="str">
        <f>"0213915 "</f>
        <v xml:space="preserve">0213915 </v>
      </c>
      <c r="B373" t="s">
        <v>702</v>
      </c>
      <c r="C373" t="s">
        <v>1207</v>
      </c>
      <c r="D373" t="s">
        <v>1208</v>
      </c>
      <c r="E373">
        <v>2</v>
      </c>
      <c r="F373" t="s">
        <v>1209</v>
      </c>
      <c r="G373" t="s">
        <v>706</v>
      </c>
      <c r="H373" t="s">
        <v>1207</v>
      </c>
      <c r="I373" t="s">
        <v>1210</v>
      </c>
    </row>
    <row r="374" spans="1:9">
      <c r="A374" t="str">
        <f>"0213920 "</f>
        <v xml:space="preserve">0213920 </v>
      </c>
      <c r="B374" t="s">
        <v>702</v>
      </c>
      <c r="C374" t="s">
        <v>1211</v>
      </c>
      <c r="D374" t="s">
        <v>1212</v>
      </c>
      <c r="E374">
        <v>1</v>
      </c>
      <c r="F374" t="s">
        <v>1213</v>
      </c>
      <c r="G374" t="s">
        <v>706</v>
      </c>
      <c r="H374" t="s">
        <v>1211</v>
      </c>
      <c r="I374" t="s">
        <v>1214</v>
      </c>
    </row>
    <row r="375" spans="1:9">
      <c r="A375" t="str">
        <f>"0213921 "</f>
        <v xml:space="preserve">0213921 </v>
      </c>
      <c r="B375" t="s">
        <v>702</v>
      </c>
      <c r="C375" t="s">
        <v>1215</v>
      </c>
      <c r="D375" t="s">
        <v>1216</v>
      </c>
      <c r="E375">
        <v>1</v>
      </c>
      <c r="F375" t="s">
        <v>1217</v>
      </c>
      <c r="G375" t="s">
        <v>706</v>
      </c>
      <c r="H375" t="s">
        <v>1215</v>
      </c>
      <c r="I375" t="s">
        <v>1218</v>
      </c>
    </row>
    <row r="376" spans="1:9">
      <c r="A376" t="str">
        <f>"0213925 "</f>
        <v xml:space="preserve">0213925 </v>
      </c>
      <c r="B376" t="s">
        <v>702</v>
      </c>
      <c r="C376" t="s">
        <v>1219</v>
      </c>
      <c r="D376" t="s">
        <v>1220</v>
      </c>
      <c r="E376">
        <v>1</v>
      </c>
      <c r="F376" t="s">
        <v>1221</v>
      </c>
      <c r="G376" t="s">
        <v>706</v>
      </c>
      <c r="H376" t="s">
        <v>1219</v>
      </c>
      <c r="I376" t="s">
        <v>1222</v>
      </c>
    </row>
    <row r="377" spans="1:9">
      <c r="A377" t="str">
        <f>"0213927 "</f>
        <v xml:space="preserve">0213927 </v>
      </c>
      <c r="B377" t="s">
        <v>702</v>
      </c>
      <c r="C377" t="s">
        <v>1223</v>
      </c>
      <c r="D377" t="s">
        <v>1224</v>
      </c>
      <c r="E377">
        <v>1</v>
      </c>
      <c r="F377" t="s">
        <v>1225</v>
      </c>
      <c r="G377" t="s">
        <v>706</v>
      </c>
      <c r="H377" t="s">
        <v>1223</v>
      </c>
      <c r="I377" t="s">
        <v>1226</v>
      </c>
    </row>
    <row r="378" spans="1:9">
      <c r="A378" t="str">
        <f>"0213929 "</f>
        <v xml:space="preserve">0213929 </v>
      </c>
      <c r="B378" t="s">
        <v>702</v>
      </c>
      <c r="C378" t="s">
        <v>1227</v>
      </c>
      <c r="D378" t="s">
        <v>1228</v>
      </c>
      <c r="E378">
        <v>1</v>
      </c>
      <c r="F378" t="s">
        <v>964</v>
      </c>
      <c r="G378" t="s">
        <v>706</v>
      </c>
      <c r="H378" t="s">
        <v>1227</v>
      </c>
      <c r="I378" t="s">
        <v>1229</v>
      </c>
    </row>
    <row r="379" spans="1:9">
      <c r="A379" t="str">
        <f>"0213931 "</f>
        <v xml:space="preserve">0213931 </v>
      </c>
      <c r="B379" t="s">
        <v>702</v>
      </c>
      <c r="C379" t="s">
        <v>1230</v>
      </c>
      <c r="D379" t="s">
        <v>1231</v>
      </c>
      <c r="E379">
        <v>1</v>
      </c>
      <c r="F379" t="s">
        <v>1232</v>
      </c>
      <c r="G379" t="s">
        <v>706</v>
      </c>
      <c r="H379" t="s">
        <v>1230</v>
      </c>
      <c r="I379" t="s">
        <v>1233</v>
      </c>
    </row>
    <row r="380" spans="1:9">
      <c r="A380" t="str">
        <f>"0213934 "</f>
        <v xml:space="preserve">0213934 </v>
      </c>
      <c r="B380" t="s">
        <v>702</v>
      </c>
      <c r="C380" t="s">
        <v>1234</v>
      </c>
      <c r="D380" t="s">
        <v>1235</v>
      </c>
      <c r="E380">
        <v>1</v>
      </c>
      <c r="F380" t="s">
        <v>1236</v>
      </c>
      <c r="G380" t="s">
        <v>706</v>
      </c>
      <c r="H380" t="s">
        <v>1234</v>
      </c>
      <c r="I380" t="s">
        <v>1237</v>
      </c>
    </row>
    <row r="381" spans="1:9">
      <c r="A381" t="str">
        <f>"0213936 "</f>
        <v xml:space="preserve">0213936 </v>
      </c>
      <c r="B381" t="s">
        <v>702</v>
      </c>
      <c r="C381" t="s">
        <v>1238</v>
      </c>
      <c r="D381" t="s">
        <v>1239</v>
      </c>
      <c r="E381">
        <v>1</v>
      </c>
      <c r="F381" t="s">
        <v>1240</v>
      </c>
      <c r="G381" t="s">
        <v>706</v>
      </c>
      <c r="H381" t="s">
        <v>1238</v>
      </c>
      <c r="I381" t="s">
        <v>1241</v>
      </c>
    </row>
    <row r="382" spans="1:9">
      <c r="A382" t="str">
        <f>"0213945 "</f>
        <v xml:space="preserve">0213945 </v>
      </c>
      <c r="B382" t="s">
        <v>702</v>
      </c>
      <c r="C382" t="s">
        <v>1242</v>
      </c>
      <c r="D382" t="s">
        <v>1243</v>
      </c>
      <c r="E382">
        <v>1</v>
      </c>
      <c r="F382" t="s">
        <v>1244</v>
      </c>
      <c r="G382" t="s">
        <v>706</v>
      </c>
      <c r="H382" t="s">
        <v>1242</v>
      </c>
      <c r="I382" t="s">
        <v>1245</v>
      </c>
    </row>
    <row r="383" spans="1:9">
      <c r="A383" t="str">
        <f>"0213947 "</f>
        <v xml:space="preserve">0213947 </v>
      </c>
      <c r="B383" t="s">
        <v>702</v>
      </c>
      <c r="C383" t="s">
        <v>1246</v>
      </c>
      <c r="D383" t="s">
        <v>1247</v>
      </c>
      <c r="E383">
        <v>1</v>
      </c>
      <c r="F383" t="s">
        <v>1121</v>
      </c>
      <c r="G383" t="s">
        <v>706</v>
      </c>
      <c r="H383" t="s">
        <v>1246</v>
      </c>
      <c r="I383" t="s">
        <v>1248</v>
      </c>
    </row>
    <row r="384" spans="1:9">
      <c r="A384" t="str">
        <f>"0213949 "</f>
        <v xml:space="preserve">0213949 </v>
      </c>
      <c r="B384" t="s">
        <v>702</v>
      </c>
      <c r="C384" t="s">
        <v>1249</v>
      </c>
      <c r="D384" t="s">
        <v>1250</v>
      </c>
      <c r="E384">
        <v>1</v>
      </c>
      <c r="F384" t="s">
        <v>1251</v>
      </c>
      <c r="G384" t="s">
        <v>706</v>
      </c>
      <c r="H384" t="s">
        <v>1249</v>
      </c>
      <c r="I384" t="s">
        <v>1252</v>
      </c>
    </row>
    <row r="385" spans="1:9">
      <c r="A385" t="str">
        <f>"0213956 "</f>
        <v xml:space="preserve">0213956 </v>
      </c>
      <c r="B385" t="s">
        <v>702</v>
      </c>
      <c r="C385" t="s">
        <v>1253</v>
      </c>
      <c r="D385" t="s">
        <v>1254</v>
      </c>
      <c r="E385">
        <v>1</v>
      </c>
      <c r="F385" t="s">
        <v>940</v>
      </c>
      <c r="G385" t="s">
        <v>706</v>
      </c>
      <c r="H385" t="s">
        <v>1253</v>
      </c>
      <c r="I385" t="s">
        <v>1255</v>
      </c>
    </row>
    <row r="386" spans="1:9">
      <c r="A386" t="str">
        <f>"0213963 "</f>
        <v xml:space="preserve">0213963 </v>
      </c>
      <c r="B386" t="s">
        <v>702</v>
      </c>
      <c r="C386" t="s">
        <v>1256</v>
      </c>
      <c r="D386" t="s">
        <v>1257</v>
      </c>
      <c r="E386">
        <v>2</v>
      </c>
      <c r="F386" t="s">
        <v>1258</v>
      </c>
      <c r="G386" t="s">
        <v>706</v>
      </c>
      <c r="H386" t="s">
        <v>1256</v>
      </c>
      <c r="I386" t="s">
        <v>1259</v>
      </c>
    </row>
    <row r="387" spans="1:9">
      <c r="A387" t="str">
        <f>"0213967 "</f>
        <v xml:space="preserve">0213967 </v>
      </c>
      <c r="B387" t="s">
        <v>702</v>
      </c>
      <c r="C387" t="s">
        <v>1260</v>
      </c>
      <c r="D387" t="s">
        <v>1261</v>
      </c>
      <c r="E387">
        <v>2</v>
      </c>
      <c r="F387" t="s">
        <v>1262</v>
      </c>
      <c r="G387" t="s">
        <v>706</v>
      </c>
      <c r="H387" t="s">
        <v>1260</v>
      </c>
      <c r="I387" t="s">
        <v>1263</v>
      </c>
    </row>
    <row r="388" spans="1:9">
      <c r="A388" t="str">
        <f>"0213978 "</f>
        <v xml:space="preserve">0213978 </v>
      </c>
      <c r="B388" t="s">
        <v>702</v>
      </c>
      <c r="C388" t="s">
        <v>1264</v>
      </c>
      <c r="D388" t="s">
        <v>1265</v>
      </c>
      <c r="E388">
        <v>2</v>
      </c>
      <c r="F388" t="s">
        <v>1266</v>
      </c>
      <c r="G388" t="s">
        <v>706</v>
      </c>
      <c r="H388" t="s">
        <v>1264</v>
      </c>
      <c r="I388" t="s">
        <v>1267</v>
      </c>
    </row>
    <row r="389" spans="1:9">
      <c r="A389" t="str">
        <f>"0213991 "</f>
        <v xml:space="preserve">0213991 </v>
      </c>
      <c r="B389" t="s">
        <v>702</v>
      </c>
      <c r="C389" t="s">
        <v>1268</v>
      </c>
      <c r="D389" t="s">
        <v>1269</v>
      </c>
      <c r="E389">
        <v>4</v>
      </c>
      <c r="F389" t="s">
        <v>1270</v>
      </c>
      <c r="G389" t="s">
        <v>706</v>
      </c>
      <c r="H389" t="s">
        <v>1268</v>
      </c>
      <c r="I389" t="s">
        <v>1271</v>
      </c>
    </row>
    <row r="390" spans="1:9">
      <c r="A390" t="str">
        <f>"0213992 "</f>
        <v xml:space="preserve">0213992 </v>
      </c>
      <c r="B390" t="s">
        <v>702</v>
      </c>
      <c r="C390" t="s">
        <v>1272</v>
      </c>
      <c r="D390" t="s">
        <v>1273</v>
      </c>
      <c r="E390">
        <v>1</v>
      </c>
      <c r="F390" t="s">
        <v>1274</v>
      </c>
      <c r="G390" t="s">
        <v>706</v>
      </c>
      <c r="H390" t="s">
        <v>1272</v>
      </c>
      <c r="I390" t="s">
        <v>1275</v>
      </c>
    </row>
    <row r="391" spans="1:9">
      <c r="A391" t="str">
        <f>"0213997 "</f>
        <v xml:space="preserve">0213997 </v>
      </c>
      <c r="B391" t="s">
        <v>702</v>
      </c>
      <c r="C391" t="s">
        <v>1276</v>
      </c>
      <c r="D391" t="s">
        <v>1277</v>
      </c>
      <c r="E391" t="s">
        <v>16</v>
      </c>
      <c r="F391" t="s">
        <v>1278</v>
      </c>
      <c r="G391" t="s">
        <v>706</v>
      </c>
      <c r="H391" t="s">
        <v>1276</v>
      </c>
      <c r="I391" t="s">
        <v>1279</v>
      </c>
    </row>
    <row r="392" spans="1:9">
      <c r="A392" t="str">
        <f>"0213998 "</f>
        <v xml:space="preserve">0213998 </v>
      </c>
      <c r="B392" t="s">
        <v>702</v>
      </c>
      <c r="C392" t="s">
        <v>1280</v>
      </c>
      <c r="D392" t="s">
        <v>1281</v>
      </c>
      <c r="E392">
        <v>3</v>
      </c>
      <c r="F392" t="s">
        <v>1079</v>
      </c>
      <c r="G392" t="s">
        <v>706</v>
      </c>
      <c r="H392" t="s">
        <v>1280</v>
      </c>
      <c r="I392" t="s">
        <v>1282</v>
      </c>
    </row>
    <row r="393" spans="1:9">
      <c r="A393" t="str">
        <f>"0214001 "</f>
        <v xml:space="preserve">0214001 </v>
      </c>
      <c r="B393" t="s">
        <v>702</v>
      </c>
      <c r="C393" t="s">
        <v>1283</v>
      </c>
      <c r="D393" t="s">
        <v>1284</v>
      </c>
      <c r="E393">
        <v>2</v>
      </c>
      <c r="F393" t="s">
        <v>1285</v>
      </c>
      <c r="G393" t="s">
        <v>706</v>
      </c>
      <c r="H393" t="s">
        <v>1283</v>
      </c>
      <c r="I393" t="s">
        <v>1286</v>
      </c>
    </row>
    <row r="394" spans="1:9">
      <c r="A394" t="str">
        <f>"0214005 "</f>
        <v xml:space="preserve">0214005 </v>
      </c>
      <c r="B394" t="s">
        <v>702</v>
      </c>
      <c r="C394" t="s">
        <v>1287</v>
      </c>
      <c r="D394" t="s">
        <v>1288</v>
      </c>
      <c r="E394">
        <v>4</v>
      </c>
      <c r="F394" t="s">
        <v>1102</v>
      </c>
      <c r="G394" t="s">
        <v>706</v>
      </c>
      <c r="H394" t="s">
        <v>1287</v>
      </c>
      <c r="I394" t="s">
        <v>1289</v>
      </c>
    </row>
    <row r="395" spans="1:9">
      <c r="A395" t="str">
        <f>"0214006 "</f>
        <v xml:space="preserve">0214006 </v>
      </c>
      <c r="B395" t="s">
        <v>702</v>
      </c>
      <c r="C395" t="s">
        <v>1290</v>
      </c>
      <c r="D395" t="s">
        <v>1291</v>
      </c>
      <c r="E395">
        <v>2</v>
      </c>
      <c r="F395" t="s">
        <v>1083</v>
      </c>
      <c r="G395" t="s">
        <v>706</v>
      </c>
      <c r="H395" t="s">
        <v>1290</v>
      </c>
      <c r="I395" t="s">
        <v>1292</v>
      </c>
    </row>
    <row r="396" spans="1:9">
      <c r="A396" t="str">
        <f>"0214010 "</f>
        <v xml:space="preserve">0214010 </v>
      </c>
      <c r="B396" t="s">
        <v>702</v>
      </c>
      <c r="C396" t="s">
        <v>1293</v>
      </c>
      <c r="D396" t="s">
        <v>1294</v>
      </c>
      <c r="E396">
        <v>2</v>
      </c>
      <c r="F396" t="s">
        <v>780</v>
      </c>
      <c r="G396" t="s">
        <v>706</v>
      </c>
      <c r="H396" t="s">
        <v>1293</v>
      </c>
      <c r="I396" t="s">
        <v>1295</v>
      </c>
    </row>
    <row r="397" spans="1:9">
      <c r="A397" t="str">
        <f>"0214012 "</f>
        <v xml:space="preserve">0214012 </v>
      </c>
      <c r="B397" t="s">
        <v>702</v>
      </c>
      <c r="C397" t="s">
        <v>1296</v>
      </c>
      <c r="D397" t="s">
        <v>1297</v>
      </c>
      <c r="E397">
        <v>1</v>
      </c>
      <c r="F397" t="s">
        <v>1298</v>
      </c>
      <c r="G397" t="s">
        <v>706</v>
      </c>
      <c r="H397" t="s">
        <v>1296</v>
      </c>
      <c r="I397" t="s">
        <v>1299</v>
      </c>
    </row>
    <row r="398" spans="1:9">
      <c r="A398" t="str">
        <f>"0214013 "</f>
        <v xml:space="preserve">0214013 </v>
      </c>
      <c r="B398" t="s">
        <v>702</v>
      </c>
      <c r="C398" t="s">
        <v>1300</v>
      </c>
      <c r="D398" t="s">
        <v>1301</v>
      </c>
      <c r="E398">
        <v>2</v>
      </c>
      <c r="F398" t="s">
        <v>1302</v>
      </c>
      <c r="G398" t="s">
        <v>706</v>
      </c>
      <c r="H398" t="s">
        <v>1300</v>
      </c>
      <c r="I398" t="s">
        <v>1303</v>
      </c>
    </row>
    <row r="399" spans="1:9">
      <c r="A399" t="str">
        <f>"0214026 "</f>
        <v xml:space="preserve">0214026 </v>
      </c>
      <c r="B399" t="s">
        <v>702</v>
      </c>
      <c r="C399" t="s">
        <v>1304</v>
      </c>
      <c r="D399" t="s">
        <v>1305</v>
      </c>
      <c r="E399">
        <v>2</v>
      </c>
      <c r="F399" t="s">
        <v>830</v>
      </c>
      <c r="G399" t="s">
        <v>706</v>
      </c>
      <c r="H399" t="s">
        <v>1304</v>
      </c>
      <c r="I399" t="s">
        <v>1306</v>
      </c>
    </row>
    <row r="400" spans="1:9">
      <c r="A400" t="str">
        <f>"0215292 "</f>
        <v xml:space="preserve">0215292 </v>
      </c>
      <c r="B400" t="s">
        <v>702</v>
      </c>
      <c r="C400" t="s">
        <v>1307</v>
      </c>
      <c r="D400" t="s">
        <v>1308</v>
      </c>
      <c r="E400">
        <v>1</v>
      </c>
      <c r="F400" t="s">
        <v>1309</v>
      </c>
      <c r="G400" t="s">
        <v>706</v>
      </c>
      <c r="H400" t="s">
        <v>1307</v>
      </c>
      <c r="I400" t="s">
        <v>1310</v>
      </c>
    </row>
    <row r="401" spans="1:9">
      <c r="A401" t="str">
        <f>"0215293 "</f>
        <v xml:space="preserve">0215293 </v>
      </c>
      <c r="B401" t="s">
        <v>702</v>
      </c>
      <c r="C401" t="s">
        <v>1311</v>
      </c>
      <c r="D401" t="s">
        <v>1312</v>
      </c>
      <c r="E401">
        <v>1</v>
      </c>
      <c r="F401" t="s">
        <v>1309</v>
      </c>
      <c r="G401" t="s">
        <v>706</v>
      </c>
      <c r="H401" t="s">
        <v>1311</v>
      </c>
      <c r="I401" t="s">
        <v>1313</v>
      </c>
    </row>
    <row r="402" spans="1:9">
      <c r="A402" t="str">
        <f>"0215296 "</f>
        <v xml:space="preserve">0215296 </v>
      </c>
      <c r="B402" t="s">
        <v>702</v>
      </c>
      <c r="C402" t="s">
        <v>1314</v>
      </c>
      <c r="D402" t="s">
        <v>1315</v>
      </c>
      <c r="E402">
        <v>2</v>
      </c>
      <c r="F402" t="s">
        <v>888</v>
      </c>
      <c r="G402" t="s">
        <v>706</v>
      </c>
      <c r="H402" t="s">
        <v>1314</v>
      </c>
      <c r="I402" t="s">
        <v>1316</v>
      </c>
    </row>
    <row r="403" spans="1:9">
      <c r="A403" t="str">
        <f>"0215298 "</f>
        <v xml:space="preserve">0215298 </v>
      </c>
      <c r="B403" t="s">
        <v>702</v>
      </c>
      <c r="C403" t="s">
        <v>1317</v>
      </c>
      <c r="D403" t="s">
        <v>1318</v>
      </c>
      <c r="E403" t="s">
        <v>16</v>
      </c>
      <c r="F403" t="s">
        <v>983</v>
      </c>
      <c r="G403" t="s">
        <v>706</v>
      </c>
      <c r="H403" t="s">
        <v>1317</v>
      </c>
      <c r="I403" t="s">
        <v>1319</v>
      </c>
    </row>
    <row r="404" spans="1:9">
      <c r="A404" t="str">
        <f>"0215300 "</f>
        <v xml:space="preserve">0215300 </v>
      </c>
      <c r="B404" t="s">
        <v>702</v>
      </c>
      <c r="C404" t="s">
        <v>1320</v>
      </c>
      <c r="D404" t="s">
        <v>1321</v>
      </c>
      <c r="E404">
        <v>2</v>
      </c>
      <c r="F404" t="s">
        <v>1209</v>
      </c>
      <c r="G404" t="s">
        <v>706</v>
      </c>
      <c r="H404" t="s">
        <v>1320</v>
      </c>
      <c r="I404" t="s">
        <v>1322</v>
      </c>
    </row>
    <row r="405" spans="1:9">
      <c r="A405" t="str">
        <f>"0215308 "</f>
        <v xml:space="preserve">0215308 </v>
      </c>
      <c r="B405" t="s">
        <v>702</v>
      </c>
      <c r="C405" t="s">
        <v>1323</v>
      </c>
      <c r="D405" t="s">
        <v>1324</v>
      </c>
      <c r="E405">
        <v>1</v>
      </c>
      <c r="F405" t="s">
        <v>1325</v>
      </c>
      <c r="G405" t="s">
        <v>706</v>
      </c>
      <c r="H405" t="s">
        <v>1323</v>
      </c>
      <c r="I405" t="s">
        <v>1326</v>
      </c>
    </row>
    <row r="406" spans="1:9">
      <c r="A406" t="str">
        <f>"0215310 "</f>
        <v xml:space="preserve">0215310 </v>
      </c>
      <c r="B406" t="s">
        <v>702</v>
      </c>
      <c r="C406" t="s">
        <v>1327</v>
      </c>
      <c r="D406" t="s">
        <v>1328</v>
      </c>
      <c r="E406">
        <v>2</v>
      </c>
      <c r="F406" t="s">
        <v>1329</v>
      </c>
      <c r="G406" t="s">
        <v>706</v>
      </c>
      <c r="H406" t="s">
        <v>1327</v>
      </c>
      <c r="I406" t="s">
        <v>1330</v>
      </c>
    </row>
    <row r="407" spans="1:9">
      <c r="A407" t="str">
        <f>"0215316 "</f>
        <v xml:space="preserve">0215316 </v>
      </c>
      <c r="B407" t="s">
        <v>702</v>
      </c>
      <c r="C407" t="s">
        <v>1331</v>
      </c>
      <c r="D407" t="s">
        <v>1332</v>
      </c>
      <c r="E407">
        <v>2</v>
      </c>
      <c r="F407" t="s">
        <v>1333</v>
      </c>
      <c r="G407" t="s">
        <v>706</v>
      </c>
      <c r="H407" t="s">
        <v>1331</v>
      </c>
      <c r="I407" t="s">
        <v>1334</v>
      </c>
    </row>
    <row r="408" spans="1:9">
      <c r="A408" t="str">
        <f>"0215317 "</f>
        <v xml:space="preserve">0215317 </v>
      </c>
      <c r="B408" t="s">
        <v>702</v>
      </c>
      <c r="C408" t="s">
        <v>1335</v>
      </c>
      <c r="D408" t="s">
        <v>1336</v>
      </c>
      <c r="E408">
        <v>4</v>
      </c>
      <c r="F408" t="s">
        <v>1337</v>
      </c>
      <c r="G408" t="s">
        <v>706</v>
      </c>
      <c r="H408" t="s">
        <v>1335</v>
      </c>
      <c r="I408" t="s">
        <v>1338</v>
      </c>
    </row>
    <row r="409" spans="1:9">
      <c r="A409" t="str">
        <f>"0215321 "</f>
        <v xml:space="preserve">0215321 </v>
      </c>
      <c r="B409" t="s">
        <v>702</v>
      </c>
      <c r="C409" t="s">
        <v>1339</v>
      </c>
      <c r="D409" t="s">
        <v>1340</v>
      </c>
      <c r="E409">
        <v>1</v>
      </c>
      <c r="F409" t="s">
        <v>1341</v>
      </c>
      <c r="G409" t="s">
        <v>706</v>
      </c>
      <c r="H409" t="s">
        <v>1339</v>
      </c>
      <c r="I409" t="s">
        <v>1342</v>
      </c>
    </row>
    <row r="410" spans="1:9">
      <c r="A410" t="str">
        <f>"0215323 "</f>
        <v xml:space="preserve">0215323 </v>
      </c>
      <c r="B410" t="s">
        <v>702</v>
      </c>
      <c r="C410" t="s">
        <v>1343</v>
      </c>
      <c r="D410" t="s">
        <v>1344</v>
      </c>
      <c r="E410">
        <v>2</v>
      </c>
      <c r="F410" t="s">
        <v>956</v>
      </c>
      <c r="G410" t="s">
        <v>706</v>
      </c>
      <c r="H410" t="s">
        <v>1343</v>
      </c>
      <c r="I410" t="s">
        <v>1345</v>
      </c>
    </row>
    <row r="411" spans="1:9">
      <c r="A411" t="str">
        <f>"0215325 "</f>
        <v xml:space="preserve">0215325 </v>
      </c>
      <c r="B411" t="s">
        <v>702</v>
      </c>
      <c r="C411" t="s">
        <v>1346</v>
      </c>
      <c r="D411" t="s">
        <v>1347</v>
      </c>
      <c r="E411">
        <v>2</v>
      </c>
      <c r="F411" t="s">
        <v>948</v>
      </c>
      <c r="G411" t="s">
        <v>706</v>
      </c>
      <c r="H411" t="s">
        <v>1346</v>
      </c>
      <c r="I411" t="s">
        <v>1348</v>
      </c>
    </row>
    <row r="412" spans="1:9">
      <c r="A412" t="str">
        <f>"0215327 "</f>
        <v xml:space="preserve">0215327 </v>
      </c>
      <c r="B412" t="s">
        <v>702</v>
      </c>
      <c r="C412" t="s">
        <v>1349</v>
      </c>
      <c r="D412" t="s">
        <v>1350</v>
      </c>
      <c r="E412">
        <v>1</v>
      </c>
      <c r="F412" t="s">
        <v>1351</v>
      </c>
      <c r="G412" t="s">
        <v>706</v>
      </c>
      <c r="H412" t="s">
        <v>1349</v>
      </c>
      <c r="I412" t="s">
        <v>1352</v>
      </c>
    </row>
    <row r="413" spans="1:9">
      <c r="A413" t="str">
        <f>"0215329 "</f>
        <v xml:space="preserve">0215329 </v>
      </c>
      <c r="B413" t="s">
        <v>702</v>
      </c>
      <c r="C413" t="s">
        <v>1353</v>
      </c>
      <c r="D413" t="s">
        <v>1354</v>
      </c>
      <c r="E413">
        <v>3</v>
      </c>
      <c r="F413" t="s">
        <v>1355</v>
      </c>
      <c r="G413" t="s">
        <v>706</v>
      </c>
      <c r="H413" t="s">
        <v>1353</v>
      </c>
      <c r="I413" t="s">
        <v>1356</v>
      </c>
    </row>
    <row r="414" spans="1:9">
      <c r="A414" t="str">
        <f>"0215332 "</f>
        <v xml:space="preserve">0215332 </v>
      </c>
      <c r="B414" t="s">
        <v>702</v>
      </c>
      <c r="C414" t="s">
        <v>1357</v>
      </c>
      <c r="D414" t="s">
        <v>1358</v>
      </c>
      <c r="E414">
        <v>2</v>
      </c>
      <c r="F414" t="s">
        <v>1359</v>
      </c>
      <c r="G414" t="s">
        <v>706</v>
      </c>
      <c r="H414" t="s">
        <v>1357</v>
      </c>
      <c r="I414" t="s">
        <v>1360</v>
      </c>
    </row>
    <row r="415" spans="1:9">
      <c r="A415" t="str">
        <f>"0215340 "</f>
        <v xml:space="preserve">0215340 </v>
      </c>
      <c r="B415" t="s">
        <v>702</v>
      </c>
      <c r="C415" t="s">
        <v>1361</v>
      </c>
      <c r="D415" t="s">
        <v>1362</v>
      </c>
      <c r="E415">
        <v>1</v>
      </c>
      <c r="F415" t="s">
        <v>912</v>
      </c>
      <c r="G415" t="s">
        <v>706</v>
      </c>
      <c r="H415" t="s">
        <v>1361</v>
      </c>
      <c r="I415" t="s">
        <v>1363</v>
      </c>
    </row>
    <row r="416" spans="1:9">
      <c r="A416" t="str">
        <f>"0215346 "</f>
        <v xml:space="preserve">0215346 </v>
      </c>
      <c r="B416" t="s">
        <v>702</v>
      </c>
      <c r="C416" t="s">
        <v>1364</v>
      </c>
      <c r="D416" t="s">
        <v>1365</v>
      </c>
      <c r="E416">
        <v>1</v>
      </c>
      <c r="F416" t="s">
        <v>912</v>
      </c>
      <c r="G416" t="s">
        <v>706</v>
      </c>
      <c r="H416" t="s">
        <v>1364</v>
      </c>
      <c r="I416" t="s">
        <v>1366</v>
      </c>
    </row>
    <row r="417" spans="1:9">
      <c r="A417" t="str">
        <f>"0215355 "</f>
        <v xml:space="preserve">0215355 </v>
      </c>
      <c r="B417" t="s">
        <v>702</v>
      </c>
      <c r="C417" t="s">
        <v>1367</v>
      </c>
      <c r="D417" t="s">
        <v>1368</v>
      </c>
      <c r="E417">
        <v>1</v>
      </c>
      <c r="F417" t="s">
        <v>865</v>
      </c>
      <c r="G417" t="s">
        <v>706</v>
      </c>
      <c r="H417" t="s">
        <v>1367</v>
      </c>
      <c r="I417" t="s">
        <v>1369</v>
      </c>
    </row>
    <row r="418" spans="1:9">
      <c r="A418" t="str">
        <f>"0215362 "</f>
        <v xml:space="preserve">0215362 </v>
      </c>
      <c r="B418" t="s">
        <v>702</v>
      </c>
      <c r="C418" t="s">
        <v>1370</v>
      </c>
      <c r="D418" t="s">
        <v>1371</v>
      </c>
      <c r="E418">
        <v>1</v>
      </c>
      <c r="F418" t="s">
        <v>1372</v>
      </c>
      <c r="G418" t="s">
        <v>706</v>
      </c>
      <c r="H418" t="s">
        <v>1370</v>
      </c>
      <c r="I418" t="s">
        <v>1373</v>
      </c>
    </row>
    <row r="419" spans="1:9">
      <c r="A419" t="str">
        <f>"0215363 "</f>
        <v xml:space="preserve">0215363 </v>
      </c>
      <c r="B419" t="s">
        <v>702</v>
      </c>
      <c r="C419" t="s">
        <v>1374</v>
      </c>
      <c r="D419" t="s">
        <v>1375</v>
      </c>
      <c r="E419">
        <v>2</v>
      </c>
      <c r="F419" t="s">
        <v>1376</v>
      </c>
      <c r="G419" t="s">
        <v>706</v>
      </c>
      <c r="H419" t="s">
        <v>1374</v>
      </c>
      <c r="I419" t="s">
        <v>1377</v>
      </c>
    </row>
    <row r="420" spans="1:9">
      <c r="A420" t="str">
        <f>"0215364 "</f>
        <v xml:space="preserve">0215364 </v>
      </c>
      <c r="B420" t="s">
        <v>702</v>
      </c>
      <c r="C420" t="s">
        <v>1378</v>
      </c>
      <c r="D420" t="s">
        <v>1379</v>
      </c>
      <c r="E420">
        <v>2</v>
      </c>
      <c r="F420" t="s">
        <v>1380</v>
      </c>
      <c r="G420" t="s">
        <v>706</v>
      </c>
      <c r="H420" t="s">
        <v>1378</v>
      </c>
      <c r="I420" t="s">
        <v>1381</v>
      </c>
    </row>
    <row r="421" spans="1:9">
      <c r="A421" t="str">
        <f>"0215365 "</f>
        <v xml:space="preserve">0215365 </v>
      </c>
      <c r="B421" t="s">
        <v>702</v>
      </c>
      <c r="C421" t="s">
        <v>1382</v>
      </c>
      <c r="D421" t="s">
        <v>1383</v>
      </c>
      <c r="E421">
        <v>1</v>
      </c>
      <c r="F421" t="s">
        <v>1384</v>
      </c>
      <c r="G421" t="s">
        <v>706</v>
      </c>
      <c r="H421" t="s">
        <v>1382</v>
      </c>
      <c r="I421" t="s">
        <v>1385</v>
      </c>
    </row>
    <row r="422" spans="1:9">
      <c r="A422" t="str">
        <f>"0215369 "</f>
        <v xml:space="preserve">0215369 </v>
      </c>
      <c r="B422" t="s">
        <v>702</v>
      </c>
      <c r="C422" t="s">
        <v>1386</v>
      </c>
      <c r="D422" t="s">
        <v>1387</v>
      </c>
      <c r="E422">
        <v>2</v>
      </c>
      <c r="F422" t="s">
        <v>714</v>
      </c>
      <c r="G422" t="s">
        <v>706</v>
      </c>
      <c r="H422" t="s">
        <v>1386</v>
      </c>
      <c r="I422" t="s">
        <v>1388</v>
      </c>
    </row>
    <row r="423" spans="1:9">
      <c r="A423" t="str">
        <f>"0215370 "</f>
        <v xml:space="preserve">0215370 </v>
      </c>
      <c r="B423" t="s">
        <v>702</v>
      </c>
      <c r="C423" t="s">
        <v>1389</v>
      </c>
      <c r="D423" t="s">
        <v>1390</v>
      </c>
      <c r="E423" t="s">
        <v>16</v>
      </c>
      <c r="F423" t="s">
        <v>1391</v>
      </c>
      <c r="G423" t="s">
        <v>706</v>
      </c>
      <c r="H423" t="s">
        <v>1389</v>
      </c>
      <c r="I423" t="s">
        <v>1392</v>
      </c>
    </row>
    <row r="424" spans="1:9">
      <c r="A424" t="str">
        <f>"0215373 "</f>
        <v xml:space="preserve">0215373 </v>
      </c>
      <c r="B424" t="s">
        <v>702</v>
      </c>
      <c r="C424" t="s">
        <v>1393</v>
      </c>
      <c r="D424" t="s">
        <v>1394</v>
      </c>
      <c r="E424">
        <v>1</v>
      </c>
      <c r="F424" t="s">
        <v>1395</v>
      </c>
      <c r="G424" t="s">
        <v>706</v>
      </c>
      <c r="H424" t="s">
        <v>1393</v>
      </c>
      <c r="I424" t="s">
        <v>1396</v>
      </c>
    </row>
    <row r="425" spans="1:9">
      <c r="A425" t="str">
        <f>"0215378 "</f>
        <v xml:space="preserve">0215378 </v>
      </c>
      <c r="B425" t="s">
        <v>702</v>
      </c>
      <c r="C425" t="s">
        <v>1397</v>
      </c>
      <c r="D425" t="s">
        <v>1398</v>
      </c>
      <c r="E425">
        <v>1</v>
      </c>
      <c r="F425" t="s">
        <v>1399</v>
      </c>
      <c r="G425" t="s">
        <v>706</v>
      </c>
      <c r="H425" t="s">
        <v>1397</v>
      </c>
      <c r="I425" t="s">
        <v>1400</v>
      </c>
    </row>
    <row r="426" spans="1:9">
      <c r="A426" t="str">
        <f>"0215379 "</f>
        <v xml:space="preserve">0215379 </v>
      </c>
      <c r="B426" t="s">
        <v>702</v>
      </c>
      <c r="C426" t="s">
        <v>1401</v>
      </c>
      <c r="D426" t="s">
        <v>1402</v>
      </c>
      <c r="E426">
        <v>1</v>
      </c>
      <c r="F426" t="s">
        <v>1403</v>
      </c>
      <c r="G426" t="s">
        <v>706</v>
      </c>
      <c r="H426" t="s">
        <v>1401</v>
      </c>
      <c r="I426" t="s">
        <v>1404</v>
      </c>
    </row>
    <row r="427" spans="1:9">
      <c r="A427" t="str">
        <f>"0215380 "</f>
        <v xml:space="preserve">0215380 </v>
      </c>
      <c r="B427" t="s">
        <v>702</v>
      </c>
      <c r="C427" t="s">
        <v>1405</v>
      </c>
      <c r="D427" t="s">
        <v>1406</v>
      </c>
      <c r="E427">
        <v>2</v>
      </c>
      <c r="F427" t="s">
        <v>1407</v>
      </c>
      <c r="G427" t="s">
        <v>706</v>
      </c>
      <c r="H427" t="s">
        <v>1405</v>
      </c>
      <c r="I427" t="s">
        <v>1408</v>
      </c>
    </row>
    <row r="428" spans="1:9">
      <c r="A428" t="str">
        <f>"0215381 "</f>
        <v xml:space="preserve">0215381 </v>
      </c>
      <c r="B428" t="s">
        <v>702</v>
      </c>
      <c r="C428" t="s">
        <v>1409</v>
      </c>
      <c r="D428" t="s">
        <v>1410</v>
      </c>
      <c r="E428">
        <v>1</v>
      </c>
      <c r="F428" t="s">
        <v>1411</v>
      </c>
      <c r="G428" t="s">
        <v>706</v>
      </c>
      <c r="H428" t="s">
        <v>1409</v>
      </c>
      <c r="I428" t="s">
        <v>1412</v>
      </c>
    </row>
    <row r="429" spans="1:9">
      <c r="A429" t="str">
        <f>"0215383 "</f>
        <v xml:space="preserve">0215383 </v>
      </c>
      <c r="B429" t="s">
        <v>702</v>
      </c>
      <c r="C429" t="s">
        <v>1413</v>
      </c>
      <c r="D429" t="s">
        <v>1414</v>
      </c>
      <c r="E429">
        <v>3</v>
      </c>
      <c r="F429" t="s">
        <v>1391</v>
      </c>
      <c r="G429" t="s">
        <v>706</v>
      </c>
      <c r="H429" t="s">
        <v>1413</v>
      </c>
      <c r="I429" t="s">
        <v>1415</v>
      </c>
    </row>
    <row r="430" spans="1:9">
      <c r="A430" t="str">
        <f>"0215384 "</f>
        <v xml:space="preserve">0215384 </v>
      </c>
      <c r="B430" t="s">
        <v>702</v>
      </c>
      <c r="C430" t="s">
        <v>1416</v>
      </c>
      <c r="D430" t="s">
        <v>1417</v>
      </c>
      <c r="E430">
        <v>1</v>
      </c>
      <c r="F430" t="s">
        <v>1418</v>
      </c>
      <c r="G430" t="s">
        <v>706</v>
      </c>
      <c r="H430" t="s">
        <v>1416</v>
      </c>
      <c r="I430" t="s">
        <v>1419</v>
      </c>
    </row>
    <row r="431" spans="1:9">
      <c r="A431" t="str">
        <f>"0215385 "</f>
        <v xml:space="preserve">0215385 </v>
      </c>
      <c r="B431" t="s">
        <v>702</v>
      </c>
      <c r="C431" t="s">
        <v>1420</v>
      </c>
      <c r="D431" t="s">
        <v>1421</v>
      </c>
      <c r="E431">
        <v>1</v>
      </c>
      <c r="F431" t="s">
        <v>1384</v>
      </c>
      <c r="G431" t="s">
        <v>706</v>
      </c>
      <c r="H431" t="s">
        <v>1420</v>
      </c>
      <c r="I431" t="s">
        <v>1422</v>
      </c>
    </row>
    <row r="432" spans="1:9">
      <c r="A432" t="str">
        <f>"0215387 "</f>
        <v xml:space="preserve">0215387 </v>
      </c>
      <c r="B432" t="s">
        <v>702</v>
      </c>
      <c r="C432" t="s">
        <v>1423</v>
      </c>
      <c r="D432" t="s">
        <v>1424</v>
      </c>
      <c r="E432" t="s">
        <v>16</v>
      </c>
      <c r="F432" t="s">
        <v>1425</v>
      </c>
      <c r="G432" t="s">
        <v>706</v>
      </c>
      <c r="H432" t="s">
        <v>1423</v>
      </c>
      <c r="I432" t="s">
        <v>1426</v>
      </c>
    </row>
    <row r="433" spans="1:9">
      <c r="A433" t="str">
        <f>"0215388 "</f>
        <v xml:space="preserve">0215388 </v>
      </c>
      <c r="B433" t="s">
        <v>702</v>
      </c>
      <c r="C433" t="s">
        <v>1427</v>
      </c>
      <c r="D433" t="s">
        <v>1428</v>
      </c>
      <c r="E433">
        <v>1</v>
      </c>
      <c r="F433" t="s">
        <v>757</v>
      </c>
      <c r="G433" t="s">
        <v>706</v>
      </c>
      <c r="H433" t="s">
        <v>1427</v>
      </c>
      <c r="I433" t="s">
        <v>1429</v>
      </c>
    </row>
    <row r="434" spans="1:9">
      <c r="A434" t="str">
        <f>"0215394 "</f>
        <v xml:space="preserve">0215394 </v>
      </c>
      <c r="B434" t="s">
        <v>702</v>
      </c>
      <c r="C434" t="s">
        <v>1430</v>
      </c>
      <c r="D434" t="s">
        <v>1431</v>
      </c>
      <c r="E434">
        <v>2</v>
      </c>
      <c r="F434" t="s">
        <v>1432</v>
      </c>
      <c r="G434" t="s">
        <v>706</v>
      </c>
      <c r="H434" t="s">
        <v>1430</v>
      </c>
      <c r="I434" t="s">
        <v>1433</v>
      </c>
    </row>
    <row r="435" spans="1:9">
      <c r="A435" t="str">
        <f>"0215397 "</f>
        <v xml:space="preserve">0215397 </v>
      </c>
      <c r="B435" t="s">
        <v>702</v>
      </c>
      <c r="C435" t="s">
        <v>1434</v>
      </c>
      <c r="D435" t="s">
        <v>1435</v>
      </c>
      <c r="E435">
        <v>1</v>
      </c>
      <c r="F435" t="s">
        <v>1436</v>
      </c>
      <c r="G435" t="s">
        <v>706</v>
      </c>
      <c r="H435" t="s">
        <v>1434</v>
      </c>
      <c r="I435" t="s">
        <v>1437</v>
      </c>
    </row>
    <row r="436" spans="1:9">
      <c r="A436" t="str">
        <f>"0215409 "</f>
        <v xml:space="preserve">0215409 </v>
      </c>
      <c r="B436" t="s">
        <v>702</v>
      </c>
      <c r="C436" t="s">
        <v>1438</v>
      </c>
      <c r="D436" t="s">
        <v>1439</v>
      </c>
      <c r="E436">
        <v>3</v>
      </c>
      <c r="F436" t="s">
        <v>1440</v>
      </c>
      <c r="G436" t="s">
        <v>706</v>
      </c>
      <c r="H436" t="s">
        <v>1438</v>
      </c>
      <c r="I436" t="s">
        <v>1441</v>
      </c>
    </row>
    <row r="437" spans="1:9">
      <c r="A437" t="str">
        <f>"0215412 "</f>
        <v xml:space="preserve">0215412 </v>
      </c>
      <c r="B437" t="s">
        <v>702</v>
      </c>
      <c r="C437" t="s">
        <v>1442</v>
      </c>
      <c r="D437" t="s">
        <v>1443</v>
      </c>
      <c r="E437">
        <v>2</v>
      </c>
      <c r="F437" t="s">
        <v>1444</v>
      </c>
      <c r="G437" t="s">
        <v>706</v>
      </c>
      <c r="H437" t="s">
        <v>1442</v>
      </c>
      <c r="I437" t="s">
        <v>1445</v>
      </c>
    </row>
    <row r="438" spans="1:9">
      <c r="A438" t="str">
        <f>"0215413 "</f>
        <v xml:space="preserve">0215413 </v>
      </c>
      <c r="B438" t="s">
        <v>702</v>
      </c>
      <c r="C438" t="s">
        <v>1446</v>
      </c>
      <c r="D438" t="s">
        <v>1447</v>
      </c>
      <c r="E438">
        <v>1</v>
      </c>
      <c r="F438" t="s">
        <v>1448</v>
      </c>
      <c r="G438" t="s">
        <v>706</v>
      </c>
      <c r="H438" t="s">
        <v>1446</v>
      </c>
      <c r="I438" t="s">
        <v>1449</v>
      </c>
    </row>
    <row r="439" spans="1:9">
      <c r="A439" t="str">
        <f>"0215418 "</f>
        <v xml:space="preserve">0215418 </v>
      </c>
      <c r="B439" t="s">
        <v>702</v>
      </c>
      <c r="C439" t="s">
        <v>1450</v>
      </c>
      <c r="D439" t="s">
        <v>1451</v>
      </c>
      <c r="E439">
        <v>1</v>
      </c>
      <c r="F439" t="s">
        <v>1452</v>
      </c>
      <c r="G439" t="s">
        <v>706</v>
      </c>
      <c r="H439" t="s">
        <v>1450</v>
      </c>
      <c r="I439" t="s">
        <v>1453</v>
      </c>
    </row>
    <row r="440" spans="1:9">
      <c r="A440" t="str">
        <f>"0215419 "</f>
        <v xml:space="preserve">0215419 </v>
      </c>
      <c r="B440" t="s">
        <v>702</v>
      </c>
      <c r="C440" t="s">
        <v>1454</v>
      </c>
      <c r="D440" t="s">
        <v>1455</v>
      </c>
      <c r="E440">
        <v>1</v>
      </c>
      <c r="F440" t="s">
        <v>1456</v>
      </c>
      <c r="G440" t="s">
        <v>706</v>
      </c>
      <c r="H440" t="s">
        <v>1454</v>
      </c>
      <c r="I440" t="s">
        <v>1457</v>
      </c>
    </row>
    <row r="441" spans="1:9">
      <c r="A441" t="str">
        <f>"0215420 "</f>
        <v xml:space="preserve">0215420 </v>
      </c>
      <c r="B441" t="s">
        <v>702</v>
      </c>
      <c r="C441" t="s">
        <v>1458</v>
      </c>
      <c r="D441" t="s">
        <v>1459</v>
      </c>
      <c r="E441">
        <v>1</v>
      </c>
      <c r="F441" t="s">
        <v>1460</v>
      </c>
      <c r="G441" t="s">
        <v>706</v>
      </c>
      <c r="H441" t="s">
        <v>1458</v>
      </c>
      <c r="I441" t="s">
        <v>1461</v>
      </c>
    </row>
    <row r="442" spans="1:9">
      <c r="A442" t="str">
        <f>"0215426 "</f>
        <v xml:space="preserve">0215426 </v>
      </c>
      <c r="B442" t="s">
        <v>702</v>
      </c>
      <c r="C442" t="s">
        <v>1462</v>
      </c>
      <c r="D442" t="s">
        <v>1463</v>
      </c>
      <c r="E442">
        <v>1</v>
      </c>
      <c r="F442" t="s">
        <v>1464</v>
      </c>
      <c r="G442" t="s">
        <v>706</v>
      </c>
      <c r="H442" t="s">
        <v>1462</v>
      </c>
      <c r="I442" t="s">
        <v>1465</v>
      </c>
    </row>
    <row r="443" spans="1:9">
      <c r="A443" t="str">
        <f>"0215428 "</f>
        <v xml:space="preserve">0215428 </v>
      </c>
      <c r="B443" t="s">
        <v>702</v>
      </c>
      <c r="C443" t="s">
        <v>1466</v>
      </c>
      <c r="D443" t="s">
        <v>1467</v>
      </c>
      <c r="E443">
        <v>2</v>
      </c>
      <c r="F443" t="s">
        <v>1468</v>
      </c>
      <c r="G443" t="s">
        <v>706</v>
      </c>
      <c r="H443" t="s">
        <v>1466</v>
      </c>
      <c r="I443" t="s">
        <v>1469</v>
      </c>
    </row>
    <row r="444" spans="1:9">
      <c r="A444" t="str">
        <f>"0215433 "</f>
        <v xml:space="preserve">0215433 </v>
      </c>
      <c r="B444" t="s">
        <v>702</v>
      </c>
      <c r="C444" t="s">
        <v>1470</v>
      </c>
      <c r="D444" t="s">
        <v>1471</v>
      </c>
      <c r="E444">
        <v>2</v>
      </c>
      <c r="F444" t="s">
        <v>1472</v>
      </c>
      <c r="G444" t="s">
        <v>706</v>
      </c>
      <c r="H444" t="s">
        <v>1470</v>
      </c>
      <c r="I444" t="s">
        <v>1473</v>
      </c>
    </row>
    <row r="445" spans="1:9">
      <c r="A445" t="str">
        <f>"0215449 "</f>
        <v xml:space="preserve">0215449 </v>
      </c>
      <c r="B445" t="s">
        <v>702</v>
      </c>
      <c r="C445" t="s">
        <v>1474</v>
      </c>
      <c r="D445" t="s">
        <v>1475</v>
      </c>
      <c r="E445">
        <v>2</v>
      </c>
      <c r="F445" t="s">
        <v>1476</v>
      </c>
      <c r="G445" t="s">
        <v>706</v>
      </c>
      <c r="H445" t="s">
        <v>1474</v>
      </c>
      <c r="I445" t="s">
        <v>1477</v>
      </c>
    </row>
    <row r="446" spans="1:9">
      <c r="A446" t="str">
        <f>"0215454 "</f>
        <v xml:space="preserve">0215454 </v>
      </c>
      <c r="B446" t="s">
        <v>702</v>
      </c>
      <c r="C446" t="s">
        <v>1478</v>
      </c>
      <c r="D446" t="s">
        <v>1479</v>
      </c>
      <c r="E446">
        <v>3</v>
      </c>
      <c r="F446" t="s">
        <v>1480</v>
      </c>
      <c r="G446" t="s">
        <v>706</v>
      </c>
      <c r="H446" t="s">
        <v>1478</v>
      </c>
      <c r="I446" t="s">
        <v>1481</v>
      </c>
    </row>
    <row r="447" spans="1:9">
      <c r="A447" t="str">
        <f>"0215455 "</f>
        <v xml:space="preserve">0215455 </v>
      </c>
      <c r="B447" t="s">
        <v>702</v>
      </c>
      <c r="C447" t="s">
        <v>1482</v>
      </c>
      <c r="D447" t="s">
        <v>1483</v>
      </c>
      <c r="E447">
        <v>2</v>
      </c>
      <c r="F447" t="s">
        <v>991</v>
      </c>
      <c r="G447" t="s">
        <v>706</v>
      </c>
      <c r="H447" t="s">
        <v>1482</v>
      </c>
      <c r="I447" t="s">
        <v>1484</v>
      </c>
    </row>
    <row r="448" spans="1:9">
      <c r="A448" t="str">
        <f>"0215466 "</f>
        <v xml:space="preserve">0215466 </v>
      </c>
      <c r="B448" t="s">
        <v>702</v>
      </c>
      <c r="C448" t="s">
        <v>1485</v>
      </c>
      <c r="D448" t="s">
        <v>1486</v>
      </c>
      <c r="E448">
        <v>2</v>
      </c>
      <c r="F448" t="s">
        <v>1487</v>
      </c>
      <c r="G448" t="s">
        <v>706</v>
      </c>
      <c r="H448" t="s">
        <v>1485</v>
      </c>
      <c r="I448" t="s">
        <v>1488</v>
      </c>
    </row>
    <row r="449" spans="1:9">
      <c r="A449" t="str">
        <f>"0215486 "</f>
        <v xml:space="preserve">0215486 </v>
      </c>
      <c r="B449" t="s">
        <v>702</v>
      </c>
      <c r="C449" t="s">
        <v>1489</v>
      </c>
      <c r="D449" t="s">
        <v>1490</v>
      </c>
      <c r="E449">
        <v>1</v>
      </c>
      <c r="F449" t="s">
        <v>1491</v>
      </c>
      <c r="G449" t="s">
        <v>706</v>
      </c>
      <c r="H449" t="s">
        <v>1489</v>
      </c>
      <c r="I449" t="s">
        <v>1492</v>
      </c>
    </row>
    <row r="450" spans="1:9">
      <c r="A450" t="str">
        <f>"0215489 "</f>
        <v xml:space="preserve">0215489 </v>
      </c>
      <c r="B450" t="s">
        <v>702</v>
      </c>
      <c r="C450" t="s">
        <v>1493</v>
      </c>
      <c r="D450" t="s">
        <v>1494</v>
      </c>
      <c r="E450">
        <v>2</v>
      </c>
      <c r="F450" t="s">
        <v>1495</v>
      </c>
      <c r="G450" t="s">
        <v>706</v>
      </c>
      <c r="H450" t="s">
        <v>1493</v>
      </c>
      <c r="I450" t="s">
        <v>1496</v>
      </c>
    </row>
    <row r="451" spans="1:9">
      <c r="A451" t="str">
        <f>"0215507 "</f>
        <v xml:space="preserve">0215507 </v>
      </c>
      <c r="B451" t="s">
        <v>702</v>
      </c>
      <c r="C451" t="s">
        <v>1497</v>
      </c>
      <c r="D451" t="s">
        <v>1498</v>
      </c>
      <c r="E451">
        <v>1</v>
      </c>
      <c r="F451" t="s">
        <v>1499</v>
      </c>
      <c r="G451" t="s">
        <v>706</v>
      </c>
      <c r="H451" t="s">
        <v>1497</v>
      </c>
      <c r="I451" t="s">
        <v>1500</v>
      </c>
    </row>
    <row r="452" spans="1:9">
      <c r="A452" t="str">
        <f>"0215517 "</f>
        <v xml:space="preserve">0215517 </v>
      </c>
      <c r="B452" t="s">
        <v>702</v>
      </c>
      <c r="C452" t="s">
        <v>1501</v>
      </c>
      <c r="D452" t="s">
        <v>1502</v>
      </c>
      <c r="E452">
        <v>1</v>
      </c>
      <c r="F452" t="s">
        <v>1503</v>
      </c>
      <c r="G452" t="s">
        <v>706</v>
      </c>
      <c r="H452" t="s">
        <v>1501</v>
      </c>
      <c r="I452" t="s">
        <v>1504</v>
      </c>
    </row>
    <row r="453" spans="1:9">
      <c r="A453" t="str">
        <f>"0215519 "</f>
        <v xml:space="preserve">0215519 </v>
      </c>
      <c r="B453" t="s">
        <v>702</v>
      </c>
      <c r="C453" t="s">
        <v>1505</v>
      </c>
      <c r="D453" t="s">
        <v>1506</v>
      </c>
      <c r="E453">
        <v>1</v>
      </c>
      <c r="F453" t="s">
        <v>1507</v>
      </c>
      <c r="G453" t="s">
        <v>706</v>
      </c>
      <c r="H453" t="s">
        <v>1505</v>
      </c>
      <c r="I453" t="s">
        <v>1508</v>
      </c>
    </row>
    <row r="454" spans="1:9">
      <c r="A454" t="str">
        <f>"0215485 "</f>
        <v xml:space="preserve">0215485 </v>
      </c>
      <c r="B454" t="s">
        <v>702</v>
      </c>
      <c r="C454" t="s">
        <v>1509</v>
      </c>
      <c r="D454" t="s">
        <v>1510</v>
      </c>
      <c r="E454">
        <v>2</v>
      </c>
      <c r="F454" t="s">
        <v>1511</v>
      </c>
      <c r="G454" t="s">
        <v>706</v>
      </c>
      <c r="H454" t="s">
        <v>1509</v>
      </c>
      <c r="I454" t="s">
        <v>1512</v>
      </c>
    </row>
    <row r="455" spans="1:9">
      <c r="A455" t="str">
        <f>"0215488 "</f>
        <v xml:space="preserve">0215488 </v>
      </c>
      <c r="B455" t="s">
        <v>702</v>
      </c>
      <c r="C455" t="s">
        <v>1513</v>
      </c>
      <c r="D455" t="s">
        <v>1514</v>
      </c>
      <c r="E455">
        <v>2</v>
      </c>
      <c r="F455" t="s">
        <v>1515</v>
      </c>
      <c r="G455" t="s">
        <v>706</v>
      </c>
      <c r="H455" t="s">
        <v>1513</v>
      </c>
      <c r="I455" t="s">
        <v>1516</v>
      </c>
    </row>
    <row r="456" spans="1:9">
      <c r="A456" t="str">
        <f>"0215187 "</f>
        <v xml:space="preserve">0215187 </v>
      </c>
      <c r="B456" t="s">
        <v>702</v>
      </c>
      <c r="C456" t="s">
        <v>1517</v>
      </c>
      <c r="D456" t="s">
        <v>1518</v>
      </c>
      <c r="E456">
        <v>2</v>
      </c>
      <c r="F456" t="s">
        <v>1519</v>
      </c>
      <c r="G456" t="s">
        <v>706</v>
      </c>
      <c r="H456" t="s">
        <v>1517</v>
      </c>
      <c r="I456" t="s">
        <v>1520</v>
      </c>
    </row>
    <row r="457" spans="1:9">
      <c r="A457" t="str">
        <f>"0216119 "</f>
        <v xml:space="preserve">0216119 </v>
      </c>
      <c r="B457" t="s">
        <v>702</v>
      </c>
      <c r="C457" t="s">
        <v>1521</v>
      </c>
      <c r="D457" t="s">
        <v>1522</v>
      </c>
      <c r="E457">
        <v>2</v>
      </c>
      <c r="F457" t="s">
        <v>1030</v>
      </c>
      <c r="G457" t="s">
        <v>706</v>
      </c>
      <c r="H457" t="s">
        <v>1521</v>
      </c>
      <c r="I457" t="s">
        <v>1523</v>
      </c>
    </row>
    <row r="458" spans="1:9">
      <c r="A458" t="str">
        <f>"0215206 "</f>
        <v xml:space="preserve">0215206 </v>
      </c>
      <c r="B458" t="s">
        <v>702</v>
      </c>
      <c r="C458" t="s">
        <v>1524</v>
      </c>
      <c r="D458" t="s">
        <v>1525</v>
      </c>
      <c r="E458">
        <v>2</v>
      </c>
      <c r="F458" t="s">
        <v>1526</v>
      </c>
      <c r="G458" t="s">
        <v>706</v>
      </c>
      <c r="H458" t="s">
        <v>1524</v>
      </c>
      <c r="I458" t="s">
        <v>1527</v>
      </c>
    </row>
    <row r="459" spans="1:9">
      <c r="A459" t="str">
        <f>"0215194 "</f>
        <v xml:space="preserve">0215194 </v>
      </c>
      <c r="B459" t="s">
        <v>702</v>
      </c>
      <c r="C459" t="s">
        <v>1528</v>
      </c>
      <c r="D459" t="s">
        <v>1529</v>
      </c>
      <c r="E459">
        <v>1</v>
      </c>
      <c r="F459" t="s">
        <v>896</v>
      </c>
      <c r="G459" t="s">
        <v>706</v>
      </c>
      <c r="H459" t="s">
        <v>1528</v>
      </c>
      <c r="I459" t="s">
        <v>1530</v>
      </c>
    </row>
    <row r="460" spans="1:9">
      <c r="A460" t="str">
        <f>"0215212 "</f>
        <v xml:space="preserve">0215212 </v>
      </c>
      <c r="B460" t="s">
        <v>702</v>
      </c>
      <c r="C460" t="s">
        <v>1531</v>
      </c>
      <c r="D460" t="s">
        <v>1532</v>
      </c>
      <c r="E460">
        <v>3</v>
      </c>
      <c r="F460" t="s">
        <v>1533</v>
      </c>
      <c r="G460" t="s">
        <v>706</v>
      </c>
      <c r="H460" t="s">
        <v>1531</v>
      </c>
      <c r="I460" t="s">
        <v>1534</v>
      </c>
    </row>
    <row r="461" spans="1:9">
      <c r="A461" t="str">
        <f>"0215192 "</f>
        <v xml:space="preserve">0215192 </v>
      </c>
      <c r="B461" t="s">
        <v>702</v>
      </c>
      <c r="C461" t="s">
        <v>1535</v>
      </c>
      <c r="D461" t="s">
        <v>1536</v>
      </c>
      <c r="E461">
        <v>2</v>
      </c>
      <c r="F461" t="s">
        <v>1537</v>
      </c>
      <c r="G461" t="s">
        <v>706</v>
      </c>
      <c r="H461" t="s">
        <v>1535</v>
      </c>
      <c r="I461" t="s">
        <v>1538</v>
      </c>
    </row>
    <row r="462" spans="1:9">
      <c r="A462" t="str">
        <f>"0215214 "</f>
        <v xml:space="preserve">0215214 </v>
      </c>
      <c r="B462" t="s">
        <v>702</v>
      </c>
      <c r="C462" t="s">
        <v>1539</v>
      </c>
      <c r="D462" t="s">
        <v>1540</v>
      </c>
      <c r="E462">
        <v>4</v>
      </c>
      <c r="F462" t="s">
        <v>1541</v>
      </c>
      <c r="G462" t="s">
        <v>706</v>
      </c>
      <c r="H462" t="s">
        <v>1539</v>
      </c>
      <c r="I462" t="s">
        <v>1542</v>
      </c>
    </row>
    <row r="463" spans="1:9">
      <c r="A463" t="str">
        <f>"0215266 "</f>
        <v xml:space="preserve">0215266 </v>
      </c>
      <c r="B463" t="s">
        <v>702</v>
      </c>
      <c r="C463" t="s">
        <v>1543</v>
      </c>
      <c r="D463" t="s">
        <v>1544</v>
      </c>
      <c r="E463">
        <v>4</v>
      </c>
      <c r="F463" t="s">
        <v>1545</v>
      </c>
      <c r="G463" t="s">
        <v>706</v>
      </c>
      <c r="H463" t="s">
        <v>1543</v>
      </c>
      <c r="I463" t="s">
        <v>1546</v>
      </c>
    </row>
    <row r="464" spans="1:9">
      <c r="A464" t="str">
        <f>"0215235 "</f>
        <v xml:space="preserve">0215235 </v>
      </c>
      <c r="B464" t="s">
        <v>702</v>
      </c>
      <c r="C464" t="s">
        <v>1547</v>
      </c>
      <c r="D464" t="s">
        <v>1548</v>
      </c>
      <c r="E464">
        <v>1</v>
      </c>
      <c r="F464" t="s">
        <v>1549</v>
      </c>
      <c r="G464" t="s">
        <v>706</v>
      </c>
      <c r="H464" t="s">
        <v>1547</v>
      </c>
      <c r="I464" t="s">
        <v>1550</v>
      </c>
    </row>
    <row r="465" spans="1:9">
      <c r="A465" t="str">
        <f>"0215236 "</f>
        <v xml:space="preserve">0215236 </v>
      </c>
      <c r="B465" t="s">
        <v>702</v>
      </c>
      <c r="C465" t="s">
        <v>1551</v>
      </c>
      <c r="D465" t="s">
        <v>1552</v>
      </c>
      <c r="E465">
        <v>3</v>
      </c>
      <c r="F465" t="s">
        <v>1553</v>
      </c>
      <c r="G465" t="s">
        <v>706</v>
      </c>
      <c r="H465" t="s">
        <v>1551</v>
      </c>
      <c r="I465" t="s">
        <v>1554</v>
      </c>
    </row>
    <row r="466" spans="1:9">
      <c r="A466" t="str">
        <f>"0215215 "</f>
        <v xml:space="preserve">0215215 </v>
      </c>
      <c r="B466" t="s">
        <v>702</v>
      </c>
      <c r="C466" t="s">
        <v>1555</v>
      </c>
      <c r="D466" t="s">
        <v>1556</v>
      </c>
      <c r="E466">
        <v>2</v>
      </c>
      <c r="F466" t="s">
        <v>1553</v>
      </c>
      <c r="G466" t="s">
        <v>706</v>
      </c>
      <c r="H466" t="s">
        <v>1555</v>
      </c>
      <c r="I466" t="s">
        <v>1557</v>
      </c>
    </row>
    <row r="467" spans="1:9">
      <c r="A467" t="str">
        <f>"0215268 "</f>
        <v xml:space="preserve">0215268 </v>
      </c>
      <c r="B467" t="s">
        <v>702</v>
      </c>
      <c r="C467" t="s">
        <v>1558</v>
      </c>
      <c r="D467" t="s">
        <v>1559</v>
      </c>
      <c r="E467" t="s">
        <v>16</v>
      </c>
      <c r="F467" t="s">
        <v>1533</v>
      </c>
      <c r="G467" t="s">
        <v>706</v>
      </c>
      <c r="H467" t="s">
        <v>1558</v>
      </c>
      <c r="I467" t="s">
        <v>1560</v>
      </c>
    </row>
    <row r="468" spans="1:9">
      <c r="A468" t="str">
        <f>"0215216 "</f>
        <v xml:space="preserve">0215216 </v>
      </c>
      <c r="B468" t="s">
        <v>702</v>
      </c>
      <c r="C468" t="s">
        <v>1561</v>
      </c>
      <c r="D468" t="s">
        <v>1562</v>
      </c>
      <c r="E468">
        <v>2</v>
      </c>
      <c r="F468" t="s">
        <v>1553</v>
      </c>
      <c r="G468" t="s">
        <v>706</v>
      </c>
      <c r="H468" t="s">
        <v>1561</v>
      </c>
      <c r="I468" t="s">
        <v>1563</v>
      </c>
    </row>
    <row r="469" spans="1:9">
      <c r="A469" t="str">
        <f>"0215270 "</f>
        <v xml:space="preserve">0215270 </v>
      </c>
      <c r="B469" t="s">
        <v>702</v>
      </c>
      <c r="C469" t="s">
        <v>1564</v>
      </c>
      <c r="D469" t="s">
        <v>1565</v>
      </c>
      <c r="E469">
        <v>2</v>
      </c>
      <c r="F469" t="s">
        <v>772</v>
      </c>
      <c r="G469" t="s">
        <v>706</v>
      </c>
      <c r="H469" t="s">
        <v>1564</v>
      </c>
      <c r="I469" t="s">
        <v>1566</v>
      </c>
    </row>
    <row r="470" spans="1:9">
      <c r="A470" t="str">
        <f>"0215272 "</f>
        <v xml:space="preserve">0215272 </v>
      </c>
      <c r="B470" t="s">
        <v>702</v>
      </c>
      <c r="C470" t="s">
        <v>1567</v>
      </c>
      <c r="D470" t="s">
        <v>1568</v>
      </c>
      <c r="E470">
        <v>4</v>
      </c>
      <c r="F470" t="s">
        <v>1569</v>
      </c>
      <c r="G470" t="s">
        <v>706</v>
      </c>
      <c r="H470" t="s">
        <v>1567</v>
      </c>
      <c r="I470" t="s">
        <v>1570</v>
      </c>
    </row>
    <row r="471" spans="1:9">
      <c r="A471" t="str">
        <f>"0215197 "</f>
        <v xml:space="preserve">0215197 </v>
      </c>
      <c r="B471" t="s">
        <v>702</v>
      </c>
      <c r="C471" t="s">
        <v>1571</v>
      </c>
      <c r="D471" t="s">
        <v>1572</v>
      </c>
      <c r="E471">
        <v>2</v>
      </c>
      <c r="F471" t="s">
        <v>983</v>
      </c>
      <c r="G471" t="s">
        <v>706</v>
      </c>
      <c r="H471" t="s">
        <v>1571</v>
      </c>
      <c r="I471" t="s">
        <v>1573</v>
      </c>
    </row>
    <row r="472" spans="1:9">
      <c r="A472" t="str">
        <f>"0215198 "</f>
        <v xml:space="preserve">0215198 </v>
      </c>
      <c r="B472" t="s">
        <v>702</v>
      </c>
      <c r="C472" t="s">
        <v>1574</v>
      </c>
      <c r="D472" t="s">
        <v>1575</v>
      </c>
      <c r="E472" t="s">
        <v>16</v>
      </c>
      <c r="F472" t="s">
        <v>1576</v>
      </c>
      <c r="G472" t="s">
        <v>706</v>
      </c>
      <c r="H472" t="s">
        <v>1574</v>
      </c>
      <c r="I472" t="s">
        <v>1577</v>
      </c>
    </row>
    <row r="473" spans="1:9">
      <c r="A473" t="str">
        <f>"0215238 "</f>
        <v xml:space="preserve">0215238 </v>
      </c>
      <c r="B473" t="s">
        <v>702</v>
      </c>
      <c r="C473" t="s">
        <v>1578</v>
      </c>
      <c r="D473" t="s">
        <v>1579</v>
      </c>
      <c r="E473">
        <v>1</v>
      </c>
      <c r="F473" t="s">
        <v>1553</v>
      </c>
      <c r="G473" t="s">
        <v>706</v>
      </c>
      <c r="H473" t="s">
        <v>1578</v>
      </c>
      <c r="I473" t="s">
        <v>1580</v>
      </c>
    </row>
    <row r="474" spans="1:9">
      <c r="A474" t="str">
        <f>"0215240 "</f>
        <v xml:space="preserve">0215240 </v>
      </c>
      <c r="B474" t="s">
        <v>702</v>
      </c>
      <c r="C474" t="s">
        <v>1581</v>
      </c>
      <c r="D474" t="s">
        <v>1582</v>
      </c>
      <c r="E474">
        <v>1</v>
      </c>
      <c r="F474" t="s">
        <v>1583</v>
      </c>
      <c r="G474" t="s">
        <v>706</v>
      </c>
      <c r="H474" t="s">
        <v>1581</v>
      </c>
      <c r="I474" t="s">
        <v>1584</v>
      </c>
    </row>
    <row r="475" spans="1:9">
      <c r="A475" t="str">
        <f>"0215241 "</f>
        <v xml:space="preserve">0215241 </v>
      </c>
      <c r="B475" t="s">
        <v>702</v>
      </c>
      <c r="C475" t="s">
        <v>1585</v>
      </c>
      <c r="D475" t="s">
        <v>1586</v>
      </c>
      <c r="E475" t="s">
        <v>16</v>
      </c>
      <c r="F475" t="s">
        <v>1587</v>
      </c>
      <c r="G475" t="s">
        <v>706</v>
      </c>
      <c r="H475" t="s">
        <v>1585</v>
      </c>
      <c r="I475" t="s">
        <v>1588</v>
      </c>
    </row>
    <row r="476" spans="1:9">
      <c r="A476" t="str">
        <f>"0215242 "</f>
        <v xml:space="preserve">0215242 </v>
      </c>
      <c r="B476" t="s">
        <v>702</v>
      </c>
      <c r="C476" t="s">
        <v>1589</v>
      </c>
      <c r="D476" t="s">
        <v>1590</v>
      </c>
      <c r="E476">
        <v>2</v>
      </c>
      <c r="F476" t="s">
        <v>1537</v>
      </c>
      <c r="G476" t="s">
        <v>706</v>
      </c>
      <c r="H476" t="s">
        <v>1589</v>
      </c>
      <c r="I476" t="s">
        <v>1591</v>
      </c>
    </row>
    <row r="477" spans="1:9">
      <c r="A477" t="str">
        <f>"0215243 "</f>
        <v xml:space="preserve">0215243 </v>
      </c>
      <c r="B477" t="s">
        <v>702</v>
      </c>
      <c r="C477" t="s">
        <v>1592</v>
      </c>
      <c r="D477" t="s">
        <v>1593</v>
      </c>
      <c r="E477">
        <v>4</v>
      </c>
      <c r="F477" t="s">
        <v>1594</v>
      </c>
      <c r="G477" t="s">
        <v>706</v>
      </c>
      <c r="H477" t="s">
        <v>1592</v>
      </c>
      <c r="I477" t="s">
        <v>1595</v>
      </c>
    </row>
    <row r="478" spans="1:9">
      <c r="A478" t="str">
        <f>"0215250 "</f>
        <v xml:space="preserve">0215250 </v>
      </c>
      <c r="B478" t="s">
        <v>702</v>
      </c>
      <c r="C478" t="s">
        <v>1596</v>
      </c>
      <c r="D478" t="s">
        <v>1597</v>
      </c>
      <c r="E478">
        <v>2</v>
      </c>
      <c r="F478" t="s">
        <v>1598</v>
      </c>
      <c r="G478" t="s">
        <v>706</v>
      </c>
      <c r="H478" t="s">
        <v>1596</v>
      </c>
      <c r="I478" t="s">
        <v>1599</v>
      </c>
    </row>
    <row r="479" spans="1:9">
      <c r="A479" t="str">
        <f>"0215252 "</f>
        <v xml:space="preserve">0215252 </v>
      </c>
      <c r="B479" t="s">
        <v>702</v>
      </c>
      <c r="C479" t="s">
        <v>1600</v>
      </c>
      <c r="D479" t="s">
        <v>1601</v>
      </c>
      <c r="E479" t="s">
        <v>16</v>
      </c>
      <c r="F479" t="s">
        <v>1576</v>
      </c>
      <c r="G479" t="s">
        <v>706</v>
      </c>
      <c r="H479" t="s">
        <v>1600</v>
      </c>
      <c r="I479" t="s">
        <v>1602</v>
      </c>
    </row>
    <row r="480" spans="1:9">
      <c r="A480" t="str">
        <f>"0215254 "</f>
        <v xml:space="preserve">0215254 </v>
      </c>
      <c r="B480" t="s">
        <v>702</v>
      </c>
      <c r="C480" t="s">
        <v>1603</v>
      </c>
      <c r="D480" t="s">
        <v>1604</v>
      </c>
      <c r="E480" t="s">
        <v>16</v>
      </c>
      <c r="F480" t="s">
        <v>1605</v>
      </c>
      <c r="G480" t="s">
        <v>706</v>
      </c>
      <c r="H480" t="s">
        <v>1603</v>
      </c>
      <c r="I480" t="s">
        <v>1606</v>
      </c>
    </row>
    <row r="481" spans="1:9">
      <c r="A481" t="str">
        <f>"0215255 "</f>
        <v xml:space="preserve">0215255 </v>
      </c>
      <c r="B481" t="s">
        <v>702</v>
      </c>
      <c r="C481" t="s">
        <v>1607</v>
      </c>
      <c r="D481" t="s">
        <v>1608</v>
      </c>
      <c r="E481" t="s">
        <v>16</v>
      </c>
      <c r="F481" t="s">
        <v>1609</v>
      </c>
      <c r="G481" t="s">
        <v>706</v>
      </c>
      <c r="H481" t="s">
        <v>1607</v>
      </c>
      <c r="I481" t="s">
        <v>1610</v>
      </c>
    </row>
    <row r="482" spans="1:9">
      <c r="A482" t="str">
        <f>"0215199 "</f>
        <v xml:space="preserve">0215199 </v>
      </c>
      <c r="B482" t="s">
        <v>702</v>
      </c>
      <c r="C482" t="s">
        <v>1611</v>
      </c>
      <c r="D482" t="s">
        <v>1612</v>
      </c>
      <c r="E482">
        <v>5</v>
      </c>
      <c r="F482" t="s">
        <v>1613</v>
      </c>
      <c r="G482" t="s">
        <v>706</v>
      </c>
      <c r="H482" t="s">
        <v>1611</v>
      </c>
      <c r="I482" t="s">
        <v>1614</v>
      </c>
    </row>
    <row r="483" spans="1:9">
      <c r="A483" t="str">
        <f>"0216143 "</f>
        <v xml:space="preserve">0216143 </v>
      </c>
      <c r="B483" t="s">
        <v>702</v>
      </c>
      <c r="C483" t="s">
        <v>1615</v>
      </c>
      <c r="D483" t="s">
        <v>1616</v>
      </c>
      <c r="E483">
        <v>5</v>
      </c>
      <c r="F483" t="s">
        <v>815</v>
      </c>
      <c r="G483" t="s">
        <v>706</v>
      </c>
      <c r="H483" t="s">
        <v>1615</v>
      </c>
      <c r="I483" t="s">
        <v>1617</v>
      </c>
    </row>
    <row r="484" spans="1:9">
      <c r="A484" t="str">
        <f>"0216144 "</f>
        <v xml:space="preserve">0216144 </v>
      </c>
      <c r="B484" t="s">
        <v>702</v>
      </c>
      <c r="C484" t="s">
        <v>1618</v>
      </c>
      <c r="D484" t="s">
        <v>1619</v>
      </c>
      <c r="E484">
        <v>5</v>
      </c>
      <c r="F484" t="s">
        <v>1620</v>
      </c>
      <c r="G484" t="s">
        <v>706</v>
      </c>
      <c r="H484" t="s">
        <v>1618</v>
      </c>
      <c r="I484" t="s">
        <v>1621</v>
      </c>
    </row>
    <row r="485" spans="1:9">
      <c r="A485" t="str">
        <f>"0216145 "</f>
        <v xml:space="preserve">0216145 </v>
      </c>
      <c r="B485" t="s">
        <v>702</v>
      </c>
      <c r="C485" t="s">
        <v>1622</v>
      </c>
      <c r="D485" t="s">
        <v>1623</v>
      </c>
      <c r="E485">
        <v>2</v>
      </c>
      <c r="F485" t="s">
        <v>1425</v>
      </c>
      <c r="G485" t="s">
        <v>706</v>
      </c>
      <c r="H485" t="s">
        <v>1622</v>
      </c>
      <c r="I485" t="s">
        <v>1624</v>
      </c>
    </row>
    <row r="486" spans="1:9">
      <c r="A486" t="str">
        <f>"0216146 "</f>
        <v xml:space="preserve">0216146 </v>
      </c>
      <c r="B486" t="s">
        <v>702</v>
      </c>
      <c r="C486" t="s">
        <v>1625</v>
      </c>
      <c r="D486" t="s">
        <v>1626</v>
      </c>
      <c r="E486">
        <v>1</v>
      </c>
      <c r="F486" t="s">
        <v>1627</v>
      </c>
      <c r="G486" t="s">
        <v>706</v>
      </c>
      <c r="H486" t="s">
        <v>1625</v>
      </c>
      <c r="I486" t="s">
        <v>1628</v>
      </c>
    </row>
    <row r="487" spans="1:9">
      <c r="A487" t="str">
        <f>"0216148 "</f>
        <v xml:space="preserve">0216148 </v>
      </c>
      <c r="B487" t="s">
        <v>702</v>
      </c>
      <c r="C487" t="s">
        <v>1629</v>
      </c>
      <c r="D487" t="s">
        <v>1630</v>
      </c>
      <c r="E487" t="s">
        <v>16</v>
      </c>
      <c r="F487" t="s">
        <v>1117</v>
      </c>
      <c r="G487" t="s">
        <v>706</v>
      </c>
      <c r="H487" t="s">
        <v>1629</v>
      </c>
      <c r="I487" t="s">
        <v>1631</v>
      </c>
    </row>
    <row r="488" spans="1:9">
      <c r="A488" t="str">
        <f>"0216149 "</f>
        <v xml:space="preserve">0216149 </v>
      </c>
      <c r="B488" t="s">
        <v>702</v>
      </c>
      <c r="C488" t="s">
        <v>1632</v>
      </c>
      <c r="D488" t="s">
        <v>1633</v>
      </c>
      <c r="E488">
        <v>2</v>
      </c>
      <c r="F488" t="s">
        <v>1634</v>
      </c>
      <c r="G488" t="s">
        <v>706</v>
      </c>
      <c r="H488" t="s">
        <v>1632</v>
      </c>
      <c r="I488" t="s">
        <v>1635</v>
      </c>
    </row>
    <row r="489" spans="1:9">
      <c r="A489" t="str">
        <f>"0216152 "</f>
        <v xml:space="preserve">0216152 </v>
      </c>
      <c r="B489" t="s">
        <v>702</v>
      </c>
      <c r="C489" t="s">
        <v>1636</v>
      </c>
      <c r="D489" t="s">
        <v>1637</v>
      </c>
      <c r="E489">
        <v>3</v>
      </c>
      <c r="F489" t="s">
        <v>1638</v>
      </c>
      <c r="G489" t="s">
        <v>706</v>
      </c>
      <c r="H489" t="s">
        <v>1636</v>
      </c>
      <c r="I489" t="s">
        <v>1639</v>
      </c>
    </row>
    <row r="490" spans="1:9">
      <c r="A490" t="str">
        <f>"0216154 "</f>
        <v xml:space="preserve">0216154 </v>
      </c>
      <c r="B490" t="s">
        <v>702</v>
      </c>
      <c r="C490" t="s">
        <v>1640</v>
      </c>
      <c r="D490" t="s">
        <v>1641</v>
      </c>
      <c r="E490">
        <v>1</v>
      </c>
      <c r="F490" t="s">
        <v>1642</v>
      </c>
      <c r="G490" t="s">
        <v>706</v>
      </c>
      <c r="H490" t="s">
        <v>1640</v>
      </c>
      <c r="I490" t="s">
        <v>1643</v>
      </c>
    </row>
    <row r="491" spans="1:9">
      <c r="A491" t="str">
        <f>"0216156 "</f>
        <v xml:space="preserve">0216156 </v>
      </c>
      <c r="B491" t="s">
        <v>702</v>
      </c>
      <c r="C491" t="s">
        <v>1644</v>
      </c>
      <c r="D491" t="s">
        <v>1645</v>
      </c>
      <c r="E491">
        <v>2</v>
      </c>
      <c r="F491" t="s">
        <v>1646</v>
      </c>
      <c r="G491" t="s">
        <v>706</v>
      </c>
      <c r="H491" t="s">
        <v>1644</v>
      </c>
      <c r="I491" t="s">
        <v>1647</v>
      </c>
    </row>
    <row r="492" spans="1:9">
      <c r="A492" t="str">
        <f>"0216158 "</f>
        <v xml:space="preserve">0216158 </v>
      </c>
      <c r="B492" t="s">
        <v>702</v>
      </c>
      <c r="C492" t="s">
        <v>1648</v>
      </c>
      <c r="D492" t="s">
        <v>1649</v>
      </c>
      <c r="E492">
        <v>3</v>
      </c>
      <c r="F492" t="s">
        <v>1650</v>
      </c>
      <c r="G492" t="s">
        <v>706</v>
      </c>
      <c r="H492" t="s">
        <v>1648</v>
      </c>
      <c r="I492" t="s">
        <v>1651</v>
      </c>
    </row>
    <row r="493" spans="1:9">
      <c r="A493" t="str">
        <f>"0216159 "</f>
        <v xml:space="preserve">0216159 </v>
      </c>
      <c r="B493" t="s">
        <v>702</v>
      </c>
      <c r="C493" t="s">
        <v>1652</v>
      </c>
      <c r="D493" t="s">
        <v>1653</v>
      </c>
      <c r="E493">
        <v>2</v>
      </c>
      <c r="F493" t="s">
        <v>772</v>
      </c>
      <c r="G493" t="s">
        <v>706</v>
      </c>
      <c r="H493" t="s">
        <v>1652</v>
      </c>
      <c r="I493" t="s">
        <v>1654</v>
      </c>
    </row>
    <row r="494" spans="1:9">
      <c r="A494" t="str">
        <f>"0216162 "</f>
        <v xml:space="preserve">0216162 </v>
      </c>
      <c r="B494" t="s">
        <v>702</v>
      </c>
      <c r="C494" t="s">
        <v>1655</v>
      </c>
      <c r="D494" t="s">
        <v>1656</v>
      </c>
      <c r="E494">
        <v>2</v>
      </c>
      <c r="F494" t="s">
        <v>1646</v>
      </c>
      <c r="G494" t="s">
        <v>706</v>
      </c>
      <c r="H494" t="s">
        <v>1655</v>
      </c>
      <c r="I494" t="s">
        <v>1657</v>
      </c>
    </row>
    <row r="495" spans="1:9">
      <c r="A495" t="str">
        <f>"0216163 "</f>
        <v xml:space="preserve">0216163 </v>
      </c>
      <c r="B495" t="s">
        <v>702</v>
      </c>
      <c r="C495" t="s">
        <v>1658</v>
      </c>
      <c r="D495" t="s">
        <v>1659</v>
      </c>
      <c r="E495" t="s">
        <v>16</v>
      </c>
      <c r="F495" t="s">
        <v>1660</v>
      </c>
      <c r="G495" t="s">
        <v>706</v>
      </c>
      <c r="H495" t="s">
        <v>1658</v>
      </c>
      <c r="I495" t="s">
        <v>1661</v>
      </c>
    </row>
    <row r="496" spans="1:9">
      <c r="A496" t="str">
        <f>"0216165 "</f>
        <v xml:space="preserve">0216165 </v>
      </c>
      <c r="B496" t="s">
        <v>702</v>
      </c>
      <c r="C496" t="s">
        <v>1662</v>
      </c>
      <c r="D496" t="s">
        <v>1663</v>
      </c>
      <c r="E496">
        <v>2</v>
      </c>
      <c r="F496" t="s">
        <v>920</v>
      </c>
      <c r="G496" t="s">
        <v>706</v>
      </c>
      <c r="H496" t="s">
        <v>1662</v>
      </c>
      <c r="I496" t="s">
        <v>1664</v>
      </c>
    </row>
    <row r="497" spans="1:9">
      <c r="A497" t="str">
        <f>"0216168 "</f>
        <v xml:space="preserve">0216168 </v>
      </c>
      <c r="B497" t="s">
        <v>702</v>
      </c>
      <c r="C497" t="s">
        <v>1665</v>
      </c>
      <c r="D497" t="s">
        <v>1666</v>
      </c>
      <c r="E497">
        <v>2</v>
      </c>
      <c r="F497" t="s">
        <v>1667</v>
      </c>
      <c r="G497" t="s">
        <v>706</v>
      </c>
      <c r="H497" t="s">
        <v>1665</v>
      </c>
      <c r="I497" t="s">
        <v>1668</v>
      </c>
    </row>
    <row r="498" spans="1:9">
      <c r="A498" t="str">
        <f>"0216171 "</f>
        <v xml:space="preserve">0216171 </v>
      </c>
      <c r="B498" t="s">
        <v>702</v>
      </c>
      <c r="C498" t="s">
        <v>1669</v>
      </c>
      <c r="D498" t="s">
        <v>1670</v>
      </c>
      <c r="E498">
        <v>1</v>
      </c>
      <c r="F498" t="s">
        <v>1671</v>
      </c>
      <c r="G498" t="s">
        <v>706</v>
      </c>
      <c r="H498" t="s">
        <v>1669</v>
      </c>
      <c r="I498" t="s">
        <v>1672</v>
      </c>
    </row>
    <row r="499" spans="1:9">
      <c r="A499" t="str">
        <f>"0216173 "</f>
        <v xml:space="preserve">0216173 </v>
      </c>
      <c r="B499" t="s">
        <v>702</v>
      </c>
      <c r="C499" t="s">
        <v>1673</v>
      </c>
      <c r="D499" t="s">
        <v>1674</v>
      </c>
      <c r="E499">
        <v>2</v>
      </c>
      <c r="F499" t="s">
        <v>1675</v>
      </c>
      <c r="G499" t="s">
        <v>706</v>
      </c>
      <c r="H499" t="s">
        <v>1673</v>
      </c>
      <c r="I499" t="s">
        <v>1676</v>
      </c>
    </row>
    <row r="500" spans="1:9">
      <c r="A500" t="str">
        <f>"0216174 "</f>
        <v xml:space="preserve">0216174 </v>
      </c>
      <c r="B500" t="s">
        <v>702</v>
      </c>
      <c r="C500" t="s">
        <v>1677</v>
      </c>
      <c r="D500" t="s">
        <v>1678</v>
      </c>
      <c r="E500" t="s">
        <v>16</v>
      </c>
      <c r="F500" t="s">
        <v>1679</v>
      </c>
      <c r="G500" t="s">
        <v>706</v>
      </c>
      <c r="H500" t="s">
        <v>1677</v>
      </c>
      <c r="I500" t="s">
        <v>1680</v>
      </c>
    </row>
    <row r="501" spans="1:9">
      <c r="A501" t="str">
        <f>"0216175 "</f>
        <v xml:space="preserve">0216175 </v>
      </c>
      <c r="B501" t="s">
        <v>702</v>
      </c>
      <c r="C501" t="s">
        <v>1681</v>
      </c>
      <c r="D501" t="s">
        <v>1682</v>
      </c>
      <c r="E501">
        <v>1</v>
      </c>
      <c r="F501" t="s">
        <v>1620</v>
      </c>
      <c r="G501" t="s">
        <v>706</v>
      </c>
      <c r="H501" t="s">
        <v>1681</v>
      </c>
      <c r="I501" t="s">
        <v>1683</v>
      </c>
    </row>
    <row r="502" spans="1:9">
      <c r="A502" t="str">
        <f>"0216185 "</f>
        <v xml:space="preserve">0216185 </v>
      </c>
      <c r="B502" t="s">
        <v>702</v>
      </c>
      <c r="C502" t="s">
        <v>1684</v>
      </c>
      <c r="D502" t="s">
        <v>1685</v>
      </c>
      <c r="E502">
        <v>4</v>
      </c>
      <c r="F502" t="s">
        <v>1686</v>
      </c>
      <c r="G502" t="s">
        <v>706</v>
      </c>
      <c r="H502" t="s">
        <v>1684</v>
      </c>
      <c r="I502" t="s">
        <v>1687</v>
      </c>
    </row>
    <row r="503" spans="1:9">
      <c r="A503" t="str">
        <f>"0216187 "</f>
        <v xml:space="preserve">0216187 </v>
      </c>
      <c r="B503" t="s">
        <v>702</v>
      </c>
      <c r="C503" t="s">
        <v>1688</v>
      </c>
      <c r="D503" t="s">
        <v>1689</v>
      </c>
      <c r="E503">
        <v>1</v>
      </c>
      <c r="F503" t="s">
        <v>1690</v>
      </c>
      <c r="G503" t="s">
        <v>706</v>
      </c>
      <c r="H503" t="s">
        <v>1688</v>
      </c>
      <c r="I503" t="s">
        <v>1691</v>
      </c>
    </row>
    <row r="504" spans="1:9">
      <c r="A504" t="str">
        <f>"0216188 "</f>
        <v xml:space="preserve">0216188 </v>
      </c>
      <c r="B504" t="s">
        <v>702</v>
      </c>
      <c r="C504" t="s">
        <v>1692</v>
      </c>
      <c r="D504" t="s">
        <v>1693</v>
      </c>
      <c r="E504">
        <v>2</v>
      </c>
      <c r="F504" t="s">
        <v>1609</v>
      </c>
      <c r="G504" t="s">
        <v>706</v>
      </c>
      <c r="H504" t="s">
        <v>1692</v>
      </c>
      <c r="I504" t="s">
        <v>1694</v>
      </c>
    </row>
    <row r="505" spans="1:9">
      <c r="A505" t="str">
        <f>"0216194 "</f>
        <v xml:space="preserve">0216194 </v>
      </c>
      <c r="B505" t="s">
        <v>702</v>
      </c>
      <c r="C505" t="s">
        <v>1695</v>
      </c>
      <c r="D505" t="s">
        <v>1696</v>
      </c>
      <c r="E505">
        <v>1</v>
      </c>
      <c r="F505" t="s">
        <v>1697</v>
      </c>
      <c r="G505" t="s">
        <v>706</v>
      </c>
      <c r="H505" t="s">
        <v>1695</v>
      </c>
      <c r="I505" t="s">
        <v>1698</v>
      </c>
    </row>
    <row r="506" spans="1:9">
      <c r="A506" t="str">
        <f>"0216195 "</f>
        <v xml:space="preserve">0216195 </v>
      </c>
      <c r="B506" t="s">
        <v>702</v>
      </c>
      <c r="C506" t="s">
        <v>1699</v>
      </c>
      <c r="D506" t="s">
        <v>1700</v>
      </c>
      <c r="E506">
        <v>2</v>
      </c>
      <c r="F506" t="s">
        <v>1701</v>
      </c>
      <c r="G506" t="s">
        <v>706</v>
      </c>
      <c r="H506" t="s">
        <v>1699</v>
      </c>
      <c r="I506" t="s">
        <v>1702</v>
      </c>
    </row>
    <row r="507" spans="1:9">
      <c r="A507" t="str">
        <f>"0216199 "</f>
        <v xml:space="preserve">0216199 </v>
      </c>
      <c r="B507" t="s">
        <v>702</v>
      </c>
      <c r="C507" t="s">
        <v>1703</v>
      </c>
      <c r="D507" t="s">
        <v>1704</v>
      </c>
      <c r="E507">
        <v>2</v>
      </c>
      <c r="F507" t="s">
        <v>1705</v>
      </c>
      <c r="G507" t="s">
        <v>706</v>
      </c>
      <c r="H507" t="s">
        <v>1703</v>
      </c>
      <c r="I507" t="s">
        <v>1706</v>
      </c>
    </row>
    <row r="508" spans="1:9">
      <c r="A508" t="str">
        <f>"0216202 "</f>
        <v xml:space="preserve">0216202 </v>
      </c>
      <c r="B508" t="s">
        <v>702</v>
      </c>
      <c r="C508" t="s">
        <v>1707</v>
      </c>
      <c r="D508" t="s">
        <v>1708</v>
      </c>
      <c r="E508">
        <v>5</v>
      </c>
      <c r="F508" t="s">
        <v>807</v>
      </c>
      <c r="G508" t="s">
        <v>706</v>
      </c>
      <c r="H508" t="s">
        <v>1707</v>
      </c>
      <c r="I508" t="s">
        <v>1709</v>
      </c>
    </row>
    <row r="509" spans="1:9">
      <c r="A509" t="str">
        <f>"0216203 "</f>
        <v xml:space="preserve">0216203 </v>
      </c>
      <c r="B509" t="s">
        <v>702</v>
      </c>
      <c r="C509" t="s">
        <v>1710</v>
      </c>
      <c r="D509" t="s">
        <v>1711</v>
      </c>
      <c r="E509">
        <v>4</v>
      </c>
      <c r="F509" t="s">
        <v>750</v>
      </c>
      <c r="G509" t="s">
        <v>706</v>
      </c>
      <c r="H509" t="s">
        <v>1710</v>
      </c>
      <c r="I509" t="s">
        <v>1712</v>
      </c>
    </row>
    <row r="510" spans="1:9">
      <c r="A510" t="str">
        <f>"0216218 "</f>
        <v xml:space="preserve">0216218 </v>
      </c>
      <c r="B510" t="s">
        <v>702</v>
      </c>
      <c r="C510" t="s">
        <v>1713</v>
      </c>
      <c r="D510" t="s">
        <v>1714</v>
      </c>
      <c r="E510">
        <v>2</v>
      </c>
      <c r="F510" t="s">
        <v>1715</v>
      </c>
      <c r="G510" t="s">
        <v>706</v>
      </c>
      <c r="H510" t="s">
        <v>1713</v>
      </c>
      <c r="I510" t="s">
        <v>1716</v>
      </c>
    </row>
    <row r="511" spans="1:9">
      <c r="A511" t="str">
        <f>"0216219 "</f>
        <v xml:space="preserve">0216219 </v>
      </c>
      <c r="B511" t="s">
        <v>702</v>
      </c>
      <c r="C511" t="s">
        <v>1717</v>
      </c>
      <c r="D511" t="s">
        <v>1718</v>
      </c>
      <c r="E511">
        <v>1</v>
      </c>
      <c r="F511" t="s">
        <v>1176</v>
      </c>
      <c r="G511" t="s">
        <v>706</v>
      </c>
      <c r="H511" t="s">
        <v>1717</v>
      </c>
      <c r="I511" t="s">
        <v>1719</v>
      </c>
    </row>
    <row r="512" spans="1:9">
      <c r="A512" t="str">
        <f>"0216221 "</f>
        <v xml:space="preserve">0216221 </v>
      </c>
      <c r="B512" t="s">
        <v>702</v>
      </c>
      <c r="C512" t="s">
        <v>1720</v>
      </c>
      <c r="D512" t="s">
        <v>1721</v>
      </c>
      <c r="E512">
        <v>2</v>
      </c>
      <c r="F512" t="s">
        <v>1715</v>
      </c>
      <c r="G512" t="s">
        <v>706</v>
      </c>
      <c r="H512" t="s">
        <v>1720</v>
      </c>
      <c r="I512" t="s">
        <v>1722</v>
      </c>
    </row>
    <row r="513" spans="1:9">
      <c r="A513" t="str">
        <f>"0216223 "</f>
        <v xml:space="preserve">0216223 </v>
      </c>
      <c r="B513" t="s">
        <v>702</v>
      </c>
      <c r="C513" t="s">
        <v>1723</v>
      </c>
      <c r="D513" t="s">
        <v>1724</v>
      </c>
      <c r="E513">
        <v>1</v>
      </c>
      <c r="F513" t="s">
        <v>1725</v>
      </c>
      <c r="G513" t="s">
        <v>706</v>
      </c>
      <c r="H513" t="s">
        <v>1723</v>
      </c>
      <c r="I513" t="s">
        <v>1726</v>
      </c>
    </row>
    <row r="514" spans="1:9">
      <c r="A514" t="str">
        <f>"0215210 "</f>
        <v xml:space="preserve">0215210 </v>
      </c>
      <c r="B514" t="s">
        <v>702</v>
      </c>
      <c r="C514" t="s">
        <v>1727</v>
      </c>
      <c r="D514" t="s">
        <v>1728</v>
      </c>
      <c r="E514">
        <v>1</v>
      </c>
      <c r="F514" t="s">
        <v>1686</v>
      </c>
      <c r="G514" t="s">
        <v>706</v>
      </c>
      <c r="H514" t="s">
        <v>1727</v>
      </c>
      <c r="I514" t="s">
        <v>1729</v>
      </c>
    </row>
    <row r="515" spans="1:9">
      <c r="A515" t="str">
        <f>"0215221 "</f>
        <v xml:space="preserve">0215221 </v>
      </c>
      <c r="B515" t="s">
        <v>702</v>
      </c>
      <c r="C515" t="s">
        <v>1730</v>
      </c>
      <c r="D515" t="s">
        <v>1731</v>
      </c>
      <c r="E515">
        <v>3</v>
      </c>
      <c r="F515" t="s">
        <v>1732</v>
      </c>
      <c r="G515" t="s">
        <v>706</v>
      </c>
      <c r="H515" t="s">
        <v>1730</v>
      </c>
      <c r="I515" t="s">
        <v>1588</v>
      </c>
    </row>
    <row r="516" spans="1:9">
      <c r="A516" t="str">
        <f>"0215222 "</f>
        <v xml:space="preserve">0215222 </v>
      </c>
      <c r="B516" t="s">
        <v>702</v>
      </c>
      <c r="C516" t="s">
        <v>1733</v>
      </c>
      <c r="D516" t="s">
        <v>1734</v>
      </c>
      <c r="E516">
        <v>2</v>
      </c>
      <c r="F516" t="s">
        <v>750</v>
      </c>
      <c r="G516" t="s">
        <v>706</v>
      </c>
      <c r="H516" t="s">
        <v>1733</v>
      </c>
      <c r="I516" t="s">
        <v>1735</v>
      </c>
    </row>
    <row r="517" spans="1:9">
      <c r="A517" t="str">
        <f>"0215209 "</f>
        <v xml:space="preserve">0215209 </v>
      </c>
      <c r="B517" t="s">
        <v>702</v>
      </c>
      <c r="C517" t="s">
        <v>1736</v>
      </c>
      <c r="D517" t="s">
        <v>1737</v>
      </c>
      <c r="E517">
        <v>1</v>
      </c>
      <c r="F517" t="s">
        <v>1738</v>
      </c>
      <c r="G517" t="s">
        <v>706</v>
      </c>
      <c r="H517" t="s">
        <v>1736</v>
      </c>
      <c r="I517" t="s">
        <v>1739</v>
      </c>
    </row>
    <row r="518" spans="1:9">
      <c r="A518" t="str">
        <f>"0215223 "</f>
        <v xml:space="preserve">0215223 </v>
      </c>
      <c r="B518" t="s">
        <v>702</v>
      </c>
      <c r="C518" t="s">
        <v>1740</v>
      </c>
      <c r="D518" t="s">
        <v>1741</v>
      </c>
      <c r="E518">
        <v>2</v>
      </c>
      <c r="F518" t="s">
        <v>1172</v>
      </c>
      <c r="G518" t="s">
        <v>706</v>
      </c>
      <c r="H518" t="s">
        <v>1740</v>
      </c>
      <c r="I518" t="s">
        <v>1742</v>
      </c>
    </row>
    <row r="519" spans="1:9">
      <c r="A519" t="str">
        <f>"0215261 "</f>
        <v xml:space="preserve">0215261 </v>
      </c>
      <c r="B519" t="s">
        <v>702</v>
      </c>
      <c r="C519" t="s">
        <v>1743</v>
      </c>
      <c r="D519" t="s">
        <v>1744</v>
      </c>
      <c r="E519">
        <v>1</v>
      </c>
      <c r="F519" t="s">
        <v>1745</v>
      </c>
      <c r="G519" t="s">
        <v>706</v>
      </c>
      <c r="H519" t="s">
        <v>1743</v>
      </c>
      <c r="I519" t="s">
        <v>1746</v>
      </c>
    </row>
    <row r="520" spans="1:9">
      <c r="A520" t="str">
        <f>"0215262 "</f>
        <v xml:space="preserve">0215262 </v>
      </c>
      <c r="B520" t="s">
        <v>702</v>
      </c>
      <c r="C520" t="s">
        <v>1747</v>
      </c>
      <c r="D520" t="s">
        <v>1748</v>
      </c>
      <c r="E520">
        <v>1</v>
      </c>
      <c r="F520" t="s">
        <v>746</v>
      </c>
      <c r="G520" t="s">
        <v>706</v>
      </c>
      <c r="H520" t="s">
        <v>1747</v>
      </c>
      <c r="I520" t="s">
        <v>1749</v>
      </c>
    </row>
    <row r="521" spans="1:9">
      <c r="A521" t="str">
        <f>"0215523 "</f>
        <v xml:space="preserve">0215523 </v>
      </c>
      <c r="B521" t="s">
        <v>702</v>
      </c>
      <c r="C521" t="s">
        <v>1750</v>
      </c>
      <c r="D521" t="s">
        <v>1751</v>
      </c>
      <c r="E521">
        <v>1</v>
      </c>
      <c r="F521" t="s">
        <v>1752</v>
      </c>
      <c r="G521" t="s">
        <v>706</v>
      </c>
      <c r="H521" t="s">
        <v>1750</v>
      </c>
      <c r="I521" t="s">
        <v>1753</v>
      </c>
    </row>
    <row r="522" spans="1:9">
      <c r="A522" t="str">
        <f>"0215190 "</f>
        <v xml:space="preserve">0215190 </v>
      </c>
      <c r="B522" t="s">
        <v>702</v>
      </c>
      <c r="C522" t="s">
        <v>1754</v>
      </c>
      <c r="D522" t="s">
        <v>1755</v>
      </c>
      <c r="E522">
        <v>2</v>
      </c>
      <c r="F522" t="s">
        <v>1756</v>
      </c>
      <c r="G522" t="s">
        <v>706</v>
      </c>
      <c r="H522" t="s">
        <v>1754</v>
      </c>
      <c r="I522" t="s">
        <v>1757</v>
      </c>
    </row>
    <row r="523" spans="1:9">
      <c r="A523" t="str">
        <f>"0215191 "</f>
        <v xml:space="preserve">0215191 </v>
      </c>
      <c r="B523" t="s">
        <v>702</v>
      </c>
      <c r="C523" t="s">
        <v>1758</v>
      </c>
      <c r="D523" t="s">
        <v>1759</v>
      </c>
      <c r="E523">
        <v>1</v>
      </c>
      <c r="F523" t="s">
        <v>1679</v>
      </c>
      <c r="G523" t="s">
        <v>706</v>
      </c>
      <c r="H523" t="s">
        <v>1758</v>
      </c>
      <c r="I523" t="s">
        <v>1760</v>
      </c>
    </row>
    <row r="524" spans="1:9">
      <c r="A524" t="str">
        <f>"0215213 "</f>
        <v xml:space="preserve">0215213 </v>
      </c>
      <c r="B524" t="s">
        <v>702</v>
      </c>
      <c r="C524" t="s">
        <v>1761</v>
      </c>
      <c r="D524" t="s">
        <v>1762</v>
      </c>
      <c r="E524">
        <v>2</v>
      </c>
      <c r="F524" t="s">
        <v>1038</v>
      </c>
      <c r="G524" t="s">
        <v>706</v>
      </c>
      <c r="H524" t="s">
        <v>1761</v>
      </c>
      <c r="I524" t="s">
        <v>1763</v>
      </c>
    </row>
    <row r="525" spans="1:9">
      <c r="A525" t="str">
        <f>"0215201 "</f>
        <v xml:space="preserve">0215201 </v>
      </c>
      <c r="B525" t="s">
        <v>702</v>
      </c>
      <c r="C525" t="s">
        <v>1764</v>
      </c>
      <c r="D525" t="s">
        <v>1765</v>
      </c>
      <c r="E525">
        <v>4</v>
      </c>
      <c r="F525" t="s">
        <v>1766</v>
      </c>
      <c r="G525" t="s">
        <v>706</v>
      </c>
      <c r="H525" t="s">
        <v>1764</v>
      </c>
      <c r="I525" t="s">
        <v>1767</v>
      </c>
    </row>
    <row r="526" spans="1:9">
      <c r="A526" t="str">
        <f>"0215203 "</f>
        <v xml:space="preserve">0215203 </v>
      </c>
      <c r="B526" t="s">
        <v>702</v>
      </c>
      <c r="C526" t="s">
        <v>1768</v>
      </c>
      <c r="D526" t="s">
        <v>1769</v>
      </c>
      <c r="E526">
        <v>3</v>
      </c>
      <c r="F526" t="s">
        <v>1770</v>
      </c>
      <c r="G526" t="s">
        <v>706</v>
      </c>
      <c r="H526" t="s">
        <v>1768</v>
      </c>
      <c r="I526" t="s">
        <v>1771</v>
      </c>
    </row>
    <row r="527" spans="1:9">
      <c r="A527" t="str">
        <f>"0215217 "</f>
        <v xml:space="preserve">0215217 </v>
      </c>
      <c r="B527" t="s">
        <v>702</v>
      </c>
      <c r="C527" t="s">
        <v>1772</v>
      </c>
      <c r="D527" t="s">
        <v>1773</v>
      </c>
      <c r="E527">
        <v>2</v>
      </c>
      <c r="F527" t="s">
        <v>1774</v>
      </c>
      <c r="G527" t="s">
        <v>706</v>
      </c>
      <c r="H527" t="s">
        <v>1772</v>
      </c>
      <c r="I527" t="s">
        <v>1775</v>
      </c>
    </row>
    <row r="528" spans="1:9">
      <c r="A528" t="str">
        <f>"0213543 "</f>
        <v xml:space="preserve">0213543 </v>
      </c>
      <c r="B528" t="s">
        <v>1776</v>
      </c>
      <c r="C528" t="s">
        <v>1777</v>
      </c>
      <c r="D528" t="s">
        <v>1778</v>
      </c>
      <c r="E528">
        <v>4</v>
      </c>
      <c r="F528" t="s">
        <v>1779</v>
      </c>
      <c r="G528" t="s">
        <v>706</v>
      </c>
      <c r="H528" t="s">
        <v>1777</v>
      </c>
      <c r="I528" s="2" t="s">
        <v>1780</v>
      </c>
    </row>
    <row r="529" spans="1:9">
      <c r="A529" t="str">
        <f>"0212761 "</f>
        <v xml:space="preserve">0212761 </v>
      </c>
      <c r="B529" t="s">
        <v>1776</v>
      </c>
      <c r="C529" t="s">
        <v>1781</v>
      </c>
      <c r="D529" t="s">
        <v>1782</v>
      </c>
      <c r="E529">
        <v>2</v>
      </c>
      <c r="F529" s="1">
        <v>42941</v>
      </c>
      <c r="G529" t="s">
        <v>706</v>
      </c>
      <c r="H529" t="s">
        <v>1781</v>
      </c>
      <c r="I529" s="2" t="s">
        <v>1783</v>
      </c>
    </row>
    <row r="530" spans="1:9">
      <c r="A530" t="str">
        <f>"0212762 "</f>
        <v xml:space="preserve">0212762 </v>
      </c>
      <c r="B530" t="s">
        <v>1776</v>
      </c>
      <c r="C530" t="s">
        <v>1784</v>
      </c>
      <c r="D530" t="s">
        <v>1785</v>
      </c>
      <c r="E530" t="s">
        <v>16</v>
      </c>
      <c r="F530" t="s">
        <v>1786</v>
      </c>
      <c r="G530" t="s">
        <v>706</v>
      </c>
      <c r="H530" t="s">
        <v>1784</v>
      </c>
      <c r="I530" s="2" t="s">
        <v>1787</v>
      </c>
    </row>
    <row r="531" spans="1:9">
      <c r="A531" t="str">
        <f>"0212763 "</f>
        <v xml:space="preserve">0212763 </v>
      </c>
      <c r="B531" t="s">
        <v>1776</v>
      </c>
      <c r="C531" t="s">
        <v>1788</v>
      </c>
      <c r="D531" t="s">
        <v>1789</v>
      </c>
      <c r="E531" t="s">
        <v>16</v>
      </c>
      <c r="F531" s="1">
        <v>42941</v>
      </c>
      <c r="G531" t="s">
        <v>706</v>
      </c>
      <c r="H531" t="s">
        <v>1788</v>
      </c>
      <c r="I531" t="s">
        <v>1790</v>
      </c>
    </row>
    <row r="532" spans="1:9">
      <c r="A532" t="str">
        <f>"0212765 "</f>
        <v xml:space="preserve">0212765 </v>
      </c>
      <c r="B532" t="s">
        <v>1776</v>
      </c>
      <c r="C532" t="s">
        <v>1791</v>
      </c>
      <c r="D532" t="s">
        <v>1792</v>
      </c>
      <c r="E532" t="s">
        <v>16</v>
      </c>
      <c r="F532" t="s">
        <v>1793</v>
      </c>
      <c r="G532" t="s">
        <v>706</v>
      </c>
      <c r="H532" t="s">
        <v>1791</v>
      </c>
      <c r="I532" t="s">
        <v>1794</v>
      </c>
    </row>
    <row r="533" spans="1:9">
      <c r="A533" t="str">
        <f>"0212766 "</f>
        <v xml:space="preserve">0212766 </v>
      </c>
      <c r="B533" t="s">
        <v>1776</v>
      </c>
      <c r="C533" t="s">
        <v>1795</v>
      </c>
      <c r="D533" t="s">
        <v>1796</v>
      </c>
      <c r="E533" t="s">
        <v>16</v>
      </c>
      <c r="F533" t="s">
        <v>1797</v>
      </c>
      <c r="G533" t="s">
        <v>706</v>
      </c>
      <c r="H533" t="s">
        <v>1795</v>
      </c>
      <c r="I533" s="2" t="s">
        <v>1798</v>
      </c>
    </row>
    <row r="534" spans="1:9">
      <c r="A534" t="str">
        <f>"0212996 "</f>
        <v xml:space="preserve">0212996 </v>
      </c>
      <c r="B534" t="s">
        <v>1776</v>
      </c>
      <c r="C534" t="s">
        <v>1799</v>
      </c>
      <c r="D534" t="s">
        <v>1800</v>
      </c>
      <c r="E534" t="s">
        <v>16</v>
      </c>
      <c r="F534" s="1">
        <v>42941</v>
      </c>
      <c r="G534" t="s">
        <v>706</v>
      </c>
      <c r="H534" t="s">
        <v>1799</v>
      </c>
      <c r="I534" t="s">
        <v>1801</v>
      </c>
    </row>
    <row r="535" spans="1:9">
      <c r="A535" t="str">
        <f>"0213001 "</f>
        <v xml:space="preserve">0213001 </v>
      </c>
      <c r="B535" t="s">
        <v>1776</v>
      </c>
      <c r="C535" t="s">
        <v>1802</v>
      </c>
      <c r="D535" t="s">
        <v>1803</v>
      </c>
      <c r="E535">
        <v>5</v>
      </c>
      <c r="F535" t="s">
        <v>1804</v>
      </c>
      <c r="G535" t="s">
        <v>706</v>
      </c>
      <c r="H535" t="s">
        <v>1802</v>
      </c>
      <c r="I535" t="s">
        <v>1805</v>
      </c>
    </row>
    <row r="536" spans="1:9">
      <c r="A536" t="str">
        <f>"0213004 "</f>
        <v xml:space="preserve">0213004 </v>
      </c>
      <c r="B536" t="s">
        <v>1776</v>
      </c>
      <c r="C536" t="s">
        <v>1806</v>
      </c>
      <c r="D536" t="s">
        <v>1807</v>
      </c>
      <c r="E536" t="s">
        <v>16</v>
      </c>
      <c r="F536" t="s">
        <v>1808</v>
      </c>
      <c r="G536" t="s">
        <v>706</v>
      </c>
      <c r="H536" t="s">
        <v>1806</v>
      </c>
      <c r="I536" t="s">
        <v>1809</v>
      </c>
    </row>
    <row r="537" spans="1:9">
      <c r="A537" t="str">
        <f>"0213014 "</f>
        <v xml:space="preserve">0213014 </v>
      </c>
      <c r="B537" t="s">
        <v>1776</v>
      </c>
      <c r="C537" t="s">
        <v>1810</v>
      </c>
      <c r="D537" t="s">
        <v>1811</v>
      </c>
      <c r="E537" t="s">
        <v>16</v>
      </c>
      <c r="F537" t="s">
        <v>1812</v>
      </c>
      <c r="G537" t="s">
        <v>706</v>
      </c>
      <c r="H537" t="s">
        <v>1810</v>
      </c>
      <c r="I537" t="s">
        <v>1813</v>
      </c>
    </row>
    <row r="538" spans="1:9">
      <c r="A538" t="str">
        <f>"0269214 "</f>
        <v xml:space="preserve">0269214 </v>
      </c>
      <c r="B538" t="s">
        <v>1814</v>
      </c>
      <c r="C538" t="s">
        <v>1815</v>
      </c>
      <c r="D538" t="s">
        <v>1816</v>
      </c>
      <c r="E538" t="s">
        <v>16</v>
      </c>
      <c r="F538" t="s">
        <v>1817</v>
      </c>
      <c r="G538" t="s">
        <v>1818</v>
      </c>
      <c r="H538" t="s">
        <v>1815</v>
      </c>
    </row>
    <row r="539" spans="1:9">
      <c r="A539" t="str">
        <f>"0269215 "</f>
        <v xml:space="preserve">0269215 </v>
      </c>
      <c r="B539" t="s">
        <v>1814</v>
      </c>
      <c r="C539" t="s">
        <v>1819</v>
      </c>
      <c r="D539" t="s">
        <v>1820</v>
      </c>
      <c r="E539" t="s">
        <v>16</v>
      </c>
      <c r="F539" t="s">
        <v>1821</v>
      </c>
      <c r="G539" t="s">
        <v>1818</v>
      </c>
      <c r="H539" t="s">
        <v>1819</v>
      </c>
    </row>
    <row r="540" spans="1:9">
      <c r="A540" t="str">
        <f>"0218107 "</f>
        <v xml:space="preserve">0218107 </v>
      </c>
      <c r="B540" t="s">
        <v>1814</v>
      </c>
      <c r="C540" t="s">
        <v>1822</v>
      </c>
      <c r="D540" t="s">
        <v>1823</v>
      </c>
      <c r="E540" t="s">
        <v>16</v>
      </c>
      <c r="F540" t="s">
        <v>1824</v>
      </c>
      <c r="G540" t="s">
        <v>1818</v>
      </c>
      <c r="H540" t="s">
        <v>1822</v>
      </c>
    </row>
    <row r="541" spans="1:9">
      <c r="A541" t="str">
        <f>"0218109 "</f>
        <v xml:space="preserve">0218109 </v>
      </c>
      <c r="B541" t="s">
        <v>1814</v>
      </c>
      <c r="C541" t="s">
        <v>1825</v>
      </c>
      <c r="D541" t="s">
        <v>1826</v>
      </c>
      <c r="E541" t="s">
        <v>16</v>
      </c>
      <c r="F541" t="s">
        <v>1827</v>
      </c>
      <c r="G541" t="s">
        <v>1818</v>
      </c>
      <c r="H541" t="s">
        <v>1825</v>
      </c>
    </row>
    <row r="542" spans="1:9">
      <c r="A542" t="str">
        <f>"0218105 "</f>
        <v xml:space="preserve">0218105 </v>
      </c>
      <c r="B542" t="s">
        <v>1814</v>
      </c>
      <c r="C542" t="s">
        <v>1828</v>
      </c>
      <c r="D542" t="s">
        <v>1829</v>
      </c>
      <c r="E542">
        <v>5</v>
      </c>
      <c r="F542" t="s">
        <v>1830</v>
      </c>
      <c r="G542" t="s">
        <v>1818</v>
      </c>
      <c r="H542" t="s">
        <v>1828</v>
      </c>
    </row>
    <row r="543" spans="1:9">
      <c r="A543" t="str">
        <f>"0269216 "</f>
        <v xml:space="preserve">0269216 </v>
      </c>
      <c r="B543" t="s">
        <v>1814</v>
      </c>
      <c r="C543" t="s">
        <v>1831</v>
      </c>
      <c r="D543" t="s">
        <v>1832</v>
      </c>
      <c r="E543" t="s">
        <v>16</v>
      </c>
      <c r="F543" t="s">
        <v>1833</v>
      </c>
      <c r="G543" t="s">
        <v>1818</v>
      </c>
      <c r="H543" t="s">
        <v>1831</v>
      </c>
    </row>
    <row r="544" spans="1:9">
      <c r="A544" t="str">
        <f>"0218108 "</f>
        <v xml:space="preserve">0218108 </v>
      </c>
      <c r="B544" t="s">
        <v>1814</v>
      </c>
      <c r="C544" t="s">
        <v>1834</v>
      </c>
      <c r="D544" t="s">
        <v>1835</v>
      </c>
      <c r="E544" t="s">
        <v>16</v>
      </c>
      <c r="F544" t="s">
        <v>1836</v>
      </c>
      <c r="G544" t="s">
        <v>1818</v>
      </c>
      <c r="H544" t="s">
        <v>1834</v>
      </c>
    </row>
    <row r="545" spans="1:9">
      <c r="A545" t="str">
        <f>"0218110 "</f>
        <v xml:space="preserve">0218110 </v>
      </c>
      <c r="B545" t="s">
        <v>1814</v>
      </c>
      <c r="C545" t="s">
        <v>1837</v>
      </c>
      <c r="D545" t="s">
        <v>1838</v>
      </c>
      <c r="E545" t="s">
        <v>16</v>
      </c>
      <c r="F545" t="s">
        <v>1839</v>
      </c>
      <c r="G545" t="s">
        <v>1818</v>
      </c>
      <c r="H545" t="s">
        <v>1837</v>
      </c>
    </row>
    <row r="546" spans="1:9">
      <c r="A546" t="str">
        <f>"0218106 "</f>
        <v xml:space="preserve">0218106 </v>
      </c>
      <c r="B546" t="s">
        <v>1814</v>
      </c>
      <c r="C546" t="s">
        <v>1840</v>
      </c>
      <c r="D546" t="s">
        <v>1841</v>
      </c>
      <c r="E546" t="s">
        <v>16</v>
      </c>
      <c r="F546" t="s">
        <v>1842</v>
      </c>
      <c r="G546" t="s">
        <v>1818</v>
      </c>
      <c r="H546" t="s">
        <v>1840</v>
      </c>
    </row>
    <row r="547" spans="1:9">
      <c r="A547" t="str">
        <f>"0031851 "</f>
        <v xml:space="preserve">0031851 </v>
      </c>
      <c r="B547" t="s">
        <v>1843</v>
      </c>
      <c r="C547" t="s">
        <v>1844</v>
      </c>
      <c r="D547" t="s">
        <v>1845</v>
      </c>
      <c r="E547">
        <v>1</v>
      </c>
      <c r="F547" t="s">
        <v>1846</v>
      </c>
      <c r="G547" t="s">
        <v>1847</v>
      </c>
      <c r="H547" t="s">
        <v>1844</v>
      </c>
      <c r="I547" t="s">
        <v>1848</v>
      </c>
    </row>
    <row r="548" spans="1:9">
      <c r="A548" t="str">
        <f>"0031852 "</f>
        <v xml:space="preserve">0031852 </v>
      </c>
      <c r="B548" t="s">
        <v>1843</v>
      </c>
      <c r="C548" t="s">
        <v>1849</v>
      </c>
      <c r="D548" t="s">
        <v>1850</v>
      </c>
      <c r="E548">
        <v>1</v>
      </c>
      <c r="F548" t="s">
        <v>155</v>
      </c>
      <c r="G548" t="s">
        <v>1847</v>
      </c>
      <c r="H548" t="s">
        <v>1849</v>
      </c>
      <c r="I548" t="s">
        <v>1851</v>
      </c>
    </row>
    <row r="549" spans="1:9">
      <c r="A549" t="str">
        <f>"0031858 "</f>
        <v xml:space="preserve">0031858 </v>
      </c>
      <c r="B549" t="s">
        <v>1843</v>
      </c>
      <c r="C549" t="s">
        <v>1852</v>
      </c>
      <c r="D549" t="s">
        <v>1853</v>
      </c>
      <c r="E549">
        <v>2</v>
      </c>
      <c r="F549" t="s">
        <v>1854</v>
      </c>
      <c r="G549" t="s">
        <v>1847</v>
      </c>
      <c r="H549" t="s">
        <v>1852</v>
      </c>
      <c r="I549" t="s">
        <v>1855</v>
      </c>
    </row>
    <row r="550" spans="1:9">
      <c r="A550" t="str">
        <f>"0031860 "</f>
        <v xml:space="preserve">0031860 </v>
      </c>
      <c r="B550" t="s">
        <v>1843</v>
      </c>
      <c r="C550" t="s">
        <v>1856</v>
      </c>
      <c r="D550" t="s">
        <v>1857</v>
      </c>
      <c r="E550">
        <v>1</v>
      </c>
      <c r="F550" t="s">
        <v>1858</v>
      </c>
      <c r="G550" t="s">
        <v>1847</v>
      </c>
      <c r="H550" t="s">
        <v>1856</v>
      </c>
      <c r="I550" t="s">
        <v>1859</v>
      </c>
    </row>
    <row r="551" spans="1:9">
      <c r="A551" t="str">
        <f>"0031861 "</f>
        <v xml:space="preserve">0031861 </v>
      </c>
      <c r="B551" t="s">
        <v>1843</v>
      </c>
      <c r="C551" t="s">
        <v>1860</v>
      </c>
      <c r="D551" t="s">
        <v>1861</v>
      </c>
      <c r="E551">
        <v>1</v>
      </c>
      <c r="F551" t="s">
        <v>1862</v>
      </c>
      <c r="G551" t="s">
        <v>1847</v>
      </c>
      <c r="H551" t="s">
        <v>1860</v>
      </c>
      <c r="I551" t="s">
        <v>1863</v>
      </c>
    </row>
    <row r="552" spans="1:9">
      <c r="A552" t="str">
        <f>"0031871 "</f>
        <v xml:space="preserve">0031871 </v>
      </c>
      <c r="B552" t="s">
        <v>1843</v>
      </c>
      <c r="C552" t="s">
        <v>1864</v>
      </c>
      <c r="D552" t="s">
        <v>1865</v>
      </c>
      <c r="E552">
        <v>2</v>
      </c>
      <c r="F552" t="s">
        <v>1866</v>
      </c>
      <c r="G552" t="s">
        <v>1847</v>
      </c>
      <c r="H552" t="s">
        <v>1864</v>
      </c>
      <c r="I552" t="s">
        <v>1867</v>
      </c>
    </row>
    <row r="553" spans="1:9">
      <c r="A553" t="str">
        <f>"0031875 "</f>
        <v xml:space="preserve">0031875 </v>
      </c>
      <c r="B553" t="s">
        <v>1843</v>
      </c>
      <c r="C553" t="s">
        <v>1868</v>
      </c>
      <c r="D553" t="s">
        <v>1869</v>
      </c>
      <c r="E553">
        <v>2</v>
      </c>
      <c r="F553" t="s">
        <v>1870</v>
      </c>
      <c r="G553" t="s">
        <v>1847</v>
      </c>
      <c r="H553" t="s">
        <v>1868</v>
      </c>
      <c r="I553" t="s">
        <v>1871</v>
      </c>
    </row>
    <row r="554" spans="1:9">
      <c r="A554" t="str">
        <f>"0031893 "</f>
        <v xml:space="preserve">0031893 </v>
      </c>
      <c r="B554" t="s">
        <v>1843</v>
      </c>
      <c r="C554" t="s">
        <v>1872</v>
      </c>
      <c r="D554" t="s">
        <v>1873</v>
      </c>
      <c r="E554">
        <v>1</v>
      </c>
      <c r="F554" t="s">
        <v>1874</v>
      </c>
      <c r="G554" t="s">
        <v>1847</v>
      </c>
      <c r="H554" t="s">
        <v>1872</v>
      </c>
      <c r="I554" t="s">
        <v>1875</v>
      </c>
    </row>
    <row r="555" spans="1:9">
      <c r="A555" t="str">
        <f>"0031894 "</f>
        <v xml:space="preserve">0031894 </v>
      </c>
      <c r="B555" t="s">
        <v>1843</v>
      </c>
      <c r="C555" t="s">
        <v>1876</v>
      </c>
      <c r="D555" t="s">
        <v>1877</v>
      </c>
      <c r="E555">
        <v>2</v>
      </c>
      <c r="F555" t="s">
        <v>1878</v>
      </c>
      <c r="G555" t="s">
        <v>1847</v>
      </c>
      <c r="H555" t="s">
        <v>1876</v>
      </c>
      <c r="I555" t="s">
        <v>1879</v>
      </c>
    </row>
    <row r="556" spans="1:9">
      <c r="A556" t="str">
        <f>"0032915 "</f>
        <v xml:space="preserve">0032915 </v>
      </c>
      <c r="B556" t="s">
        <v>1843</v>
      </c>
      <c r="C556" t="s">
        <v>1880</v>
      </c>
      <c r="D556" t="s">
        <v>1881</v>
      </c>
      <c r="E556">
        <v>2</v>
      </c>
      <c r="F556" t="s">
        <v>1882</v>
      </c>
      <c r="G556" t="s">
        <v>1847</v>
      </c>
      <c r="H556" t="s">
        <v>1880</v>
      </c>
      <c r="I556" t="s">
        <v>1883</v>
      </c>
    </row>
    <row r="557" spans="1:9">
      <c r="A557" t="str">
        <f>"0032916 "</f>
        <v xml:space="preserve">0032916 </v>
      </c>
      <c r="B557" t="s">
        <v>1843</v>
      </c>
      <c r="C557" t="s">
        <v>1884</v>
      </c>
      <c r="D557" t="s">
        <v>1885</v>
      </c>
      <c r="E557">
        <v>3</v>
      </c>
      <c r="F557" t="s">
        <v>1886</v>
      </c>
      <c r="G557" t="s">
        <v>1847</v>
      </c>
      <c r="H557" t="s">
        <v>1884</v>
      </c>
      <c r="I557" t="s">
        <v>1887</v>
      </c>
    </row>
    <row r="558" spans="1:9">
      <c r="A558" t="str">
        <f>"0032917 "</f>
        <v xml:space="preserve">0032917 </v>
      </c>
      <c r="B558" t="s">
        <v>1843</v>
      </c>
      <c r="C558" t="s">
        <v>1888</v>
      </c>
      <c r="D558" t="s">
        <v>1889</v>
      </c>
      <c r="E558">
        <v>2</v>
      </c>
      <c r="F558" t="s">
        <v>1890</v>
      </c>
      <c r="G558" t="s">
        <v>1847</v>
      </c>
      <c r="H558" t="s">
        <v>1888</v>
      </c>
      <c r="I558" t="s">
        <v>1891</v>
      </c>
    </row>
    <row r="559" spans="1:9">
      <c r="A559" t="str">
        <f>"0032927 "</f>
        <v xml:space="preserve">0032927 </v>
      </c>
      <c r="B559" t="s">
        <v>1843</v>
      </c>
      <c r="C559" t="s">
        <v>1892</v>
      </c>
      <c r="D559" t="s">
        <v>1893</v>
      </c>
      <c r="E559">
        <v>2</v>
      </c>
      <c r="F559" t="s">
        <v>1894</v>
      </c>
      <c r="G559" t="s">
        <v>1847</v>
      </c>
      <c r="H559" t="s">
        <v>1892</v>
      </c>
      <c r="I559" t="s">
        <v>1895</v>
      </c>
    </row>
    <row r="560" spans="1:9">
      <c r="A560" t="str">
        <f>"0032928 "</f>
        <v xml:space="preserve">0032928 </v>
      </c>
      <c r="B560" t="s">
        <v>1843</v>
      </c>
      <c r="C560" t="s">
        <v>1896</v>
      </c>
      <c r="D560" t="s">
        <v>1897</v>
      </c>
      <c r="E560">
        <v>2</v>
      </c>
      <c r="F560" t="s">
        <v>1898</v>
      </c>
      <c r="G560" t="s">
        <v>1847</v>
      </c>
      <c r="H560" t="s">
        <v>1896</v>
      </c>
      <c r="I560" t="s">
        <v>1899</v>
      </c>
    </row>
    <row r="561" spans="1:9">
      <c r="A561" t="str">
        <f>"0032935 "</f>
        <v xml:space="preserve">0032935 </v>
      </c>
      <c r="B561" t="s">
        <v>1843</v>
      </c>
      <c r="C561" t="s">
        <v>1900</v>
      </c>
      <c r="D561" t="s">
        <v>1901</v>
      </c>
      <c r="E561">
        <v>2</v>
      </c>
      <c r="F561" t="s">
        <v>1902</v>
      </c>
      <c r="G561" t="s">
        <v>1847</v>
      </c>
      <c r="H561" t="s">
        <v>1900</v>
      </c>
      <c r="I561" t="s">
        <v>1899</v>
      </c>
    </row>
    <row r="562" spans="1:9">
      <c r="A562" t="str">
        <f>"0032939 "</f>
        <v xml:space="preserve">0032939 </v>
      </c>
      <c r="B562" t="s">
        <v>1843</v>
      </c>
      <c r="C562" t="s">
        <v>1903</v>
      </c>
      <c r="D562" t="s">
        <v>1904</v>
      </c>
      <c r="E562">
        <v>2</v>
      </c>
      <c r="F562" t="s">
        <v>1905</v>
      </c>
      <c r="G562" t="s">
        <v>1847</v>
      </c>
      <c r="H562" t="s">
        <v>1903</v>
      </c>
      <c r="I562" t="s">
        <v>1906</v>
      </c>
    </row>
    <row r="563" spans="1:9">
      <c r="A563" t="str">
        <f>"0032945 "</f>
        <v xml:space="preserve">0032945 </v>
      </c>
      <c r="B563" t="s">
        <v>1843</v>
      </c>
      <c r="C563" t="s">
        <v>1907</v>
      </c>
      <c r="D563" t="s">
        <v>1908</v>
      </c>
      <c r="E563">
        <v>2</v>
      </c>
      <c r="F563" t="s">
        <v>1909</v>
      </c>
      <c r="G563" t="s">
        <v>1847</v>
      </c>
      <c r="H563" t="s">
        <v>1907</v>
      </c>
      <c r="I563" t="s">
        <v>1910</v>
      </c>
    </row>
    <row r="564" spans="1:9">
      <c r="A564" t="str">
        <f>"0032952 "</f>
        <v xml:space="preserve">0032952 </v>
      </c>
      <c r="B564" t="s">
        <v>1843</v>
      </c>
      <c r="C564" t="s">
        <v>1911</v>
      </c>
      <c r="D564" t="s">
        <v>1912</v>
      </c>
      <c r="E564">
        <v>1</v>
      </c>
      <c r="F564" t="s">
        <v>1913</v>
      </c>
      <c r="G564" t="s">
        <v>1847</v>
      </c>
      <c r="H564" t="s">
        <v>1911</v>
      </c>
      <c r="I564" t="s">
        <v>1914</v>
      </c>
    </row>
    <row r="565" spans="1:9">
      <c r="A565" t="str">
        <f>"0032957 "</f>
        <v xml:space="preserve">0032957 </v>
      </c>
      <c r="B565" t="s">
        <v>1843</v>
      </c>
      <c r="C565" t="s">
        <v>1915</v>
      </c>
      <c r="D565" t="s">
        <v>1916</v>
      </c>
      <c r="E565">
        <v>1</v>
      </c>
      <c r="F565" t="s">
        <v>1917</v>
      </c>
      <c r="G565" t="s">
        <v>1847</v>
      </c>
      <c r="H565" t="s">
        <v>1915</v>
      </c>
      <c r="I565" t="s">
        <v>1918</v>
      </c>
    </row>
    <row r="566" spans="1:9">
      <c r="A566" t="str">
        <f>"0032962 "</f>
        <v xml:space="preserve">0032962 </v>
      </c>
      <c r="B566" t="s">
        <v>1843</v>
      </c>
      <c r="C566" t="s">
        <v>1919</v>
      </c>
      <c r="D566" t="s">
        <v>1920</v>
      </c>
      <c r="E566">
        <v>2</v>
      </c>
      <c r="F566" t="s">
        <v>1921</v>
      </c>
      <c r="G566" t="s">
        <v>1847</v>
      </c>
      <c r="H566" t="s">
        <v>1919</v>
      </c>
      <c r="I566" t="s">
        <v>1922</v>
      </c>
    </row>
    <row r="567" spans="1:9">
      <c r="A567" t="str">
        <f>"0032963 "</f>
        <v xml:space="preserve">0032963 </v>
      </c>
      <c r="B567" t="s">
        <v>1843</v>
      </c>
      <c r="C567" t="s">
        <v>1923</v>
      </c>
      <c r="D567" t="s">
        <v>1924</v>
      </c>
      <c r="E567">
        <v>1</v>
      </c>
      <c r="F567" t="s">
        <v>1925</v>
      </c>
      <c r="G567" t="s">
        <v>1847</v>
      </c>
      <c r="H567" t="s">
        <v>1923</v>
      </c>
      <c r="I567" t="s">
        <v>1899</v>
      </c>
    </row>
    <row r="568" spans="1:9">
      <c r="A568" t="str">
        <f>"0032975 "</f>
        <v xml:space="preserve">0032975 </v>
      </c>
      <c r="B568" t="s">
        <v>1843</v>
      </c>
      <c r="C568" t="s">
        <v>1926</v>
      </c>
      <c r="D568" t="s">
        <v>1927</v>
      </c>
      <c r="E568">
        <v>1</v>
      </c>
      <c r="F568" t="s">
        <v>1928</v>
      </c>
      <c r="G568" t="s">
        <v>1847</v>
      </c>
      <c r="H568" t="s">
        <v>1926</v>
      </c>
      <c r="I568" t="s">
        <v>1929</v>
      </c>
    </row>
    <row r="569" spans="1:9">
      <c r="A569" t="str">
        <f>"0032977 "</f>
        <v xml:space="preserve">0032977 </v>
      </c>
      <c r="B569" t="s">
        <v>1843</v>
      </c>
      <c r="C569" t="s">
        <v>1930</v>
      </c>
      <c r="D569" t="s">
        <v>1931</v>
      </c>
      <c r="E569">
        <v>1</v>
      </c>
      <c r="F569" t="s">
        <v>1932</v>
      </c>
      <c r="G569" t="s">
        <v>1847</v>
      </c>
      <c r="H569" t="s">
        <v>1930</v>
      </c>
      <c r="I569" t="s">
        <v>1933</v>
      </c>
    </row>
    <row r="570" spans="1:9">
      <c r="A570" t="str">
        <f>"0032987 "</f>
        <v xml:space="preserve">0032987 </v>
      </c>
      <c r="B570" t="s">
        <v>1843</v>
      </c>
      <c r="C570" t="s">
        <v>1934</v>
      </c>
      <c r="D570" t="s">
        <v>1935</v>
      </c>
      <c r="E570">
        <v>1</v>
      </c>
      <c r="F570" t="s">
        <v>1936</v>
      </c>
      <c r="G570" t="s">
        <v>1847</v>
      </c>
      <c r="H570" t="s">
        <v>1934</v>
      </c>
      <c r="I570" t="s">
        <v>1899</v>
      </c>
    </row>
    <row r="571" spans="1:9">
      <c r="A571" t="str">
        <f>"0032989 "</f>
        <v xml:space="preserve">0032989 </v>
      </c>
      <c r="B571" t="s">
        <v>1843</v>
      </c>
      <c r="C571" t="s">
        <v>1937</v>
      </c>
      <c r="D571" t="s">
        <v>1938</v>
      </c>
      <c r="E571">
        <v>1</v>
      </c>
      <c r="F571" t="s">
        <v>1939</v>
      </c>
      <c r="G571" t="s">
        <v>1847</v>
      </c>
      <c r="H571" t="s">
        <v>1937</v>
      </c>
      <c r="I571" t="s">
        <v>1940</v>
      </c>
    </row>
    <row r="572" spans="1:9">
      <c r="A572" t="str">
        <f>"0033651 "</f>
        <v xml:space="preserve">0033651 </v>
      </c>
      <c r="B572" t="s">
        <v>1843</v>
      </c>
      <c r="C572" t="s">
        <v>1941</v>
      </c>
      <c r="D572" t="s">
        <v>1942</v>
      </c>
      <c r="E572">
        <v>4</v>
      </c>
      <c r="F572" t="s">
        <v>1943</v>
      </c>
      <c r="G572" t="s">
        <v>1847</v>
      </c>
      <c r="H572" t="s">
        <v>1941</v>
      </c>
      <c r="I572" t="s">
        <v>1944</v>
      </c>
    </row>
    <row r="573" spans="1:9">
      <c r="A573" t="str">
        <f>"0033005 "</f>
        <v xml:space="preserve">0033005 </v>
      </c>
      <c r="B573" t="s">
        <v>1843</v>
      </c>
      <c r="C573" t="s">
        <v>1945</v>
      </c>
      <c r="D573" t="s">
        <v>1946</v>
      </c>
      <c r="E573">
        <v>2</v>
      </c>
      <c r="F573" t="s">
        <v>1947</v>
      </c>
      <c r="G573" t="s">
        <v>1847</v>
      </c>
      <c r="H573" t="s">
        <v>1945</v>
      </c>
      <c r="I573" t="s">
        <v>1948</v>
      </c>
    </row>
    <row r="574" spans="1:9">
      <c r="A574" t="str">
        <f>"0033652 "</f>
        <v xml:space="preserve">0033652 </v>
      </c>
      <c r="B574" t="s">
        <v>1843</v>
      </c>
      <c r="C574" t="s">
        <v>1949</v>
      </c>
      <c r="D574" t="s">
        <v>1950</v>
      </c>
      <c r="E574">
        <v>2</v>
      </c>
      <c r="F574" t="s">
        <v>1951</v>
      </c>
      <c r="G574" t="s">
        <v>1847</v>
      </c>
      <c r="H574" t="s">
        <v>1949</v>
      </c>
      <c r="I574" t="s">
        <v>1952</v>
      </c>
    </row>
    <row r="575" spans="1:9">
      <c r="A575" t="str">
        <f>"0033007 "</f>
        <v xml:space="preserve">0033007 </v>
      </c>
      <c r="B575" t="s">
        <v>1843</v>
      </c>
      <c r="C575" t="s">
        <v>1953</v>
      </c>
      <c r="D575" t="s">
        <v>1954</v>
      </c>
      <c r="E575">
        <v>2</v>
      </c>
      <c r="F575" t="s">
        <v>1955</v>
      </c>
      <c r="G575" t="s">
        <v>1847</v>
      </c>
      <c r="H575" t="s">
        <v>1953</v>
      </c>
      <c r="I575" t="s">
        <v>1956</v>
      </c>
    </row>
    <row r="576" spans="1:9">
      <c r="A576" t="str">
        <f>"0033010 "</f>
        <v xml:space="preserve">0033010 </v>
      </c>
      <c r="B576" t="s">
        <v>1843</v>
      </c>
      <c r="C576" t="s">
        <v>1957</v>
      </c>
      <c r="D576" t="s">
        <v>1958</v>
      </c>
      <c r="E576">
        <v>1</v>
      </c>
      <c r="F576" t="s">
        <v>1959</v>
      </c>
      <c r="G576" t="s">
        <v>1847</v>
      </c>
      <c r="H576" t="s">
        <v>1957</v>
      </c>
      <c r="I576" t="s">
        <v>1899</v>
      </c>
    </row>
    <row r="577" spans="1:9">
      <c r="A577" t="str">
        <f>"0033011 "</f>
        <v xml:space="preserve">0033011 </v>
      </c>
      <c r="B577" t="s">
        <v>1843</v>
      </c>
      <c r="C577" t="s">
        <v>1960</v>
      </c>
      <c r="D577" t="s">
        <v>1961</v>
      </c>
      <c r="E577">
        <v>2</v>
      </c>
      <c r="F577" t="s">
        <v>1905</v>
      </c>
      <c r="G577" t="s">
        <v>1847</v>
      </c>
      <c r="H577" t="s">
        <v>1960</v>
      </c>
      <c r="I577" t="s">
        <v>1962</v>
      </c>
    </row>
    <row r="578" spans="1:9">
      <c r="A578" t="str">
        <f>"0033015 "</f>
        <v xml:space="preserve">0033015 </v>
      </c>
      <c r="B578" t="s">
        <v>1843</v>
      </c>
      <c r="C578" t="s">
        <v>1963</v>
      </c>
      <c r="D578" t="s">
        <v>1964</v>
      </c>
      <c r="E578">
        <v>1</v>
      </c>
      <c r="F578" t="s">
        <v>1965</v>
      </c>
      <c r="G578" t="s">
        <v>1847</v>
      </c>
      <c r="H578" t="s">
        <v>1963</v>
      </c>
      <c r="I578" t="s">
        <v>1899</v>
      </c>
    </row>
    <row r="579" spans="1:9">
      <c r="A579" t="str">
        <f>"0033018 "</f>
        <v xml:space="preserve">0033018 </v>
      </c>
      <c r="B579" t="s">
        <v>1843</v>
      </c>
      <c r="C579" t="s">
        <v>1966</v>
      </c>
      <c r="D579" t="s">
        <v>1967</v>
      </c>
      <c r="E579">
        <v>2</v>
      </c>
      <c r="F579" t="s">
        <v>1968</v>
      </c>
      <c r="G579" t="s">
        <v>1847</v>
      </c>
      <c r="H579" t="s">
        <v>1966</v>
      </c>
      <c r="I579" t="s">
        <v>1969</v>
      </c>
    </row>
    <row r="580" spans="1:9">
      <c r="A580" t="str">
        <f>"0033020 "</f>
        <v xml:space="preserve">0033020 </v>
      </c>
      <c r="B580" t="s">
        <v>1843</v>
      </c>
      <c r="C580" t="s">
        <v>1970</v>
      </c>
      <c r="D580" t="s">
        <v>1971</v>
      </c>
      <c r="E580">
        <v>1</v>
      </c>
      <c r="F580" t="s">
        <v>1972</v>
      </c>
      <c r="G580" t="s">
        <v>1847</v>
      </c>
      <c r="H580" t="s">
        <v>1970</v>
      </c>
      <c r="I580" t="s">
        <v>1973</v>
      </c>
    </row>
    <row r="581" spans="1:9">
      <c r="A581" t="str">
        <f>"0033022 "</f>
        <v xml:space="preserve">0033022 </v>
      </c>
      <c r="B581" t="s">
        <v>1843</v>
      </c>
      <c r="C581" t="s">
        <v>1974</v>
      </c>
      <c r="D581" t="s">
        <v>1975</v>
      </c>
      <c r="E581">
        <v>5</v>
      </c>
      <c r="F581" t="s">
        <v>1976</v>
      </c>
      <c r="G581" t="s">
        <v>1847</v>
      </c>
      <c r="H581" t="s">
        <v>1974</v>
      </c>
      <c r="I581" t="s">
        <v>1977</v>
      </c>
    </row>
    <row r="582" spans="1:9">
      <c r="A582" t="str">
        <f>"0033024 "</f>
        <v xml:space="preserve">0033024 </v>
      </c>
      <c r="B582" t="s">
        <v>1843</v>
      </c>
      <c r="C582" t="s">
        <v>1978</v>
      </c>
      <c r="D582" t="s">
        <v>1979</v>
      </c>
      <c r="E582">
        <v>2</v>
      </c>
      <c r="F582" t="s">
        <v>1980</v>
      </c>
      <c r="G582" t="s">
        <v>1847</v>
      </c>
      <c r="H582" t="s">
        <v>1978</v>
      </c>
      <c r="I582" t="s">
        <v>1981</v>
      </c>
    </row>
    <row r="583" spans="1:9">
      <c r="A583" t="str">
        <f>"0033025 "</f>
        <v xml:space="preserve">0033025 </v>
      </c>
      <c r="B583" t="s">
        <v>1843</v>
      </c>
      <c r="C583" t="s">
        <v>1982</v>
      </c>
      <c r="D583" t="s">
        <v>1983</v>
      </c>
      <c r="E583">
        <v>1</v>
      </c>
      <c r="F583" t="s">
        <v>1984</v>
      </c>
      <c r="G583" t="s">
        <v>1847</v>
      </c>
      <c r="H583" t="s">
        <v>1982</v>
      </c>
      <c r="I583" t="s">
        <v>1899</v>
      </c>
    </row>
    <row r="584" spans="1:9">
      <c r="A584" t="str">
        <f>"0033030 "</f>
        <v xml:space="preserve">0033030 </v>
      </c>
      <c r="B584" t="s">
        <v>1843</v>
      </c>
      <c r="C584" t="s">
        <v>1985</v>
      </c>
      <c r="D584" t="s">
        <v>1986</v>
      </c>
      <c r="E584">
        <v>1</v>
      </c>
      <c r="F584" t="s">
        <v>1987</v>
      </c>
      <c r="G584" t="s">
        <v>1847</v>
      </c>
      <c r="H584" t="s">
        <v>1985</v>
      </c>
      <c r="I584" t="s">
        <v>1988</v>
      </c>
    </row>
    <row r="585" spans="1:9">
      <c r="A585" t="str">
        <f>"0033031 "</f>
        <v xml:space="preserve">0033031 </v>
      </c>
      <c r="B585" t="s">
        <v>1843</v>
      </c>
      <c r="C585" t="s">
        <v>1989</v>
      </c>
      <c r="D585" t="s">
        <v>1990</v>
      </c>
      <c r="E585">
        <v>5</v>
      </c>
      <c r="F585" t="s">
        <v>1991</v>
      </c>
      <c r="G585" t="s">
        <v>1847</v>
      </c>
      <c r="H585" t="s">
        <v>1989</v>
      </c>
      <c r="I585" t="s">
        <v>1992</v>
      </c>
    </row>
    <row r="586" spans="1:9">
      <c r="A586" t="str">
        <f>"0033033 "</f>
        <v xml:space="preserve">0033033 </v>
      </c>
      <c r="B586" t="s">
        <v>1843</v>
      </c>
      <c r="C586" t="s">
        <v>1993</v>
      </c>
      <c r="D586" t="s">
        <v>1994</v>
      </c>
      <c r="E586">
        <v>1</v>
      </c>
      <c r="F586" t="s">
        <v>1991</v>
      </c>
      <c r="G586" t="s">
        <v>1847</v>
      </c>
      <c r="H586" t="s">
        <v>1993</v>
      </c>
      <c r="I586" t="s">
        <v>1995</v>
      </c>
    </row>
    <row r="587" spans="1:9">
      <c r="A587" t="str">
        <f>"0033036 "</f>
        <v xml:space="preserve">0033036 </v>
      </c>
      <c r="B587" t="s">
        <v>1843</v>
      </c>
      <c r="C587" t="s">
        <v>1996</v>
      </c>
      <c r="D587" t="s">
        <v>1997</v>
      </c>
      <c r="E587">
        <v>4</v>
      </c>
      <c r="F587" t="s">
        <v>1998</v>
      </c>
      <c r="G587" t="s">
        <v>1847</v>
      </c>
      <c r="H587" t="s">
        <v>1996</v>
      </c>
      <c r="I587" t="s">
        <v>1999</v>
      </c>
    </row>
    <row r="588" spans="1:9">
      <c r="A588" t="str">
        <f>"0033039 "</f>
        <v xml:space="preserve">0033039 </v>
      </c>
      <c r="B588" t="s">
        <v>1843</v>
      </c>
      <c r="C588" t="s">
        <v>2000</v>
      </c>
      <c r="D588" t="s">
        <v>2001</v>
      </c>
      <c r="E588">
        <v>1</v>
      </c>
      <c r="F588" t="s">
        <v>2002</v>
      </c>
      <c r="G588" t="s">
        <v>1847</v>
      </c>
      <c r="H588" t="s">
        <v>2000</v>
      </c>
      <c r="I588" t="s">
        <v>2003</v>
      </c>
    </row>
    <row r="589" spans="1:9">
      <c r="A589" t="str">
        <f>"0033041 "</f>
        <v xml:space="preserve">0033041 </v>
      </c>
      <c r="B589" t="s">
        <v>1843</v>
      </c>
      <c r="C589" t="s">
        <v>2004</v>
      </c>
      <c r="D589" t="s">
        <v>2005</v>
      </c>
      <c r="E589">
        <v>1</v>
      </c>
      <c r="F589" t="s">
        <v>2006</v>
      </c>
      <c r="G589" t="s">
        <v>1847</v>
      </c>
      <c r="H589" t="s">
        <v>2004</v>
      </c>
      <c r="I589" t="s">
        <v>2007</v>
      </c>
    </row>
    <row r="590" spans="1:9">
      <c r="A590" t="str">
        <f>"0033042 "</f>
        <v xml:space="preserve">0033042 </v>
      </c>
      <c r="B590" t="s">
        <v>1843</v>
      </c>
      <c r="C590" t="s">
        <v>2008</v>
      </c>
      <c r="D590" t="s">
        <v>2009</v>
      </c>
      <c r="E590">
        <v>2</v>
      </c>
      <c r="F590" t="s">
        <v>2010</v>
      </c>
      <c r="G590" t="s">
        <v>1847</v>
      </c>
      <c r="H590" t="s">
        <v>2008</v>
      </c>
      <c r="I590" t="s">
        <v>2011</v>
      </c>
    </row>
    <row r="591" spans="1:9">
      <c r="A591" t="str">
        <f>"0033045 "</f>
        <v xml:space="preserve">0033045 </v>
      </c>
      <c r="B591" t="s">
        <v>1843</v>
      </c>
      <c r="C591" t="s">
        <v>2012</v>
      </c>
      <c r="D591" t="s">
        <v>2013</v>
      </c>
      <c r="E591">
        <v>2</v>
      </c>
      <c r="F591" t="s">
        <v>2014</v>
      </c>
      <c r="G591" t="s">
        <v>1847</v>
      </c>
      <c r="H591" t="s">
        <v>2012</v>
      </c>
      <c r="I591" t="s">
        <v>1899</v>
      </c>
    </row>
    <row r="592" spans="1:9">
      <c r="A592" t="str">
        <f>"0033052 "</f>
        <v xml:space="preserve">0033052 </v>
      </c>
      <c r="B592" t="s">
        <v>1843</v>
      </c>
      <c r="C592" t="s">
        <v>2015</v>
      </c>
      <c r="D592" t="s">
        <v>2016</v>
      </c>
      <c r="E592">
        <v>1</v>
      </c>
      <c r="F592" t="s">
        <v>2017</v>
      </c>
      <c r="G592" t="s">
        <v>1847</v>
      </c>
      <c r="H592" t="s">
        <v>2015</v>
      </c>
      <c r="I592" t="s">
        <v>2018</v>
      </c>
    </row>
    <row r="593" spans="1:9">
      <c r="A593" t="str">
        <f>"0033055 "</f>
        <v xml:space="preserve">0033055 </v>
      </c>
      <c r="B593" t="s">
        <v>1843</v>
      </c>
      <c r="C593" t="s">
        <v>2019</v>
      </c>
      <c r="D593" t="s">
        <v>2020</v>
      </c>
      <c r="E593">
        <v>4</v>
      </c>
      <c r="F593" t="s">
        <v>2021</v>
      </c>
      <c r="G593" t="s">
        <v>1847</v>
      </c>
      <c r="H593" t="s">
        <v>2019</v>
      </c>
      <c r="I593" t="s">
        <v>2022</v>
      </c>
    </row>
    <row r="594" spans="1:9">
      <c r="A594" t="str">
        <f>"0033056 "</f>
        <v xml:space="preserve">0033056 </v>
      </c>
      <c r="B594" t="s">
        <v>1843</v>
      </c>
      <c r="C594" t="s">
        <v>2023</v>
      </c>
      <c r="D594" t="s">
        <v>2024</v>
      </c>
      <c r="E594">
        <v>2</v>
      </c>
      <c r="F594" t="s">
        <v>1905</v>
      </c>
      <c r="G594" t="s">
        <v>1847</v>
      </c>
      <c r="H594" t="s">
        <v>2023</v>
      </c>
      <c r="I594" t="s">
        <v>2025</v>
      </c>
    </row>
    <row r="595" spans="1:9">
      <c r="A595" t="str">
        <f>"0033058 "</f>
        <v xml:space="preserve">0033058 </v>
      </c>
      <c r="B595" t="s">
        <v>1843</v>
      </c>
      <c r="C595" t="s">
        <v>2026</v>
      </c>
      <c r="D595" t="s">
        <v>2027</v>
      </c>
      <c r="E595">
        <v>1</v>
      </c>
      <c r="F595" t="s">
        <v>2028</v>
      </c>
      <c r="G595" t="s">
        <v>1847</v>
      </c>
      <c r="H595" t="s">
        <v>2026</v>
      </c>
      <c r="I595" t="s">
        <v>2029</v>
      </c>
    </row>
    <row r="596" spans="1:9">
      <c r="A596" t="str">
        <f>"0033059 "</f>
        <v xml:space="preserve">0033059 </v>
      </c>
      <c r="B596" t="s">
        <v>1843</v>
      </c>
      <c r="C596" t="s">
        <v>2030</v>
      </c>
      <c r="D596" t="s">
        <v>2031</v>
      </c>
      <c r="E596">
        <v>2</v>
      </c>
      <c r="F596" t="s">
        <v>2021</v>
      </c>
      <c r="G596" t="s">
        <v>1847</v>
      </c>
      <c r="H596" t="s">
        <v>2030</v>
      </c>
      <c r="I596" t="s">
        <v>1899</v>
      </c>
    </row>
    <row r="597" spans="1:9">
      <c r="A597" t="str">
        <f>"0033060 "</f>
        <v xml:space="preserve">0033060 </v>
      </c>
      <c r="B597" t="s">
        <v>1843</v>
      </c>
      <c r="C597" t="s">
        <v>2032</v>
      </c>
      <c r="D597" t="s">
        <v>2033</v>
      </c>
      <c r="E597">
        <v>2</v>
      </c>
      <c r="F597" t="s">
        <v>2034</v>
      </c>
      <c r="G597" t="s">
        <v>1847</v>
      </c>
      <c r="H597" t="s">
        <v>2032</v>
      </c>
      <c r="I597" t="s">
        <v>2035</v>
      </c>
    </row>
    <row r="598" spans="1:9">
      <c r="A598" t="str">
        <f>"0033068 "</f>
        <v xml:space="preserve">0033068 </v>
      </c>
      <c r="B598" t="s">
        <v>1843</v>
      </c>
      <c r="C598" t="s">
        <v>2036</v>
      </c>
      <c r="D598" t="s">
        <v>2037</v>
      </c>
      <c r="E598">
        <v>1</v>
      </c>
      <c r="F598" t="s">
        <v>2038</v>
      </c>
      <c r="G598" t="s">
        <v>1847</v>
      </c>
      <c r="H598" t="s">
        <v>2036</v>
      </c>
      <c r="I598" t="s">
        <v>2039</v>
      </c>
    </row>
    <row r="599" spans="1:9">
      <c r="A599" t="str">
        <f>"0033078 "</f>
        <v xml:space="preserve">0033078 </v>
      </c>
      <c r="B599" t="s">
        <v>1843</v>
      </c>
      <c r="C599" t="s">
        <v>2040</v>
      </c>
      <c r="D599" t="s">
        <v>2041</v>
      </c>
      <c r="E599">
        <v>2</v>
      </c>
      <c r="F599" t="s">
        <v>2042</v>
      </c>
      <c r="G599" t="s">
        <v>1847</v>
      </c>
      <c r="H599" t="s">
        <v>2040</v>
      </c>
      <c r="I599" t="s">
        <v>2043</v>
      </c>
    </row>
    <row r="600" spans="1:9">
      <c r="A600" t="str">
        <f>"0033084 "</f>
        <v xml:space="preserve">0033084 </v>
      </c>
      <c r="B600" t="s">
        <v>1843</v>
      </c>
      <c r="C600" t="s">
        <v>2044</v>
      </c>
      <c r="D600" t="s">
        <v>2045</v>
      </c>
      <c r="E600">
        <v>4</v>
      </c>
      <c r="F600" t="s">
        <v>2046</v>
      </c>
      <c r="G600" t="s">
        <v>1847</v>
      </c>
      <c r="H600" t="s">
        <v>2044</v>
      </c>
      <c r="I600" t="s">
        <v>1899</v>
      </c>
    </row>
    <row r="601" spans="1:9">
      <c r="A601" t="str">
        <f>"0033085 "</f>
        <v xml:space="preserve">0033085 </v>
      </c>
      <c r="B601" t="s">
        <v>1843</v>
      </c>
      <c r="C601" t="s">
        <v>2047</v>
      </c>
      <c r="D601" t="s">
        <v>2048</v>
      </c>
      <c r="E601">
        <v>1</v>
      </c>
      <c r="F601" t="s">
        <v>2049</v>
      </c>
      <c r="G601" t="s">
        <v>1847</v>
      </c>
      <c r="H601" t="s">
        <v>2047</v>
      </c>
      <c r="I601" t="s">
        <v>2050</v>
      </c>
    </row>
    <row r="602" spans="1:9">
      <c r="A602" t="str">
        <f>"0033086 "</f>
        <v xml:space="preserve">0033086 </v>
      </c>
      <c r="B602" t="s">
        <v>1843</v>
      </c>
      <c r="C602" t="s">
        <v>2051</v>
      </c>
      <c r="D602" t="s">
        <v>2052</v>
      </c>
      <c r="E602">
        <v>2</v>
      </c>
      <c r="F602" t="s">
        <v>2053</v>
      </c>
      <c r="G602" t="s">
        <v>1847</v>
      </c>
      <c r="H602" t="s">
        <v>2051</v>
      </c>
      <c r="I602" t="s">
        <v>2054</v>
      </c>
    </row>
    <row r="603" spans="1:9">
      <c r="A603" t="str">
        <f>"0033088 "</f>
        <v xml:space="preserve">0033088 </v>
      </c>
      <c r="B603" t="s">
        <v>1843</v>
      </c>
      <c r="C603" t="s">
        <v>2055</v>
      </c>
      <c r="D603" t="s">
        <v>2056</v>
      </c>
      <c r="E603">
        <v>1</v>
      </c>
      <c r="F603" t="s">
        <v>2057</v>
      </c>
      <c r="G603" t="s">
        <v>1847</v>
      </c>
      <c r="H603" t="s">
        <v>2055</v>
      </c>
      <c r="I603" t="s">
        <v>2058</v>
      </c>
    </row>
    <row r="604" spans="1:9">
      <c r="A604" t="str">
        <f>"0033090 "</f>
        <v xml:space="preserve">0033090 </v>
      </c>
      <c r="B604" t="s">
        <v>1843</v>
      </c>
      <c r="C604" t="s">
        <v>2059</v>
      </c>
      <c r="D604" t="s">
        <v>2060</v>
      </c>
      <c r="E604">
        <v>2</v>
      </c>
      <c r="F604" t="s">
        <v>2061</v>
      </c>
      <c r="G604" t="s">
        <v>1847</v>
      </c>
      <c r="H604" t="s">
        <v>2059</v>
      </c>
      <c r="I604" t="s">
        <v>1899</v>
      </c>
    </row>
    <row r="605" spans="1:9">
      <c r="A605" t="str">
        <f>"0033091 "</f>
        <v xml:space="preserve">0033091 </v>
      </c>
      <c r="B605" t="s">
        <v>1843</v>
      </c>
      <c r="C605" t="s">
        <v>2062</v>
      </c>
      <c r="D605" t="s">
        <v>2063</v>
      </c>
      <c r="E605">
        <v>2</v>
      </c>
      <c r="F605" t="s">
        <v>1932</v>
      </c>
      <c r="G605" t="s">
        <v>1847</v>
      </c>
      <c r="H605" t="s">
        <v>2062</v>
      </c>
      <c r="I605" t="s">
        <v>1899</v>
      </c>
    </row>
    <row r="606" spans="1:9">
      <c r="A606" t="str">
        <f>"0033093 "</f>
        <v xml:space="preserve">0033093 </v>
      </c>
      <c r="B606" t="s">
        <v>1843</v>
      </c>
      <c r="C606" t="s">
        <v>2064</v>
      </c>
      <c r="D606" t="s">
        <v>2065</v>
      </c>
      <c r="E606">
        <v>2</v>
      </c>
      <c r="F606" t="s">
        <v>2066</v>
      </c>
      <c r="G606" t="s">
        <v>1847</v>
      </c>
      <c r="H606" t="s">
        <v>2064</v>
      </c>
      <c r="I606" t="s">
        <v>2067</v>
      </c>
    </row>
    <row r="607" spans="1:9">
      <c r="A607" t="str">
        <f>"0033659 "</f>
        <v xml:space="preserve">0033659 </v>
      </c>
      <c r="B607" t="s">
        <v>1843</v>
      </c>
      <c r="C607" t="s">
        <v>2068</v>
      </c>
      <c r="D607" t="s">
        <v>2069</v>
      </c>
      <c r="E607">
        <v>2</v>
      </c>
      <c r="F607" t="s">
        <v>1932</v>
      </c>
      <c r="G607" t="s">
        <v>1847</v>
      </c>
      <c r="H607" t="s">
        <v>2068</v>
      </c>
      <c r="I607" t="s">
        <v>2070</v>
      </c>
    </row>
    <row r="608" spans="1:9">
      <c r="A608" t="str">
        <f>"0033097 "</f>
        <v xml:space="preserve">0033097 </v>
      </c>
      <c r="B608" t="s">
        <v>1843</v>
      </c>
      <c r="C608" t="s">
        <v>2071</v>
      </c>
      <c r="D608" t="s">
        <v>2072</v>
      </c>
      <c r="E608">
        <v>2</v>
      </c>
      <c r="F608" t="s">
        <v>2073</v>
      </c>
      <c r="G608" t="s">
        <v>1847</v>
      </c>
      <c r="H608" t="s">
        <v>2071</v>
      </c>
      <c r="I608" t="s">
        <v>2074</v>
      </c>
    </row>
    <row r="609" spans="1:9">
      <c r="A609" t="str">
        <f>"0033098 "</f>
        <v xml:space="preserve">0033098 </v>
      </c>
      <c r="B609" t="s">
        <v>1843</v>
      </c>
      <c r="C609" t="s">
        <v>2075</v>
      </c>
      <c r="D609" t="s">
        <v>2076</v>
      </c>
      <c r="E609">
        <v>3</v>
      </c>
      <c r="F609" t="s">
        <v>2077</v>
      </c>
      <c r="G609" t="s">
        <v>1847</v>
      </c>
      <c r="H609" t="s">
        <v>2075</v>
      </c>
      <c r="I609" t="s">
        <v>2078</v>
      </c>
    </row>
    <row r="610" spans="1:9">
      <c r="A610" t="str">
        <f>"0033100 "</f>
        <v xml:space="preserve">0033100 </v>
      </c>
      <c r="B610" t="s">
        <v>1843</v>
      </c>
      <c r="C610" t="s">
        <v>2079</v>
      </c>
      <c r="D610" t="s">
        <v>2080</v>
      </c>
      <c r="E610">
        <v>1</v>
      </c>
      <c r="F610" t="s">
        <v>2081</v>
      </c>
      <c r="G610" t="s">
        <v>1847</v>
      </c>
      <c r="H610" t="s">
        <v>2079</v>
      </c>
      <c r="I610" t="s">
        <v>1899</v>
      </c>
    </row>
    <row r="611" spans="1:9">
      <c r="A611" t="str">
        <f>"0033107 "</f>
        <v xml:space="preserve">0033107 </v>
      </c>
      <c r="B611" t="s">
        <v>1843</v>
      </c>
      <c r="C611" t="s">
        <v>2082</v>
      </c>
      <c r="D611" t="s">
        <v>2083</v>
      </c>
      <c r="E611">
        <v>2</v>
      </c>
      <c r="F611" t="s">
        <v>2084</v>
      </c>
      <c r="G611" t="s">
        <v>1847</v>
      </c>
      <c r="H611" t="s">
        <v>2082</v>
      </c>
      <c r="I611" t="s">
        <v>2085</v>
      </c>
    </row>
    <row r="612" spans="1:9">
      <c r="A612" t="str">
        <f>"0033112 "</f>
        <v xml:space="preserve">0033112 </v>
      </c>
      <c r="B612" t="s">
        <v>1843</v>
      </c>
      <c r="C612" t="s">
        <v>2086</v>
      </c>
      <c r="D612" t="s">
        <v>2087</v>
      </c>
      <c r="E612">
        <v>2</v>
      </c>
      <c r="F612" t="s">
        <v>2088</v>
      </c>
      <c r="G612" t="s">
        <v>1847</v>
      </c>
      <c r="H612" t="s">
        <v>2086</v>
      </c>
      <c r="I612" t="s">
        <v>2089</v>
      </c>
    </row>
    <row r="613" spans="1:9">
      <c r="A613" t="str">
        <f>"0033115 "</f>
        <v xml:space="preserve">0033115 </v>
      </c>
      <c r="B613" t="s">
        <v>1843</v>
      </c>
      <c r="C613" t="s">
        <v>2090</v>
      </c>
      <c r="D613" t="s">
        <v>2091</v>
      </c>
      <c r="E613">
        <v>2</v>
      </c>
      <c r="F613" t="s">
        <v>176</v>
      </c>
      <c r="G613" t="s">
        <v>1847</v>
      </c>
      <c r="H613" t="s">
        <v>2090</v>
      </c>
      <c r="I613" t="s">
        <v>2092</v>
      </c>
    </row>
    <row r="614" spans="1:9">
      <c r="A614" t="str">
        <f>"0033116 "</f>
        <v xml:space="preserve">0033116 </v>
      </c>
      <c r="B614" t="s">
        <v>1843</v>
      </c>
      <c r="C614" t="s">
        <v>2093</v>
      </c>
      <c r="D614" t="s">
        <v>2094</v>
      </c>
      <c r="E614">
        <v>1</v>
      </c>
      <c r="F614" t="s">
        <v>2095</v>
      </c>
      <c r="G614" t="s">
        <v>1847</v>
      </c>
      <c r="H614" t="s">
        <v>2093</v>
      </c>
      <c r="I614" t="s">
        <v>1899</v>
      </c>
    </row>
    <row r="615" spans="1:9">
      <c r="A615" t="str">
        <f>"0033122 "</f>
        <v xml:space="preserve">0033122 </v>
      </c>
      <c r="B615" t="s">
        <v>1843</v>
      </c>
      <c r="C615" t="s">
        <v>2096</v>
      </c>
      <c r="D615" t="s">
        <v>2097</v>
      </c>
      <c r="E615">
        <v>1</v>
      </c>
      <c r="F615" t="s">
        <v>2098</v>
      </c>
      <c r="G615" t="s">
        <v>1847</v>
      </c>
      <c r="H615" t="s">
        <v>2096</v>
      </c>
      <c r="I615" t="s">
        <v>1899</v>
      </c>
    </row>
    <row r="616" spans="1:9">
      <c r="A616" t="str">
        <f>"0033124 "</f>
        <v xml:space="preserve">0033124 </v>
      </c>
      <c r="B616" t="s">
        <v>1843</v>
      </c>
      <c r="C616" t="s">
        <v>2099</v>
      </c>
      <c r="D616" t="s">
        <v>2100</v>
      </c>
      <c r="E616">
        <v>3</v>
      </c>
      <c r="F616" t="s">
        <v>2101</v>
      </c>
      <c r="G616" t="s">
        <v>1847</v>
      </c>
      <c r="H616" t="s">
        <v>2099</v>
      </c>
      <c r="I616" t="s">
        <v>2102</v>
      </c>
    </row>
    <row r="617" spans="1:9">
      <c r="A617" t="str">
        <f>"0033133 "</f>
        <v xml:space="preserve">0033133 </v>
      </c>
      <c r="B617" t="s">
        <v>1843</v>
      </c>
      <c r="C617" t="s">
        <v>2103</v>
      </c>
      <c r="D617" t="s">
        <v>2104</v>
      </c>
      <c r="E617">
        <v>1</v>
      </c>
      <c r="F617" t="s">
        <v>2105</v>
      </c>
      <c r="G617" t="s">
        <v>1847</v>
      </c>
      <c r="H617" t="s">
        <v>2103</v>
      </c>
      <c r="I617" t="s">
        <v>2106</v>
      </c>
    </row>
    <row r="618" spans="1:9">
      <c r="A618" t="str">
        <f>"0033669 "</f>
        <v xml:space="preserve">0033669 </v>
      </c>
      <c r="B618" t="s">
        <v>1843</v>
      </c>
      <c r="C618" t="s">
        <v>2107</v>
      </c>
      <c r="D618" t="s">
        <v>2108</v>
      </c>
      <c r="E618">
        <v>1</v>
      </c>
      <c r="F618" t="s">
        <v>2109</v>
      </c>
      <c r="G618" t="s">
        <v>1847</v>
      </c>
      <c r="H618" t="s">
        <v>2107</v>
      </c>
      <c r="I618" t="s">
        <v>2110</v>
      </c>
    </row>
    <row r="619" spans="1:9">
      <c r="A619" t="str">
        <f>"0033671 "</f>
        <v xml:space="preserve">0033671 </v>
      </c>
      <c r="B619" t="s">
        <v>1843</v>
      </c>
      <c r="C619" t="s">
        <v>2111</v>
      </c>
      <c r="D619" t="s">
        <v>2112</v>
      </c>
      <c r="E619">
        <v>2</v>
      </c>
      <c r="F619" t="s">
        <v>2113</v>
      </c>
      <c r="G619" t="s">
        <v>1847</v>
      </c>
      <c r="H619" t="s">
        <v>2111</v>
      </c>
      <c r="I619" t="s">
        <v>1899</v>
      </c>
    </row>
    <row r="620" spans="1:9">
      <c r="A620" t="str">
        <f>"0033158 "</f>
        <v xml:space="preserve">0033158 </v>
      </c>
      <c r="B620" t="s">
        <v>1843</v>
      </c>
      <c r="C620" t="s">
        <v>2114</v>
      </c>
      <c r="D620" t="s">
        <v>2115</v>
      </c>
      <c r="E620">
        <v>2</v>
      </c>
      <c r="F620" t="s">
        <v>2116</v>
      </c>
      <c r="G620" t="s">
        <v>1847</v>
      </c>
      <c r="H620" t="s">
        <v>2114</v>
      </c>
      <c r="I620" t="s">
        <v>1899</v>
      </c>
    </row>
    <row r="621" spans="1:9">
      <c r="A621" t="str">
        <f>"0033161 "</f>
        <v xml:space="preserve">0033161 </v>
      </c>
      <c r="B621" t="s">
        <v>1843</v>
      </c>
      <c r="C621" t="s">
        <v>2117</v>
      </c>
      <c r="D621" t="s">
        <v>2118</v>
      </c>
      <c r="E621">
        <v>1</v>
      </c>
      <c r="F621" t="s">
        <v>2119</v>
      </c>
      <c r="G621" t="s">
        <v>1847</v>
      </c>
      <c r="H621" t="s">
        <v>2117</v>
      </c>
      <c r="I621" t="s">
        <v>2120</v>
      </c>
    </row>
    <row r="622" spans="1:9">
      <c r="A622" t="str">
        <f>"0033168 "</f>
        <v xml:space="preserve">0033168 </v>
      </c>
      <c r="B622" t="s">
        <v>1843</v>
      </c>
      <c r="C622" t="s">
        <v>2121</v>
      </c>
      <c r="D622" t="s">
        <v>2122</v>
      </c>
      <c r="E622">
        <v>1</v>
      </c>
      <c r="F622" t="s">
        <v>2123</v>
      </c>
      <c r="G622" t="s">
        <v>1847</v>
      </c>
      <c r="H622" t="s">
        <v>2121</v>
      </c>
      <c r="I622" t="s">
        <v>2124</v>
      </c>
    </row>
    <row r="623" spans="1:9">
      <c r="A623" t="str">
        <f>"0033170 "</f>
        <v xml:space="preserve">0033170 </v>
      </c>
      <c r="B623" t="s">
        <v>1843</v>
      </c>
      <c r="C623" t="s">
        <v>2125</v>
      </c>
      <c r="D623" t="s">
        <v>2126</v>
      </c>
      <c r="E623">
        <v>1</v>
      </c>
      <c r="F623" t="s">
        <v>2127</v>
      </c>
      <c r="G623" t="s">
        <v>1847</v>
      </c>
      <c r="H623" t="s">
        <v>2125</v>
      </c>
      <c r="I623" t="s">
        <v>2128</v>
      </c>
    </row>
    <row r="624" spans="1:9">
      <c r="A624" t="str">
        <f>"0033171 "</f>
        <v xml:space="preserve">0033171 </v>
      </c>
      <c r="B624" t="s">
        <v>1843</v>
      </c>
      <c r="C624" t="s">
        <v>2129</v>
      </c>
      <c r="D624" t="s">
        <v>2130</v>
      </c>
      <c r="E624">
        <v>2</v>
      </c>
      <c r="F624" t="s">
        <v>2131</v>
      </c>
      <c r="G624" t="s">
        <v>1847</v>
      </c>
      <c r="H624" t="s">
        <v>2129</v>
      </c>
      <c r="I624" t="s">
        <v>2132</v>
      </c>
    </row>
    <row r="625" spans="1:9">
      <c r="A625" t="str">
        <f>"0033176 "</f>
        <v xml:space="preserve">0033176 </v>
      </c>
      <c r="B625" t="s">
        <v>1843</v>
      </c>
      <c r="C625" t="s">
        <v>2133</v>
      </c>
      <c r="D625" t="s">
        <v>2134</v>
      </c>
      <c r="E625">
        <v>2</v>
      </c>
      <c r="F625" t="s">
        <v>2135</v>
      </c>
      <c r="G625" t="s">
        <v>1847</v>
      </c>
      <c r="H625" t="s">
        <v>2133</v>
      </c>
      <c r="I625" t="s">
        <v>1899</v>
      </c>
    </row>
    <row r="626" spans="1:9">
      <c r="A626" t="str">
        <f>"0033177 "</f>
        <v xml:space="preserve">0033177 </v>
      </c>
      <c r="B626" t="s">
        <v>1843</v>
      </c>
      <c r="C626" t="s">
        <v>2136</v>
      </c>
      <c r="D626" t="s">
        <v>2137</v>
      </c>
      <c r="E626">
        <v>2</v>
      </c>
      <c r="F626" t="s">
        <v>2138</v>
      </c>
      <c r="G626" t="s">
        <v>1847</v>
      </c>
      <c r="H626" t="s">
        <v>2136</v>
      </c>
      <c r="I626" t="s">
        <v>2139</v>
      </c>
    </row>
    <row r="627" spans="1:9">
      <c r="A627" t="str">
        <f>"0033180 "</f>
        <v xml:space="preserve">0033180 </v>
      </c>
      <c r="B627" t="s">
        <v>1843</v>
      </c>
      <c r="C627" t="s">
        <v>2140</v>
      </c>
      <c r="D627" t="s">
        <v>2141</v>
      </c>
      <c r="E627">
        <v>2</v>
      </c>
      <c r="F627" t="s">
        <v>2142</v>
      </c>
      <c r="G627" t="s">
        <v>1847</v>
      </c>
      <c r="H627" t="s">
        <v>2140</v>
      </c>
      <c r="I627" t="s">
        <v>2143</v>
      </c>
    </row>
    <row r="628" spans="1:9">
      <c r="A628" t="str">
        <f>"0033184 "</f>
        <v xml:space="preserve">0033184 </v>
      </c>
      <c r="B628" t="s">
        <v>1843</v>
      </c>
      <c r="C628" t="s">
        <v>2144</v>
      </c>
      <c r="D628" t="s">
        <v>2145</v>
      </c>
      <c r="E628">
        <v>2</v>
      </c>
      <c r="F628" t="s">
        <v>2146</v>
      </c>
      <c r="G628" t="s">
        <v>1847</v>
      </c>
      <c r="H628" t="s">
        <v>2144</v>
      </c>
      <c r="I628" t="s">
        <v>2147</v>
      </c>
    </row>
    <row r="629" spans="1:9">
      <c r="A629" t="str">
        <f>"0033186 "</f>
        <v xml:space="preserve">0033186 </v>
      </c>
      <c r="B629" t="s">
        <v>1843</v>
      </c>
      <c r="C629" t="s">
        <v>2148</v>
      </c>
      <c r="D629" t="s">
        <v>2149</v>
      </c>
      <c r="E629">
        <v>2</v>
      </c>
      <c r="F629" t="s">
        <v>1939</v>
      </c>
      <c r="G629" t="s">
        <v>1847</v>
      </c>
      <c r="H629" t="s">
        <v>2148</v>
      </c>
      <c r="I629" t="s">
        <v>2150</v>
      </c>
    </row>
    <row r="630" spans="1:9">
      <c r="A630" t="str">
        <f>"0033189 "</f>
        <v xml:space="preserve">0033189 </v>
      </c>
      <c r="B630" t="s">
        <v>1843</v>
      </c>
      <c r="C630" t="s">
        <v>2151</v>
      </c>
      <c r="D630" t="s">
        <v>2152</v>
      </c>
      <c r="E630">
        <v>1</v>
      </c>
      <c r="F630" t="s">
        <v>2153</v>
      </c>
      <c r="G630" t="s">
        <v>1847</v>
      </c>
      <c r="H630" t="s">
        <v>2151</v>
      </c>
      <c r="I630" t="s">
        <v>2154</v>
      </c>
    </row>
    <row r="631" spans="1:9">
      <c r="A631" t="str">
        <f>"0033722 "</f>
        <v xml:space="preserve">0033722 </v>
      </c>
      <c r="B631" t="s">
        <v>1843</v>
      </c>
      <c r="C631" t="s">
        <v>2155</v>
      </c>
      <c r="D631" t="s">
        <v>2156</v>
      </c>
      <c r="E631">
        <v>2</v>
      </c>
      <c r="F631" t="s">
        <v>2157</v>
      </c>
      <c r="G631" t="s">
        <v>1847</v>
      </c>
      <c r="H631" t="s">
        <v>2155</v>
      </c>
      <c r="I631" t="s">
        <v>2158</v>
      </c>
    </row>
    <row r="632" spans="1:9">
      <c r="A632" t="str">
        <f>"0033723 "</f>
        <v xml:space="preserve">0033723 </v>
      </c>
      <c r="B632" t="s">
        <v>1843</v>
      </c>
      <c r="C632" t="s">
        <v>2159</v>
      </c>
      <c r="D632" t="s">
        <v>2160</v>
      </c>
      <c r="E632">
        <v>2</v>
      </c>
      <c r="F632" t="s">
        <v>2161</v>
      </c>
      <c r="G632" t="s">
        <v>1847</v>
      </c>
      <c r="H632" t="s">
        <v>2159</v>
      </c>
      <c r="I632" t="s">
        <v>2162</v>
      </c>
    </row>
    <row r="633" spans="1:9">
      <c r="A633" t="str">
        <f>"0033195 "</f>
        <v xml:space="preserve">0033195 </v>
      </c>
      <c r="B633" t="s">
        <v>1843</v>
      </c>
      <c r="C633" t="s">
        <v>2163</v>
      </c>
      <c r="D633" t="s">
        <v>2164</v>
      </c>
      <c r="E633">
        <v>2</v>
      </c>
      <c r="F633" t="s">
        <v>2165</v>
      </c>
      <c r="G633" t="s">
        <v>1847</v>
      </c>
      <c r="H633" t="s">
        <v>2163</v>
      </c>
      <c r="I633" t="s">
        <v>2166</v>
      </c>
    </row>
    <row r="634" spans="1:9">
      <c r="A634" t="str">
        <f>"0033197 "</f>
        <v xml:space="preserve">0033197 </v>
      </c>
      <c r="B634" t="s">
        <v>1843</v>
      </c>
      <c r="C634" t="s">
        <v>2167</v>
      </c>
      <c r="D634" t="s">
        <v>2168</v>
      </c>
      <c r="E634">
        <v>1</v>
      </c>
      <c r="F634" t="s">
        <v>2169</v>
      </c>
      <c r="G634" t="s">
        <v>1847</v>
      </c>
      <c r="H634" t="s">
        <v>2167</v>
      </c>
      <c r="I634" t="s">
        <v>2170</v>
      </c>
    </row>
    <row r="635" spans="1:9">
      <c r="A635" t="str">
        <f>"0033198 "</f>
        <v xml:space="preserve">0033198 </v>
      </c>
      <c r="B635" t="s">
        <v>1843</v>
      </c>
      <c r="C635" t="s">
        <v>2171</v>
      </c>
      <c r="D635" t="s">
        <v>2172</v>
      </c>
      <c r="E635">
        <v>2</v>
      </c>
      <c r="F635" t="s">
        <v>2173</v>
      </c>
      <c r="G635" t="s">
        <v>1847</v>
      </c>
      <c r="H635" t="s">
        <v>2171</v>
      </c>
      <c r="I635" t="s">
        <v>2174</v>
      </c>
    </row>
    <row r="636" spans="1:9">
      <c r="A636" t="str">
        <f>"0033675 "</f>
        <v xml:space="preserve">0033675 </v>
      </c>
      <c r="B636" t="s">
        <v>1843</v>
      </c>
      <c r="C636" t="s">
        <v>2175</v>
      </c>
      <c r="D636" t="s">
        <v>2176</v>
      </c>
      <c r="E636">
        <v>2</v>
      </c>
      <c r="F636" t="s">
        <v>1917</v>
      </c>
      <c r="G636" t="s">
        <v>1847</v>
      </c>
      <c r="H636" t="s">
        <v>2175</v>
      </c>
      <c r="I636" t="s">
        <v>2177</v>
      </c>
    </row>
    <row r="637" spans="1:9">
      <c r="A637" t="str">
        <f>"0033206 "</f>
        <v xml:space="preserve">0033206 </v>
      </c>
      <c r="B637" t="s">
        <v>1843</v>
      </c>
      <c r="C637" t="s">
        <v>2178</v>
      </c>
      <c r="D637" t="s">
        <v>2179</v>
      </c>
      <c r="E637" t="s">
        <v>16</v>
      </c>
      <c r="F637" t="s">
        <v>2180</v>
      </c>
      <c r="G637" t="s">
        <v>1847</v>
      </c>
      <c r="H637" t="s">
        <v>2178</v>
      </c>
      <c r="I637" t="s">
        <v>2181</v>
      </c>
    </row>
    <row r="638" spans="1:9">
      <c r="A638" t="str">
        <f>"0033208 "</f>
        <v xml:space="preserve">0033208 </v>
      </c>
      <c r="B638" t="s">
        <v>1843</v>
      </c>
      <c r="C638" t="s">
        <v>2182</v>
      </c>
      <c r="D638" t="s">
        <v>2183</v>
      </c>
      <c r="E638">
        <v>1</v>
      </c>
      <c r="F638" t="s">
        <v>2184</v>
      </c>
      <c r="G638" t="s">
        <v>1847</v>
      </c>
      <c r="H638" t="s">
        <v>2182</v>
      </c>
      <c r="I638" t="s">
        <v>2185</v>
      </c>
    </row>
    <row r="639" spans="1:9">
      <c r="A639" t="str">
        <f>"0033211 "</f>
        <v xml:space="preserve">0033211 </v>
      </c>
      <c r="B639" t="s">
        <v>1843</v>
      </c>
      <c r="C639" t="s">
        <v>2186</v>
      </c>
      <c r="D639" t="s">
        <v>2187</v>
      </c>
      <c r="E639">
        <v>1</v>
      </c>
      <c r="F639" t="s">
        <v>2188</v>
      </c>
      <c r="G639" t="s">
        <v>1847</v>
      </c>
      <c r="H639" t="s">
        <v>2186</v>
      </c>
      <c r="I639" t="s">
        <v>1899</v>
      </c>
    </row>
    <row r="640" spans="1:9">
      <c r="A640" t="str">
        <f>"0033212 "</f>
        <v xml:space="preserve">0033212 </v>
      </c>
      <c r="B640" t="s">
        <v>1843</v>
      </c>
      <c r="C640" t="s">
        <v>2189</v>
      </c>
      <c r="D640" t="s">
        <v>2190</v>
      </c>
      <c r="E640">
        <v>1</v>
      </c>
      <c r="F640" t="s">
        <v>2191</v>
      </c>
      <c r="G640" t="s">
        <v>1847</v>
      </c>
      <c r="H640" t="s">
        <v>2189</v>
      </c>
      <c r="I640" t="s">
        <v>2192</v>
      </c>
    </row>
    <row r="641" spans="1:9">
      <c r="A641" t="str">
        <f>"0033214 "</f>
        <v xml:space="preserve">0033214 </v>
      </c>
      <c r="B641" t="s">
        <v>1843</v>
      </c>
      <c r="C641" t="s">
        <v>2193</v>
      </c>
      <c r="D641" t="s">
        <v>2194</v>
      </c>
      <c r="E641">
        <v>3</v>
      </c>
      <c r="F641" t="s">
        <v>2195</v>
      </c>
      <c r="G641" t="s">
        <v>1847</v>
      </c>
      <c r="H641" t="s">
        <v>2193</v>
      </c>
      <c r="I641" t="s">
        <v>2196</v>
      </c>
    </row>
    <row r="642" spans="1:9">
      <c r="A642" t="str">
        <f>"0033676 "</f>
        <v xml:space="preserve">0033676 </v>
      </c>
      <c r="B642" t="s">
        <v>1843</v>
      </c>
      <c r="C642" t="s">
        <v>2197</v>
      </c>
      <c r="D642" t="s">
        <v>2198</v>
      </c>
      <c r="E642">
        <v>1</v>
      </c>
      <c r="F642" t="s">
        <v>2199</v>
      </c>
      <c r="G642" t="s">
        <v>1847</v>
      </c>
      <c r="H642" t="s">
        <v>2197</v>
      </c>
      <c r="I642" t="s">
        <v>2200</v>
      </c>
    </row>
    <row r="643" spans="1:9">
      <c r="A643" t="str">
        <f>"0033217 "</f>
        <v xml:space="preserve">0033217 </v>
      </c>
      <c r="B643" t="s">
        <v>1843</v>
      </c>
      <c r="C643" t="s">
        <v>2201</v>
      </c>
      <c r="D643" t="s">
        <v>2202</v>
      </c>
      <c r="E643">
        <v>1</v>
      </c>
      <c r="F643" t="s">
        <v>2203</v>
      </c>
      <c r="G643" t="s">
        <v>1847</v>
      </c>
      <c r="H643" t="s">
        <v>2201</v>
      </c>
      <c r="I643" t="s">
        <v>2204</v>
      </c>
    </row>
    <row r="644" spans="1:9">
      <c r="A644" t="str">
        <f>"0033220 "</f>
        <v xml:space="preserve">0033220 </v>
      </c>
      <c r="B644" t="s">
        <v>1843</v>
      </c>
      <c r="C644" t="s">
        <v>2205</v>
      </c>
      <c r="D644" t="s">
        <v>2206</v>
      </c>
      <c r="E644">
        <v>1</v>
      </c>
      <c r="F644" t="s">
        <v>2207</v>
      </c>
      <c r="G644" t="s">
        <v>1847</v>
      </c>
      <c r="H644" t="s">
        <v>2205</v>
      </c>
      <c r="I644" t="s">
        <v>2208</v>
      </c>
    </row>
    <row r="645" spans="1:9">
      <c r="A645" t="str">
        <f>"0033221 "</f>
        <v xml:space="preserve">0033221 </v>
      </c>
      <c r="B645" t="s">
        <v>1843</v>
      </c>
      <c r="C645" t="s">
        <v>2209</v>
      </c>
      <c r="D645" t="s">
        <v>2210</v>
      </c>
      <c r="E645">
        <v>1</v>
      </c>
      <c r="F645" t="s">
        <v>2211</v>
      </c>
      <c r="G645" t="s">
        <v>1847</v>
      </c>
      <c r="H645" t="s">
        <v>2209</v>
      </c>
      <c r="I645" t="s">
        <v>2212</v>
      </c>
    </row>
    <row r="646" spans="1:9">
      <c r="A646" t="str">
        <f>"0033222 "</f>
        <v xml:space="preserve">0033222 </v>
      </c>
      <c r="B646" t="s">
        <v>1843</v>
      </c>
      <c r="C646" t="s">
        <v>2213</v>
      </c>
      <c r="D646" t="s">
        <v>2214</v>
      </c>
      <c r="E646">
        <v>2</v>
      </c>
      <c r="F646" t="s">
        <v>2215</v>
      </c>
      <c r="G646" t="s">
        <v>1847</v>
      </c>
      <c r="H646" t="s">
        <v>2213</v>
      </c>
      <c r="I646" t="s">
        <v>2216</v>
      </c>
    </row>
    <row r="647" spans="1:9">
      <c r="A647" t="str">
        <f>"0033223 "</f>
        <v xml:space="preserve">0033223 </v>
      </c>
      <c r="B647" t="s">
        <v>1843</v>
      </c>
      <c r="C647" t="s">
        <v>2217</v>
      </c>
      <c r="D647" t="s">
        <v>2218</v>
      </c>
      <c r="E647">
        <v>2</v>
      </c>
      <c r="F647" t="s">
        <v>2219</v>
      </c>
      <c r="G647" t="s">
        <v>1847</v>
      </c>
      <c r="H647" t="s">
        <v>2217</v>
      </c>
      <c r="I647" t="s">
        <v>2220</v>
      </c>
    </row>
    <row r="648" spans="1:9">
      <c r="A648" t="str">
        <f>"0033224 "</f>
        <v xml:space="preserve">0033224 </v>
      </c>
      <c r="B648" t="s">
        <v>1843</v>
      </c>
      <c r="C648" t="s">
        <v>2221</v>
      </c>
      <c r="D648" t="s">
        <v>2222</v>
      </c>
      <c r="E648">
        <v>1</v>
      </c>
      <c r="F648" t="s">
        <v>176</v>
      </c>
      <c r="G648" t="s">
        <v>1847</v>
      </c>
      <c r="H648" t="s">
        <v>2221</v>
      </c>
      <c r="I648" t="s">
        <v>2223</v>
      </c>
    </row>
    <row r="649" spans="1:9">
      <c r="A649" t="str">
        <f>"0033225 "</f>
        <v xml:space="preserve">0033225 </v>
      </c>
      <c r="B649" t="s">
        <v>1843</v>
      </c>
      <c r="C649" t="s">
        <v>2224</v>
      </c>
      <c r="D649" t="s">
        <v>2225</v>
      </c>
      <c r="E649">
        <v>1</v>
      </c>
      <c r="F649" t="s">
        <v>2226</v>
      </c>
      <c r="G649" t="s">
        <v>1847</v>
      </c>
      <c r="H649" t="s">
        <v>2224</v>
      </c>
      <c r="I649" t="s">
        <v>2227</v>
      </c>
    </row>
    <row r="650" spans="1:9">
      <c r="A650" t="str">
        <f>"0033228 "</f>
        <v xml:space="preserve">0033228 </v>
      </c>
      <c r="B650" t="s">
        <v>1843</v>
      </c>
      <c r="C650" t="s">
        <v>2228</v>
      </c>
      <c r="D650" t="s">
        <v>2229</v>
      </c>
      <c r="E650">
        <v>1</v>
      </c>
      <c r="F650" t="s">
        <v>2230</v>
      </c>
      <c r="G650" t="s">
        <v>1847</v>
      </c>
      <c r="H650" t="s">
        <v>2228</v>
      </c>
      <c r="I650" t="s">
        <v>2231</v>
      </c>
    </row>
    <row r="651" spans="1:9">
      <c r="A651" t="str">
        <f>"0033229 "</f>
        <v xml:space="preserve">0033229 </v>
      </c>
      <c r="B651" t="s">
        <v>1843</v>
      </c>
      <c r="C651" t="s">
        <v>2232</v>
      </c>
      <c r="D651" t="s">
        <v>2233</v>
      </c>
      <c r="E651">
        <v>1</v>
      </c>
      <c r="F651" t="s">
        <v>2049</v>
      </c>
      <c r="G651" t="s">
        <v>1847</v>
      </c>
      <c r="H651" t="s">
        <v>2232</v>
      </c>
      <c r="I651" t="s">
        <v>2234</v>
      </c>
    </row>
    <row r="652" spans="1:9">
      <c r="A652" t="str">
        <f>"0033230 "</f>
        <v xml:space="preserve">0033230 </v>
      </c>
      <c r="B652" t="s">
        <v>1843</v>
      </c>
      <c r="C652" t="s">
        <v>2235</v>
      </c>
      <c r="D652" t="s">
        <v>2236</v>
      </c>
      <c r="E652">
        <v>1</v>
      </c>
      <c r="F652" t="s">
        <v>2237</v>
      </c>
      <c r="G652" t="s">
        <v>1847</v>
      </c>
      <c r="H652" t="s">
        <v>2235</v>
      </c>
      <c r="I652" t="s">
        <v>2238</v>
      </c>
    </row>
    <row r="653" spans="1:9">
      <c r="A653" t="str">
        <f>"0033232 "</f>
        <v xml:space="preserve">0033232 </v>
      </c>
      <c r="B653" t="s">
        <v>1843</v>
      </c>
      <c r="C653" t="s">
        <v>2239</v>
      </c>
      <c r="D653" t="s">
        <v>2240</v>
      </c>
      <c r="E653">
        <v>2</v>
      </c>
      <c r="F653" t="s">
        <v>2241</v>
      </c>
      <c r="G653" t="s">
        <v>1847</v>
      </c>
      <c r="H653" t="s">
        <v>2239</v>
      </c>
      <c r="I653" t="s">
        <v>2242</v>
      </c>
    </row>
    <row r="654" spans="1:9">
      <c r="A654" t="str">
        <f>"0033678 "</f>
        <v xml:space="preserve">0033678 </v>
      </c>
      <c r="B654" t="s">
        <v>1843</v>
      </c>
      <c r="C654" t="s">
        <v>2243</v>
      </c>
      <c r="D654" t="s">
        <v>2244</v>
      </c>
      <c r="E654">
        <v>3</v>
      </c>
      <c r="F654" t="s">
        <v>2245</v>
      </c>
      <c r="G654" t="s">
        <v>1847</v>
      </c>
      <c r="H654" t="s">
        <v>2243</v>
      </c>
    </row>
    <row r="655" spans="1:9">
      <c r="A655" t="str">
        <f>"0033233 "</f>
        <v xml:space="preserve">0033233 </v>
      </c>
      <c r="B655" t="s">
        <v>1843</v>
      </c>
      <c r="C655" t="s">
        <v>2246</v>
      </c>
      <c r="D655" t="s">
        <v>2247</v>
      </c>
      <c r="E655">
        <v>1</v>
      </c>
      <c r="F655" t="s">
        <v>2248</v>
      </c>
      <c r="G655" t="s">
        <v>1847</v>
      </c>
      <c r="H655" t="s">
        <v>2246</v>
      </c>
      <c r="I655" t="s">
        <v>2249</v>
      </c>
    </row>
    <row r="656" spans="1:9">
      <c r="A656" t="str">
        <f>"0033234 "</f>
        <v xml:space="preserve">0033234 </v>
      </c>
      <c r="B656" t="s">
        <v>1843</v>
      </c>
      <c r="C656" t="s">
        <v>2250</v>
      </c>
      <c r="D656" t="s">
        <v>2251</v>
      </c>
      <c r="E656">
        <v>1</v>
      </c>
      <c r="F656" t="s">
        <v>2252</v>
      </c>
      <c r="G656" t="s">
        <v>1847</v>
      </c>
      <c r="H656" t="s">
        <v>2250</v>
      </c>
      <c r="I656" t="s">
        <v>2253</v>
      </c>
    </row>
    <row r="657" spans="1:9">
      <c r="A657" t="str">
        <f>"0033235 "</f>
        <v xml:space="preserve">0033235 </v>
      </c>
      <c r="B657" t="s">
        <v>1843</v>
      </c>
      <c r="C657" t="s">
        <v>2254</v>
      </c>
      <c r="D657" t="s">
        <v>2255</v>
      </c>
      <c r="E657">
        <v>1</v>
      </c>
      <c r="F657" t="s">
        <v>2256</v>
      </c>
      <c r="G657" t="s">
        <v>1847</v>
      </c>
      <c r="H657" t="s">
        <v>2254</v>
      </c>
      <c r="I657" t="s">
        <v>2257</v>
      </c>
    </row>
    <row r="658" spans="1:9">
      <c r="A658" t="str">
        <f>"0033236 "</f>
        <v xml:space="preserve">0033236 </v>
      </c>
      <c r="B658" t="s">
        <v>1843</v>
      </c>
      <c r="C658" t="s">
        <v>2258</v>
      </c>
      <c r="D658" t="s">
        <v>2259</v>
      </c>
      <c r="E658">
        <v>1</v>
      </c>
      <c r="F658" t="s">
        <v>2260</v>
      </c>
      <c r="G658" t="s">
        <v>1847</v>
      </c>
      <c r="H658" t="s">
        <v>2258</v>
      </c>
      <c r="I658" t="s">
        <v>2261</v>
      </c>
    </row>
    <row r="659" spans="1:9">
      <c r="A659" t="str">
        <f>"0033237 "</f>
        <v xml:space="preserve">0033237 </v>
      </c>
      <c r="B659" t="s">
        <v>1843</v>
      </c>
      <c r="C659" t="s">
        <v>2262</v>
      </c>
      <c r="D659" t="s">
        <v>2263</v>
      </c>
      <c r="E659">
        <v>1</v>
      </c>
      <c r="F659" t="s">
        <v>2264</v>
      </c>
      <c r="G659" t="s">
        <v>1847</v>
      </c>
      <c r="H659" t="s">
        <v>2262</v>
      </c>
      <c r="I659" t="s">
        <v>2265</v>
      </c>
    </row>
    <row r="660" spans="1:9">
      <c r="A660" t="str">
        <f>"0033238 "</f>
        <v xml:space="preserve">0033238 </v>
      </c>
      <c r="B660" t="s">
        <v>1843</v>
      </c>
      <c r="C660" t="s">
        <v>2266</v>
      </c>
      <c r="D660" t="s">
        <v>2267</v>
      </c>
      <c r="E660">
        <v>2</v>
      </c>
      <c r="F660" t="s">
        <v>2268</v>
      </c>
      <c r="G660" t="s">
        <v>1847</v>
      </c>
      <c r="H660" t="s">
        <v>2266</v>
      </c>
      <c r="I660" t="s">
        <v>2269</v>
      </c>
    </row>
    <row r="661" spans="1:9">
      <c r="A661" t="str">
        <f>"0033684 "</f>
        <v xml:space="preserve">0033684 </v>
      </c>
      <c r="B661" t="s">
        <v>1843</v>
      </c>
      <c r="C661" t="s">
        <v>2270</v>
      </c>
      <c r="D661" t="s">
        <v>2271</v>
      </c>
      <c r="E661">
        <v>1</v>
      </c>
      <c r="F661" t="s">
        <v>2272</v>
      </c>
      <c r="G661" t="s">
        <v>1847</v>
      </c>
      <c r="H661" t="s">
        <v>2270</v>
      </c>
      <c r="I661" t="s">
        <v>2273</v>
      </c>
    </row>
    <row r="662" spans="1:9">
      <c r="A662" t="str">
        <f>"0033685 "</f>
        <v xml:space="preserve">0033685 </v>
      </c>
      <c r="B662" t="s">
        <v>1843</v>
      </c>
      <c r="C662" t="s">
        <v>2274</v>
      </c>
      <c r="D662" t="s">
        <v>2275</v>
      </c>
      <c r="E662">
        <v>2</v>
      </c>
      <c r="F662" t="s">
        <v>2276</v>
      </c>
      <c r="G662" t="s">
        <v>1847</v>
      </c>
      <c r="H662" t="s">
        <v>2274</v>
      </c>
      <c r="I662" t="s">
        <v>2277</v>
      </c>
    </row>
    <row r="663" spans="1:9">
      <c r="A663" t="str">
        <f>"0033242 "</f>
        <v xml:space="preserve">0033242 </v>
      </c>
      <c r="B663" t="s">
        <v>1843</v>
      </c>
      <c r="C663" t="s">
        <v>2278</v>
      </c>
      <c r="D663" t="s">
        <v>2279</v>
      </c>
      <c r="E663">
        <v>2</v>
      </c>
      <c r="F663" t="s">
        <v>2280</v>
      </c>
      <c r="G663" t="s">
        <v>1847</v>
      </c>
      <c r="H663" t="s">
        <v>2278</v>
      </c>
      <c r="I663" t="s">
        <v>2281</v>
      </c>
    </row>
    <row r="664" spans="1:9">
      <c r="A664" t="str">
        <f>"0033243 "</f>
        <v xml:space="preserve">0033243 </v>
      </c>
      <c r="B664" t="s">
        <v>1843</v>
      </c>
      <c r="C664" t="s">
        <v>2282</v>
      </c>
      <c r="D664" t="s">
        <v>2283</v>
      </c>
      <c r="E664">
        <v>1</v>
      </c>
      <c r="F664" t="s">
        <v>2237</v>
      </c>
      <c r="G664" t="s">
        <v>1847</v>
      </c>
      <c r="H664" t="s">
        <v>2282</v>
      </c>
      <c r="I664" t="s">
        <v>2284</v>
      </c>
    </row>
    <row r="665" spans="1:9">
      <c r="A665" t="str">
        <f>"0033244 "</f>
        <v xml:space="preserve">0033244 </v>
      </c>
      <c r="B665" t="s">
        <v>1843</v>
      </c>
      <c r="C665" t="s">
        <v>2285</v>
      </c>
      <c r="D665" t="s">
        <v>2286</v>
      </c>
      <c r="E665">
        <v>2</v>
      </c>
      <c r="F665" t="s">
        <v>2287</v>
      </c>
      <c r="G665" t="s">
        <v>1847</v>
      </c>
      <c r="H665" t="s">
        <v>2285</v>
      </c>
      <c r="I665" t="s">
        <v>2288</v>
      </c>
    </row>
    <row r="666" spans="1:9">
      <c r="A666" t="str">
        <f>"0033688 "</f>
        <v xml:space="preserve">0033688 </v>
      </c>
      <c r="B666" t="s">
        <v>1843</v>
      </c>
      <c r="C666" t="s">
        <v>2289</v>
      </c>
      <c r="D666" t="s">
        <v>2290</v>
      </c>
      <c r="E666">
        <v>2</v>
      </c>
      <c r="F666" t="s">
        <v>2291</v>
      </c>
      <c r="G666" t="s">
        <v>1847</v>
      </c>
      <c r="H666" t="s">
        <v>2289</v>
      </c>
      <c r="I666" t="s">
        <v>2292</v>
      </c>
    </row>
    <row r="667" spans="1:9">
      <c r="A667" t="str">
        <f>"0033250 "</f>
        <v xml:space="preserve">0033250 </v>
      </c>
      <c r="B667" t="s">
        <v>1843</v>
      </c>
      <c r="C667" t="s">
        <v>2293</v>
      </c>
      <c r="D667" t="s">
        <v>2294</v>
      </c>
      <c r="E667">
        <v>2</v>
      </c>
      <c r="F667" t="s">
        <v>2295</v>
      </c>
      <c r="G667" t="s">
        <v>1847</v>
      </c>
      <c r="H667" t="s">
        <v>2293</v>
      </c>
      <c r="I667" t="s">
        <v>2296</v>
      </c>
    </row>
    <row r="668" spans="1:9">
      <c r="A668" t="str">
        <f>"0033251 "</f>
        <v xml:space="preserve">0033251 </v>
      </c>
      <c r="B668" t="s">
        <v>1843</v>
      </c>
      <c r="C668" t="s">
        <v>2297</v>
      </c>
      <c r="D668" t="s">
        <v>2298</v>
      </c>
      <c r="E668">
        <v>1</v>
      </c>
      <c r="F668" t="s">
        <v>2299</v>
      </c>
      <c r="G668" t="s">
        <v>1847</v>
      </c>
      <c r="H668" t="s">
        <v>2297</v>
      </c>
      <c r="I668" t="s">
        <v>2300</v>
      </c>
    </row>
    <row r="669" spans="1:9">
      <c r="A669" t="str">
        <f>"0033690 "</f>
        <v xml:space="preserve">0033690 </v>
      </c>
      <c r="B669" t="s">
        <v>1843</v>
      </c>
      <c r="C669" t="s">
        <v>2301</v>
      </c>
      <c r="D669" t="s">
        <v>2302</v>
      </c>
      <c r="E669">
        <v>2</v>
      </c>
      <c r="F669" t="s">
        <v>2303</v>
      </c>
      <c r="G669" t="s">
        <v>1847</v>
      </c>
      <c r="H669" t="s">
        <v>2301</v>
      </c>
      <c r="I669" t="s">
        <v>2304</v>
      </c>
    </row>
    <row r="670" spans="1:9">
      <c r="A670" t="str">
        <f>"0033252 "</f>
        <v xml:space="preserve">0033252 </v>
      </c>
      <c r="B670" t="s">
        <v>1843</v>
      </c>
      <c r="C670" t="s">
        <v>2305</v>
      </c>
      <c r="D670" t="s">
        <v>2306</v>
      </c>
      <c r="E670">
        <v>3</v>
      </c>
      <c r="F670" t="s">
        <v>2307</v>
      </c>
      <c r="G670" t="s">
        <v>1847</v>
      </c>
      <c r="H670" t="s">
        <v>2305</v>
      </c>
      <c r="I670" t="s">
        <v>2308</v>
      </c>
    </row>
    <row r="671" spans="1:9">
      <c r="A671" t="str">
        <f>"0033254 "</f>
        <v xml:space="preserve">0033254 </v>
      </c>
      <c r="B671" t="s">
        <v>1843</v>
      </c>
      <c r="C671" t="s">
        <v>2309</v>
      </c>
      <c r="D671" t="s">
        <v>2310</v>
      </c>
      <c r="E671">
        <v>1</v>
      </c>
      <c r="F671" t="s">
        <v>2311</v>
      </c>
      <c r="G671" t="s">
        <v>1847</v>
      </c>
      <c r="H671" t="s">
        <v>2309</v>
      </c>
      <c r="I671" t="s">
        <v>2312</v>
      </c>
    </row>
    <row r="672" spans="1:9">
      <c r="A672" t="str">
        <f>"0033255 "</f>
        <v xml:space="preserve">0033255 </v>
      </c>
      <c r="B672" t="s">
        <v>1843</v>
      </c>
      <c r="C672" t="s">
        <v>2313</v>
      </c>
      <c r="D672" t="s">
        <v>2314</v>
      </c>
      <c r="E672">
        <v>3</v>
      </c>
      <c r="F672" t="s">
        <v>2315</v>
      </c>
      <c r="G672" t="s">
        <v>1847</v>
      </c>
      <c r="H672" t="s">
        <v>2313</v>
      </c>
      <c r="I672" t="s">
        <v>2316</v>
      </c>
    </row>
    <row r="673" spans="1:9">
      <c r="A673" t="str">
        <f>"0033256 "</f>
        <v xml:space="preserve">0033256 </v>
      </c>
      <c r="B673" t="s">
        <v>1843</v>
      </c>
      <c r="C673" t="s">
        <v>2317</v>
      </c>
      <c r="D673" t="s">
        <v>2318</v>
      </c>
      <c r="E673">
        <v>2</v>
      </c>
      <c r="F673" t="s">
        <v>2319</v>
      </c>
      <c r="G673" t="s">
        <v>1847</v>
      </c>
      <c r="H673" t="s">
        <v>2317</v>
      </c>
      <c r="I673" t="s">
        <v>2320</v>
      </c>
    </row>
    <row r="674" spans="1:9">
      <c r="A674" t="str">
        <f>"0033262 "</f>
        <v xml:space="preserve">0033262 </v>
      </c>
      <c r="B674" t="s">
        <v>1843</v>
      </c>
      <c r="C674" t="s">
        <v>2321</v>
      </c>
      <c r="D674" t="s">
        <v>2322</v>
      </c>
      <c r="E674">
        <v>2</v>
      </c>
      <c r="F674" t="s">
        <v>2323</v>
      </c>
      <c r="G674" t="s">
        <v>1847</v>
      </c>
      <c r="H674" t="s">
        <v>2321</v>
      </c>
      <c r="I674" t="s">
        <v>2324</v>
      </c>
    </row>
    <row r="675" spans="1:9">
      <c r="A675" t="str">
        <f>"0033263 "</f>
        <v xml:space="preserve">0033263 </v>
      </c>
      <c r="B675" t="s">
        <v>1843</v>
      </c>
      <c r="C675" t="s">
        <v>2325</v>
      </c>
      <c r="D675" t="s">
        <v>2326</v>
      </c>
      <c r="E675">
        <v>2</v>
      </c>
      <c r="F675" t="s">
        <v>2327</v>
      </c>
      <c r="G675" t="s">
        <v>1847</v>
      </c>
      <c r="H675" t="s">
        <v>2325</v>
      </c>
      <c r="I675" t="s">
        <v>2328</v>
      </c>
    </row>
    <row r="676" spans="1:9">
      <c r="A676" t="str">
        <f>"0033264 "</f>
        <v xml:space="preserve">0033264 </v>
      </c>
      <c r="B676" t="s">
        <v>1843</v>
      </c>
      <c r="C676" t="s">
        <v>2329</v>
      </c>
      <c r="D676" t="s">
        <v>2330</v>
      </c>
      <c r="E676">
        <v>1</v>
      </c>
      <c r="F676" t="s">
        <v>2319</v>
      </c>
      <c r="G676" t="s">
        <v>1847</v>
      </c>
      <c r="H676" t="s">
        <v>2329</v>
      </c>
      <c r="I676" t="s">
        <v>2331</v>
      </c>
    </row>
    <row r="677" spans="1:9">
      <c r="A677" t="str">
        <f>"0033265 "</f>
        <v xml:space="preserve">0033265 </v>
      </c>
      <c r="B677" t="s">
        <v>1843</v>
      </c>
      <c r="C677" t="s">
        <v>2332</v>
      </c>
      <c r="D677" t="s">
        <v>2333</v>
      </c>
      <c r="E677">
        <v>1</v>
      </c>
      <c r="F677" t="s">
        <v>2334</v>
      </c>
      <c r="G677" t="s">
        <v>1847</v>
      </c>
      <c r="H677" t="s">
        <v>2332</v>
      </c>
      <c r="I677" t="s">
        <v>2335</v>
      </c>
    </row>
    <row r="678" spans="1:9">
      <c r="A678" t="str">
        <f>"0033268 "</f>
        <v xml:space="preserve">0033268 </v>
      </c>
      <c r="B678" t="s">
        <v>1843</v>
      </c>
      <c r="C678" t="s">
        <v>2336</v>
      </c>
      <c r="D678" t="s">
        <v>2337</v>
      </c>
      <c r="E678">
        <v>2</v>
      </c>
      <c r="F678" t="s">
        <v>2338</v>
      </c>
      <c r="G678" t="s">
        <v>1847</v>
      </c>
      <c r="H678" t="s">
        <v>2336</v>
      </c>
      <c r="I678" t="s">
        <v>2339</v>
      </c>
    </row>
    <row r="679" spans="1:9">
      <c r="A679" t="str">
        <f>"0157406 "</f>
        <v xml:space="preserve">0157406 </v>
      </c>
      <c r="B679" t="s">
        <v>1843</v>
      </c>
      <c r="C679" t="s">
        <v>2340</v>
      </c>
      <c r="D679" t="s">
        <v>2341</v>
      </c>
      <c r="E679">
        <v>4</v>
      </c>
      <c r="F679" t="s">
        <v>2342</v>
      </c>
      <c r="G679" t="s">
        <v>1847</v>
      </c>
      <c r="H679" t="s">
        <v>2340</v>
      </c>
      <c r="I679" t="s">
        <v>2343</v>
      </c>
    </row>
    <row r="680" spans="1:9">
      <c r="A680" t="str">
        <f>"0033275 "</f>
        <v xml:space="preserve">0033275 </v>
      </c>
      <c r="B680" t="s">
        <v>1843</v>
      </c>
      <c r="C680" t="s">
        <v>2344</v>
      </c>
      <c r="D680" t="s">
        <v>2345</v>
      </c>
      <c r="E680">
        <v>2</v>
      </c>
      <c r="F680" t="s">
        <v>2346</v>
      </c>
      <c r="G680" t="s">
        <v>1847</v>
      </c>
      <c r="H680" t="s">
        <v>2344</v>
      </c>
      <c r="I680" t="s">
        <v>2347</v>
      </c>
    </row>
    <row r="681" spans="1:9">
      <c r="A681" t="str">
        <f>"0033276 "</f>
        <v xml:space="preserve">0033276 </v>
      </c>
      <c r="B681" t="s">
        <v>1843</v>
      </c>
      <c r="C681" t="s">
        <v>2348</v>
      </c>
      <c r="D681" t="s">
        <v>2349</v>
      </c>
      <c r="E681">
        <v>1</v>
      </c>
      <c r="F681" t="s">
        <v>2350</v>
      </c>
      <c r="G681" t="s">
        <v>1847</v>
      </c>
      <c r="H681" t="s">
        <v>2348</v>
      </c>
      <c r="I681" t="s">
        <v>2351</v>
      </c>
    </row>
    <row r="682" spans="1:9">
      <c r="A682" t="str">
        <f>"0033278 "</f>
        <v xml:space="preserve">0033278 </v>
      </c>
      <c r="B682" t="s">
        <v>1843</v>
      </c>
      <c r="C682" t="s">
        <v>2352</v>
      </c>
      <c r="D682" t="s">
        <v>2353</v>
      </c>
      <c r="E682">
        <v>5</v>
      </c>
      <c r="F682" t="s">
        <v>2354</v>
      </c>
      <c r="G682" t="s">
        <v>1847</v>
      </c>
      <c r="H682" t="s">
        <v>2352</v>
      </c>
      <c r="I682" t="s">
        <v>2355</v>
      </c>
    </row>
    <row r="683" spans="1:9">
      <c r="A683" t="str">
        <f>"0033279 "</f>
        <v xml:space="preserve">0033279 </v>
      </c>
      <c r="B683" t="s">
        <v>1843</v>
      </c>
      <c r="C683" t="s">
        <v>2356</v>
      </c>
      <c r="D683" t="s">
        <v>2357</v>
      </c>
      <c r="E683">
        <v>3</v>
      </c>
      <c r="F683" t="s">
        <v>2358</v>
      </c>
      <c r="G683" t="s">
        <v>1847</v>
      </c>
      <c r="H683" t="s">
        <v>2356</v>
      </c>
    </row>
    <row r="684" spans="1:9">
      <c r="A684" t="str">
        <f>"0033280 "</f>
        <v xml:space="preserve">0033280 </v>
      </c>
      <c r="B684" t="s">
        <v>1843</v>
      </c>
      <c r="C684" t="s">
        <v>2359</v>
      </c>
      <c r="D684" t="s">
        <v>2360</v>
      </c>
      <c r="E684">
        <v>1</v>
      </c>
      <c r="F684" t="s">
        <v>2315</v>
      </c>
      <c r="G684" t="s">
        <v>1847</v>
      </c>
      <c r="H684" t="s">
        <v>2359</v>
      </c>
      <c r="I684" t="s">
        <v>2361</v>
      </c>
    </row>
    <row r="685" spans="1:9">
      <c r="A685" t="str">
        <f>"0033282 "</f>
        <v xml:space="preserve">0033282 </v>
      </c>
      <c r="B685" t="s">
        <v>1843</v>
      </c>
      <c r="C685" t="s">
        <v>2362</v>
      </c>
      <c r="D685" t="s">
        <v>2363</v>
      </c>
      <c r="E685">
        <v>2</v>
      </c>
      <c r="F685" t="s">
        <v>2364</v>
      </c>
      <c r="G685" t="s">
        <v>1847</v>
      </c>
      <c r="H685" t="s">
        <v>2362</v>
      </c>
      <c r="I685" t="s">
        <v>2365</v>
      </c>
    </row>
    <row r="686" spans="1:9">
      <c r="A686" t="str">
        <f>"0033283 "</f>
        <v xml:space="preserve">0033283 </v>
      </c>
      <c r="B686" t="s">
        <v>1843</v>
      </c>
      <c r="C686" t="s">
        <v>2366</v>
      </c>
      <c r="D686" t="s">
        <v>2367</v>
      </c>
      <c r="E686">
        <v>2</v>
      </c>
      <c r="F686" t="s">
        <v>2368</v>
      </c>
      <c r="G686" t="s">
        <v>1847</v>
      </c>
      <c r="H686" t="s">
        <v>2366</v>
      </c>
      <c r="I686" t="s">
        <v>2369</v>
      </c>
    </row>
    <row r="687" spans="1:9">
      <c r="A687" t="str">
        <f>"0033284 "</f>
        <v xml:space="preserve">0033284 </v>
      </c>
      <c r="B687" t="s">
        <v>1843</v>
      </c>
      <c r="C687" t="s">
        <v>2370</v>
      </c>
      <c r="D687" t="s">
        <v>2371</v>
      </c>
      <c r="E687">
        <v>1</v>
      </c>
      <c r="F687" t="s">
        <v>2372</v>
      </c>
      <c r="G687" t="s">
        <v>1847</v>
      </c>
      <c r="H687" t="s">
        <v>2370</v>
      </c>
      <c r="I687" t="s">
        <v>2373</v>
      </c>
    </row>
    <row r="688" spans="1:9">
      <c r="A688" t="str">
        <f>"0033285 "</f>
        <v xml:space="preserve">0033285 </v>
      </c>
      <c r="B688" t="s">
        <v>1843</v>
      </c>
      <c r="C688" t="s">
        <v>2374</v>
      </c>
      <c r="D688" t="s">
        <v>2375</v>
      </c>
      <c r="E688">
        <v>1</v>
      </c>
      <c r="F688" t="s">
        <v>2376</v>
      </c>
      <c r="G688" t="s">
        <v>1847</v>
      </c>
      <c r="H688" t="s">
        <v>2374</v>
      </c>
      <c r="I688" t="s">
        <v>2377</v>
      </c>
    </row>
    <row r="689" spans="1:9">
      <c r="A689" t="str">
        <f>"0033289 "</f>
        <v xml:space="preserve">0033289 </v>
      </c>
      <c r="B689" t="s">
        <v>1843</v>
      </c>
      <c r="C689" t="s">
        <v>2378</v>
      </c>
      <c r="D689" t="s">
        <v>2379</v>
      </c>
      <c r="E689">
        <v>2</v>
      </c>
      <c r="F689" t="s">
        <v>2380</v>
      </c>
      <c r="G689" t="s">
        <v>1847</v>
      </c>
      <c r="H689" t="s">
        <v>2378</v>
      </c>
      <c r="I689" t="s">
        <v>2381</v>
      </c>
    </row>
    <row r="690" spans="1:9">
      <c r="A690" t="str">
        <f>"0033290 "</f>
        <v xml:space="preserve">0033290 </v>
      </c>
      <c r="B690" t="s">
        <v>1843</v>
      </c>
      <c r="C690" t="s">
        <v>2382</v>
      </c>
      <c r="D690" t="s">
        <v>2383</v>
      </c>
      <c r="E690">
        <v>2</v>
      </c>
      <c r="F690" t="s">
        <v>2384</v>
      </c>
      <c r="G690" t="s">
        <v>1847</v>
      </c>
      <c r="H690" t="s">
        <v>2382</v>
      </c>
      <c r="I690" t="s">
        <v>2385</v>
      </c>
    </row>
    <row r="691" spans="1:9">
      <c r="A691" t="str">
        <f>"0033291 "</f>
        <v xml:space="preserve">0033291 </v>
      </c>
      <c r="B691" t="s">
        <v>1843</v>
      </c>
      <c r="C691" t="s">
        <v>2386</v>
      </c>
      <c r="D691" t="s">
        <v>2387</v>
      </c>
      <c r="E691">
        <v>4</v>
      </c>
      <c r="F691" t="s">
        <v>2388</v>
      </c>
      <c r="G691" t="s">
        <v>1847</v>
      </c>
      <c r="H691" t="s">
        <v>2386</v>
      </c>
      <c r="I691" t="s">
        <v>2389</v>
      </c>
    </row>
    <row r="692" spans="1:9">
      <c r="A692" t="str">
        <f>"0033293 "</f>
        <v xml:space="preserve">0033293 </v>
      </c>
      <c r="B692" t="s">
        <v>1843</v>
      </c>
      <c r="C692" t="s">
        <v>2390</v>
      </c>
      <c r="D692" t="s">
        <v>2391</v>
      </c>
      <c r="E692">
        <v>2</v>
      </c>
      <c r="F692" t="s">
        <v>2392</v>
      </c>
      <c r="G692" t="s">
        <v>1847</v>
      </c>
      <c r="H692" t="s">
        <v>2390</v>
      </c>
      <c r="I692" t="s">
        <v>2393</v>
      </c>
    </row>
    <row r="693" spans="1:9">
      <c r="A693" t="str">
        <f>"0033296 "</f>
        <v xml:space="preserve">0033296 </v>
      </c>
      <c r="B693" t="s">
        <v>1843</v>
      </c>
      <c r="C693" t="s">
        <v>2394</v>
      </c>
      <c r="D693" t="s">
        <v>2395</v>
      </c>
      <c r="E693">
        <v>2</v>
      </c>
      <c r="F693" t="s">
        <v>2396</v>
      </c>
      <c r="G693" t="s">
        <v>1847</v>
      </c>
      <c r="H693" t="s">
        <v>2394</v>
      </c>
      <c r="I693" t="s">
        <v>2397</v>
      </c>
    </row>
    <row r="694" spans="1:9">
      <c r="A694" t="str">
        <f>"0033300 "</f>
        <v xml:space="preserve">0033300 </v>
      </c>
      <c r="B694" t="s">
        <v>1843</v>
      </c>
      <c r="C694" t="s">
        <v>2398</v>
      </c>
      <c r="D694" t="s">
        <v>2399</v>
      </c>
      <c r="E694">
        <v>1</v>
      </c>
      <c r="F694" t="s">
        <v>2400</v>
      </c>
      <c r="G694" t="s">
        <v>1847</v>
      </c>
      <c r="H694" t="s">
        <v>2398</v>
      </c>
      <c r="I694" t="s">
        <v>2401</v>
      </c>
    </row>
    <row r="695" spans="1:9">
      <c r="A695" t="str">
        <f>"0033302 "</f>
        <v xml:space="preserve">0033302 </v>
      </c>
      <c r="B695" t="s">
        <v>1843</v>
      </c>
      <c r="C695" t="s">
        <v>2402</v>
      </c>
      <c r="D695" t="s">
        <v>2403</v>
      </c>
      <c r="E695">
        <v>1</v>
      </c>
      <c r="F695" t="s">
        <v>2404</v>
      </c>
      <c r="G695" t="s">
        <v>1847</v>
      </c>
      <c r="H695" t="s">
        <v>2402</v>
      </c>
      <c r="I695" t="s">
        <v>2405</v>
      </c>
    </row>
    <row r="696" spans="1:9">
      <c r="A696" t="str">
        <f>"0033303 "</f>
        <v xml:space="preserve">0033303 </v>
      </c>
      <c r="B696" t="s">
        <v>1843</v>
      </c>
      <c r="C696" t="s">
        <v>2406</v>
      </c>
      <c r="D696" t="s">
        <v>2407</v>
      </c>
      <c r="E696">
        <v>1</v>
      </c>
      <c r="F696" t="s">
        <v>2408</v>
      </c>
      <c r="G696" t="s">
        <v>1847</v>
      </c>
      <c r="H696" t="s">
        <v>2406</v>
      </c>
      <c r="I696" t="s">
        <v>2409</v>
      </c>
    </row>
    <row r="697" spans="1:9">
      <c r="A697" t="str">
        <f>"0033304 "</f>
        <v xml:space="preserve">0033304 </v>
      </c>
      <c r="B697" t="s">
        <v>1843</v>
      </c>
      <c r="C697" t="s">
        <v>2410</v>
      </c>
      <c r="D697" t="s">
        <v>2411</v>
      </c>
      <c r="E697">
        <v>4</v>
      </c>
      <c r="F697" t="s">
        <v>2412</v>
      </c>
      <c r="G697" t="s">
        <v>1847</v>
      </c>
      <c r="H697" t="s">
        <v>2410</v>
      </c>
      <c r="I697" t="s">
        <v>2413</v>
      </c>
    </row>
    <row r="698" spans="1:9">
      <c r="A698" t="str">
        <f>"0033310 "</f>
        <v xml:space="preserve">0033310 </v>
      </c>
      <c r="B698" t="s">
        <v>1843</v>
      </c>
      <c r="C698" t="s">
        <v>2414</v>
      </c>
      <c r="D698" t="s">
        <v>2415</v>
      </c>
      <c r="E698">
        <v>1</v>
      </c>
      <c r="F698" t="s">
        <v>2416</v>
      </c>
      <c r="G698" t="s">
        <v>1847</v>
      </c>
      <c r="H698" t="s">
        <v>2414</v>
      </c>
      <c r="I698" t="s">
        <v>2417</v>
      </c>
    </row>
    <row r="699" spans="1:9">
      <c r="A699" t="str">
        <f>"0033311 "</f>
        <v xml:space="preserve">0033311 </v>
      </c>
      <c r="B699" t="s">
        <v>1843</v>
      </c>
      <c r="C699" t="s">
        <v>2418</v>
      </c>
      <c r="D699" t="s">
        <v>2419</v>
      </c>
      <c r="E699">
        <v>1</v>
      </c>
      <c r="F699" t="s">
        <v>2420</v>
      </c>
      <c r="G699" t="s">
        <v>1847</v>
      </c>
      <c r="H699" t="s">
        <v>2418</v>
      </c>
      <c r="I699" t="s">
        <v>2421</v>
      </c>
    </row>
    <row r="700" spans="1:9">
      <c r="A700" t="str">
        <f>"0033312 "</f>
        <v xml:space="preserve">0033312 </v>
      </c>
      <c r="B700" t="s">
        <v>1843</v>
      </c>
      <c r="C700" t="s">
        <v>2422</v>
      </c>
      <c r="D700" t="s">
        <v>2423</v>
      </c>
      <c r="E700">
        <v>3</v>
      </c>
      <c r="F700" t="s">
        <v>2424</v>
      </c>
      <c r="G700" t="s">
        <v>1847</v>
      </c>
      <c r="H700" t="s">
        <v>2422</v>
      </c>
      <c r="I700" t="s">
        <v>2425</v>
      </c>
    </row>
    <row r="701" spans="1:9">
      <c r="A701" t="str">
        <f>"0033314 "</f>
        <v xml:space="preserve">0033314 </v>
      </c>
      <c r="B701" t="s">
        <v>1843</v>
      </c>
      <c r="C701" t="s">
        <v>2426</v>
      </c>
      <c r="D701" t="s">
        <v>2427</v>
      </c>
      <c r="E701">
        <v>1</v>
      </c>
      <c r="F701" t="s">
        <v>2428</v>
      </c>
      <c r="G701" t="s">
        <v>1847</v>
      </c>
      <c r="H701" t="s">
        <v>2426</v>
      </c>
      <c r="I701" t="s">
        <v>2429</v>
      </c>
    </row>
    <row r="702" spans="1:9">
      <c r="A702" t="str">
        <f>"0033315 "</f>
        <v xml:space="preserve">0033315 </v>
      </c>
      <c r="B702" t="s">
        <v>1843</v>
      </c>
      <c r="C702" t="s">
        <v>2430</v>
      </c>
      <c r="D702" t="s">
        <v>2431</v>
      </c>
      <c r="E702">
        <v>2</v>
      </c>
      <c r="F702" t="s">
        <v>2432</v>
      </c>
      <c r="G702" t="s">
        <v>1847</v>
      </c>
      <c r="H702" t="s">
        <v>2430</v>
      </c>
      <c r="I702" t="s">
        <v>2433</v>
      </c>
    </row>
    <row r="703" spans="1:9">
      <c r="A703" t="str">
        <f>"0033318 "</f>
        <v xml:space="preserve">0033318 </v>
      </c>
      <c r="B703" t="s">
        <v>1843</v>
      </c>
      <c r="C703" t="s">
        <v>2434</v>
      </c>
      <c r="D703" t="s">
        <v>2435</v>
      </c>
      <c r="E703">
        <v>1</v>
      </c>
      <c r="F703" t="s">
        <v>2436</v>
      </c>
      <c r="G703" t="s">
        <v>1847</v>
      </c>
      <c r="H703" t="s">
        <v>2434</v>
      </c>
      <c r="I703" t="s">
        <v>2437</v>
      </c>
    </row>
    <row r="704" spans="1:9">
      <c r="A704" t="str">
        <f>"0033322 "</f>
        <v xml:space="preserve">0033322 </v>
      </c>
      <c r="B704" t="s">
        <v>1843</v>
      </c>
      <c r="C704" t="s">
        <v>2438</v>
      </c>
      <c r="D704" t="s">
        <v>2439</v>
      </c>
      <c r="E704">
        <v>1</v>
      </c>
      <c r="F704" t="s">
        <v>2358</v>
      </c>
      <c r="G704" t="s">
        <v>1847</v>
      </c>
      <c r="H704" t="s">
        <v>2438</v>
      </c>
      <c r="I704" t="s">
        <v>2440</v>
      </c>
    </row>
    <row r="705" spans="1:9">
      <c r="A705" t="str">
        <f>"0033329 "</f>
        <v xml:space="preserve">0033329 </v>
      </c>
      <c r="B705" t="s">
        <v>1843</v>
      </c>
      <c r="C705" t="s">
        <v>2441</v>
      </c>
      <c r="D705" t="s">
        <v>2442</v>
      </c>
      <c r="E705">
        <v>1</v>
      </c>
      <c r="F705" t="s">
        <v>2443</v>
      </c>
      <c r="G705" t="s">
        <v>1847</v>
      </c>
      <c r="H705" t="s">
        <v>2441</v>
      </c>
      <c r="I705" t="s">
        <v>2444</v>
      </c>
    </row>
    <row r="706" spans="1:9">
      <c r="A706" t="str">
        <f>"0033332 "</f>
        <v xml:space="preserve">0033332 </v>
      </c>
      <c r="B706" t="s">
        <v>1843</v>
      </c>
      <c r="C706" t="s">
        <v>2445</v>
      </c>
      <c r="D706" t="s">
        <v>2446</v>
      </c>
      <c r="E706">
        <v>2</v>
      </c>
      <c r="F706" t="s">
        <v>2447</v>
      </c>
      <c r="G706" t="s">
        <v>1847</v>
      </c>
      <c r="H706" t="s">
        <v>2445</v>
      </c>
      <c r="I706" t="s">
        <v>2448</v>
      </c>
    </row>
    <row r="707" spans="1:9">
      <c r="A707" t="str">
        <f>"0033334 "</f>
        <v xml:space="preserve">0033334 </v>
      </c>
      <c r="B707" t="s">
        <v>1843</v>
      </c>
      <c r="C707" t="s">
        <v>2449</v>
      </c>
      <c r="D707" t="s">
        <v>2450</v>
      </c>
      <c r="E707">
        <v>1</v>
      </c>
      <c r="F707" t="s">
        <v>2451</v>
      </c>
      <c r="G707" t="s">
        <v>1847</v>
      </c>
      <c r="H707" t="s">
        <v>2449</v>
      </c>
      <c r="I707" t="s">
        <v>2452</v>
      </c>
    </row>
    <row r="708" spans="1:9">
      <c r="A708" t="str">
        <f>"0033335 "</f>
        <v xml:space="preserve">0033335 </v>
      </c>
      <c r="B708" t="s">
        <v>1843</v>
      </c>
      <c r="C708" t="s">
        <v>2453</v>
      </c>
      <c r="D708" t="s">
        <v>2454</v>
      </c>
      <c r="E708">
        <v>1</v>
      </c>
      <c r="F708" t="s">
        <v>2455</v>
      </c>
      <c r="G708" t="s">
        <v>1847</v>
      </c>
      <c r="H708" t="s">
        <v>2453</v>
      </c>
      <c r="I708" t="s">
        <v>2456</v>
      </c>
    </row>
    <row r="709" spans="1:9">
      <c r="A709" t="str">
        <f>"0033338 "</f>
        <v xml:space="preserve">0033338 </v>
      </c>
      <c r="B709" t="s">
        <v>1843</v>
      </c>
      <c r="C709" t="s">
        <v>2457</v>
      </c>
      <c r="D709" t="s">
        <v>2458</v>
      </c>
      <c r="E709">
        <v>2</v>
      </c>
      <c r="F709" t="s">
        <v>2459</v>
      </c>
      <c r="G709" t="s">
        <v>1847</v>
      </c>
      <c r="H709" t="s">
        <v>2457</v>
      </c>
      <c r="I709" t="s">
        <v>2460</v>
      </c>
    </row>
    <row r="710" spans="1:9">
      <c r="A710" t="str">
        <f>"0033339 "</f>
        <v xml:space="preserve">0033339 </v>
      </c>
      <c r="B710" t="s">
        <v>1843</v>
      </c>
      <c r="C710" t="s">
        <v>2461</v>
      </c>
      <c r="D710" t="s">
        <v>2462</v>
      </c>
      <c r="E710">
        <v>1</v>
      </c>
      <c r="F710" t="s">
        <v>2463</v>
      </c>
      <c r="G710" t="s">
        <v>1847</v>
      </c>
      <c r="H710" t="s">
        <v>2461</v>
      </c>
      <c r="I710" t="s">
        <v>2464</v>
      </c>
    </row>
    <row r="711" spans="1:9">
      <c r="A711" t="str">
        <f>"0033346 "</f>
        <v xml:space="preserve">0033346 </v>
      </c>
      <c r="B711" t="s">
        <v>1843</v>
      </c>
      <c r="C711" t="s">
        <v>2465</v>
      </c>
      <c r="D711" t="s">
        <v>2466</v>
      </c>
      <c r="E711">
        <v>3</v>
      </c>
      <c r="F711" t="s">
        <v>2467</v>
      </c>
      <c r="G711" t="s">
        <v>1847</v>
      </c>
      <c r="H711" t="s">
        <v>2465</v>
      </c>
      <c r="I711" t="s">
        <v>2468</v>
      </c>
    </row>
    <row r="712" spans="1:9">
      <c r="A712" t="str">
        <f>"0033355 "</f>
        <v xml:space="preserve">0033355 </v>
      </c>
      <c r="B712" t="s">
        <v>1843</v>
      </c>
      <c r="C712" t="s">
        <v>2469</v>
      </c>
      <c r="D712" t="s">
        <v>2470</v>
      </c>
      <c r="E712">
        <v>2</v>
      </c>
      <c r="F712" t="s">
        <v>2471</v>
      </c>
      <c r="G712" t="s">
        <v>1847</v>
      </c>
      <c r="H712" t="s">
        <v>2469</v>
      </c>
      <c r="I712" t="s">
        <v>2472</v>
      </c>
    </row>
    <row r="713" spans="1:9">
      <c r="A713" t="str">
        <f>"0033361 "</f>
        <v xml:space="preserve">0033361 </v>
      </c>
      <c r="B713" t="s">
        <v>1843</v>
      </c>
      <c r="C713" t="s">
        <v>2473</v>
      </c>
      <c r="D713" t="s">
        <v>2474</v>
      </c>
      <c r="E713">
        <v>1</v>
      </c>
      <c r="F713" t="s">
        <v>2475</v>
      </c>
      <c r="G713" t="s">
        <v>1847</v>
      </c>
      <c r="H713" t="s">
        <v>2473</v>
      </c>
      <c r="I713" t="s">
        <v>2476</v>
      </c>
    </row>
    <row r="714" spans="1:9">
      <c r="A714" t="str">
        <f>"0033364 "</f>
        <v xml:space="preserve">0033364 </v>
      </c>
      <c r="B714" t="s">
        <v>1843</v>
      </c>
      <c r="C714" t="s">
        <v>2477</v>
      </c>
      <c r="D714" t="s">
        <v>2478</v>
      </c>
      <c r="E714">
        <v>1</v>
      </c>
      <c r="F714" t="s">
        <v>2479</v>
      </c>
      <c r="G714" t="s">
        <v>1847</v>
      </c>
      <c r="H714" t="s">
        <v>2477</v>
      </c>
      <c r="I714" t="s">
        <v>2480</v>
      </c>
    </row>
    <row r="715" spans="1:9">
      <c r="A715" t="str">
        <f>"0033365 "</f>
        <v xml:space="preserve">0033365 </v>
      </c>
      <c r="B715" t="s">
        <v>1843</v>
      </c>
      <c r="C715" t="s">
        <v>2481</v>
      </c>
      <c r="D715" t="s">
        <v>2482</v>
      </c>
      <c r="E715">
        <v>2</v>
      </c>
      <c r="F715" t="s">
        <v>2483</v>
      </c>
      <c r="G715" t="s">
        <v>1847</v>
      </c>
      <c r="H715" t="s">
        <v>2481</v>
      </c>
      <c r="I715" t="s">
        <v>2484</v>
      </c>
    </row>
    <row r="716" spans="1:9">
      <c r="A716" t="str">
        <f>"0033371 "</f>
        <v xml:space="preserve">0033371 </v>
      </c>
      <c r="B716" t="s">
        <v>1843</v>
      </c>
      <c r="C716" t="s">
        <v>2485</v>
      </c>
      <c r="D716" t="s">
        <v>2486</v>
      </c>
      <c r="E716">
        <v>1</v>
      </c>
      <c r="F716" t="s">
        <v>2487</v>
      </c>
      <c r="G716" t="s">
        <v>1847</v>
      </c>
      <c r="H716" t="s">
        <v>2485</v>
      </c>
      <c r="I716" t="s">
        <v>2488</v>
      </c>
    </row>
    <row r="717" spans="1:9">
      <c r="A717" t="str">
        <f>"0033372 "</f>
        <v xml:space="preserve">0033372 </v>
      </c>
      <c r="B717" t="s">
        <v>1843</v>
      </c>
      <c r="C717" t="s">
        <v>2489</v>
      </c>
      <c r="D717" t="s">
        <v>2490</v>
      </c>
      <c r="E717">
        <v>1</v>
      </c>
      <c r="F717" t="s">
        <v>2491</v>
      </c>
      <c r="G717" t="s">
        <v>1847</v>
      </c>
      <c r="H717" t="s">
        <v>2489</v>
      </c>
      <c r="I717" t="s">
        <v>1899</v>
      </c>
    </row>
    <row r="718" spans="1:9">
      <c r="A718" t="str">
        <f>"0033373 "</f>
        <v xml:space="preserve">0033373 </v>
      </c>
      <c r="B718" t="s">
        <v>1843</v>
      </c>
      <c r="C718" t="s">
        <v>2492</v>
      </c>
      <c r="D718" t="s">
        <v>2493</v>
      </c>
      <c r="E718">
        <v>3</v>
      </c>
      <c r="F718" t="s">
        <v>2494</v>
      </c>
      <c r="G718" t="s">
        <v>1847</v>
      </c>
      <c r="H718" t="s">
        <v>2492</v>
      </c>
      <c r="I718" t="s">
        <v>2495</v>
      </c>
    </row>
    <row r="719" spans="1:9">
      <c r="A719" t="str">
        <f>"0033374 "</f>
        <v xml:space="preserve">0033374 </v>
      </c>
      <c r="B719" t="s">
        <v>1843</v>
      </c>
      <c r="C719" t="s">
        <v>2496</v>
      </c>
      <c r="D719" t="s">
        <v>2497</v>
      </c>
      <c r="E719">
        <v>2</v>
      </c>
      <c r="F719" t="s">
        <v>2498</v>
      </c>
      <c r="G719" t="s">
        <v>1847</v>
      </c>
      <c r="H719" t="s">
        <v>2496</v>
      </c>
      <c r="I719" t="s">
        <v>2499</v>
      </c>
    </row>
    <row r="720" spans="1:9">
      <c r="A720" t="str">
        <f>"0033375 "</f>
        <v xml:space="preserve">0033375 </v>
      </c>
      <c r="B720" t="s">
        <v>1843</v>
      </c>
      <c r="C720" t="s">
        <v>2500</v>
      </c>
      <c r="D720" t="s">
        <v>2501</v>
      </c>
      <c r="E720">
        <v>1</v>
      </c>
      <c r="F720" t="s">
        <v>2502</v>
      </c>
      <c r="G720" t="s">
        <v>1847</v>
      </c>
      <c r="H720" t="s">
        <v>2500</v>
      </c>
      <c r="I720" t="s">
        <v>2503</v>
      </c>
    </row>
    <row r="721" spans="1:9">
      <c r="A721" t="str">
        <f>"0033376 "</f>
        <v xml:space="preserve">0033376 </v>
      </c>
      <c r="B721" t="s">
        <v>1843</v>
      </c>
      <c r="C721" t="s">
        <v>2504</v>
      </c>
      <c r="D721" t="s">
        <v>2505</v>
      </c>
      <c r="E721">
        <v>2</v>
      </c>
      <c r="F721" t="s">
        <v>2506</v>
      </c>
      <c r="G721" t="s">
        <v>1847</v>
      </c>
      <c r="H721" t="s">
        <v>2504</v>
      </c>
      <c r="I721" t="s">
        <v>2507</v>
      </c>
    </row>
    <row r="722" spans="1:9">
      <c r="A722" t="str">
        <f>"0033380 "</f>
        <v xml:space="preserve">0033380 </v>
      </c>
      <c r="B722" t="s">
        <v>1843</v>
      </c>
      <c r="C722" t="s">
        <v>2508</v>
      </c>
      <c r="D722" t="s">
        <v>2509</v>
      </c>
      <c r="E722">
        <v>4</v>
      </c>
      <c r="F722" t="s">
        <v>2510</v>
      </c>
      <c r="G722" t="s">
        <v>1847</v>
      </c>
      <c r="H722" t="s">
        <v>2508</v>
      </c>
      <c r="I722" t="s">
        <v>2511</v>
      </c>
    </row>
    <row r="723" spans="1:9">
      <c r="A723" t="str">
        <f>"0033387 "</f>
        <v xml:space="preserve">0033387 </v>
      </c>
      <c r="B723" t="s">
        <v>1843</v>
      </c>
      <c r="C723" t="s">
        <v>2512</v>
      </c>
      <c r="D723" t="s">
        <v>2513</v>
      </c>
      <c r="E723">
        <v>2</v>
      </c>
      <c r="F723" t="s">
        <v>2514</v>
      </c>
      <c r="G723" t="s">
        <v>1847</v>
      </c>
      <c r="H723" t="s">
        <v>2512</v>
      </c>
      <c r="I723" t="s">
        <v>2515</v>
      </c>
    </row>
    <row r="724" spans="1:9">
      <c r="A724" t="str">
        <f>"0033388 "</f>
        <v xml:space="preserve">0033388 </v>
      </c>
      <c r="B724" t="s">
        <v>1843</v>
      </c>
      <c r="C724" t="s">
        <v>2516</v>
      </c>
      <c r="D724" t="s">
        <v>2517</v>
      </c>
      <c r="E724">
        <v>2</v>
      </c>
      <c r="F724" t="s">
        <v>2518</v>
      </c>
      <c r="G724" t="s">
        <v>1847</v>
      </c>
      <c r="H724" t="s">
        <v>2516</v>
      </c>
      <c r="I724" t="s">
        <v>2519</v>
      </c>
    </row>
    <row r="725" spans="1:9">
      <c r="A725" t="str">
        <f>"0033395 "</f>
        <v xml:space="preserve">0033395 </v>
      </c>
      <c r="B725" t="s">
        <v>1843</v>
      </c>
      <c r="C725" t="s">
        <v>2520</v>
      </c>
      <c r="D725" t="s">
        <v>2521</v>
      </c>
      <c r="E725">
        <v>1</v>
      </c>
      <c r="F725" t="s">
        <v>2522</v>
      </c>
      <c r="G725" t="s">
        <v>1847</v>
      </c>
      <c r="H725" t="s">
        <v>2520</v>
      </c>
      <c r="I725" t="s">
        <v>1899</v>
      </c>
    </row>
    <row r="726" spans="1:9">
      <c r="A726" t="str">
        <f>"0033409 "</f>
        <v xml:space="preserve">0033409 </v>
      </c>
      <c r="B726" t="s">
        <v>1843</v>
      </c>
      <c r="C726" t="s">
        <v>2523</v>
      </c>
      <c r="D726" t="s">
        <v>2524</v>
      </c>
      <c r="E726">
        <v>1</v>
      </c>
      <c r="F726" t="s">
        <v>2525</v>
      </c>
      <c r="G726" t="s">
        <v>1847</v>
      </c>
      <c r="H726" t="s">
        <v>2523</v>
      </c>
      <c r="I726" t="s">
        <v>2526</v>
      </c>
    </row>
    <row r="727" spans="1:9">
      <c r="A727" t="str">
        <f>"0033411 "</f>
        <v xml:space="preserve">0033411 </v>
      </c>
      <c r="B727" t="s">
        <v>1843</v>
      </c>
      <c r="C727" t="s">
        <v>2527</v>
      </c>
      <c r="D727" t="s">
        <v>2528</v>
      </c>
      <c r="E727">
        <v>1</v>
      </c>
      <c r="F727" t="s">
        <v>2529</v>
      </c>
      <c r="G727" t="s">
        <v>1847</v>
      </c>
      <c r="H727" t="s">
        <v>2527</v>
      </c>
      <c r="I727" t="s">
        <v>2530</v>
      </c>
    </row>
    <row r="728" spans="1:9">
      <c r="A728" t="str">
        <f>"0033416 "</f>
        <v xml:space="preserve">0033416 </v>
      </c>
      <c r="B728" t="s">
        <v>1843</v>
      </c>
      <c r="C728" t="s">
        <v>2531</v>
      </c>
      <c r="D728" t="s">
        <v>2532</v>
      </c>
      <c r="E728">
        <v>1</v>
      </c>
      <c r="F728" t="s">
        <v>2533</v>
      </c>
      <c r="G728" t="s">
        <v>1847</v>
      </c>
      <c r="H728" t="s">
        <v>2531</v>
      </c>
      <c r="I728" t="s">
        <v>2534</v>
      </c>
    </row>
    <row r="729" spans="1:9">
      <c r="A729" t="str">
        <f>"0033421 "</f>
        <v xml:space="preserve">0033421 </v>
      </c>
      <c r="B729" t="s">
        <v>1843</v>
      </c>
      <c r="C729" t="s">
        <v>2535</v>
      </c>
      <c r="D729" t="s">
        <v>2536</v>
      </c>
      <c r="E729">
        <v>2</v>
      </c>
      <c r="F729" t="s">
        <v>2537</v>
      </c>
      <c r="G729" t="s">
        <v>1847</v>
      </c>
      <c r="H729" t="s">
        <v>2535</v>
      </c>
      <c r="I729" t="s">
        <v>1899</v>
      </c>
    </row>
    <row r="730" spans="1:9">
      <c r="A730" t="str">
        <f>"0033427 "</f>
        <v xml:space="preserve">0033427 </v>
      </c>
      <c r="B730" t="s">
        <v>1843</v>
      </c>
      <c r="C730" t="s">
        <v>2538</v>
      </c>
      <c r="D730" t="s">
        <v>2539</v>
      </c>
      <c r="E730">
        <v>2</v>
      </c>
      <c r="F730" t="s">
        <v>2540</v>
      </c>
      <c r="G730" t="s">
        <v>1847</v>
      </c>
      <c r="H730" t="s">
        <v>2538</v>
      </c>
      <c r="I730" t="s">
        <v>2541</v>
      </c>
    </row>
    <row r="731" spans="1:9">
      <c r="A731" t="str">
        <f>"0033431 "</f>
        <v xml:space="preserve">0033431 </v>
      </c>
      <c r="B731" t="s">
        <v>1843</v>
      </c>
      <c r="C731" t="s">
        <v>2542</v>
      </c>
      <c r="D731" t="s">
        <v>2543</v>
      </c>
      <c r="E731">
        <v>2</v>
      </c>
      <c r="F731" t="s">
        <v>2544</v>
      </c>
      <c r="G731" t="s">
        <v>1847</v>
      </c>
      <c r="H731" t="s">
        <v>2542</v>
      </c>
      <c r="I731" t="s">
        <v>2545</v>
      </c>
    </row>
    <row r="732" spans="1:9">
      <c r="A732" t="str">
        <f>"0033432 "</f>
        <v xml:space="preserve">0033432 </v>
      </c>
      <c r="B732" t="s">
        <v>1843</v>
      </c>
      <c r="C732" t="s">
        <v>2546</v>
      </c>
      <c r="D732" t="s">
        <v>2547</v>
      </c>
      <c r="E732">
        <v>2</v>
      </c>
      <c r="F732" t="s">
        <v>2548</v>
      </c>
      <c r="G732" t="s">
        <v>1847</v>
      </c>
      <c r="H732" t="s">
        <v>2546</v>
      </c>
      <c r="I732" t="s">
        <v>2549</v>
      </c>
    </row>
    <row r="733" spans="1:9">
      <c r="A733" t="str">
        <f>"0033433 "</f>
        <v xml:space="preserve">0033433 </v>
      </c>
      <c r="B733" t="s">
        <v>1843</v>
      </c>
      <c r="C733" t="s">
        <v>2550</v>
      </c>
      <c r="D733" t="s">
        <v>2551</v>
      </c>
      <c r="E733">
        <v>1</v>
      </c>
      <c r="F733" t="s">
        <v>2552</v>
      </c>
      <c r="G733" t="s">
        <v>1847</v>
      </c>
      <c r="H733" t="s">
        <v>2550</v>
      </c>
      <c r="I733" t="s">
        <v>2553</v>
      </c>
    </row>
    <row r="734" spans="1:9">
      <c r="A734" t="str">
        <f>"0033434 "</f>
        <v xml:space="preserve">0033434 </v>
      </c>
      <c r="B734" t="s">
        <v>1843</v>
      </c>
      <c r="C734" t="s">
        <v>2554</v>
      </c>
      <c r="D734" t="s">
        <v>2555</v>
      </c>
      <c r="E734">
        <v>2</v>
      </c>
      <c r="F734" t="s">
        <v>2537</v>
      </c>
      <c r="G734" t="s">
        <v>1847</v>
      </c>
      <c r="H734" t="s">
        <v>2554</v>
      </c>
      <c r="I734" t="s">
        <v>2556</v>
      </c>
    </row>
    <row r="735" spans="1:9">
      <c r="A735" t="str">
        <f>"0033694 "</f>
        <v xml:space="preserve">0033694 </v>
      </c>
      <c r="B735" t="s">
        <v>1843</v>
      </c>
      <c r="C735" t="s">
        <v>2557</v>
      </c>
      <c r="D735" t="s">
        <v>2558</v>
      </c>
      <c r="E735">
        <v>4</v>
      </c>
      <c r="F735" t="s">
        <v>2053</v>
      </c>
      <c r="G735" t="s">
        <v>1847</v>
      </c>
      <c r="H735" t="s">
        <v>2557</v>
      </c>
      <c r="I735" t="s">
        <v>2559</v>
      </c>
    </row>
    <row r="736" spans="1:9">
      <c r="A736" t="str">
        <f>"0033436 "</f>
        <v xml:space="preserve">0033436 </v>
      </c>
      <c r="B736" t="s">
        <v>1843</v>
      </c>
      <c r="C736" t="s">
        <v>2560</v>
      </c>
      <c r="D736" t="s">
        <v>2561</v>
      </c>
      <c r="E736">
        <v>2</v>
      </c>
      <c r="F736" t="s">
        <v>2562</v>
      </c>
      <c r="G736" t="s">
        <v>1847</v>
      </c>
      <c r="H736" t="s">
        <v>2560</v>
      </c>
      <c r="I736" t="s">
        <v>2563</v>
      </c>
    </row>
    <row r="737" spans="1:9">
      <c r="A737" t="str">
        <f>"0033437 "</f>
        <v xml:space="preserve">0033437 </v>
      </c>
      <c r="B737" t="s">
        <v>1843</v>
      </c>
      <c r="C737" t="s">
        <v>2564</v>
      </c>
      <c r="D737" t="s">
        <v>2565</v>
      </c>
      <c r="E737">
        <v>3</v>
      </c>
      <c r="F737" t="s">
        <v>2566</v>
      </c>
      <c r="G737" t="s">
        <v>1847</v>
      </c>
      <c r="H737" t="s">
        <v>2564</v>
      </c>
      <c r="I737" t="s">
        <v>1899</v>
      </c>
    </row>
    <row r="738" spans="1:9">
      <c r="A738" t="str">
        <f>"0033440 "</f>
        <v xml:space="preserve">0033440 </v>
      </c>
      <c r="B738" t="s">
        <v>1843</v>
      </c>
      <c r="C738" t="s">
        <v>2567</v>
      </c>
      <c r="D738" t="s">
        <v>2568</v>
      </c>
      <c r="E738">
        <v>1</v>
      </c>
      <c r="F738" t="s">
        <v>2569</v>
      </c>
      <c r="G738" t="s">
        <v>1847</v>
      </c>
      <c r="H738" t="s">
        <v>2567</v>
      </c>
      <c r="I738" t="s">
        <v>2570</v>
      </c>
    </row>
    <row r="739" spans="1:9">
      <c r="A739" t="str">
        <f>"0033445 "</f>
        <v xml:space="preserve">0033445 </v>
      </c>
      <c r="B739" t="s">
        <v>1843</v>
      </c>
      <c r="C739" t="s">
        <v>2571</v>
      </c>
      <c r="D739" t="s">
        <v>2572</v>
      </c>
      <c r="E739">
        <v>1</v>
      </c>
      <c r="F739" t="s">
        <v>2573</v>
      </c>
      <c r="G739" t="s">
        <v>1847</v>
      </c>
      <c r="H739" t="s">
        <v>2571</v>
      </c>
      <c r="I739" t="s">
        <v>2574</v>
      </c>
    </row>
    <row r="740" spans="1:9">
      <c r="A740" t="str">
        <f>"0033447 "</f>
        <v xml:space="preserve">0033447 </v>
      </c>
      <c r="B740" t="s">
        <v>1843</v>
      </c>
      <c r="C740" t="s">
        <v>2575</v>
      </c>
      <c r="D740" t="s">
        <v>2576</v>
      </c>
      <c r="E740">
        <v>2</v>
      </c>
      <c r="F740" t="s">
        <v>2577</v>
      </c>
      <c r="G740" t="s">
        <v>1847</v>
      </c>
      <c r="H740" t="s">
        <v>2575</v>
      </c>
      <c r="I740" t="s">
        <v>2578</v>
      </c>
    </row>
    <row r="741" spans="1:9">
      <c r="A741" t="str">
        <f>"0033697 "</f>
        <v xml:space="preserve">0033697 </v>
      </c>
      <c r="B741" t="s">
        <v>1843</v>
      </c>
      <c r="C741" t="s">
        <v>2579</v>
      </c>
      <c r="D741" t="s">
        <v>2580</v>
      </c>
      <c r="E741">
        <v>2</v>
      </c>
      <c r="F741" t="s">
        <v>2354</v>
      </c>
      <c r="G741" t="s">
        <v>1847</v>
      </c>
      <c r="H741" t="s">
        <v>2579</v>
      </c>
      <c r="I741" t="s">
        <v>2581</v>
      </c>
    </row>
    <row r="742" spans="1:9">
      <c r="A742" t="str">
        <f>"0033468 "</f>
        <v xml:space="preserve">0033468 </v>
      </c>
      <c r="B742" t="s">
        <v>1843</v>
      </c>
      <c r="C742" t="s">
        <v>2582</v>
      </c>
      <c r="D742" t="s">
        <v>2583</v>
      </c>
      <c r="E742">
        <v>2</v>
      </c>
      <c r="F742" t="s">
        <v>2584</v>
      </c>
      <c r="G742" t="s">
        <v>1847</v>
      </c>
      <c r="H742" t="s">
        <v>2582</v>
      </c>
      <c r="I742" t="s">
        <v>2585</v>
      </c>
    </row>
    <row r="743" spans="1:9">
      <c r="A743" t="str">
        <f>"0033477 "</f>
        <v xml:space="preserve">0033477 </v>
      </c>
      <c r="B743" t="s">
        <v>1843</v>
      </c>
      <c r="C743" t="s">
        <v>2586</v>
      </c>
      <c r="D743" t="s">
        <v>2587</v>
      </c>
      <c r="E743">
        <v>2</v>
      </c>
      <c r="F743" t="s">
        <v>2588</v>
      </c>
      <c r="G743" t="s">
        <v>1847</v>
      </c>
      <c r="H743" t="s">
        <v>2586</v>
      </c>
      <c r="I743" t="s">
        <v>2589</v>
      </c>
    </row>
    <row r="744" spans="1:9">
      <c r="A744" t="str">
        <f>"0033483 "</f>
        <v xml:space="preserve">0033483 </v>
      </c>
      <c r="B744" t="s">
        <v>1843</v>
      </c>
      <c r="C744" t="s">
        <v>2590</v>
      </c>
      <c r="D744" t="s">
        <v>2591</v>
      </c>
      <c r="E744">
        <v>1</v>
      </c>
      <c r="F744" t="s">
        <v>2592</v>
      </c>
      <c r="G744" t="s">
        <v>1847</v>
      </c>
      <c r="H744" t="s">
        <v>2590</v>
      </c>
      <c r="I744" t="s">
        <v>1899</v>
      </c>
    </row>
    <row r="745" spans="1:9">
      <c r="A745" t="str">
        <f>"0033490 "</f>
        <v xml:space="preserve">0033490 </v>
      </c>
      <c r="B745" t="s">
        <v>1843</v>
      </c>
      <c r="C745" t="s">
        <v>2593</v>
      </c>
      <c r="D745" t="s">
        <v>2594</v>
      </c>
      <c r="E745">
        <v>2</v>
      </c>
      <c r="F745" t="s">
        <v>2595</v>
      </c>
      <c r="G745" t="s">
        <v>1847</v>
      </c>
      <c r="H745" t="s">
        <v>2593</v>
      </c>
      <c r="I745" t="s">
        <v>2596</v>
      </c>
    </row>
    <row r="746" spans="1:9">
      <c r="A746" t="str">
        <f>"0034576 "</f>
        <v xml:space="preserve">0034576 </v>
      </c>
      <c r="B746" t="s">
        <v>1843</v>
      </c>
      <c r="C746" t="s">
        <v>2597</v>
      </c>
      <c r="D746" t="s">
        <v>2598</v>
      </c>
      <c r="E746">
        <v>2</v>
      </c>
      <c r="F746" t="s">
        <v>2599</v>
      </c>
      <c r="G746" t="s">
        <v>1847</v>
      </c>
      <c r="H746" t="s">
        <v>2597</v>
      </c>
      <c r="I746" t="s">
        <v>2600</v>
      </c>
    </row>
    <row r="747" spans="1:9">
      <c r="A747" t="str">
        <f>"0033503 "</f>
        <v xml:space="preserve">0033503 </v>
      </c>
      <c r="B747" t="s">
        <v>1843</v>
      </c>
      <c r="C747" t="s">
        <v>2601</v>
      </c>
      <c r="D747" t="s">
        <v>2602</v>
      </c>
      <c r="E747">
        <v>2</v>
      </c>
      <c r="F747" t="s">
        <v>2603</v>
      </c>
      <c r="G747" t="s">
        <v>1847</v>
      </c>
      <c r="H747" t="s">
        <v>2601</v>
      </c>
      <c r="I747" t="s">
        <v>2604</v>
      </c>
    </row>
    <row r="748" spans="1:9">
      <c r="A748" t="str">
        <f>"0033509 "</f>
        <v xml:space="preserve">0033509 </v>
      </c>
      <c r="B748" t="s">
        <v>1843</v>
      </c>
      <c r="C748" t="s">
        <v>2605</v>
      </c>
      <c r="D748" t="s">
        <v>2606</v>
      </c>
      <c r="E748">
        <v>1</v>
      </c>
      <c r="F748" t="s">
        <v>2607</v>
      </c>
      <c r="G748" t="s">
        <v>1847</v>
      </c>
      <c r="H748" t="s">
        <v>2605</v>
      </c>
      <c r="I748" t="s">
        <v>2608</v>
      </c>
    </row>
    <row r="749" spans="1:9">
      <c r="A749" t="str">
        <f>"0033705 "</f>
        <v xml:space="preserve">0033705 </v>
      </c>
      <c r="B749" t="s">
        <v>1843</v>
      </c>
      <c r="C749" t="s">
        <v>2609</v>
      </c>
      <c r="D749" t="s">
        <v>2610</v>
      </c>
      <c r="E749">
        <v>1</v>
      </c>
      <c r="F749" t="s">
        <v>2611</v>
      </c>
      <c r="G749" t="s">
        <v>1847</v>
      </c>
      <c r="H749" t="s">
        <v>2609</v>
      </c>
      <c r="I749" t="s">
        <v>1899</v>
      </c>
    </row>
    <row r="750" spans="1:9">
      <c r="A750" t="str">
        <f>"0033706 "</f>
        <v xml:space="preserve">0033706 </v>
      </c>
      <c r="B750" t="s">
        <v>1843</v>
      </c>
      <c r="C750" t="s">
        <v>2612</v>
      </c>
      <c r="D750" t="s">
        <v>2613</v>
      </c>
      <c r="E750">
        <v>1</v>
      </c>
      <c r="F750" t="s">
        <v>2614</v>
      </c>
      <c r="G750" t="s">
        <v>1847</v>
      </c>
      <c r="H750" t="s">
        <v>2612</v>
      </c>
      <c r="I750" t="s">
        <v>2615</v>
      </c>
    </row>
    <row r="751" spans="1:9">
      <c r="A751" t="str">
        <f>"0033529 "</f>
        <v xml:space="preserve">0033529 </v>
      </c>
      <c r="B751" t="s">
        <v>1843</v>
      </c>
      <c r="C751" t="s">
        <v>2616</v>
      </c>
      <c r="D751" t="s">
        <v>2617</v>
      </c>
      <c r="E751">
        <v>1</v>
      </c>
      <c r="F751" t="s">
        <v>2618</v>
      </c>
      <c r="G751" t="s">
        <v>1847</v>
      </c>
      <c r="H751" t="s">
        <v>2616</v>
      </c>
      <c r="I751" t="s">
        <v>2619</v>
      </c>
    </row>
    <row r="752" spans="1:9">
      <c r="A752" t="str">
        <f>"0033553 "</f>
        <v xml:space="preserve">0033553 </v>
      </c>
      <c r="B752" t="s">
        <v>1843</v>
      </c>
      <c r="C752" t="s">
        <v>2620</v>
      </c>
      <c r="D752" t="s">
        <v>2621</v>
      </c>
      <c r="E752">
        <v>2</v>
      </c>
      <c r="F752" t="s">
        <v>2510</v>
      </c>
      <c r="G752" t="s">
        <v>1847</v>
      </c>
      <c r="H752" t="s">
        <v>2620</v>
      </c>
      <c r="I752" t="s">
        <v>1899</v>
      </c>
    </row>
    <row r="753" spans="1:9">
      <c r="A753" t="str">
        <f>"0033565 "</f>
        <v xml:space="preserve">0033565 </v>
      </c>
      <c r="B753" t="s">
        <v>1843</v>
      </c>
      <c r="C753" t="s">
        <v>2622</v>
      </c>
      <c r="D753" t="s">
        <v>2623</v>
      </c>
      <c r="E753">
        <v>2</v>
      </c>
      <c r="F753" t="s">
        <v>2624</v>
      </c>
      <c r="G753" t="s">
        <v>1847</v>
      </c>
      <c r="H753" t="s">
        <v>2622</v>
      </c>
      <c r="I753" t="s">
        <v>2625</v>
      </c>
    </row>
    <row r="754" spans="1:9">
      <c r="A754" t="str">
        <f>"0033568 "</f>
        <v xml:space="preserve">0033568 </v>
      </c>
      <c r="B754" t="s">
        <v>1843</v>
      </c>
      <c r="C754" t="s">
        <v>2626</v>
      </c>
      <c r="D754" t="s">
        <v>2627</v>
      </c>
      <c r="E754">
        <v>1</v>
      </c>
      <c r="F754" t="s">
        <v>2628</v>
      </c>
      <c r="G754" t="s">
        <v>1847</v>
      </c>
      <c r="H754" t="s">
        <v>2626</v>
      </c>
      <c r="I754" t="s">
        <v>1899</v>
      </c>
    </row>
    <row r="755" spans="1:9">
      <c r="A755" t="str">
        <f>"0033574 "</f>
        <v xml:space="preserve">0033574 </v>
      </c>
      <c r="B755" t="s">
        <v>1843</v>
      </c>
      <c r="C755" t="s">
        <v>2629</v>
      </c>
      <c r="D755" t="s">
        <v>2630</v>
      </c>
      <c r="E755">
        <v>1</v>
      </c>
      <c r="F755" t="s">
        <v>2631</v>
      </c>
      <c r="G755" t="s">
        <v>1847</v>
      </c>
      <c r="H755" t="s">
        <v>2629</v>
      </c>
      <c r="I755" t="s">
        <v>1899</v>
      </c>
    </row>
    <row r="756" spans="1:9">
      <c r="A756" t="str">
        <f>"0033584 "</f>
        <v xml:space="preserve">0033584 </v>
      </c>
      <c r="B756" t="s">
        <v>1843</v>
      </c>
      <c r="C756" t="s">
        <v>2632</v>
      </c>
      <c r="D756" t="s">
        <v>2633</v>
      </c>
      <c r="E756">
        <v>2</v>
      </c>
      <c r="F756" t="s">
        <v>2634</v>
      </c>
      <c r="G756" t="s">
        <v>1847</v>
      </c>
      <c r="H756" t="s">
        <v>2632</v>
      </c>
      <c r="I756" t="s">
        <v>2635</v>
      </c>
    </row>
    <row r="757" spans="1:9">
      <c r="A757" t="str">
        <f>"0031945 "</f>
        <v xml:space="preserve">0031945 </v>
      </c>
      <c r="B757" t="s">
        <v>1843</v>
      </c>
      <c r="C757" t="s">
        <v>2636</v>
      </c>
      <c r="D757" t="s">
        <v>2637</v>
      </c>
      <c r="E757">
        <v>2</v>
      </c>
      <c r="F757" t="s">
        <v>2638</v>
      </c>
      <c r="G757" t="s">
        <v>1847</v>
      </c>
      <c r="H757" t="s">
        <v>2636</v>
      </c>
      <c r="I757" t="s">
        <v>2639</v>
      </c>
    </row>
    <row r="758" spans="1:9">
      <c r="A758" t="str">
        <f>"0031950 "</f>
        <v xml:space="preserve">0031950 </v>
      </c>
      <c r="B758" t="s">
        <v>1843</v>
      </c>
      <c r="C758" t="s">
        <v>2640</v>
      </c>
      <c r="D758" t="s">
        <v>2641</v>
      </c>
      <c r="E758">
        <v>2</v>
      </c>
      <c r="F758" t="s">
        <v>1947</v>
      </c>
      <c r="G758" t="s">
        <v>1847</v>
      </c>
      <c r="H758" t="s">
        <v>2640</v>
      </c>
      <c r="I758" t="s">
        <v>2642</v>
      </c>
    </row>
    <row r="759" spans="1:9">
      <c r="A759" t="str">
        <f>"0031954 "</f>
        <v xml:space="preserve">0031954 </v>
      </c>
      <c r="B759" t="s">
        <v>1843</v>
      </c>
      <c r="C759" t="s">
        <v>2643</v>
      </c>
      <c r="D759" t="s">
        <v>2644</v>
      </c>
      <c r="E759">
        <v>2</v>
      </c>
      <c r="F759" t="s">
        <v>2645</v>
      </c>
      <c r="G759" t="s">
        <v>1847</v>
      </c>
      <c r="H759" t="s">
        <v>2643</v>
      </c>
      <c r="I759" t="s">
        <v>2646</v>
      </c>
    </row>
    <row r="760" spans="1:9">
      <c r="A760" t="str">
        <f>"0031958 "</f>
        <v xml:space="preserve">0031958 </v>
      </c>
      <c r="B760" t="s">
        <v>1843</v>
      </c>
      <c r="C760" t="s">
        <v>2647</v>
      </c>
      <c r="D760" t="s">
        <v>2648</v>
      </c>
      <c r="E760">
        <v>1</v>
      </c>
      <c r="F760" t="s">
        <v>2649</v>
      </c>
      <c r="G760" t="s">
        <v>1847</v>
      </c>
      <c r="H760" t="s">
        <v>2647</v>
      </c>
      <c r="I760" t="s">
        <v>2650</v>
      </c>
    </row>
    <row r="761" spans="1:9">
      <c r="A761" t="str">
        <f>"0031963 "</f>
        <v xml:space="preserve">0031963 </v>
      </c>
      <c r="B761" t="s">
        <v>1843</v>
      </c>
      <c r="C761" t="s">
        <v>2651</v>
      </c>
      <c r="D761" t="s">
        <v>2652</v>
      </c>
      <c r="E761">
        <v>1</v>
      </c>
      <c r="F761" t="s">
        <v>2653</v>
      </c>
      <c r="G761" t="s">
        <v>1847</v>
      </c>
      <c r="H761" t="s">
        <v>2651</v>
      </c>
      <c r="I761" t="s">
        <v>2654</v>
      </c>
    </row>
    <row r="762" spans="1:9">
      <c r="A762" t="str">
        <f>"0031967 "</f>
        <v xml:space="preserve">0031967 </v>
      </c>
      <c r="B762" t="s">
        <v>1843</v>
      </c>
      <c r="C762" t="s">
        <v>2655</v>
      </c>
      <c r="D762" t="s">
        <v>2656</v>
      </c>
      <c r="E762">
        <v>2</v>
      </c>
      <c r="F762" t="s">
        <v>2657</v>
      </c>
      <c r="G762" t="s">
        <v>1847</v>
      </c>
      <c r="H762" t="s">
        <v>2655</v>
      </c>
      <c r="I762" t="s">
        <v>2658</v>
      </c>
    </row>
    <row r="763" spans="1:9">
      <c r="A763" t="str">
        <f>"0031970 "</f>
        <v xml:space="preserve">0031970 </v>
      </c>
      <c r="B763" t="s">
        <v>1843</v>
      </c>
      <c r="C763" t="s">
        <v>2659</v>
      </c>
      <c r="D763" t="s">
        <v>2660</v>
      </c>
      <c r="E763">
        <v>2</v>
      </c>
      <c r="F763" t="s">
        <v>2661</v>
      </c>
      <c r="G763" t="s">
        <v>1847</v>
      </c>
      <c r="H763" t="s">
        <v>2659</v>
      </c>
      <c r="I763" t="s">
        <v>2662</v>
      </c>
    </row>
    <row r="764" spans="1:9">
      <c r="A764" t="str">
        <f>"0031971 "</f>
        <v xml:space="preserve">0031971 </v>
      </c>
      <c r="B764" t="s">
        <v>1843</v>
      </c>
      <c r="C764" t="s">
        <v>2663</v>
      </c>
      <c r="D764" t="s">
        <v>2664</v>
      </c>
      <c r="E764">
        <v>2</v>
      </c>
      <c r="F764" t="s">
        <v>2665</v>
      </c>
      <c r="G764" t="s">
        <v>1847</v>
      </c>
      <c r="H764" t="s">
        <v>2663</v>
      </c>
      <c r="I764" t="s">
        <v>2666</v>
      </c>
    </row>
    <row r="765" spans="1:9">
      <c r="A765" t="str">
        <f>"0031977 "</f>
        <v xml:space="preserve">0031977 </v>
      </c>
      <c r="B765" t="s">
        <v>1843</v>
      </c>
      <c r="C765" t="s">
        <v>2667</v>
      </c>
      <c r="D765" t="s">
        <v>2668</v>
      </c>
      <c r="E765">
        <v>1</v>
      </c>
      <c r="F765" t="s">
        <v>1909</v>
      </c>
      <c r="G765" t="s">
        <v>1847</v>
      </c>
      <c r="H765" t="s">
        <v>2667</v>
      </c>
      <c r="I765" t="s">
        <v>1899</v>
      </c>
    </row>
    <row r="766" spans="1:9">
      <c r="A766" t="str">
        <f>"0031981 "</f>
        <v xml:space="preserve">0031981 </v>
      </c>
      <c r="B766" t="s">
        <v>1843</v>
      </c>
      <c r="C766" t="s">
        <v>2669</v>
      </c>
      <c r="D766" t="s">
        <v>2670</v>
      </c>
      <c r="E766">
        <v>1</v>
      </c>
      <c r="F766" t="s">
        <v>1909</v>
      </c>
      <c r="G766" t="s">
        <v>1847</v>
      </c>
      <c r="H766" t="s">
        <v>2669</v>
      </c>
      <c r="I766" t="s">
        <v>2671</v>
      </c>
    </row>
    <row r="767" spans="1:9">
      <c r="A767" t="str">
        <f>"0031983 "</f>
        <v xml:space="preserve">0031983 </v>
      </c>
      <c r="B767" t="s">
        <v>1843</v>
      </c>
      <c r="C767" t="s">
        <v>2672</v>
      </c>
      <c r="D767" t="s">
        <v>2673</v>
      </c>
      <c r="E767">
        <v>1</v>
      </c>
      <c r="F767" t="s">
        <v>2674</v>
      </c>
      <c r="G767" t="s">
        <v>1847</v>
      </c>
      <c r="H767" t="s">
        <v>2672</v>
      </c>
    </row>
    <row r="768" spans="1:9">
      <c r="A768" t="str">
        <f>"0031984 "</f>
        <v xml:space="preserve">0031984 </v>
      </c>
      <c r="B768" t="s">
        <v>1843</v>
      </c>
      <c r="C768" t="s">
        <v>2675</v>
      </c>
      <c r="D768" t="s">
        <v>2676</v>
      </c>
      <c r="E768">
        <v>1</v>
      </c>
      <c r="F768" t="s">
        <v>1943</v>
      </c>
      <c r="G768" t="s">
        <v>1847</v>
      </c>
      <c r="H768" t="s">
        <v>2675</v>
      </c>
      <c r="I768" t="s">
        <v>2677</v>
      </c>
    </row>
    <row r="769" spans="1:9">
      <c r="A769" t="str">
        <f>"0031989 "</f>
        <v xml:space="preserve">0031989 </v>
      </c>
      <c r="B769" t="s">
        <v>1843</v>
      </c>
      <c r="C769" t="s">
        <v>2678</v>
      </c>
      <c r="D769" t="s">
        <v>2679</v>
      </c>
      <c r="E769">
        <v>1</v>
      </c>
      <c r="F769" t="s">
        <v>2680</v>
      </c>
      <c r="G769" t="s">
        <v>1847</v>
      </c>
      <c r="H769" t="s">
        <v>2678</v>
      </c>
      <c r="I769" t="s">
        <v>2681</v>
      </c>
    </row>
    <row r="770" spans="1:9">
      <c r="A770" t="str">
        <f>"0031992 "</f>
        <v xml:space="preserve">0031992 </v>
      </c>
      <c r="B770" t="s">
        <v>1843</v>
      </c>
      <c r="C770" t="s">
        <v>2682</v>
      </c>
      <c r="D770" t="s">
        <v>2683</v>
      </c>
      <c r="E770">
        <v>1</v>
      </c>
      <c r="F770" t="s">
        <v>2684</v>
      </c>
      <c r="G770" t="s">
        <v>1847</v>
      </c>
      <c r="H770" t="s">
        <v>2682</v>
      </c>
      <c r="I770" t="s">
        <v>2685</v>
      </c>
    </row>
    <row r="771" spans="1:9">
      <c r="A771" t="str">
        <f>"0031994 "</f>
        <v xml:space="preserve">0031994 </v>
      </c>
      <c r="B771" t="s">
        <v>1843</v>
      </c>
      <c r="C771" t="s">
        <v>2686</v>
      </c>
      <c r="D771" t="s">
        <v>2687</v>
      </c>
      <c r="E771">
        <v>1</v>
      </c>
      <c r="F771" t="s">
        <v>2688</v>
      </c>
      <c r="G771" t="s">
        <v>1847</v>
      </c>
      <c r="H771" t="s">
        <v>2686</v>
      </c>
      <c r="I771" t="s">
        <v>2689</v>
      </c>
    </row>
    <row r="772" spans="1:9">
      <c r="A772" t="str">
        <f>"0031997 "</f>
        <v xml:space="preserve">0031997 </v>
      </c>
      <c r="B772" t="s">
        <v>1843</v>
      </c>
      <c r="C772" t="s">
        <v>2690</v>
      </c>
      <c r="D772" t="s">
        <v>2691</v>
      </c>
      <c r="E772">
        <v>2</v>
      </c>
      <c r="F772" t="s">
        <v>2692</v>
      </c>
      <c r="G772" t="s">
        <v>1847</v>
      </c>
      <c r="H772" t="s">
        <v>2690</v>
      </c>
      <c r="I772" t="s">
        <v>2693</v>
      </c>
    </row>
    <row r="773" spans="1:9">
      <c r="A773" t="str">
        <f>"0031999 "</f>
        <v xml:space="preserve">0031999 </v>
      </c>
      <c r="B773" t="s">
        <v>1843</v>
      </c>
      <c r="C773" t="s">
        <v>2694</v>
      </c>
      <c r="D773" t="s">
        <v>2695</v>
      </c>
      <c r="E773">
        <v>2</v>
      </c>
      <c r="F773" t="s">
        <v>2696</v>
      </c>
      <c r="G773" t="s">
        <v>1847</v>
      </c>
      <c r="H773" t="s">
        <v>2694</v>
      </c>
      <c r="I773" t="s">
        <v>2697</v>
      </c>
    </row>
    <row r="774" spans="1:9">
      <c r="A774" t="str">
        <f>"0032001 "</f>
        <v xml:space="preserve">0032001 </v>
      </c>
      <c r="B774" t="s">
        <v>1843</v>
      </c>
      <c r="C774" t="s">
        <v>2698</v>
      </c>
      <c r="D774" t="s">
        <v>2699</v>
      </c>
      <c r="E774">
        <v>4</v>
      </c>
      <c r="F774" t="s">
        <v>2700</v>
      </c>
      <c r="G774" t="s">
        <v>1847</v>
      </c>
      <c r="H774" t="s">
        <v>2698</v>
      </c>
      <c r="I774" t="s">
        <v>2701</v>
      </c>
    </row>
    <row r="775" spans="1:9">
      <c r="A775" t="str">
        <f>"0032003 "</f>
        <v xml:space="preserve">0032003 </v>
      </c>
      <c r="B775" t="s">
        <v>1843</v>
      </c>
      <c r="C775" t="s">
        <v>2702</v>
      </c>
      <c r="D775" t="s">
        <v>2703</v>
      </c>
      <c r="E775">
        <v>4</v>
      </c>
      <c r="F775" t="s">
        <v>2700</v>
      </c>
      <c r="G775" t="s">
        <v>1847</v>
      </c>
      <c r="H775" t="s">
        <v>2702</v>
      </c>
      <c r="I775" t="s">
        <v>2704</v>
      </c>
    </row>
    <row r="776" spans="1:9">
      <c r="A776" t="str">
        <f>"0032005 "</f>
        <v xml:space="preserve">0032005 </v>
      </c>
      <c r="B776" t="s">
        <v>1843</v>
      </c>
      <c r="C776" t="s">
        <v>2705</v>
      </c>
      <c r="D776" t="s">
        <v>2706</v>
      </c>
      <c r="E776">
        <v>2</v>
      </c>
      <c r="F776" t="s">
        <v>2707</v>
      </c>
      <c r="G776" t="s">
        <v>1847</v>
      </c>
      <c r="H776" t="s">
        <v>2705</v>
      </c>
      <c r="I776" t="s">
        <v>1899</v>
      </c>
    </row>
    <row r="777" spans="1:9">
      <c r="A777" t="str">
        <f>"0032011 "</f>
        <v xml:space="preserve">0032011 </v>
      </c>
      <c r="B777" t="s">
        <v>1843</v>
      </c>
      <c r="C777" t="s">
        <v>2708</v>
      </c>
      <c r="D777" t="s">
        <v>2709</v>
      </c>
      <c r="E777">
        <v>2</v>
      </c>
      <c r="F777" t="s">
        <v>2710</v>
      </c>
      <c r="G777" t="s">
        <v>1847</v>
      </c>
      <c r="H777" t="s">
        <v>2708</v>
      </c>
      <c r="I777" t="s">
        <v>2711</v>
      </c>
    </row>
    <row r="778" spans="1:9">
      <c r="A778" t="str">
        <f>"0032023 "</f>
        <v xml:space="preserve">0032023 </v>
      </c>
      <c r="B778" t="s">
        <v>1843</v>
      </c>
      <c r="C778" t="s">
        <v>2712</v>
      </c>
      <c r="D778" t="s">
        <v>2713</v>
      </c>
      <c r="E778">
        <v>1</v>
      </c>
      <c r="F778" t="s">
        <v>2714</v>
      </c>
      <c r="G778" t="s">
        <v>1847</v>
      </c>
      <c r="H778" t="s">
        <v>2712</v>
      </c>
      <c r="I778" t="s">
        <v>1899</v>
      </c>
    </row>
    <row r="779" spans="1:9">
      <c r="A779" t="str">
        <f>"0032025 "</f>
        <v xml:space="preserve">0032025 </v>
      </c>
      <c r="B779" t="s">
        <v>1843</v>
      </c>
      <c r="C779" t="s">
        <v>2715</v>
      </c>
      <c r="D779" t="s">
        <v>2716</v>
      </c>
      <c r="E779">
        <v>1</v>
      </c>
      <c r="F779" t="s">
        <v>2717</v>
      </c>
      <c r="G779" t="s">
        <v>1847</v>
      </c>
      <c r="H779" t="s">
        <v>2715</v>
      </c>
      <c r="I779" t="s">
        <v>2718</v>
      </c>
    </row>
    <row r="780" spans="1:9">
      <c r="A780" t="str">
        <f>"0032033 "</f>
        <v xml:space="preserve">0032033 </v>
      </c>
      <c r="B780" t="s">
        <v>1843</v>
      </c>
      <c r="C780" t="s">
        <v>2719</v>
      </c>
      <c r="D780" t="s">
        <v>2720</v>
      </c>
      <c r="E780">
        <v>2</v>
      </c>
      <c r="F780" t="s">
        <v>2721</v>
      </c>
      <c r="G780" t="s">
        <v>1847</v>
      </c>
      <c r="H780" t="s">
        <v>2719</v>
      </c>
      <c r="I780" t="s">
        <v>2722</v>
      </c>
    </row>
    <row r="781" spans="1:9">
      <c r="A781" t="str">
        <f>"0032037 "</f>
        <v xml:space="preserve">0032037 </v>
      </c>
      <c r="B781" t="s">
        <v>1843</v>
      </c>
      <c r="C781" t="s">
        <v>2723</v>
      </c>
      <c r="D781" t="s">
        <v>2724</v>
      </c>
      <c r="E781">
        <v>1</v>
      </c>
      <c r="F781" t="s">
        <v>2725</v>
      </c>
      <c r="G781" t="s">
        <v>1847</v>
      </c>
      <c r="H781" t="s">
        <v>2723</v>
      </c>
      <c r="I781" t="s">
        <v>2726</v>
      </c>
    </row>
    <row r="782" spans="1:9">
      <c r="A782" t="str">
        <f>"0032040 "</f>
        <v xml:space="preserve">0032040 </v>
      </c>
      <c r="B782" t="s">
        <v>1843</v>
      </c>
      <c r="C782" t="s">
        <v>2727</v>
      </c>
      <c r="D782" t="s">
        <v>2728</v>
      </c>
      <c r="E782">
        <v>1</v>
      </c>
      <c r="F782" t="s">
        <v>2729</v>
      </c>
      <c r="G782" t="s">
        <v>1847</v>
      </c>
      <c r="H782" t="s">
        <v>2727</v>
      </c>
      <c r="I782" t="s">
        <v>2730</v>
      </c>
    </row>
    <row r="783" spans="1:9">
      <c r="A783" t="str">
        <f>"0032041 "</f>
        <v xml:space="preserve">0032041 </v>
      </c>
      <c r="B783" t="s">
        <v>1843</v>
      </c>
      <c r="C783" t="s">
        <v>2731</v>
      </c>
      <c r="D783" t="s">
        <v>2732</v>
      </c>
      <c r="E783">
        <v>2</v>
      </c>
      <c r="F783" t="s">
        <v>2721</v>
      </c>
      <c r="G783" t="s">
        <v>1847</v>
      </c>
      <c r="H783" t="s">
        <v>2731</v>
      </c>
      <c r="I783" t="s">
        <v>2733</v>
      </c>
    </row>
    <row r="784" spans="1:9">
      <c r="A784" t="str">
        <f>"0032043 "</f>
        <v xml:space="preserve">0032043 </v>
      </c>
      <c r="B784" t="s">
        <v>1843</v>
      </c>
      <c r="C784" t="s">
        <v>2734</v>
      </c>
      <c r="D784" t="s">
        <v>2735</v>
      </c>
      <c r="E784">
        <v>1</v>
      </c>
      <c r="F784" t="s">
        <v>2736</v>
      </c>
      <c r="G784" t="s">
        <v>1847</v>
      </c>
      <c r="H784" t="s">
        <v>2734</v>
      </c>
      <c r="I784" t="s">
        <v>2737</v>
      </c>
    </row>
    <row r="785" spans="1:9">
      <c r="A785" t="str">
        <f>"0032049 "</f>
        <v xml:space="preserve">0032049 </v>
      </c>
      <c r="B785" t="s">
        <v>1843</v>
      </c>
      <c r="C785" t="s">
        <v>2738</v>
      </c>
      <c r="D785" t="s">
        <v>2739</v>
      </c>
      <c r="E785">
        <v>2</v>
      </c>
      <c r="F785" t="s">
        <v>2740</v>
      </c>
      <c r="G785" t="s">
        <v>1847</v>
      </c>
      <c r="H785" t="s">
        <v>2738</v>
      </c>
      <c r="I785" t="s">
        <v>2741</v>
      </c>
    </row>
    <row r="786" spans="1:9">
      <c r="A786" t="str">
        <f>"0032050 "</f>
        <v xml:space="preserve">0032050 </v>
      </c>
      <c r="B786" t="s">
        <v>1843</v>
      </c>
      <c r="C786" t="s">
        <v>2742</v>
      </c>
      <c r="D786" t="s">
        <v>2743</v>
      </c>
      <c r="E786">
        <v>2</v>
      </c>
      <c r="F786" t="s">
        <v>2721</v>
      </c>
      <c r="G786" t="s">
        <v>1847</v>
      </c>
      <c r="H786" t="s">
        <v>2742</v>
      </c>
      <c r="I786" t="s">
        <v>2744</v>
      </c>
    </row>
    <row r="787" spans="1:9">
      <c r="A787" t="str">
        <f>"0032052 "</f>
        <v xml:space="preserve">0032052 </v>
      </c>
      <c r="B787" t="s">
        <v>1843</v>
      </c>
      <c r="C787" t="s">
        <v>2745</v>
      </c>
      <c r="D787" t="s">
        <v>2746</v>
      </c>
      <c r="E787">
        <v>1</v>
      </c>
      <c r="F787" t="s">
        <v>2740</v>
      </c>
      <c r="G787" t="s">
        <v>1847</v>
      </c>
      <c r="H787" t="s">
        <v>2745</v>
      </c>
      <c r="I787" t="s">
        <v>2747</v>
      </c>
    </row>
    <row r="788" spans="1:9">
      <c r="A788" t="str">
        <f>"0032054 "</f>
        <v xml:space="preserve">0032054 </v>
      </c>
      <c r="B788" t="s">
        <v>1843</v>
      </c>
      <c r="C788" t="s">
        <v>2748</v>
      </c>
      <c r="D788" t="s">
        <v>2749</v>
      </c>
      <c r="E788">
        <v>3</v>
      </c>
      <c r="F788" t="s">
        <v>2725</v>
      </c>
      <c r="G788" t="s">
        <v>1847</v>
      </c>
      <c r="H788" t="s">
        <v>2748</v>
      </c>
      <c r="I788" t="s">
        <v>2750</v>
      </c>
    </row>
    <row r="789" spans="1:9">
      <c r="A789" t="str">
        <f>"0032056 "</f>
        <v xml:space="preserve">0032056 </v>
      </c>
      <c r="B789" t="s">
        <v>1843</v>
      </c>
      <c r="C789" t="s">
        <v>2751</v>
      </c>
      <c r="D789" t="s">
        <v>2752</v>
      </c>
      <c r="E789">
        <v>1</v>
      </c>
      <c r="F789" t="s">
        <v>2753</v>
      </c>
      <c r="G789" t="s">
        <v>1847</v>
      </c>
      <c r="H789" t="s">
        <v>2751</v>
      </c>
      <c r="I789" t="s">
        <v>2754</v>
      </c>
    </row>
    <row r="790" spans="1:9">
      <c r="A790" t="str">
        <f>"0032057 "</f>
        <v xml:space="preserve">0032057 </v>
      </c>
      <c r="B790" t="s">
        <v>1843</v>
      </c>
      <c r="C790" t="s">
        <v>2755</v>
      </c>
      <c r="D790" t="s">
        <v>2756</v>
      </c>
      <c r="E790">
        <v>5</v>
      </c>
      <c r="F790" t="s">
        <v>2757</v>
      </c>
      <c r="G790" t="s">
        <v>1847</v>
      </c>
      <c r="H790" t="s">
        <v>2755</v>
      </c>
      <c r="I790" t="s">
        <v>2758</v>
      </c>
    </row>
    <row r="791" spans="1:9">
      <c r="A791" t="str">
        <f>"0032058 "</f>
        <v xml:space="preserve">0032058 </v>
      </c>
      <c r="B791" t="s">
        <v>1843</v>
      </c>
      <c r="C791" t="s">
        <v>2759</v>
      </c>
      <c r="D791" t="s">
        <v>2760</v>
      </c>
      <c r="E791">
        <v>3</v>
      </c>
      <c r="F791" t="s">
        <v>2729</v>
      </c>
      <c r="G791" t="s">
        <v>1847</v>
      </c>
      <c r="H791" t="s">
        <v>2759</v>
      </c>
      <c r="I791" t="s">
        <v>2761</v>
      </c>
    </row>
    <row r="792" spans="1:9">
      <c r="A792" t="str">
        <f>"0032060 "</f>
        <v xml:space="preserve">0032060 </v>
      </c>
      <c r="B792" t="s">
        <v>1843</v>
      </c>
      <c r="C792" t="s">
        <v>2762</v>
      </c>
      <c r="D792" t="s">
        <v>2763</v>
      </c>
      <c r="E792">
        <v>1</v>
      </c>
      <c r="F792" t="s">
        <v>1858</v>
      </c>
      <c r="G792" t="s">
        <v>1847</v>
      </c>
      <c r="H792" t="s">
        <v>2762</v>
      </c>
      <c r="I792" t="s">
        <v>2764</v>
      </c>
    </row>
    <row r="793" spans="1:9">
      <c r="A793" t="str">
        <f>"0032062 "</f>
        <v xml:space="preserve">0032062 </v>
      </c>
      <c r="B793" t="s">
        <v>1843</v>
      </c>
      <c r="C793" t="s">
        <v>2765</v>
      </c>
      <c r="D793" t="s">
        <v>2766</v>
      </c>
      <c r="E793">
        <v>4</v>
      </c>
      <c r="F793" t="s">
        <v>2767</v>
      </c>
      <c r="G793" t="s">
        <v>1847</v>
      </c>
      <c r="H793" t="s">
        <v>2765</v>
      </c>
      <c r="I793" t="s">
        <v>1899</v>
      </c>
    </row>
    <row r="794" spans="1:9">
      <c r="A794" t="str">
        <f>"0032066 "</f>
        <v xml:space="preserve">0032066 </v>
      </c>
      <c r="B794" t="s">
        <v>1843</v>
      </c>
      <c r="C794" t="s">
        <v>2768</v>
      </c>
      <c r="D794" t="s">
        <v>2769</v>
      </c>
      <c r="E794">
        <v>1</v>
      </c>
      <c r="F794" t="s">
        <v>1858</v>
      </c>
      <c r="G794" t="s">
        <v>1847</v>
      </c>
      <c r="H794" t="s">
        <v>2768</v>
      </c>
      <c r="I794" t="s">
        <v>2770</v>
      </c>
    </row>
    <row r="795" spans="1:9">
      <c r="A795" t="str">
        <f>"0032067 "</f>
        <v xml:space="preserve">0032067 </v>
      </c>
      <c r="B795" t="s">
        <v>1843</v>
      </c>
      <c r="C795" t="s">
        <v>2771</v>
      </c>
      <c r="D795" t="s">
        <v>2772</v>
      </c>
      <c r="E795">
        <v>1</v>
      </c>
      <c r="F795" t="s">
        <v>1858</v>
      </c>
      <c r="G795" t="s">
        <v>1847</v>
      </c>
      <c r="H795" t="s">
        <v>2771</v>
      </c>
      <c r="I795" t="s">
        <v>2773</v>
      </c>
    </row>
    <row r="796" spans="1:9">
      <c r="A796" t="str">
        <f>"0032069 "</f>
        <v xml:space="preserve">0032069 </v>
      </c>
      <c r="B796" t="s">
        <v>1843</v>
      </c>
      <c r="C796" t="s">
        <v>2774</v>
      </c>
      <c r="D796" t="s">
        <v>2775</v>
      </c>
      <c r="E796" t="s">
        <v>16</v>
      </c>
      <c r="F796" t="s">
        <v>2776</v>
      </c>
      <c r="G796" t="s">
        <v>1847</v>
      </c>
      <c r="H796" t="s">
        <v>2774</v>
      </c>
      <c r="I796" t="s">
        <v>2777</v>
      </c>
    </row>
    <row r="797" spans="1:9">
      <c r="A797" t="str">
        <f>"0032071 "</f>
        <v xml:space="preserve">0032071 </v>
      </c>
      <c r="B797" t="s">
        <v>1843</v>
      </c>
      <c r="C797" t="s">
        <v>2778</v>
      </c>
      <c r="D797" t="s">
        <v>2779</v>
      </c>
      <c r="E797">
        <v>3</v>
      </c>
      <c r="F797" t="s">
        <v>2780</v>
      </c>
      <c r="G797" t="s">
        <v>1847</v>
      </c>
      <c r="H797" t="s">
        <v>2778</v>
      </c>
      <c r="I797" t="s">
        <v>2781</v>
      </c>
    </row>
    <row r="798" spans="1:9">
      <c r="A798" t="str">
        <f>"0032074 "</f>
        <v xml:space="preserve">0032074 </v>
      </c>
      <c r="B798" t="s">
        <v>1843</v>
      </c>
      <c r="C798" t="s">
        <v>2782</v>
      </c>
      <c r="D798" t="s">
        <v>2783</v>
      </c>
      <c r="E798">
        <v>2</v>
      </c>
      <c r="F798" t="s">
        <v>2638</v>
      </c>
      <c r="G798" t="s">
        <v>1847</v>
      </c>
      <c r="H798" t="s">
        <v>2782</v>
      </c>
      <c r="I798" t="s">
        <v>2784</v>
      </c>
    </row>
    <row r="799" spans="1:9">
      <c r="A799" t="str">
        <f>"0032079 "</f>
        <v xml:space="preserve">0032079 </v>
      </c>
      <c r="B799" t="s">
        <v>1843</v>
      </c>
      <c r="C799" t="s">
        <v>2785</v>
      </c>
      <c r="D799" t="s">
        <v>2786</v>
      </c>
      <c r="E799">
        <v>1</v>
      </c>
      <c r="F799" t="s">
        <v>2787</v>
      </c>
      <c r="G799" t="s">
        <v>1847</v>
      </c>
      <c r="H799" t="s">
        <v>2785</v>
      </c>
      <c r="I799" t="s">
        <v>2788</v>
      </c>
    </row>
    <row r="800" spans="1:9">
      <c r="A800" t="str">
        <f>"0032081 "</f>
        <v xml:space="preserve">0032081 </v>
      </c>
      <c r="B800" t="s">
        <v>1843</v>
      </c>
      <c r="C800" t="s">
        <v>2789</v>
      </c>
      <c r="D800" t="s">
        <v>2790</v>
      </c>
      <c r="E800">
        <v>1</v>
      </c>
      <c r="F800" t="s">
        <v>2791</v>
      </c>
      <c r="G800" t="s">
        <v>1847</v>
      </c>
      <c r="H800" t="s">
        <v>2789</v>
      </c>
      <c r="I800" t="s">
        <v>2792</v>
      </c>
    </row>
    <row r="801" spans="1:9">
      <c r="A801" t="str">
        <f>"0032083 "</f>
        <v xml:space="preserve">0032083 </v>
      </c>
      <c r="B801" t="s">
        <v>1843</v>
      </c>
      <c r="C801" t="s">
        <v>2793</v>
      </c>
      <c r="D801" t="s">
        <v>2794</v>
      </c>
      <c r="E801">
        <v>1</v>
      </c>
      <c r="F801" t="s">
        <v>1858</v>
      </c>
      <c r="G801" t="s">
        <v>1847</v>
      </c>
      <c r="H801" t="s">
        <v>2793</v>
      </c>
      <c r="I801" t="s">
        <v>2795</v>
      </c>
    </row>
    <row r="802" spans="1:9">
      <c r="A802" t="str">
        <f>"0032084 "</f>
        <v xml:space="preserve">0032084 </v>
      </c>
      <c r="B802" t="s">
        <v>1843</v>
      </c>
      <c r="C802" t="s">
        <v>2796</v>
      </c>
      <c r="D802" t="s">
        <v>2797</v>
      </c>
      <c r="E802">
        <v>1</v>
      </c>
      <c r="F802" t="s">
        <v>2798</v>
      </c>
      <c r="G802" t="s">
        <v>1847</v>
      </c>
      <c r="H802" t="s">
        <v>2796</v>
      </c>
      <c r="I802" t="s">
        <v>2799</v>
      </c>
    </row>
    <row r="803" spans="1:9">
      <c r="A803" t="str">
        <f>"0032088 "</f>
        <v xml:space="preserve">0032088 </v>
      </c>
      <c r="B803" t="s">
        <v>1843</v>
      </c>
      <c r="C803" t="s">
        <v>2800</v>
      </c>
      <c r="D803" t="s">
        <v>2801</v>
      </c>
      <c r="E803" t="s">
        <v>16</v>
      </c>
      <c r="F803" t="s">
        <v>2802</v>
      </c>
      <c r="G803" t="s">
        <v>1847</v>
      </c>
      <c r="H803" t="s">
        <v>2800</v>
      </c>
      <c r="I803" t="s">
        <v>2803</v>
      </c>
    </row>
    <row r="804" spans="1:9">
      <c r="A804" t="str">
        <f>"0032093 "</f>
        <v xml:space="preserve">0032093 </v>
      </c>
      <c r="B804" t="s">
        <v>1843</v>
      </c>
      <c r="C804" t="s">
        <v>2804</v>
      </c>
      <c r="D804" t="s">
        <v>2805</v>
      </c>
      <c r="E804">
        <v>3</v>
      </c>
      <c r="F804" t="s">
        <v>2806</v>
      </c>
      <c r="G804" t="s">
        <v>1847</v>
      </c>
      <c r="H804" t="s">
        <v>2804</v>
      </c>
      <c r="I804" t="s">
        <v>2807</v>
      </c>
    </row>
    <row r="805" spans="1:9">
      <c r="A805" t="str">
        <f>"0032098 "</f>
        <v xml:space="preserve">0032098 </v>
      </c>
      <c r="B805" t="s">
        <v>1843</v>
      </c>
      <c r="C805" t="s">
        <v>2808</v>
      </c>
      <c r="D805" t="s">
        <v>2809</v>
      </c>
      <c r="E805">
        <v>2</v>
      </c>
      <c r="F805" t="s">
        <v>2729</v>
      </c>
      <c r="G805" t="s">
        <v>1847</v>
      </c>
      <c r="H805" t="s">
        <v>2808</v>
      </c>
      <c r="I805" t="s">
        <v>2810</v>
      </c>
    </row>
    <row r="806" spans="1:9">
      <c r="A806" t="str">
        <f>"0032099 "</f>
        <v xml:space="preserve">0032099 </v>
      </c>
      <c r="B806" t="s">
        <v>1843</v>
      </c>
      <c r="C806" t="s">
        <v>2811</v>
      </c>
      <c r="D806" t="s">
        <v>2812</v>
      </c>
      <c r="E806">
        <v>3</v>
      </c>
      <c r="F806" t="s">
        <v>2813</v>
      </c>
      <c r="G806" t="s">
        <v>1847</v>
      </c>
      <c r="H806" t="s">
        <v>2811</v>
      </c>
      <c r="I806" t="s">
        <v>2814</v>
      </c>
    </row>
    <row r="807" spans="1:9">
      <c r="A807" t="str">
        <f>"0032105 "</f>
        <v xml:space="preserve">0032105 </v>
      </c>
      <c r="B807" t="s">
        <v>1843</v>
      </c>
      <c r="C807" t="s">
        <v>2815</v>
      </c>
      <c r="D807" t="s">
        <v>2816</v>
      </c>
      <c r="E807">
        <v>2</v>
      </c>
      <c r="F807" t="s">
        <v>2817</v>
      </c>
      <c r="G807" t="s">
        <v>1847</v>
      </c>
      <c r="H807" t="s">
        <v>2815</v>
      </c>
      <c r="I807" t="s">
        <v>2818</v>
      </c>
    </row>
    <row r="808" spans="1:9">
      <c r="A808" t="str">
        <f>"0032108 "</f>
        <v xml:space="preserve">0032108 </v>
      </c>
      <c r="B808" t="s">
        <v>1843</v>
      </c>
      <c r="C808" t="s">
        <v>2819</v>
      </c>
      <c r="D808" t="s">
        <v>2820</v>
      </c>
      <c r="E808">
        <v>1</v>
      </c>
      <c r="F808" t="s">
        <v>2645</v>
      </c>
      <c r="G808" t="s">
        <v>1847</v>
      </c>
      <c r="H808" t="s">
        <v>2819</v>
      </c>
      <c r="I808" t="s">
        <v>1899</v>
      </c>
    </row>
    <row r="809" spans="1:9">
      <c r="A809" t="str">
        <f>"0032114 "</f>
        <v xml:space="preserve">0032114 </v>
      </c>
      <c r="B809" t="s">
        <v>1843</v>
      </c>
      <c r="C809" t="s">
        <v>2821</v>
      </c>
      <c r="D809" t="s">
        <v>2822</v>
      </c>
      <c r="E809">
        <v>2</v>
      </c>
      <c r="F809" t="s">
        <v>2823</v>
      </c>
      <c r="G809" t="s">
        <v>1847</v>
      </c>
      <c r="H809" t="s">
        <v>2821</v>
      </c>
      <c r="I809" t="s">
        <v>2824</v>
      </c>
    </row>
    <row r="810" spans="1:9">
      <c r="A810" t="str">
        <f>"0032116 "</f>
        <v xml:space="preserve">0032116 </v>
      </c>
      <c r="B810" t="s">
        <v>1843</v>
      </c>
      <c r="C810" t="s">
        <v>2825</v>
      </c>
      <c r="D810" t="s">
        <v>2826</v>
      </c>
      <c r="E810">
        <v>2</v>
      </c>
      <c r="F810" t="s">
        <v>2827</v>
      </c>
      <c r="G810" t="s">
        <v>1847</v>
      </c>
      <c r="H810" t="s">
        <v>2825</v>
      </c>
      <c r="I810" t="s">
        <v>2828</v>
      </c>
    </row>
    <row r="811" spans="1:9">
      <c r="A811" t="str">
        <f>"0032117 "</f>
        <v xml:space="preserve">0032117 </v>
      </c>
      <c r="B811" t="s">
        <v>1843</v>
      </c>
      <c r="C811" t="s">
        <v>2829</v>
      </c>
      <c r="D811" t="s">
        <v>2830</v>
      </c>
      <c r="E811">
        <v>1</v>
      </c>
      <c r="F811" t="s">
        <v>12</v>
      </c>
      <c r="G811" t="s">
        <v>1847</v>
      </c>
      <c r="H811" t="s">
        <v>2829</v>
      </c>
      <c r="I811" t="s">
        <v>2831</v>
      </c>
    </row>
    <row r="812" spans="1:9">
      <c r="A812" t="str">
        <f>"0032119 "</f>
        <v xml:space="preserve">0032119 </v>
      </c>
      <c r="B812" t="s">
        <v>1843</v>
      </c>
      <c r="C812" t="s">
        <v>2832</v>
      </c>
      <c r="D812" t="s">
        <v>2833</v>
      </c>
      <c r="E812">
        <v>2</v>
      </c>
      <c r="F812" t="s">
        <v>2834</v>
      </c>
      <c r="G812" t="s">
        <v>1847</v>
      </c>
      <c r="H812" t="s">
        <v>2832</v>
      </c>
      <c r="I812" t="s">
        <v>1899</v>
      </c>
    </row>
    <row r="813" spans="1:9">
      <c r="A813" t="str">
        <f>"0032122 "</f>
        <v xml:space="preserve">0032122 </v>
      </c>
      <c r="B813" t="s">
        <v>1843</v>
      </c>
      <c r="C813" t="s">
        <v>2835</v>
      </c>
      <c r="D813" t="s">
        <v>2836</v>
      </c>
      <c r="E813">
        <v>4</v>
      </c>
      <c r="F813" t="s">
        <v>2837</v>
      </c>
      <c r="G813" t="s">
        <v>1847</v>
      </c>
      <c r="H813" t="s">
        <v>2835</v>
      </c>
      <c r="I813" t="s">
        <v>2838</v>
      </c>
    </row>
    <row r="814" spans="1:9">
      <c r="A814" t="str">
        <f>"0032124 "</f>
        <v xml:space="preserve">0032124 </v>
      </c>
      <c r="B814" t="s">
        <v>1843</v>
      </c>
      <c r="C814" t="s">
        <v>2839</v>
      </c>
      <c r="D814" t="s">
        <v>2840</v>
      </c>
      <c r="E814">
        <v>1</v>
      </c>
      <c r="F814" t="s">
        <v>2841</v>
      </c>
      <c r="G814" t="s">
        <v>1847</v>
      </c>
      <c r="H814" t="s">
        <v>2839</v>
      </c>
      <c r="I814" t="s">
        <v>1899</v>
      </c>
    </row>
    <row r="815" spans="1:9">
      <c r="A815" t="str">
        <f>"0032125 "</f>
        <v xml:space="preserve">0032125 </v>
      </c>
      <c r="B815" t="s">
        <v>1843</v>
      </c>
      <c r="C815" t="s">
        <v>2842</v>
      </c>
      <c r="D815" t="s">
        <v>2843</v>
      </c>
      <c r="E815">
        <v>2</v>
      </c>
      <c r="F815" t="s">
        <v>2710</v>
      </c>
      <c r="G815" t="s">
        <v>1847</v>
      </c>
      <c r="H815" t="s">
        <v>2842</v>
      </c>
      <c r="I815" t="s">
        <v>2844</v>
      </c>
    </row>
    <row r="816" spans="1:9">
      <c r="A816" t="str">
        <f>"0032126 "</f>
        <v xml:space="preserve">0032126 </v>
      </c>
      <c r="B816" t="s">
        <v>1843</v>
      </c>
      <c r="C816" t="s">
        <v>2845</v>
      </c>
      <c r="D816" t="s">
        <v>2846</v>
      </c>
      <c r="E816">
        <v>2</v>
      </c>
      <c r="F816" t="s">
        <v>2847</v>
      </c>
      <c r="G816" t="s">
        <v>1847</v>
      </c>
      <c r="H816" t="s">
        <v>2845</v>
      </c>
      <c r="I816" t="s">
        <v>2848</v>
      </c>
    </row>
    <row r="817" spans="1:9">
      <c r="A817" t="str">
        <f>"0032133 "</f>
        <v xml:space="preserve">0032133 </v>
      </c>
      <c r="B817" t="s">
        <v>1843</v>
      </c>
      <c r="C817" t="s">
        <v>2849</v>
      </c>
      <c r="D817" t="s">
        <v>2850</v>
      </c>
      <c r="E817">
        <v>1</v>
      </c>
      <c r="F817" t="s">
        <v>2851</v>
      </c>
      <c r="G817" t="s">
        <v>1847</v>
      </c>
      <c r="H817" t="s">
        <v>2849</v>
      </c>
      <c r="I817" t="s">
        <v>2852</v>
      </c>
    </row>
    <row r="818" spans="1:9">
      <c r="A818" t="str">
        <f>"0032138 "</f>
        <v xml:space="preserve">0032138 </v>
      </c>
      <c r="B818" t="s">
        <v>1843</v>
      </c>
      <c r="C818" t="s">
        <v>2853</v>
      </c>
      <c r="D818" t="s">
        <v>2854</v>
      </c>
      <c r="E818">
        <v>1</v>
      </c>
      <c r="F818" t="s">
        <v>2855</v>
      </c>
      <c r="G818" t="s">
        <v>1847</v>
      </c>
      <c r="H818" t="s">
        <v>2853</v>
      </c>
      <c r="I818" t="s">
        <v>2856</v>
      </c>
    </row>
    <row r="819" spans="1:9">
      <c r="A819" t="str">
        <f>"0032142 "</f>
        <v xml:space="preserve">0032142 </v>
      </c>
      <c r="B819" t="s">
        <v>1843</v>
      </c>
      <c r="C819" t="s">
        <v>2857</v>
      </c>
      <c r="D819" t="s">
        <v>2858</v>
      </c>
      <c r="E819">
        <v>1</v>
      </c>
      <c r="F819" t="s">
        <v>1972</v>
      </c>
      <c r="G819" t="s">
        <v>1847</v>
      </c>
      <c r="H819" t="s">
        <v>2857</v>
      </c>
      <c r="I819" t="s">
        <v>1899</v>
      </c>
    </row>
    <row r="820" spans="1:9">
      <c r="A820" t="str">
        <f>"0032144 "</f>
        <v xml:space="preserve">0032144 </v>
      </c>
      <c r="B820" t="s">
        <v>1843</v>
      </c>
      <c r="C820" t="s">
        <v>2859</v>
      </c>
      <c r="D820" t="s">
        <v>2860</v>
      </c>
      <c r="E820">
        <v>1</v>
      </c>
      <c r="F820" t="s">
        <v>2861</v>
      </c>
      <c r="G820" t="s">
        <v>1847</v>
      </c>
      <c r="H820" t="s">
        <v>2859</v>
      </c>
      <c r="I820" t="s">
        <v>2862</v>
      </c>
    </row>
    <row r="821" spans="1:9">
      <c r="A821" t="str">
        <f>"0032146 "</f>
        <v xml:space="preserve">0032146 </v>
      </c>
      <c r="B821" t="s">
        <v>1843</v>
      </c>
      <c r="C821" t="s">
        <v>2863</v>
      </c>
      <c r="D821" t="s">
        <v>2864</v>
      </c>
      <c r="E821">
        <v>1</v>
      </c>
      <c r="F821" t="s">
        <v>2707</v>
      </c>
      <c r="G821" t="s">
        <v>1847</v>
      </c>
      <c r="H821" t="s">
        <v>2863</v>
      </c>
      <c r="I821" t="s">
        <v>2865</v>
      </c>
    </row>
    <row r="822" spans="1:9">
      <c r="A822" t="str">
        <f>"0032149 "</f>
        <v xml:space="preserve">0032149 </v>
      </c>
      <c r="B822" t="s">
        <v>1843</v>
      </c>
      <c r="C822" t="s">
        <v>2866</v>
      </c>
      <c r="D822" t="s">
        <v>2867</v>
      </c>
      <c r="E822">
        <v>1</v>
      </c>
      <c r="F822" t="s">
        <v>2868</v>
      </c>
      <c r="G822" t="s">
        <v>1847</v>
      </c>
      <c r="H822" t="s">
        <v>2866</v>
      </c>
      <c r="I822" t="s">
        <v>2869</v>
      </c>
    </row>
    <row r="823" spans="1:9">
      <c r="A823" t="str">
        <f>"0032152 "</f>
        <v xml:space="preserve">0032152 </v>
      </c>
      <c r="B823" t="s">
        <v>1843</v>
      </c>
      <c r="C823" t="s">
        <v>2870</v>
      </c>
      <c r="D823" t="s">
        <v>2871</v>
      </c>
      <c r="E823">
        <v>2</v>
      </c>
      <c r="F823" t="s">
        <v>2872</v>
      </c>
      <c r="G823" t="s">
        <v>1847</v>
      </c>
      <c r="H823" t="s">
        <v>2870</v>
      </c>
      <c r="I823" t="s">
        <v>2873</v>
      </c>
    </row>
    <row r="824" spans="1:9">
      <c r="A824" t="str">
        <f>"0032156 "</f>
        <v xml:space="preserve">0032156 </v>
      </c>
      <c r="B824" t="s">
        <v>1843</v>
      </c>
      <c r="C824" t="s">
        <v>2874</v>
      </c>
      <c r="D824" t="s">
        <v>2875</v>
      </c>
      <c r="E824">
        <v>1</v>
      </c>
      <c r="F824" t="s">
        <v>2876</v>
      </c>
      <c r="G824" t="s">
        <v>1847</v>
      </c>
      <c r="H824" t="s">
        <v>2874</v>
      </c>
      <c r="I824" t="s">
        <v>2877</v>
      </c>
    </row>
    <row r="825" spans="1:9">
      <c r="A825" t="str">
        <f>"0032160 "</f>
        <v xml:space="preserve">0032160 </v>
      </c>
      <c r="B825" t="s">
        <v>1843</v>
      </c>
      <c r="C825" t="s">
        <v>2878</v>
      </c>
      <c r="D825" t="s">
        <v>2879</v>
      </c>
      <c r="E825">
        <v>1</v>
      </c>
      <c r="F825" t="s">
        <v>2880</v>
      </c>
      <c r="G825" t="s">
        <v>1847</v>
      </c>
      <c r="H825" t="s">
        <v>2878</v>
      </c>
      <c r="I825" t="s">
        <v>2881</v>
      </c>
    </row>
    <row r="826" spans="1:9">
      <c r="A826" t="str">
        <f>"0032163 "</f>
        <v xml:space="preserve">0032163 </v>
      </c>
      <c r="B826" t="s">
        <v>1843</v>
      </c>
      <c r="C826" t="s">
        <v>2882</v>
      </c>
      <c r="D826" t="s">
        <v>2883</v>
      </c>
      <c r="E826">
        <v>2</v>
      </c>
      <c r="F826" t="s">
        <v>2884</v>
      </c>
      <c r="G826" t="s">
        <v>1847</v>
      </c>
      <c r="H826" t="s">
        <v>2882</v>
      </c>
      <c r="I826" t="s">
        <v>2885</v>
      </c>
    </row>
    <row r="827" spans="1:9">
      <c r="A827" t="str">
        <f>"0032171 "</f>
        <v xml:space="preserve">0032171 </v>
      </c>
      <c r="B827" t="s">
        <v>1843</v>
      </c>
      <c r="C827" t="s">
        <v>2886</v>
      </c>
      <c r="D827" t="s">
        <v>2887</v>
      </c>
      <c r="E827">
        <v>1</v>
      </c>
      <c r="F827" t="s">
        <v>2888</v>
      </c>
      <c r="G827" t="s">
        <v>1847</v>
      </c>
      <c r="H827" t="s">
        <v>2886</v>
      </c>
      <c r="I827" t="s">
        <v>2889</v>
      </c>
    </row>
    <row r="828" spans="1:9">
      <c r="A828" t="str">
        <f>"0032175 "</f>
        <v xml:space="preserve">0032175 </v>
      </c>
      <c r="B828" t="s">
        <v>1843</v>
      </c>
      <c r="C828" t="s">
        <v>2890</v>
      </c>
      <c r="D828" t="s">
        <v>2891</v>
      </c>
      <c r="E828">
        <v>2</v>
      </c>
      <c r="F828" t="s">
        <v>2892</v>
      </c>
      <c r="G828" t="s">
        <v>1847</v>
      </c>
      <c r="H828" t="s">
        <v>2890</v>
      </c>
      <c r="I828" t="s">
        <v>2893</v>
      </c>
    </row>
    <row r="829" spans="1:9">
      <c r="A829" t="str">
        <f>"0032178 "</f>
        <v xml:space="preserve">0032178 </v>
      </c>
      <c r="B829" t="s">
        <v>1843</v>
      </c>
      <c r="C829" t="s">
        <v>2894</v>
      </c>
      <c r="D829" t="s">
        <v>2895</v>
      </c>
      <c r="E829">
        <v>2</v>
      </c>
      <c r="F829" t="s">
        <v>2896</v>
      </c>
      <c r="G829" t="s">
        <v>1847</v>
      </c>
      <c r="H829" t="s">
        <v>2894</v>
      </c>
      <c r="I829" t="s">
        <v>2894</v>
      </c>
    </row>
    <row r="830" spans="1:9">
      <c r="A830" t="str">
        <f>"0032181 "</f>
        <v xml:space="preserve">0032181 </v>
      </c>
      <c r="B830" t="s">
        <v>1843</v>
      </c>
      <c r="C830" t="s">
        <v>2897</v>
      </c>
      <c r="D830" t="s">
        <v>2898</v>
      </c>
      <c r="E830">
        <v>2</v>
      </c>
      <c r="F830" t="s">
        <v>2899</v>
      </c>
      <c r="G830" t="s">
        <v>1847</v>
      </c>
      <c r="H830" t="s">
        <v>2897</v>
      </c>
      <c r="I830" t="s">
        <v>2900</v>
      </c>
    </row>
    <row r="831" spans="1:9">
      <c r="A831" t="str">
        <f>"0032184 "</f>
        <v xml:space="preserve">0032184 </v>
      </c>
      <c r="B831" t="s">
        <v>1843</v>
      </c>
      <c r="C831" t="s">
        <v>2901</v>
      </c>
      <c r="D831" t="s">
        <v>2902</v>
      </c>
      <c r="E831">
        <v>2</v>
      </c>
      <c r="F831" t="s">
        <v>2903</v>
      </c>
      <c r="G831" t="s">
        <v>1847</v>
      </c>
      <c r="H831" t="s">
        <v>2901</v>
      </c>
      <c r="I831" t="s">
        <v>2904</v>
      </c>
    </row>
    <row r="832" spans="1:9">
      <c r="A832" t="str">
        <f>"0032187 "</f>
        <v xml:space="preserve">0032187 </v>
      </c>
      <c r="B832" t="s">
        <v>1843</v>
      </c>
      <c r="C832" t="s">
        <v>2905</v>
      </c>
      <c r="D832" t="s">
        <v>2906</v>
      </c>
      <c r="E832">
        <v>4</v>
      </c>
      <c r="F832" t="s">
        <v>2907</v>
      </c>
      <c r="G832" t="s">
        <v>1847</v>
      </c>
      <c r="H832" t="s">
        <v>2905</v>
      </c>
      <c r="I832" t="s">
        <v>2908</v>
      </c>
    </row>
    <row r="833" spans="1:9">
      <c r="A833" t="str">
        <f>"0032189 "</f>
        <v xml:space="preserve">0032189 </v>
      </c>
      <c r="B833" t="s">
        <v>1843</v>
      </c>
      <c r="C833" t="s">
        <v>2909</v>
      </c>
      <c r="D833" t="s">
        <v>2910</v>
      </c>
      <c r="E833">
        <v>1</v>
      </c>
      <c r="F833" t="s">
        <v>2911</v>
      </c>
      <c r="G833" t="s">
        <v>1847</v>
      </c>
      <c r="H833" t="s">
        <v>2909</v>
      </c>
      <c r="I833" t="s">
        <v>1899</v>
      </c>
    </row>
    <row r="834" spans="1:9">
      <c r="A834" t="str">
        <f>"0032192 "</f>
        <v xml:space="preserve">0032192 </v>
      </c>
      <c r="B834" t="s">
        <v>1843</v>
      </c>
      <c r="C834" t="s">
        <v>2912</v>
      </c>
      <c r="D834" t="s">
        <v>2913</v>
      </c>
      <c r="E834">
        <v>2</v>
      </c>
      <c r="F834" t="s">
        <v>2914</v>
      </c>
      <c r="G834" t="s">
        <v>1847</v>
      </c>
      <c r="H834" t="s">
        <v>2912</v>
      </c>
      <c r="I834" t="s">
        <v>2912</v>
      </c>
    </row>
    <row r="835" spans="1:9">
      <c r="A835" t="str">
        <f>"0032194 "</f>
        <v xml:space="preserve">0032194 </v>
      </c>
      <c r="B835" t="s">
        <v>1843</v>
      </c>
      <c r="C835" t="s">
        <v>2915</v>
      </c>
      <c r="D835" t="s">
        <v>2916</v>
      </c>
      <c r="E835">
        <v>2</v>
      </c>
      <c r="F835" t="s">
        <v>2917</v>
      </c>
      <c r="G835" t="s">
        <v>1847</v>
      </c>
      <c r="H835" t="s">
        <v>2915</v>
      </c>
      <c r="I835" t="s">
        <v>2918</v>
      </c>
    </row>
    <row r="836" spans="1:9">
      <c r="A836" t="str">
        <f>"0032199 "</f>
        <v xml:space="preserve">0032199 </v>
      </c>
      <c r="B836" t="s">
        <v>1843</v>
      </c>
      <c r="C836" t="s">
        <v>2919</v>
      </c>
      <c r="D836" t="s">
        <v>2920</v>
      </c>
      <c r="E836">
        <v>1</v>
      </c>
      <c r="F836" t="s">
        <v>2921</v>
      </c>
      <c r="G836" t="s">
        <v>1847</v>
      </c>
      <c r="H836" t="s">
        <v>2919</v>
      </c>
      <c r="I836" t="s">
        <v>2922</v>
      </c>
    </row>
    <row r="837" spans="1:9">
      <c r="A837" t="str">
        <f>"0032204 "</f>
        <v xml:space="preserve">0032204 </v>
      </c>
      <c r="B837" t="s">
        <v>1843</v>
      </c>
      <c r="C837" t="s">
        <v>2923</v>
      </c>
      <c r="D837" t="s">
        <v>2924</v>
      </c>
      <c r="E837">
        <v>1</v>
      </c>
      <c r="F837" t="s">
        <v>2925</v>
      </c>
      <c r="G837" t="s">
        <v>1847</v>
      </c>
      <c r="H837" t="s">
        <v>2923</v>
      </c>
      <c r="I837" t="s">
        <v>1899</v>
      </c>
    </row>
    <row r="838" spans="1:9">
      <c r="A838" t="str">
        <f>"0032207 "</f>
        <v xml:space="preserve">0032207 </v>
      </c>
      <c r="B838" t="s">
        <v>1843</v>
      </c>
      <c r="C838" t="s">
        <v>2926</v>
      </c>
      <c r="D838" t="s">
        <v>2927</v>
      </c>
      <c r="E838">
        <v>1</v>
      </c>
      <c r="F838" t="s">
        <v>2928</v>
      </c>
      <c r="G838" t="s">
        <v>1847</v>
      </c>
      <c r="H838" t="s">
        <v>2926</v>
      </c>
      <c r="I838" t="s">
        <v>1899</v>
      </c>
    </row>
    <row r="839" spans="1:9">
      <c r="A839" t="str">
        <f>"0032211 "</f>
        <v xml:space="preserve">0032211 </v>
      </c>
      <c r="B839" t="s">
        <v>1843</v>
      </c>
      <c r="C839" t="s">
        <v>2929</v>
      </c>
      <c r="D839" t="s">
        <v>2930</v>
      </c>
      <c r="E839">
        <v>2</v>
      </c>
      <c r="F839" t="s">
        <v>2931</v>
      </c>
      <c r="G839" t="s">
        <v>1847</v>
      </c>
      <c r="H839" t="s">
        <v>2929</v>
      </c>
      <c r="I839" t="s">
        <v>2932</v>
      </c>
    </row>
    <row r="840" spans="1:9">
      <c r="A840" t="str">
        <f>"0032214 "</f>
        <v xml:space="preserve">0032214 </v>
      </c>
      <c r="B840" t="s">
        <v>1843</v>
      </c>
      <c r="C840" t="s">
        <v>2933</v>
      </c>
      <c r="D840" t="s">
        <v>2934</v>
      </c>
      <c r="E840">
        <v>1</v>
      </c>
      <c r="F840" t="s">
        <v>2935</v>
      </c>
      <c r="G840" t="s">
        <v>1847</v>
      </c>
      <c r="H840" t="s">
        <v>2933</v>
      </c>
      <c r="I840" t="s">
        <v>2936</v>
      </c>
    </row>
    <row r="841" spans="1:9">
      <c r="A841" t="str">
        <f>"0032229 "</f>
        <v xml:space="preserve">0032229 </v>
      </c>
      <c r="B841" t="s">
        <v>1843</v>
      </c>
      <c r="C841" t="s">
        <v>2937</v>
      </c>
      <c r="D841" t="s">
        <v>2938</v>
      </c>
      <c r="E841">
        <v>2</v>
      </c>
      <c r="F841" t="s">
        <v>2939</v>
      </c>
      <c r="G841" t="s">
        <v>1847</v>
      </c>
      <c r="H841" t="s">
        <v>2937</v>
      </c>
      <c r="I841" t="s">
        <v>2940</v>
      </c>
    </row>
    <row r="842" spans="1:9">
      <c r="A842" t="str">
        <f>"0032250 "</f>
        <v xml:space="preserve">0032250 </v>
      </c>
      <c r="B842" t="s">
        <v>1843</v>
      </c>
      <c r="C842" t="s">
        <v>2941</v>
      </c>
      <c r="D842" t="s">
        <v>2942</v>
      </c>
      <c r="E842">
        <v>2</v>
      </c>
      <c r="F842" t="s">
        <v>2943</v>
      </c>
      <c r="G842" t="s">
        <v>1847</v>
      </c>
      <c r="H842" t="s">
        <v>2941</v>
      </c>
      <c r="I842" t="s">
        <v>2944</v>
      </c>
    </row>
    <row r="843" spans="1:9">
      <c r="A843" t="str">
        <f>"0032251 "</f>
        <v xml:space="preserve">0032251 </v>
      </c>
      <c r="B843" t="s">
        <v>1843</v>
      </c>
      <c r="C843" t="s">
        <v>2945</v>
      </c>
      <c r="D843" t="s">
        <v>2946</v>
      </c>
      <c r="E843">
        <v>2</v>
      </c>
      <c r="F843" t="s">
        <v>2943</v>
      </c>
      <c r="G843" t="s">
        <v>1847</v>
      </c>
      <c r="H843" t="s">
        <v>2945</v>
      </c>
      <c r="I843" t="s">
        <v>2947</v>
      </c>
    </row>
    <row r="844" spans="1:9">
      <c r="A844" t="str">
        <f>"0032255 "</f>
        <v xml:space="preserve">0032255 </v>
      </c>
      <c r="B844" t="s">
        <v>1843</v>
      </c>
      <c r="C844" t="s">
        <v>2948</v>
      </c>
      <c r="D844" t="s">
        <v>2949</v>
      </c>
      <c r="E844">
        <v>1</v>
      </c>
      <c r="F844" t="s">
        <v>2950</v>
      </c>
      <c r="G844" t="s">
        <v>1847</v>
      </c>
      <c r="H844" t="s">
        <v>2948</v>
      </c>
      <c r="I844" t="s">
        <v>2951</v>
      </c>
    </row>
    <row r="845" spans="1:9">
      <c r="A845" t="str">
        <f>"0032261 "</f>
        <v xml:space="preserve">0032261 </v>
      </c>
      <c r="B845" t="s">
        <v>1843</v>
      </c>
      <c r="C845" t="s">
        <v>2952</v>
      </c>
      <c r="D845" t="s">
        <v>2953</v>
      </c>
      <c r="E845">
        <v>1</v>
      </c>
      <c r="F845" t="s">
        <v>2954</v>
      </c>
      <c r="G845" t="s">
        <v>1847</v>
      </c>
      <c r="H845" t="s">
        <v>2952</v>
      </c>
      <c r="I845" t="s">
        <v>2955</v>
      </c>
    </row>
    <row r="846" spans="1:9">
      <c r="A846" t="str">
        <f>"0032263 "</f>
        <v xml:space="preserve">0032263 </v>
      </c>
      <c r="B846" t="s">
        <v>1843</v>
      </c>
      <c r="C846" t="s">
        <v>2956</v>
      </c>
      <c r="D846" t="s">
        <v>2957</v>
      </c>
      <c r="E846">
        <v>2</v>
      </c>
      <c r="F846" t="s">
        <v>2958</v>
      </c>
      <c r="G846" t="s">
        <v>1847</v>
      </c>
      <c r="H846" t="s">
        <v>2956</v>
      </c>
      <c r="I846" t="s">
        <v>2959</v>
      </c>
    </row>
    <row r="847" spans="1:9">
      <c r="A847" t="str">
        <f>"0032268 "</f>
        <v xml:space="preserve">0032268 </v>
      </c>
      <c r="B847" t="s">
        <v>1843</v>
      </c>
      <c r="C847" t="s">
        <v>2960</v>
      </c>
      <c r="D847" t="s">
        <v>2961</v>
      </c>
      <c r="E847">
        <v>1</v>
      </c>
      <c r="F847" t="s">
        <v>2962</v>
      </c>
      <c r="G847" t="s">
        <v>1847</v>
      </c>
      <c r="H847" t="s">
        <v>2960</v>
      </c>
      <c r="I847" t="s">
        <v>2963</v>
      </c>
    </row>
    <row r="848" spans="1:9">
      <c r="A848" t="str">
        <f>"0032272 "</f>
        <v xml:space="preserve">0032272 </v>
      </c>
      <c r="B848" t="s">
        <v>1843</v>
      </c>
      <c r="C848" t="s">
        <v>2964</v>
      </c>
      <c r="D848" t="s">
        <v>2965</v>
      </c>
      <c r="E848">
        <v>2</v>
      </c>
      <c r="F848" t="s">
        <v>2966</v>
      </c>
      <c r="G848" t="s">
        <v>1847</v>
      </c>
      <c r="H848" t="s">
        <v>2964</v>
      </c>
      <c r="I848" t="s">
        <v>2967</v>
      </c>
    </row>
    <row r="849" spans="1:9">
      <c r="A849" t="str">
        <f>"0032274 "</f>
        <v xml:space="preserve">0032274 </v>
      </c>
      <c r="B849" t="s">
        <v>1843</v>
      </c>
      <c r="C849" t="s">
        <v>2968</v>
      </c>
      <c r="D849" t="s">
        <v>2969</v>
      </c>
      <c r="E849">
        <v>1</v>
      </c>
      <c r="F849" t="s">
        <v>2661</v>
      </c>
      <c r="G849" t="s">
        <v>1847</v>
      </c>
      <c r="H849" t="s">
        <v>2968</v>
      </c>
      <c r="I849" t="s">
        <v>2970</v>
      </c>
    </row>
    <row r="850" spans="1:9">
      <c r="A850" t="str">
        <f>"0032281 "</f>
        <v xml:space="preserve">0032281 </v>
      </c>
      <c r="B850" t="s">
        <v>1843</v>
      </c>
      <c r="C850" t="s">
        <v>2971</v>
      </c>
      <c r="D850" t="s">
        <v>2972</v>
      </c>
      <c r="E850">
        <v>2</v>
      </c>
      <c r="F850" t="s">
        <v>2661</v>
      </c>
      <c r="G850" t="s">
        <v>1847</v>
      </c>
      <c r="H850" t="s">
        <v>2971</v>
      </c>
      <c r="I850" t="s">
        <v>2973</v>
      </c>
    </row>
    <row r="851" spans="1:9">
      <c r="A851" t="str">
        <f>"0032283 "</f>
        <v xml:space="preserve">0032283 </v>
      </c>
      <c r="B851" t="s">
        <v>1843</v>
      </c>
      <c r="C851" t="s">
        <v>2974</v>
      </c>
      <c r="D851" t="s">
        <v>2975</v>
      </c>
      <c r="E851">
        <v>4</v>
      </c>
      <c r="F851" t="s">
        <v>1959</v>
      </c>
      <c r="G851" t="s">
        <v>1847</v>
      </c>
      <c r="H851" t="s">
        <v>2974</v>
      </c>
      <c r="I851" t="s">
        <v>2976</v>
      </c>
    </row>
    <row r="852" spans="1:9">
      <c r="A852" t="str">
        <f>"0032284 "</f>
        <v xml:space="preserve">0032284 </v>
      </c>
      <c r="B852" t="s">
        <v>1843</v>
      </c>
      <c r="C852" t="s">
        <v>2977</v>
      </c>
      <c r="D852" t="s">
        <v>2978</v>
      </c>
      <c r="E852">
        <v>2</v>
      </c>
      <c r="F852" t="s">
        <v>1890</v>
      </c>
      <c r="G852" t="s">
        <v>1847</v>
      </c>
      <c r="H852" t="s">
        <v>2977</v>
      </c>
      <c r="I852" t="s">
        <v>2979</v>
      </c>
    </row>
    <row r="853" spans="1:9">
      <c r="A853" t="str">
        <f>"0032289 "</f>
        <v xml:space="preserve">0032289 </v>
      </c>
      <c r="B853" t="s">
        <v>1843</v>
      </c>
      <c r="C853" t="s">
        <v>2980</v>
      </c>
      <c r="D853" t="s">
        <v>2981</v>
      </c>
      <c r="E853">
        <v>3</v>
      </c>
      <c r="F853" t="s">
        <v>2982</v>
      </c>
      <c r="G853" t="s">
        <v>1847</v>
      </c>
      <c r="H853" t="s">
        <v>2980</v>
      </c>
      <c r="I853" t="s">
        <v>2983</v>
      </c>
    </row>
    <row r="854" spans="1:9">
      <c r="A854" t="str">
        <f>"0032291 "</f>
        <v xml:space="preserve">0032291 </v>
      </c>
      <c r="B854" t="s">
        <v>1843</v>
      </c>
      <c r="C854" t="s">
        <v>2984</v>
      </c>
      <c r="D854" t="s">
        <v>2985</v>
      </c>
      <c r="E854">
        <v>1</v>
      </c>
      <c r="F854" t="s">
        <v>2986</v>
      </c>
      <c r="G854" t="s">
        <v>1847</v>
      </c>
      <c r="H854" t="s">
        <v>2984</v>
      </c>
      <c r="I854" t="s">
        <v>2987</v>
      </c>
    </row>
    <row r="855" spans="1:9">
      <c r="A855" t="str">
        <f>"0032294 "</f>
        <v xml:space="preserve">0032294 </v>
      </c>
      <c r="B855" t="s">
        <v>1843</v>
      </c>
      <c r="C855" t="s">
        <v>2988</v>
      </c>
      <c r="D855" t="s">
        <v>2989</v>
      </c>
      <c r="E855">
        <v>1</v>
      </c>
      <c r="F855" t="s">
        <v>2990</v>
      </c>
      <c r="G855" t="s">
        <v>1847</v>
      </c>
      <c r="H855" t="s">
        <v>2988</v>
      </c>
      <c r="I855" t="s">
        <v>2991</v>
      </c>
    </row>
    <row r="856" spans="1:9">
      <c r="A856" t="str">
        <f>"0032297 "</f>
        <v xml:space="preserve">0032297 </v>
      </c>
      <c r="B856" t="s">
        <v>1843</v>
      </c>
      <c r="C856" t="s">
        <v>2992</v>
      </c>
      <c r="D856" t="s">
        <v>2993</v>
      </c>
      <c r="E856">
        <v>1</v>
      </c>
      <c r="F856" t="s">
        <v>2684</v>
      </c>
      <c r="G856" t="s">
        <v>1847</v>
      </c>
      <c r="H856" t="s">
        <v>2992</v>
      </c>
      <c r="I856" t="s">
        <v>2994</v>
      </c>
    </row>
    <row r="857" spans="1:9">
      <c r="A857" t="str">
        <f>"0032299 "</f>
        <v xml:space="preserve">0032299 </v>
      </c>
      <c r="B857" t="s">
        <v>1843</v>
      </c>
      <c r="C857" t="s">
        <v>2995</v>
      </c>
      <c r="D857" t="s">
        <v>2996</v>
      </c>
      <c r="E857">
        <v>2</v>
      </c>
      <c r="F857" t="s">
        <v>2997</v>
      </c>
      <c r="G857" t="s">
        <v>1847</v>
      </c>
      <c r="H857" t="s">
        <v>2995</v>
      </c>
      <c r="I857" t="s">
        <v>2998</v>
      </c>
    </row>
    <row r="858" spans="1:9">
      <c r="A858" t="str">
        <f>"0032333 "</f>
        <v xml:space="preserve">0032333 </v>
      </c>
      <c r="B858" t="s">
        <v>1843</v>
      </c>
      <c r="C858" t="s">
        <v>2999</v>
      </c>
      <c r="D858" t="s">
        <v>3000</v>
      </c>
      <c r="E858">
        <v>1</v>
      </c>
      <c r="F858" t="s">
        <v>3001</v>
      </c>
      <c r="G858" t="s">
        <v>1847</v>
      </c>
      <c r="H858" t="s">
        <v>2999</v>
      </c>
      <c r="I858" t="s">
        <v>3002</v>
      </c>
    </row>
    <row r="859" spans="1:9">
      <c r="A859" t="str">
        <f>"0032339 "</f>
        <v xml:space="preserve">0032339 </v>
      </c>
      <c r="B859" t="s">
        <v>1843</v>
      </c>
      <c r="C859" t="s">
        <v>3003</v>
      </c>
      <c r="D859" t="s">
        <v>3004</v>
      </c>
      <c r="E859">
        <v>3</v>
      </c>
      <c r="F859" t="s">
        <v>3005</v>
      </c>
      <c r="G859" t="s">
        <v>1847</v>
      </c>
      <c r="H859" t="s">
        <v>3003</v>
      </c>
      <c r="I859" t="s">
        <v>3006</v>
      </c>
    </row>
    <row r="860" spans="1:9">
      <c r="A860" t="str">
        <f>"0032341 "</f>
        <v xml:space="preserve">0032341 </v>
      </c>
      <c r="B860" t="s">
        <v>1843</v>
      </c>
      <c r="C860" t="s">
        <v>3007</v>
      </c>
      <c r="D860" t="s">
        <v>3008</v>
      </c>
      <c r="E860">
        <v>1</v>
      </c>
      <c r="F860" t="s">
        <v>3009</v>
      </c>
      <c r="G860" t="s">
        <v>1847</v>
      </c>
      <c r="H860" t="s">
        <v>3007</v>
      </c>
      <c r="I860" t="s">
        <v>3010</v>
      </c>
    </row>
    <row r="861" spans="1:9">
      <c r="A861" t="str">
        <f>"0032343 "</f>
        <v xml:space="preserve">0032343 </v>
      </c>
      <c r="B861" t="s">
        <v>1843</v>
      </c>
      <c r="C861" t="s">
        <v>3011</v>
      </c>
      <c r="D861" t="s">
        <v>3012</v>
      </c>
      <c r="E861">
        <v>2</v>
      </c>
      <c r="F861" t="s">
        <v>3013</v>
      </c>
      <c r="G861" t="s">
        <v>1847</v>
      </c>
      <c r="H861" t="s">
        <v>3011</v>
      </c>
      <c r="I861" t="s">
        <v>3014</v>
      </c>
    </row>
    <row r="862" spans="1:9">
      <c r="A862" t="str">
        <f>"0032347 "</f>
        <v xml:space="preserve">0032347 </v>
      </c>
      <c r="B862" t="s">
        <v>1843</v>
      </c>
      <c r="C862" t="s">
        <v>3015</v>
      </c>
      <c r="D862" t="s">
        <v>3016</v>
      </c>
      <c r="E862">
        <v>1</v>
      </c>
      <c r="F862" t="s">
        <v>3017</v>
      </c>
      <c r="G862" t="s">
        <v>1847</v>
      </c>
      <c r="H862" t="s">
        <v>3015</v>
      </c>
      <c r="I862" t="s">
        <v>3018</v>
      </c>
    </row>
    <row r="863" spans="1:9">
      <c r="A863" t="str">
        <f>"0032352 "</f>
        <v xml:space="preserve">0032352 </v>
      </c>
      <c r="B863" t="s">
        <v>1843</v>
      </c>
      <c r="C863" t="s">
        <v>3019</v>
      </c>
      <c r="D863" t="s">
        <v>3020</v>
      </c>
      <c r="E863">
        <v>1</v>
      </c>
      <c r="F863" t="s">
        <v>3021</v>
      </c>
      <c r="G863" t="s">
        <v>1847</v>
      </c>
      <c r="H863" t="s">
        <v>3019</v>
      </c>
      <c r="I863" t="s">
        <v>3022</v>
      </c>
    </row>
    <row r="864" spans="1:9">
      <c r="A864" t="str">
        <f>"0033954 "</f>
        <v xml:space="preserve">0033954 </v>
      </c>
      <c r="B864" t="s">
        <v>1843</v>
      </c>
      <c r="C864" t="s">
        <v>3023</v>
      </c>
      <c r="D864" t="s">
        <v>3024</v>
      </c>
      <c r="E864">
        <v>2</v>
      </c>
      <c r="F864" t="s">
        <v>3025</v>
      </c>
      <c r="G864" t="s">
        <v>1847</v>
      </c>
      <c r="H864" t="s">
        <v>3023</v>
      </c>
      <c r="I864" t="s">
        <v>3026</v>
      </c>
    </row>
    <row r="865" spans="1:9">
      <c r="A865" t="str">
        <f>"0032361 "</f>
        <v xml:space="preserve">0032361 </v>
      </c>
      <c r="B865" t="s">
        <v>1843</v>
      </c>
      <c r="C865" t="s">
        <v>3027</v>
      </c>
      <c r="D865" t="s">
        <v>3028</v>
      </c>
      <c r="E865">
        <v>1</v>
      </c>
      <c r="F865" t="s">
        <v>3029</v>
      </c>
      <c r="G865" t="s">
        <v>1847</v>
      </c>
      <c r="H865" t="s">
        <v>3027</v>
      </c>
      <c r="I865" t="s">
        <v>3030</v>
      </c>
    </row>
    <row r="866" spans="1:9">
      <c r="A866" t="str">
        <f>"0032363 "</f>
        <v xml:space="preserve">0032363 </v>
      </c>
      <c r="B866" t="s">
        <v>1843</v>
      </c>
      <c r="C866" t="s">
        <v>3031</v>
      </c>
      <c r="D866" t="s">
        <v>3032</v>
      </c>
      <c r="E866">
        <v>1</v>
      </c>
      <c r="F866" t="s">
        <v>3033</v>
      </c>
      <c r="G866" t="s">
        <v>1847</v>
      </c>
      <c r="H866" t="s">
        <v>3031</v>
      </c>
      <c r="I866" t="s">
        <v>3034</v>
      </c>
    </row>
    <row r="867" spans="1:9">
      <c r="A867" t="str">
        <f>"0032364 "</f>
        <v xml:space="preserve">0032364 </v>
      </c>
      <c r="B867" t="s">
        <v>1843</v>
      </c>
      <c r="C867" t="s">
        <v>3035</v>
      </c>
      <c r="D867" t="s">
        <v>3036</v>
      </c>
      <c r="E867">
        <v>1</v>
      </c>
      <c r="F867" t="s">
        <v>3037</v>
      </c>
      <c r="G867" t="s">
        <v>1847</v>
      </c>
      <c r="H867" t="s">
        <v>3035</v>
      </c>
      <c r="I867" t="s">
        <v>3038</v>
      </c>
    </row>
    <row r="868" spans="1:9">
      <c r="A868" t="str">
        <f>"0032370 "</f>
        <v xml:space="preserve">0032370 </v>
      </c>
      <c r="B868" t="s">
        <v>1843</v>
      </c>
      <c r="C868" t="s">
        <v>3039</v>
      </c>
      <c r="D868" t="s">
        <v>3040</v>
      </c>
      <c r="E868">
        <v>1</v>
      </c>
      <c r="F868" t="s">
        <v>3041</v>
      </c>
      <c r="G868" t="s">
        <v>1847</v>
      </c>
      <c r="H868" t="s">
        <v>3039</v>
      </c>
      <c r="I868" t="s">
        <v>3042</v>
      </c>
    </row>
    <row r="869" spans="1:9">
      <c r="A869" t="str">
        <f>"0032373 "</f>
        <v xml:space="preserve">0032373 </v>
      </c>
      <c r="B869" t="s">
        <v>1843</v>
      </c>
      <c r="C869" t="s">
        <v>3043</v>
      </c>
      <c r="D869" t="s">
        <v>3044</v>
      </c>
      <c r="E869">
        <v>1</v>
      </c>
      <c r="F869" t="s">
        <v>3045</v>
      </c>
      <c r="G869" t="s">
        <v>1847</v>
      </c>
      <c r="H869" t="s">
        <v>3043</v>
      </c>
      <c r="I869" t="s">
        <v>3046</v>
      </c>
    </row>
    <row r="870" spans="1:9">
      <c r="A870" t="str">
        <f>"0032374 "</f>
        <v xml:space="preserve">0032374 </v>
      </c>
      <c r="B870" t="s">
        <v>1843</v>
      </c>
      <c r="C870" t="s">
        <v>3047</v>
      </c>
      <c r="D870" t="s">
        <v>3048</v>
      </c>
      <c r="E870">
        <v>1</v>
      </c>
      <c r="F870" t="s">
        <v>3049</v>
      </c>
      <c r="G870" t="s">
        <v>1847</v>
      </c>
      <c r="H870" t="s">
        <v>3047</v>
      </c>
      <c r="I870" t="s">
        <v>3050</v>
      </c>
    </row>
    <row r="871" spans="1:9">
      <c r="A871" t="str">
        <f>"0032375 "</f>
        <v xml:space="preserve">0032375 </v>
      </c>
      <c r="B871" t="s">
        <v>1843</v>
      </c>
      <c r="C871" t="s">
        <v>3051</v>
      </c>
      <c r="D871" t="s">
        <v>3052</v>
      </c>
      <c r="E871">
        <v>1</v>
      </c>
      <c r="F871" t="s">
        <v>3053</v>
      </c>
      <c r="G871" t="s">
        <v>1847</v>
      </c>
      <c r="H871" t="s">
        <v>3051</v>
      </c>
      <c r="I871" t="s">
        <v>3054</v>
      </c>
    </row>
    <row r="872" spans="1:9">
      <c r="A872" t="str">
        <f>"0032379 "</f>
        <v xml:space="preserve">0032379 </v>
      </c>
      <c r="B872" t="s">
        <v>1843</v>
      </c>
      <c r="C872" t="s">
        <v>3055</v>
      </c>
      <c r="D872" t="s">
        <v>3056</v>
      </c>
      <c r="E872">
        <v>2</v>
      </c>
      <c r="F872" t="s">
        <v>3057</v>
      </c>
      <c r="G872" t="s">
        <v>1847</v>
      </c>
      <c r="H872" t="s">
        <v>3055</v>
      </c>
      <c r="I872" t="s">
        <v>3058</v>
      </c>
    </row>
    <row r="873" spans="1:9">
      <c r="A873" t="str">
        <f>"0032382 "</f>
        <v xml:space="preserve">0032382 </v>
      </c>
      <c r="B873" t="s">
        <v>1843</v>
      </c>
      <c r="C873" t="s">
        <v>3059</v>
      </c>
      <c r="D873" t="s">
        <v>3060</v>
      </c>
      <c r="E873">
        <v>1</v>
      </c>
      <c r="F873" t="s">
        <v>3061</v>
      </c>
      <c r="G873" t="s">
        <v>1847</v>
      </c>
      <c r="H873" t="s">
        <v>3059</v>
      </c>
      <c r="I873" t="s">
        <v>3062</v>
      </c>
    </row>
    <row r="874" spans="1:9">
      <c r="A874" t="str">
        <f>"0032384 "</f>
        <v xml:space="preserve">0032384 </v>
      </c>
      <c r="B874" t="s">
        <v>1843</v>
      </c>
      <c r="C874" t="s">
        <v>3063</v>
      </c>
      <c r="D874" t="s">
        <v>3064</v>
      </c>
      <c r="E874">
        <v>1</v>
      </c>
      <c r="F874" t="s">
        <v>3065</v>
      </c>
      <c r="G874" t="s">
        <v>1847</v>
      </c>
      <c r="H874" t="s">
        <v>3063</v>
      </c>
      <c r="I874" t="s">
        <v>3066</v>
      </c>
    </row>
    <row r="875" spans="1:9">
      <c r="A875" t="str">
        <f>"0032386 "</f>
        <v xml:space="preserve">0032386 </v>
      </c>
      <c r="B875" t="s">
        <v>1843</v>
      </c>
      <c r="C875" t="s">
        <v>3067</v>
      </c>
      <c r="D875" t="s">
        <v>3068</v>
      </c>
      <c r="E875">
        <v>1</v>
      </c>
      <c r="F875" t="s">
        <v>3069</v>
      </c>
      <c r="G875" t="s">
        <v>1847</v>
      </c>
      <c r="H875" t="s">
        <v>3067</v>
      </c>
      <c r="I875" t="s">
        <v>3070</v>
      </c>
    </row>
    <row r="876" spans="1:9">
      <c r="A876" t="str">
        <f>"0032400 "</f>
        <v xml:space="preserve">0032400 </v>
      </c>
      <c r="B876" t="s">
        <v>1843</v>
      </c>
      <c r="C876" t="s">
        <v>3071</v>
      </c>
      <c r="D876" t="s">
        <v>3072</v>
      </c>
      <c r="E876">
        <v>1</v>
      </c>
      <c r="F876" t="s">
        <v>3073</v>
      </c>
      <c r="G876" t="s">
        <v>1847</v>
      </c>
      <c r="H876" t="s">
        <v>3071</v>
      </c>
      <c r="I876" t="s">
        <v>3074</v>
      </c>
    </row>
    <row r="877" spans="1:9">
      <c r="A877" t="str">
        <f>"0032407 "</f>
        <v xml:space="preserve">0032407 </v>
      </c>
      <c r="B877" t="s">
        <v>1843</v>
      </c>
      <c r="C877" t="s">
        <v>3075</v>
      </c>
      <c r="D877" t="s">
        <v>3076</v>
      </c>
      <c r="E877">
        <v>1</v>
      </c>
      <c r="F877" t="s">
        <v>3077</v>
      </c>
      <c r="G877" t="s">
        <v>1847</v>
      </c>
      <c r="H877" t="s">
        <v>3075</v>
      </c>
      <c r="I877" t="s">
        <v>3078</v>
      </c>
    </row>
    <row r="878" spans="1:9">
      <c r="A878" t="str">
        <f>"0032410 "</f>
        <v xml:space="preserve">0032410 </v>
      </c>
      <c r="B878" t="s">
        <v>1843</v>
      </c>
      <c r="C878" t="s">
        <v>3079</v>
      </c>
      <c r="D878" t="s">
        <v>3080</v>
      </c>
      <c r="E878">
        <v>1</v>
      </c>
      <c r="F878" t="s">
        <v>3081</v>
      </c>
      <c r="G878" t="s">
        <v>1847</v>
      </c>
      <c r="H878" t="s">
        <v>3079</v>
      </c>
      <c r="I878" t="s">
        <v>3082</v>
      </c>
    </row>
    <row r="879" spans="1:9">
      <c r="A879" t="str">
        <f>"0032415 "</f>
        <v xml:space="preserve">0032415 </v>
      </c>
      <c r="B879" t="s">
        <v>1843</v>
      </c>
      <c r="C879" t="s">
        <v>3083</v>
      </c>
      <c r="D879" t="s">
        <v>3084</v>
      </c>
      <c r="E879">
        <v>1</v>
      </c>
      <c r="F879" t="s">
        <v>3085</v>
      </c>
      <c r="G879" t="s">
        <v>1847</v>
      </c>
      <c r="H879" t="s">
        <v>3083</v>
      </c>
      <c r="I879" t="s">
        <v>3086</v>
      </c>
    </row>
    <row r="880" spans="1:9">
      <c r="A880" t="str">
        <f>"0032420 "</f>
        <v xml:space="preserve">0032420 </v>
      </c>
      <c r="B880" t="s">
        <v>1843</v>
      </c>
      <c r="C880" t="s">
        <v>3087</v>
      </c>
      <c r="D880" t="s">
        <v>3088</v>
      </c>
      <c r="E880">
        <v>1</v>
      </c>
      <c r="F880" t="s">
        <v>3089</v>
      </c>
      <c r="G880" t="s">
        <v>1847</v>
      </c>
      <c r="H880" t="s">
        <v>3087</v>
      </c>
      <c r="I880" t="s">
        <v>3090</v>
      </c>
    </row>
    <row r="881" spans="1:9">
      <c r="A881" t="str">
        <f>"0032428 "</f>
        <v xml:space="preserve">0032428 </v>
      </c>
      <c r="B881" t="s">
        <v>1843</v>
      </c>
      <c r="C881" t="s">
        <v>3091</v>
      </c>
      <c r="D881" t="s">
        <v>3092</v>
      </c>
      <c r="E881">
        <v>1</v>
      </c>
      <c r="F881" t="s">
        <v>2392</v>
      </c>
      <c r="G881" t="s">
        <v>1847</v>
      </c>
      <c r="H881" t="s">
        <v>3091</v>
      </c>
      <c r="I881" t="s">
        <v>3093</v>
      </c>
    </row>
    <row r="882" spans="1:9">
      <c r="A882" t="str">
        <f>"0032436 "</f>
        <v xml:space="preserve">0032436 </v>
      </c>
      <c r="B882" t="s">
        <v>1843</v>
      </c>
      <c r="C882" t="s">
        <v>3094</v>
      </c>
      <c r="D882" t="s">
        <v>3095</v>
      </c>
      <c r="E882">
        <v>1</v>
      </c>
      <c r="F882" t="s">
        <v>3096</v>
      </c>
      <c r="G882" t="s">
        <v>1847</v>
      </c>
      <c r="H882" t="s">
        <v>3094</v>
      </c>
      <c r="I882" t="s">
        <v>3097</v>
      </c>
    </row>
    <row r="883" spans="1:9">
      <c r="A883" t="str">
        <f>"0032441 "</f>
        <v xml:space="preserve">0032441 </v>
      </c>
      <c r="B883" t="s">
        <v>1843</v>
      </c>
      <c r="C883" t="s">
        <v>3098</v>
      </c>
      <c r="D883" t="s">
        <v>3099</v>
      </c>
      <c r="E883">
        <v>1</v>
      </c>
      <c r="F883" t="s">
        <v>3100</v>
      </c>
      <c r="G883" t="s">
        <v>1847</v>
      </c>
      <c r="H883" t="s">
        <v>3098</v>
      </c>
      <c r="I883" t="s">
        <v>3101</v>
      </c>
    </row>
    <row r="884" spans="1:9">
      <c r="A884" t="str">
        <f>"0032453 "</f>
        <v xml:space="preserve">0032453 </v>
      </c>
      <c r="B884" t="s">
        <v>1843</v>
      </c>
      <c r="C884" t="s">
        <v>3102</v>
      </c>
      <c r="D884" t="s">
        <v>3103</v>
      </c>
      <c r="E884">
        <v>1</v>
      </c>
      <c r="F884" t="s">
        <v>3104</v>
      </c>
      <c r="G884" t="s">
        <v>1847</v>
      </c>
      <c r="H884" t="s">
        <v>3102</v>
      </c>
      <c r="I884" t="s">
        <v>3105</v>
      </c>
    </row>
    <row r="885" spans="1:9">
      <c r="A885" t="str">
        <f>"0034572 "</f>
        <v xml:space="preserve">0034572 </v>
      </c>
      <c r="B885" t="s">
        <v>1843</v>
      </c>
      <c r="C885" t="s">
        <v>3106</v>
      </c>
      <c r="D885" t="s">
        <v>3107</v>
      </c>
      <c r="E885">
        <v>1</v>
      </c>
      <c r="F885" t="s">
        <v>3108</v>
      </c>
      <c r="G885" t="s">
        <v>1847</v>
      </c>
      <c r="H885" t="s">
        <v>3106</v>
      </c>
      <c r="I885" t="s">
        <v>3109</v>
      </c>
    </row>
    <row r="886" spans="1:9">
      <c r="A886" t="str">
        <f>"0050852 "</f>
        <v xml:space="preserve">0050852 </v>
      </c>
      <c r="B886" t="s">
        <v>1843</v>
      </c>
      <c r="C886" t="s">
        <v>3110</v>
      </c>
      <c r="D886" t="s">
        <v>3111</v>
      </c>
      <c r="E886">
        <v>1</v>
      </c>
      <c r="F886" t="s">
        <v>3112</v>
      </c>
      <c r="G886" t="s">
        <v>1847</v>
      </c>
      <c r="H886" t="s">
        <v>3110</v>
      </c>
      <c r="I886" t="s">
        <v>3113</v>
      </c>
    </row>
    <row r="887" spans="1:9">
      <c r="A887" t="str">
        <f>"0211545 "</f>
        <v xml:space="preserve">0211545 </v>
      </c>
      <c r="B887" t="s">
        <v>1843</v>
      </c>
      <c r="C887" t="s">
        <v>3114</v>
      </c>
      <c r="D887" t="s">
        <v>3115</v>
      </c>
      <c r="E887">
        <v>1</v>
      </c>
      <c r="F887" t="s">
        <v>3116</v>
      </c>
      <c r="G887" t="s">
        <v>1847</v>
      </c>
      <c r="H887" t="s">
        <v>3114</v>
      </c>
      <c r="I887" t="s">
        <v>3117</v>
      </c>
    </row>
    <row r="888" spans="1:9">
      <c r="A888" t="str">
        <f>"0032460 "</f>
        <v xml:space="preserve">0032460 </v>
      </c>
      <c r="B888" t="s">
        <v>1843</v>
      </c>
      <c r="C888" t="s">
        <v>3118</v>
      </c>
      <c r="D888" t="s">
        <v>3119</v>
      </c>
      <c r="E888">
        <v>2</v>
      </c>
      <c r="F888" t="s">
        <v>3120</v>
      </c>
      <c r="G888" t="s">
        <v>1847</v>
      </c>
      <c r="H888" t="s">
        <v>3118</v>
      </c>
      <c r="I888" t="s">
        <v>3121</v>
      </c>
    </row>
    <row r="889" spans="1:9">
      <c r="A889" t="str">
        <f>"0032467 "</f>
        <v xml:space="preserve">0032467 </v>
      </c>
      <c r="B889" t="s">
        <v>1843</v>
      </c>
      <c r="C889" t="s">
        <v>3122</v>
      </c>
      <c r="D889" t="s">
        <v>3123</v>
      </c>
      <c r="E889">
        <v>2</v>
      </c>
      <c r="F889" t="s">
        <v>3124</v>
      </c>
      <c r="G889" t="s">
        <v>1847</v>
      </c>
      <c r="H889" t="s">
        <v>3122</v>
      </c>
      <c r="I889" t="s">
        <v>3125</v>
      </c>
    </row>
    <row r="890" spans="1:9">
      <c r="A890" t="str">
        <f>"0032470 "</f>
        <v xml:space="preserve">0032470 </v>
      </c>
      <c r="B890" t="s">
        <v>1843</v>
      </c>
      <c r="C890" t="s">
        <v>3126</v>
      </c>
      <c r="D890" t="s">
        <v>3127</v>
      </c>
      <c r="E890">
        <v>1</v>
      </c>
      <c r="F890" t="s">
        <v>3128</v>
      </c>
      <c r="G890" t="s">
        <v>1847</v>
      </c>
      <c r="H890" t="s">
        <v>3126</v>
      </c>
      <c r="I890" t="s">
        <v>3129</v>
      </c>
    </row>
    <row r="891" spans="1:9">
      <c r="A891" t="str">
        <f>"0032477 "</f>
        <v xml:space="preserve">0032477 </v>
      </c>
      <c r="B891" t="s">
        <v>1843</v>
      </c>
      <c r="C891" t="s">
        <v>3130</v>
      </c>
      <c r="D891" t="s">
        <v>3131</v>
      </c>
      <c r="E891" t="s">
        <v>16</v>
      </c>
      <c r="F891" t="s">
        <v>2990</v>
      </c>
      <c r="G891" t="s">
        <v>1847</v>
      </c>
      <c r="H891" t="s">
        <v>3130</v>
      </c>
      <c r="I891" t="s">
        <v>3132</v>
      </c>
    </row>
    <row r="892" spans="1:9">
      <c r="A892" t="str">
        <f>"0032485 "</f>
        <v xml:space="preserve">0032485 </v>
      </c>
      <c r="B892" t="s">
        <v>1843</v>
      </c>
      <c r="C892" t="s">
        <v>3133</v>
      </c>
      <c r="D892" t="s">
        <v>3134</v>
      </c>
      <c r="E892">
        <v>1</v>
      </c>
      <c r="F892" t="s">
        <v>3135</v>
      </c>
      <c r="G892" t="s">
        <v>1847</v>
      </c>
      <c r="H892" t="s">
        <v>3133</v>
      </c>
      <c r="I892" t="s">
        <v>3136</v>
      </c>
    </row>
    <row r="893" spans="1:9">
      <c r="A893" t="str">
        <f>"0032551 "</f>
        <v xml:space="preserve">0032551 </v>
      </c>
      <c r="B893" t="s">
        <v>1843</v>
      </c>
      <c r="C893" t="s">
        <v>3137</v>
      </c>
      <c r="D893" t="s">
        <v>3138</v>
      </c>
      <c r="E893">
        <v>1</v>
      </c>
      <c r="F893" t="s">
        <v>3139</v>
      </c>
      <c r="G893" t="s">
        <v>1847</v>
      </c>
      <c r="H893" t="s">
        <v>3137</v>
      </c>
      <c r="I893" t="s">
        <v>3140</v>
      </c>
    </row>
    <row r="894" spans="1:9">
      <c r="A894" t="str">
        <f>"0032556 "</f>
        <v xml:space="preserve">0032556 </v>
      </c>
      <c r="B894" t="s">
        <v>1843</v>
      </c>
      <c r="C894" t="s">
        <v>3141</v>
      </c>
      <c r="D894" t="s">
        <v>3142</v>
      </c>
      <c r="E894">
        <v>1</v>
      </c>
      <c r="F894" t="s">
        <v>3143</v>
      </c>
      <c r="G894" t="s">
        <v>1847</v>
      </c>
      <c r="H894" t="s">
        <v>3141</v>
      </c>
      <c r="I894" t="s">
        <v>3144</v>
      </c>
    </row>
    <row r="895" spans="1:9">
      <c r="A895" t="str">
        <f>"0032558 "</f>
        <v xml:space="preserve">0032558 </v>
      </c>
      <c r="B895" t="s">
        <v>1843</v>
      </c>
      <c r="C895" t="s">
        <v>3145</v>
      </c>
      <c r="D895" t="s">
        <v>3146</v>
      </c>
      <c r="E895">
        <v>1</v>
      </c>
      <c r="F895" t="s">
        <v>2939</v>
      </c>
      <c r="G895" t="s">
        <v>1847</v>
      </c>
      <c r="H895" t="s">
        <v>3145</v>
      </c>
      <c r="I895" t="s">
        <v>3147</v>
      </c>
    </row>
    <row r="896" spans="1:9">
      <c r="A896" t="str">
        <f>"0032560 "</f>
        <v xml:space="preserve">0032560 </v>
      </c>
      <c r="B896" t="s">
        <v>1843</v>
      </c>
      <c r="C896" t="s">
        <v>3148</v>
      </c>
      <c r="D896" t="s">
        <v>3149</v>
      </c>
      <c r="E896">
        <v>1</v>
      </c>
      <c r="F896" t="s">
        <v>3150</v>
      </c>
      <c r="G896" t="s">
        <v>1847</v>
      </c>
      <c r="H896" t="s">
        <v>3148</v>
      </c>
      <c r="I896" t="s">
        <v>3151</v>
      </c>
    </row>
    <row r="897" spans="1:9">
      <c r="A897" t="str">
        <f>"0032591 "</f>
        <v xml:space="preserve">0032591 </v>
      </c>
      <c r="B897" t="s">
        <v>1843</v>
      </c>
      <c r="C897" t="s">
        <v>3152</v>
      </c>
      <c r="D897" t="s">
        <v>3153</v>
      </c>
      <c r="E897">
        <v>1</v>
      </c>
      <c r="F897" t="s">
        <v>3154</v>
      </c>
      <c r="G897" t="s">
        <v>1847</v>
      </c>
      <c r="H897" t="s">
        <v>3152</v>
      </c>
      <c r="I897" t="s">
        <v>3155</v>
      </c>
    </row>
    <row r="898" spans="1:9">
      <c r="A898" t="str">
        <f>"0032592 "</f>
        <v xml:space="preserve">0032592 </v>
      </c>
      <c r="B898" t="s">
        <v>1843</v>
      </c>
      <c r="C898" t="s">
        <v>3156</v>
      </c>
      <c r="D898" t="s">
        <v>3157</v>
      </c>
      <c r="E898">
        <v>1</v>
      </c>
      <c r="F898" t="s">
        <v>3158</v>
      </c>
      <c r="G898" t="s">
        <v>1847</v>
      </c>
      <c r="H898" t="s">
        <v>3156</v>
      </c>
      <c r="I898" t="s">
        <v>3159</v>
      </c>
    </row>
    <row r="899" spans="1:9">
      <c r="A899" t="str">
        <f>"0032593 "</f>
        <v xml:space="preserve">0032593 </v>
      </c>
      <c r="B899" t="s">
        <v>1843</v>
      </c>
      <c r="C899" t="s">
        <v>3160</v>
      </c>
      <c r="D899" t="s">
        <v>3161</v>
      </c>
      <c r="E899">
        <v>1</v>
      </c>
      <c r="F899" t="s">
        <v>3162</v>
      </c>
      <c r="G899" t="s">
        <v>1847</v>
      </c>
      <c r="H899" t="s">
        <v>3160</v>
      </c>
      <c r="I899" t="s">
        <v>3163</v>
      </c>
    </row>
    <row r="900" spans="1:9">
      <c r="A900" t="str">
        <f>"0032596 "</f>
        <v xml:space="preserve">0032596 </v>
      </c>
      <c r="B900" t="s">
        <v>1843</v>
      </c>
      <c r="C900" t="s">
        <v>3164</v>
      </c>
      <c r="D900" t="s">
        <v>3165</v>
      </c>
      <c r="E900" t="s">
        <v>16</v>
      </c>
      <c r="F900" t="s">
        <v>3166</v>
      </c>
      <c r="G900" t="s">
        <v>1847</v>
      </c>
      <c r="H900" t="s">
        <v>3164</v>
      </c>
      <c r="I900" t="s">
        <v>3167</v>
      </c>
    </row>
    <row r="901" spans="1:9">
      <c r="A901" t="str">
        <f>"0032605 "</f>
        <v xml:space="preserve">0032605 </v>
      </c>
      <c r="B901" t="s">
        <v>1843</v>
      </c>
      <c r="C901" t="s">
        <v>3168</v>
      </c>
      <c r="D901" t="s">
        <v>3169</v>
      </c>
      <c r="E901">
        <v>1</v>
      </c>
      <c r="F901" t="s">
        <v>3170</v>
      </c>
      <c r="G901" t="s">
        <v>1847</v>
      </c>
      <c r="H901" t="s">
        <v>3168</v>
      </c>
      <c r="I901" t="s">
        <v>3171</v>
      </c>
    </row>
    <row r="902" spans="1:9">
      <c r="A902" t="str">
        <f>"0032624 "</f>
        <v xml:space="preserve">0032624 </v>
      </c>
      <c r="B902" t="s">
        <v>1843</v>
      </c>
      <c r="C902" t="s">
        <v>3172</v>
      </c>
      <c r="D902" t="s">
        <v>3173</v>
      </c>
      <c r="E902">
        <v>1</v>
      </c>
      <c r="F902" t="s">
        <v>3174</v>
      </c>
      <c r="G902" t="s">
        <v>1847</v>
      </c>
      <c r="H902" t="s">
        <v>3172</v>
      </c>
      <c r="I902" t="s">
        <v>3175</v>
      </c>
    </row>
    <row r="903" spans="1:9">
      <c r="A903" t="str">
        <f>"0032627 "</f>
        <v xml:space="preserve">0032627 </v>
      </c>
      <c r="B903" t="s">
        <v>1843</v>
      </c>
      <c r="C903" t="s">
        <v>3176</v>
      </c>
      <c r="D903" t="s">
        <v>3177</v>
      </c>
      <c r="E903">
        <v>2</v>
      </c>
      <c r="F903" t="s">
        <v>3178</v>
      </c>
      <c r="G903" t="s">
        <v>1847</v>
      </c>
      <c r="H903" t="s">
        <v>3176</v>
      </c>
      <c r="I903" t="s">
        <v>3179</v>
      </c>
    </row>
    <row r="904" spans="1:9">
      <c r="A904" t="str">
        <f>"0032629 "</f>
        <v xml:space="preserve">0032629 </v>
      </c>
      <c r="B904" t="s">
        <v>1843</v>
      </c>
      <c r="C904" t="s">
        <v>3180</v>
      </c>
      <c r="D904" t="s">
        <v>3181</v>
      </c>
      <c r="E904">
        <v>1</v>
      </c>
      <c r="F904" t="s">
        <v>2042</v>
      </c>
      <c r="G904" t="s">
        <v>1847</v>
      </c>
      <c r="H904" t="s">
        <v>3180</v>
      </c>
      <c r="I904" t="s">
        <v>3182</v>
      </c>
    </row>
    <row r="905" spans="1:9">
      <c r="A905" t="str">
        <f>"0032642 "</f>
        <v xml:space="preserve">0032642 </v>
      </c>
      <c r="B905" t="s">
        <v>1843</v>
      </c>
      <c r="C905" t="s">
        <v>3183</v>
      </c>
      <c r="D905" t="s">
        <v>3184</v>
      </c>
      <c r="E905">
        <v>1</v>
      </c>
      <c r="F905" t="s">
        <v>3185</v>
      </c>
      <c r="G905" t="s">
        <v>1847</v>
      </c>
      <c r="H905" t="s">
        <v>3183</v>
      </c>
      <c r="I905" t="s">
        <v>3186</v>
      </c>
    </row>
    <row r="906" spans="1:9">
      <c r="A906" t="str">
        <f>"0032663 "</f>
        <v xml:space="preserve">0032663 </v>
      </c>
      <c r="B906" t="s">
        <v>1843</v>
      </c>
      <c r="C906" t="s">
        <v>3187</v>
      </c>
      <c r="D906" t="s">
        <v>3188</v>
      </c>
      <c r="E906">
        <v>1</v>
      </c>
      <c r="F906" t="s">
        <v>3189</v>
      </c>
      <c r="G906" t="s">
        <v>1847</v>
      </c>
      <c r="H906" t="s">
        <v>3187</v>
      </c>
      <c r="I906" t="s">
        <v>3190</v>
      </c>
    </row>
    <row r="907" spans="1:9">
      <c r="A907" t="str">
        <f>"0032668 "</f>
        <v xml:space="preserve">0032668 </v>
      </c>
      <c r="B907" t="s">
        <v>1843</v>
      </c>
      <c r="C907" t="s">
        <v>3191</v>
      </c>
      <c r="D907" t="s">
        <v>3192</v>
      </c>
      <c r="E907">
        <v>1</v>
      </c>
      <c r="F907" t="s">
        <v>3193</v>
      </c>
      <c r="G907" t="s">
        <v>1847</v>
      </c>
      <c r="H907" t="s">
        <v>3191</v>
      </c>
      <c r="I907" t="s">
        <v>3194</v>
      </c>
    </row>
    <row r="908" spans="1:9">
      <c r="A908" t="str">
        <f>"0032677 "</f>
        <v xml:space="preserve">0032677 </v>
      </c>
      <c r="B908" t="s">
        <v>1843</v>
      </c>
      <c r="C908" t="s">
        <v>3195</v>
      </c>
      <c r="D908" t="s">
        <v>3196</v>
      </c>
      <c r="E908">
        <v>1</v>
      </c>
      <c r="F908" t="s">
        <v>3197</v>
      </c>
      <c r="G908" t="s">
        <v>1847</v>
      </c>
      <c r="H908" t="s">
        <v>3195</v>
      </c>
      <c r="I908" t="s">
        <v>3198</v>
      </c>
    </row>
    <row r="909" spans="1:9">
      <c r="A909" t="str">
        <f>"0032678 "</f>
        <v xml:space="preserve">0032678 </v>
      </c>
      <c r="B909" t="s">
        <v>1843</v>
      </c>
      <c r="C909" t="s">
        <v>3199</v>
      </c>
      <c r="D909" t="s">
        <v>3200</v>
      </c>
      <c r="E909">
        <v>1</v>
      </c>
      <c r="F909" t="s">
        <v>3201</v>
      </c>
      <c r="G909" t="s">
        <v>1847</v>
      </c>
      <c r="H909" t="s">
        <v>3199</v>
      </c>
      <c r="I909" t="s">
        <v>3202</v>
      </c>
    </row>
    <row r="910" spans="1:9">
      <c r="A910" t="str">
        <f>"0032701 "</f>
        <v xml:space="preserve">0032701 </v>
      </c>
      <c r="B910" t="s">
        <v>1843</v>
      </c>
      <c r="C910" t="s">
        <v>3203</v>
      </c>
      <c r="D910" t="s">
        <v>3204</v>
      </c>
      <c r="E910">
        <v>1</v>
      </c>
      <c r="F910" t="s">
        <v>3205</v>
      </c>
      <c r="G910" t="s">
        <v>1847</v>
      </c>
      <c r="H910" t="s">
        <v>3203</v>
      </c>
      <c r="I910" t="s">
        <v>3206</v>
      </c>
    </row>
    <row r="911" spans="1:9">
      <c r="A911" t="str">
        <f>"0032718 "</f>
        <v xml:space="preserve">0032718 </v>
      </c>
      <c r="B911" t="s">
        <v>1843</v>
      </c>
      <c r="C911" t="s">
        <v>3207</v>
      </c>
      <c r="D911" t="s">
        <v>3208</v>
      </c>
      <c r="E911">
        <v>2</v>
      </c>
      <c r="F911" t="s">
        <v>2207</v>
      </c>
      <c r="G911" t="s">
        <v>1847</v>
      </c>
      <c r="H911" t="s">
        <v>3207</v>
      </c>
      <c r="I911" t="s">
        <v>3209</v>
      </c>
    </row>
    <row r="912" spans="1:9">
      <c r="A912" t="str">
        <f>"0032719 "</f>
        <v xml:space="preserve">0032719 </v>
      </c>
      <c r="B912" t="s">
        <v>1843</v>
      </c>
      <c r="C912" t="s">
        <v>3210</v>
      </c>
      <c r="D912" t="s">
        <v>3211</v>
      </c>
      <c r="E912">
        <v>1</v>
      </c>
      <c r="F912" t="s">
        <v>2276</v>
      </c>
      <c r="G912" t="s">
        <v>1847</v>
      </c>
      <c r="H912" t="s">
        <v>3210</v>
      </c>
      <c r="I912" t="s">
        <v>3212</v>
      </c>
    </row>
    <row r="913" spans="1:9">
      <c r="A913" t="str">
        <f>"0032720 "</f>
        <v xml:space="preserve">0032720 </v>
      </c>
      <c r="B913" t="s">
        <v>1843</v>
      </c>
      <c r="C913" t="s">
        <v>3213</v>
      </c>
      <c r="D913" t="s">
        <v>3214</v>
      </c>
      <c r="E913">
        <v>1</v>
      </c>
      <c r="F913" t="s">
        <v>3215</v>
      </c>
      <c r="G913" t="s">
        <v>1847</v>
      </c>
      <c r="H913" t="s">
        <v>3213</v>
      </c>
      <c r="I913" t="s">
        <v>3216</v>
      </c>
    </row>
    <row r="914" spans="1:9">
      <c r="A914" t="str">
        <f>"0032738 "</f>
        <v xml:space="preserve">0032738 </v>
      </c>
      <c r="B914" t="s">
        <v>1843</v>
      </c>
      <c r="C914" t="s">
        <v>3217</v>
      </c>
      <c r="D914" t="s">
        <v>3218</v>
      </c>
      <c r="E914">
        <v>4</v>
      </c>
      <c r="F914" t="s">
        <v>3219</v>
      </c>
      <c r="G914" t="s">
        <v>1847</v>
      </c>
      <c r="H914" t="s">
        <v>3217</v>
      </c>
      <c r="I914" t="s">
        <v>3220</v>
      </c>
    </row>
    <row r="915" spans="1:9">
      <c r="A915" t="str">
        <f>"0032740 "</f>
        <v xml:space="preserve">0032740 </v>
      </c>
      <c r="B915" t="s">
        <v>1843</v>
      </c>
      <c r="C915" t="s">
        <v>3221</v>
      </c>
      <c r="D915" t="s">
        <v>3222</v>
      </c>
      <c r="E915">
        <v>2</v>
      </c>
      <c r="F915" t="s">
        <v>3223</v>
      </c>
      <c r="G915" t="s">
        <v>1847</v>
      </c>
      <c r="H915" t="s">
        <v>3221</v>
      </c>
      <c r="I915" t="s">
        <v>3224</v>
      </c>
    </row>
    <row r="916" spans="1:9">
      <c r="A916" t="str">
        <f>"0032741 "</f>
        <v xml:space="preserve">0032741 </v>
      </c>
      <c r="B916" t="s">
        <v>1843</v>
      </c>
      <c r="C916" t="s">
        <v>3225</v>
      </c>
      <c r="D916" t="s">
        <v>3226</v>
      </c>
      <c r="E916">
        <v>1</v>
      </c>
      <c r="F916" t="s">
        <v>3227</v>
      </c>
      <c r="G916" t="s">
        <v>1847</v>
      </c>
      <c r="H916" t="s">
        <v>3225</v>
      </c>
      <c r="I916" t="s">
        <v>3228</v>
      </c>
    </row>
    <row r="917" spans="1:9">
      <c r="A917" t="str">
        <f>"0032743 "</f>
        <v xml:space="preserve">0032743 </v>
      </c>
      <c r="B917" t="s">
        <v>1843</v>
      </c>
      <c r="C917" t="s">
        <v>3229</v>
      </c>
      <c r="D917" t="s">
        <v>3230</v>
      </c>
      <c r="E917">
        <v>1</v>
      </c>
      <c r="F917" t="s">
        <v>3231</v>
      </c>
      <c r="G917" t="s">
        <v>1847</v>
      </c>
      <c r="H917" t="s">
        <v>3229</v>
      </c>
      <c r="I917" t="s">
        <v>3232</v>
      </c>
    </row>
    <row r="918" spans="1:9">
      <c r="A918" t="str">
        <f>"0032744 "</f>
        <v xml:space="preserve">0032744 </v>
      </c>
      <c r="B918" t="s">
        <v>1843</v>
      </c>
      <c r="C918" t="s">
        <v>3233</v>
      </c>
      <c r="D918" t="s">
        <v>3234</v>
      </c>
      <c r="E918" t="s">
        <v>16</v>
      </c>
      <c r="F918" t="s">
        <v>3235</v>
      </c>
      <c r="G918" t="s">
        <v>1847</v>
      </c>
      <c r="H918" t="s">
        <v>3233</v>
      </c>
      <c r="I918" t="s">
        <v>3236</v>
      </c>
    </row>
    <row r="919" spans="1:9">
      <c r="A919" t="str">
        <f>"0034329 "</f>
        <v xml:space="preserve">0034329 </v>
      </c>
      <c r="B919" t="s">
        <v>1843</v>
      </c>
      <c r="C919" t="s">
        <v>3237</v>
      </c>
      <c r="D919" t="s">
        <v>3238</v>
      </c>
      <c r="E919">
        <v>1</v>
      </c>
      <c r="F919" t="s">
        <v>3239</v>
      </c>
      <c r="G919" t="s">
        <v>1847</v>
      </c>
      <c r="H919" t="s">
        <v>3237</v>
      </c>
      <c r="I919" t="s">
        <v>3240</v>
      </c>
    </row>
    <row r="920" spans="1:9">
      <c r="A920" t="str">
        <f>"0032755 "</f>
        <v xml:space="preserve">0032755 </v>
      </c>
      <c r="B920" t="s">
        <v>1843</v>
      </c>
      <c r="C920" t="s">
        <v>3241</v>
      </c>
      <c r="D920" t="s">
        <v>3242</v>
      </c>
      <c r="E920">
        <v>1</v>
      </c>
      <c r="F920" t="s">
        <v>3243</v>
      </c>
      <c r="G920" t="s">
        <v>1847</v>
      </c>
      <c r="H920" t="s">
        <v>3241</v>
      </c>
      <c r="I920" t="s">
        <v>3244</v>
      </c>
    </row>
    <row r="921" spans="1:9">
      <c r="A921" t="str">
        <f>"0032765 "</f>
        <v xml:space="preserve">0032765 </v>
      </c>
      <c r="B921" t="s">
        <v>1843</v>
      </c>
      <c r="C921" t="s">
        <v>3245</v>
      </c>
      <c r="D921" t="s">
        <v>3246</v>
      </c>
      <c r="E921">
        <v>2</v>
      </c>
      <c r="F921" t="s">
        <v>3247</v>
      </c>
      <c r="G921" t="s">
        <v>1847</v>
      </c>
      <c r="H921" t="s">
        <v>3245</v>
      </c>
      <c r="I921" t="s">
        <v>3248</v>
      </c>
    </row>
    <row r="922" spans="1:9">
      <c r="A922" t="str">
        <f>"0032770 "</f>
        <v xml:space="preserve">0032770 </v>
      </c>
      <c r="B922" t="s">
        <v>1843</v>
      </c>
      <c r="C922" t="s">
        <v>3249</v>
      </c>
      <c r="D922" t="s">
        <v>3250</v>
      </c>
      <c r="E922">
        <v>2</v>
      </c>
      <c r="F922" t="s">
        <v>3251</v>
      </c>
      <c r="G922" t="s">
        <v>1847</v>
      </c>
      <c r="H922" t="s">
        <v>3249</v>
      </c>
      <c r="I922" t="s">
        <v>3252</v>
      </c>
    </row>
    <row r="923" spans="1:9">
      <c r="A923" t="str">
        <f>"0032773 "</f>
        <v xml:space="preserve">0032773 </v>
      </c>
      <c r="B923" t="s">
        <v>1843</v>
      </c>
      <c r="C923" t="s">
        <v>3253</v>
      </c>
      <c r="D923" t="s">
        <v>3254</v>
      </c>
      <c r="E923">
        <v>2</v>
      </c>
      <c r="F923" t="s">
        <v>3255</v>
      </c>
      <c r="G923" t="s">
        <v>1847</v>
      </c>
      <c r="H923" t="s">
        <v>3253</v>
      </c>
      <c r="I923" t="s">
        <v>3256</v>
      </c>
    </row>
    <row r="924" spans="1:9">
      <c r="A924" t="str">
        <f>"0034381 "</f>
        <v xml:space="preserve">0034381 </v>
      </c>
      <c r="B924" t="s">
        <v>1843</v>
      </c>
      <c r="C924" t="s">
        <v>3257</v>
      </c>
      <c r="D924" t="s">
        <v>3258</v>
      </c>
      <c r="E924">
        <v>2</v>
      </c>
      <c r="F924" t="s">
        <v>3259</v>
      </c>
      <c r="G924" t="s">
        <v>1847</v>
      </c>
      <c r="H924" t="s">
        <v>3257</v>
      </c>
      <c r="I924" t="s">
        <v>3260</v>
      </c>
    </row>
    <row r="925" spans="1:9">
      <c r="A925" t="str">
        <f>"0032778 "</f>
        <v xml:space="preserve">0032778 </v>
      </c>
      <c r="B925" t="s">
        <v>1843</v>
      </c>
      <c r="C925" t="s">
        <v>3261</v>
      </c>
      <c r="D925" t="s">
        <v>3262</v>
      </c>
      <c r="E925">
        <v>2</v>
      </c>
      <c r="F925" t="s">
        <v>3263</v>
      </c>
      <c r="G925" t="s">
        <v>1847</v>
      </c>
      <c r="H925" t="s">
        <v>3261</v>
      </c>
      <c r="I925" t="s">
        <v>3264</v>
      </c>
    </row>
    <row r="926" spans="1:9">
      <c r="A926" t="str">
        <f>"0032779 "</f>
        <v xml:space="preserve">0032779 </v>
      </c>
      <c r="B926" t="s">
        <v>1843</v>
      </c>
      <c r="C926" t="s">
        <v>3265</v>
      </c>
      <c r="D926" t="s">
        <v>3266</v>
      </c>
      <c r="E926">
        <v>2</v>
      </c>
      <c r="F926" t="s">
        <v>3267</v>
      </c>
      <c r="G926" t="s">
        <v>1847</v>
      </c>
      <c r="H926" t="s">
        <v>3265</v>
      </c>
      <c r="I926" t="s">
        <v>3268</v>
      </c>
    </row>
    <row r="927" spans="1:9">
      <c r="A927" t="str">
        <f>"0032794 "</f>
        <v xml:space="preserve">0032794 </v>
      </c>
      <c r="B927" t="s">
        <v>1843</v>
      </c>
      <c r="C927" t="s">
        <v>3269</v>
      </c>
      <c r="D927" t="s">
        <v>3270</v>
      </c>
      <c r="E927">
        <v>2</v>
      </c>
      <c r="F927" t="s">
        <v>3271</v>
      </c>
      <c r="G927" t="s">
        <v>1847</v>
      </c>
      <c r="H927" t="s">
        <v>3269</v>
      </c>
      <c r="I927" t="s">
        <v>3272</v>
      </c>
    </row>
    <row r="928" spans="1:9">
      <c r="A928" t="str">
        <f>"0032797 "</f>
        <v xml:space="preserve">0032797 </v>
      </c>
      <c r="B928" t="s">
        <v>1843</v>
      </c>
      <c r="C928" t="s">
        <v>3273</v>
      </c>
      <c r="D928" t="s">
        <v>3274</v>
      </c>
      <c r="E928">
        <v>3</v>
      </c>
      <c r="F928" t="s">
        <v>3275</v>
      </c>
      <c r="G928" t="s">
        <v>1847</v>
      </c>
      <c r="H928" t="s">
        <v>3273</v>
      </c>
      <c r="I928" t="s">
        <v>3276</v>
      </c>
    </row>
    <row r="929" spans="1:9">
      <c r="A929" t="str">
        <f>"0032798 "</f>
        <v xml:space="preserve">0032798 </v>
      </c>
      <c r="B929" t="s">
        <v>1843</v>
      </c>
      <c r="C929" t="s">
        <v>3277</v>
      </c>
      <c r="D929" t="s">
        <v>3278</v>
      </c>
      <c r="E929">
        <v>1</v>
      </c>
      <c r="F929" t="s">
        <v>3279</v>
      </c>
      <c r="G929" t="s">
        <v>1847</v>
      </c>
      <c r="H929" t="s">
        <v>3277</v>
      </c>
      <c r="I929" t="s">
        <v>3280</v>
      </c>
    </row>
    <row r="930" spans="1:9">
      <c r="A930" t="str">
        <f>"0032799 "</f>
        <v xml:space="preserve">0032799 </v>
      </c>
      <c r="B930" t="s">
        <v>1843</v>
      </c>
      <c r="C930" t="s">
        <v>3281</v>
      </c>
      <c r="D930" t="s">
        <v>3282</v>
      </c>
      <c r="E930">
        <v>1</v>
      </c>
      <c r="F930" t="s">
        <v>3283</v>
      </c>
      <c r="G930" t="s">
        <v>1847</v>
      </c>
      <c r="H930" t="s">
        <v>3281</v>
      </c>
      <c r="I930" t="s">
        <v>3284</v>
      </c>
    </row>
    <row r="931" spans="1:9">
      <c r="A931" t="str">
        <f>"0032801 "</f>
        <v xml:space="preserve">0032801 </v>
      </c>
      <c r="B931" t="s">
        <v>1843</v>
      </c>
      <c r="C931" t="s">
        <v>3285</v>
      </c>
      <c r="D931" t="s">
        <v>3286</v>
      </c>
      <c r="E931">
        <v>1</v>
      </c>
      <c r="F931" t="s">
        <v>3287</v>
      </c>
      <c r="G931" t="s">
        <v>1847</v>
      </c>
      <c r="H931" t="s">
        <v>3285</v>
      </c>
      <c r="I931" t="s">
        <v>3288</v>
      </c>
    </row>
    <row r="932" spans="1:9">
      <c r="A932" t="str">
        <f>"0032803 "</f>
        <v xml:space="preserve">0032803 </v>
      </c>
      <c r="B932" t="s">
        <v>1843</v>
      </c>
      <c r="C932" t="s">
        <v>3289</v>
      </c>
      <c r="D932" t="s">
        <v>3290</v>
      </c>
      <c r="E932">
        <v>1</v>
      </c>
      <c r="F932" t="s">
        <v>3291</v>
      </c>
      <c r="G932" t="s">
        <v>1847</v>
      </c>
      <c r="H932" t="s">
        <v>3289</v>
      </c>
      <c r="I932" t="s">
        <v>3292</v>
      </c>
    </row>
    <row r="933" spans="1:9">
      <c r="A933" t="str">
        <f>"0032812 "</f>
        <v xml:space="preserve">0032812 </v>
      </c>
      <c r="B933" t="s">
        <v>1843</v>
      </c>
      <c r="C933" t="s">
        <v>3293</v>
      </c>
      <c r="D933" t="s">
        <v>3294</v>
      </c>
      <c r="E933">
        <v>1</v>
      </c>
      <c r="F933" t="s">
        <v>3295</v>
      </c>
      <c r="G933" t="s">
        <v>1847</v>
      </c>
      <c r="H933" t="s">
        <v>3293</v>
      </c>
      <c r="I933" t="s">
        <v>3296</v>
      </c>
    </row>
    <row r="934" spans="1:9">
      <c r="A934" t="str">
        <f>"0032816 "</f>
        <v xml:space="preserve">0032816 </v>
      </c>
      <c r="B934" t="s">
        <v>1843</v>
      </c>
      <c r="C934" t="s">
        <v>3297</v>
      </c>
      <c r="D934" t="s">
        <v>3298</v>
      </c>
      <c r="E934">
        <v>1</v>
      </c>
      <c r="F934" t="s">
        <v>2584</v>
      </c>
      <c r="G934" t="s">
        <v>1847</v>
      </c>
      <c r="H934" t="s">
        <v>3297</v>
      </c>
      <c r="I934" t="s">
        <v>3299</v>
      </c>
    </row>
    <row r="935" spans="1:9">
      <c r="A935" t="str">
        <f>"0032819 "</f>
        <v xml:space="preserve">0032819 </v>
      </c>
      <c r="B935" t="s">
        <v>1843</v>
      </c>
      <c r="C935" t="s">
        <v>3300</v>
      </c>
      <c r="D935" t="s">
        <v>3301</v>
      </c>
      <c r="E935">
        <v>2</v>
      </c>
      <c r="F935" t="s">
        <v>3302</v>
      </c>
      <c r="G935" t="s">
        <v>1847</v>
      </c>
      <c r="H935" t="s">
        <v>3300</v>
      </c>
      <c r="I935" t="s">
        <v>3303</v>
      </c>
    </row>
    <row r="936" spans="1:9">
      <c r="A936" t="str">
        <f>"0032826 "</f>
        <v xml:space="preserve">0032826 </v>
      </c>
      <c r="B936" t="s">
        <v>1843</v>
      </c>
      <c r="C936" t="s">
        <v>3304</v>
      </c>
      <c r="D936" t="s">
        <v>3305</v>
      </c>
      <c r="E936">
        <v>1</v>
      </c>
      <c r="F936" t="s">
        <v>3306</v>
      </c>
      <c r="G936" t="s">
        <v>1847</v>
      </c>
      <c r="H936" t="s">
        <v>3304</v>
      </c>
      <c r="I936" t="s">
        <v>3307</v>
      </c>
    </row>
    <row r="937" spans="1:9">
      <c r="A937" t="str">
        <f>"0032827 "</f>
        <v xml:space="preserve">0032827 </v>
      </c>
      <c r="B937" t="s">
        <v>1843</v>
      </c>
      <c r="C937" t="s">
        <v>3308</v>
      </c>
      <c r="D937" t="s">
        <v>3309</v>
      </c>
      <c r="E937">
        <v>1</v>
      </c>
      <c r="F937" t="s">
        <v>3310</v>
      </c>
      <c r="G937" t="s">
        <v>1847</v>
      </c>
      <c r="H937" t="s">
        <v>3308</v>
      </c>
      <c r="I937" t="s">
        <v>3311</v>
      </c>
    </row>
    <row r="938" spans="1:9">
      <c r="A938" t="str">
        <f>"0032829 "</f>
        <v xml:space="preserve">0032829 </v>
      </c>
      <c r="B938" t="s">
        <v>1843</v>
      </c>
      <c r="C938" t="s">
        <v>3312</v>
      </c>
      <c r="D938" t="s">
        <v>3313</v>
      </c>
      <c r="E938">
        <v>1</v>
      </c>
      <c r="F938" t="s">
        <v>3314</v>
      </c>
      <c r="G938" t="s">
        <v>1847</v>
      </c>
      <c r="H938" t="s">
        <v>3312</v>
      </c>
      <c r="I938" t="s">
        <v>3315</v>
      </c>
    </row>
    <row r="939" spans="1:9">
      <c r="A939" t="str">
        <f>"0032830 "</f>
        <v xml:space="preserve">0032830 </v>
      </c>
      <c r="B939" t="s">
        <v>1843</v>
      </c>
      <c r="C939" t="s">
        <v>3316</v>
      </c>
      <c r="D939" t="s">
        <v>3317</v>
      </c>
      <c r="E939">
        <v>1</v>
      </c>
      <c r="F939" t="s">
        <v>3263</v>
      </c>
      <c r="G939" t="s">
        <v>1847</v>
      </c>
      <c r="H939" t="s">
        <v>3316</v>
      </c>
      <c r="I939" t="s">
        <v>3318</v>
      </c>
    </row>
    <row r="940" spans="1:9">
      <c r="A940" t="str">
        <f>"0032839 "</f>
        <v xml:space="preserve">0032839 </v>
      </c>
      <c r="B940" t="s">
        <v>1843</v>
      </c>
      <c r="C940" t="s">
        <v>3319</v>
      </c>
      <c r="D940" t="s">
        <v>3320</v>
      </c>
      <c r="E940">
        <v>1</v>
      </c>
      <c r="F940" t="s">
        <v>3321</v>
      </c>
      <c r="G940" t="s">
        <v>1847</v>
      </c>
      <c r="H940" t="s">
        <v>3319</v>
      </c>
      <c r="I940" t="s">
        <v>3322</v>
      </c>
    </row>
    <row r="941" spans="1:9">
      <c r="A941" t="str">
        <f>"0210462 "</f>
        <v xml:space="preserve">0210462 </v>
      </c>
      <c r="B941" t="s">
        <v>3323</v>
      </c>
      <c r="C941" t="s">
        <v>3324</v>
      </c>
      <c r="D941" t="s">
        <v>3325</v>
      </c>
      <c r="E941">
        <v>1</v>
      </c>
      <c r="F941" t="s">
        <v>3326</v>
      </c>
      <c r="G941" t="s">
        <v>3323</v>
      </c>
      <c r="H941" t="s">
        <v>3324</v>
      </c>
      <c r="I941" t="s">
        <v>1899</v>
      </c>
    </row>
    <row r="942" spans="1:9">
      <c r="A942" t="str">
        <f>"0210471 "</f>
        <v xml:space="preserve">0210471 </v>
      </c>
      <c r="B942" t="s">
        <v>3323</v>
      </c>
      <c r="C942" t="s">
        <v>3327</v>
      </c>
      <c r="D942" t="s">
        <v>3328</v>
      </c>
      <c r="E942">
        <v>1</v>
      </c>
      <c r="F942" t="s">
        <v>3329</v>
      </c>
      <c r="G942" t="s">
        <v>3323</v>
      </c>
      <c r="H942" t="s">
        <v>3327</v>
      </c>
      <c r="I942" t="s">
        <v>1899</v>
      </c>
    </row>
    <row r="943" spans="1:9">
      <c r="A943" t="str">
        <f>"0210480 "</f>
        <v xml:space="preserve">0210480 </v>
      </c>
      <c r="B943" t="s">
        <v>3323</v>
      </c>
      <c r="C943" t="s">
        <v>3330</v>
      </c>
      <c r="D943" t="s">
        <v>3331</v>
      </c>
      <c r="E943">
        <v>1</v>
      </c>
      <c r="F943" t="s">
        <v>3332</v>
      </c>
      <c r="G943" t="s">
        <v>3323</v>
      </c>
      <c r="H943" t="s">
        <v>3330</v>
      </c>
      <c r="I943" t="s">
        <v>1899</v>
      </c>
    </row>
    <row r="944" spans="1:9">
      <c r="A944" t="str">
        <f>"0210485 "</f>
        <v xml:space="preserve">0210485 </v>
      </c>
      <c r="B944" t="s">
        <v>3323</v>
      </c>
      <c r="C944" t="s">
        <v>3333</v>
      </c>
      <c r="D944" t="s">
        <v>3334</v>
      </c>
      <c r="E944">
        <v>1</v>
      </c>
      <c r="F944" t="s">
        <v>3335</v>
      </c>
      <c r="G944" t="s">
        <v>3323</v>
      </c>
      <c r="H944" t="s">
        <v>3333</v>
      </c>
      <c r="I944" t="s">
        <v>1899</v>
      </c>
    </row>
    <row r="945" spans="1:9">
      <c r="A945" t="str">
        <f>"0210489 "</f>
        <v xml:space="preserve">0210489 </v>
      </c>
      <c r="B945" t="s">
        <v>3323</v>
      </c>
      <c r="C945" t="s">
        <v>3336</v>
      </c>
      <c r="D945" t="s">
        <v>3337</v>
      </c>
      <c r="E945">
        <v>3</v>
      </c>
      <c r="F945" t="s">
        <v>3338</v>
      </c>
      <c r="G945" t="s">
        <v>3323</v>
      </c>
      <c r="H945" t="s">
        <v>3336</v>
      </c>
      <c r="I945" t="s">
        <v>3339</v>
      </c>
    </row>
    <row r="946" spans="1:9">
      <c r="A946" t="str">
        <f>"0210494 "</f>
        <v xml:space="preserve">0210494 </v>
      </c>
      <c r="B946" t="s">
        <v>3323</v>
      </c>
      <c r="C946" t="s">
        <v>3340</v>
      </c>
      <c r="D946" t="s">
        <v>3341</v>
      </c>
      <c r="E946">
        <v>1</v>
      </c>
      <c r="F946" t="s">
        <v>3342</v>
      </c>
      <c r="G946" t="s">
        <v>3323</v>
      </c>
      <c r="H946" t="s">
        <v>3340</v>
      </c>
      <c r="I946" t="s">
        <v>1899</v>
      </c>
    </row>
    <row r="947" spans="1:9">
      <c r="A947" t="str">
        <f>"0210495 "</f>
        <v xml:space="preserve">0210495 </v>
      </c>
      <c r="B947" t="s">
        <v>3323</v>
      </c>
      <c r="C947" t="s">
        <v>3343</v>
      </c>
      <c r="D947" t="s">
        <v>3344</v>
      </c>
      <c r="E947">
        <v>1</v>
      </c>
      <c r="F947" t="s">
        <v>3345</v>
      </c>
      <c r="G947" t="s">
        <v>3323</v>
      </c>
      <c r="H947" t="s">
        <v>3343</v>
      </c>
      <c r="I947" t="s">
        <v>1899</v>
      </c>
    </row>
    <row r="948" spans="1:9">
      <c r="A948" t="str">
        <f>"0210498 "</f>
        <v xml:space="preserve">0210498 </v>
      </c>
      <c r="B948" t="s">
        <v>3323</v>
      </c>
      <c r="C948" t="s">
        <v>3346</v>
      </c>
      <c r="D948" t="s">
        <v>3347</v>
      </c>
      <c r="E948">
        <v>1</v>
      </c>
      <c r="F948" t="s">
        <v>3348</v>
      </c>
      <c r="G948" t="s">
        <v>3323</v>
      </c>
      <c r="H948" t="s">
        <v>3346</v>
      </c>
      <c r="I948" t="s">
        <v>1899</v>
      </c>
    </row>
    <row r="949" spans="1:9">
      <c r="A949" t="str">
        <f>"0210505 "</f>
        <v xml:space="preserve">0210505 </v>
      </c>
      <c r="B949" t="s">
        <v>3323</v>
      </c>
      <c r="C949" t="s">
        <v>3349</v>
      </c>
      <c r="D949" t="s">
        <v>3350</v>
      </c>
      <c r="E949">
        <v>1</v>
      </c>
      <c r="F949" t="s">
        <v>3351</v>
      </c>
      <c r="G949" t="s">
        <v>3323</v>
      </c>
      <c r="H949" t="s">
        <v>3349</v>
      </c>
      <c r="I949" t="s">
        <v>1899</v>
      </c>
    </row>
    <row r="950" spans="1:9">
      <c r="A950" t="str">
        <f>"0210518 "</f>
        <v xml:space="preserve">0210518 </v>
      </c>
      <c r="B950" t="s">
        <v>3323</v>
      </c>
      <c r="C950" t="s">
        <v>3352</v>
      </c>
      <c r="D950" t="s">
        <v>3353</v>
      </c>
      <c r="E950">
        <v>1</v>
      </c>
      <c r="F950" t="s">
        <v>3354</v>
      </c>
      <c r="G950" t="s">
        <v>3323</v>
      </c>
      <c r="H950" t="s">
        <v>3352</v>
      </c>
      <c r="I950" t="s">
        <v>1899</v>
      </c>
    </row>
    <row r="951" spans="1:9">
      <c r="A951" t="str">
        <f>"0210531 "</f>
        <v xml:space="preserve">0210531 </v>
      </c>
      <c r="B951" t="s">
        <v>3323</v>
      </c>
      <c r="C951" t="s">
        <v>3355</v>
      </c>
      <c r="D951" t="s">
        <v>3356</v>
      </c>
      <c r="E951">
        <v>1</v>
      </c>
      <c r="F951" t="s">
        <v>3357</v>
      </c>
      <c r="G951" t="s">
        <v>3323</v>
      </c>
      <c r="H951" t="s">
        <v>3355</v>
      </c>
      <c r="I951" t="s">
        <v>1899</v>
      </c>
    </row>
    <row r="952" spans="1:9">
      <c r="A952" t="str">
        <f>"0210542 "</f>
        <v xml:space="preserve">0210542 </v>
      </c>
      <c r="B952" t="s">
        <v>3323</v>
      </c>
      <c r="C952" t="s">
        <v>3358</v>
      </c>
      <c r="D952" t="s">
        <v>3359</v>
      </c>
      <c r="E952">
        <v>2</v>
      </c>
      <c r="F952" t="s">
        <v>3360</v>
      </c>
      <c r="G952" t="s">
        <v>3323</v>
      </c>
      <c r="H952" t="s">
        <v>3358</v>
      </c>
      <c r="I952" t="s">
        <v>1899</v>
      </c>
    </row>
    <row r="953" spans="1:9">
      <c r="A953" t="str">
        <f>"0210548 "</f>
        <v xml:space="preserve">0210548 </v>
      </c>
      <c r="B953" t="s">
        <v>3323</v>
      </c>
      <c r="C953" t="s">
        <v>3361</v>
      </c>
      <c r="D953" t="s">
        <v>3362</v>
      </c>
      <c r="E953">
        <v>1</v>
      </c>
      <c r="F953" t="s">
        <v>3363</v>
      </c>
      <c r="G953" t="s">
        <v>3323</v>
      </c>
      <c r="H953" t="s">
        <v>3361</v>
      </c>
      <c r="I953" t="s">
        <v>3364</v>
      </c>
    </row>
    <row r="954" spans="1:9">
      <c r="A954" t="str">
        <f>"0210551 "</f>
        <v xml:space="preserve">0210551 </v>
      </c>
      <c r="B954" t="s">
        <v>3323</v>
      </c>
      <c r="C954" t="s">
        <v>3365</v>
      </c>
      <c r="D954" t="s">
        <v>3366</v>
      </c>
      <c r="E954" t="s">
        <v>16</v>
      </c>
      <c r="F954" t="s">
        <v>3345</v>
      </c>
      <c r="G954" t="s">
        <v>3323</v>
      </c>
      <c r="H954" t="s">
        <v>3365</v>
      </c>
      <c r="I954" t="s">
        <v>3367</v>
      </c>
    </row>
    <row r="955" spans="1:9">
      <c r="A955" t="str">
        <f>"0210554 "</f>
        <v xml:space="preserve">0210554 </v>
      </c>
      <c r="B955" t="s">
        <v>3323</v>
      </c>
      <c r="C955" t="s">
        <v>3368</v>
      </c>
      <c r="D955" t="s">
        <v>3369</v>
      </c>
      <c r="E955">
        <v>1</v>
      </c>
      <c r="F955" t="s">
        <v>3370</v>
      </c>
      <c r="G955" t="s">
        <v>3323</v>
      </c>
      <c r="H955" t="s">
        <v>3368</v>
      </c>
      <c r="I955" t="s">
        <v>1899</v>
      </c>
    </row>
    <row r="956" spans="1:9">
      <c r="A956" t="str">
        <f>"0210560 "</f>
        <v xml:space="preserve">0210560 </v>
      </c>
      <c r="B956" t="s">
        <v>3323</v>
      </c>
      <c r="C956" t="s">
        <v>3371</v>
      </c>
      <c r="D956" t="s">
        <v>3372</v>
      </c>
      <c r="E956">
        <v>1</v>
      </c>
      <c r="F956" t="s">
        <v>3373</v>
      </c>
      <c r="G956" t="s">
        <v>3323</v>
      </c>
      <c r="H956" t="s">
        <v>3371</v>
      </c>
      <c r="I956" t="s">
        <v>1899</v>
      </c>
    </row>
    <row r="957" spans="1:9">
      <c r="A957" t="str">
        <f>"0210566 "</f>
        <v xml:space="preserve">0210566 </v>
      </c>
      <c r="B957" t="s">
        <v>3323</v>
      </c>
      <c r="C957" t="s">
        <v>3374</v>
      </c>
      <c r="D957" t="s">
        <v>3375</v>
      </c>
      <c r="E957">
        <v>1</v>
      </c>
      <c r="F957" t="s">
        <v>3376</v>
      </c>
      <c r="G957" t="s">
        <v>3323</v>
      </c>
      <c r="H957" t="s">
        <v>3374</v>
      </c>
      <c r="I957" t="s">
        <v>1899</v>
      </c>
    </row>
    <row r="958" spans="1:9">
      <c r="A958" t="str">
        <f>"0210573 "</f>
        <v xml:space="preserve">0210573 </v>
      </c>
      <c r="B958" t="s">
        <v>3323</v>
      </c>
      <c r="C958" t="s">
        <v>3377</v>
      </c>
      <c r="D958" t="s">
        <v>3378</v>
      </c>
      <c r="E958">
        <v>1</v>
      </c>
      <c r="F958" t="s">
        <v>3379</v>
      </c>
      <c r="G958" t="s">
        <v>3323</v>
      </c>
      <c r="H958" t="s">
        <v>3377</v>
      </c>
      <c r="I958" t="s">
        <v>1899</v>
      </c>
    </row>
    <row r="959" spans="1:9">
      <c r="A959" t="str">
        <f>"0210577 "</f>
        <v xml:space="preserve">0210577 </v>
      </c>
      <c r="B959" t="s">
        <v>3323</v>
      </c>
      <c r="C959" t="s">
        <v>3380</v>
      </c>
      <c r="D959" t="s">
        <v>3381</v>
      </c>
      <c r="E959">
        <v>1</v>
      </c>
      <c r="F959" t="s">
        <v>3382</v>
      </c>
      <c r="G959" t="s">
        <v>3323</v>
      </c>
      <c r="H959" t="s">
        <v>3380</v>
      </c>
      <c r="I959" t="s">
        <v>1899</v>
      </c>
    </row>
    <row r="960" spans="1:9">
      <c r="A960" t="str">
        <f>"0210580 "</f>
        <v xml:space="preserve">0210580 </v>
      </c>
      <c r="B960" t="s">
        <v>3323</v>
      </c>
      <c r="C960" t="s">
        <v>3383</v>
      </c>
      <c r="D960" t="s">
        <v>3384</v>
      </c>
      <c r="E960">
        <v>1</v>
      </c>
      <c r="F960" t="s">
        <v>3385</v>
      </c>
      <c r="G960" t="s">
        <v>3323</v>
      </c>
      <c r="H960" t="s">
        <v>3383</v>
      </c>
      <c r="I960" t="s">
        <v>1899</v>
      </c>
    </row>
    <row r="961" spans="1:9">
      <c r="A961" t="str">
        <f>"0210586 "</f>
        <v xml:space="preserve">0210586 </v>
      </c>
      <c r="B961" t="s">
        <v>3323</v>
      </c>
      <c r="C961" t="s">
        <v>3386</v>
      </c>
      <c r="D961" t="s">
        <v>3387</v>
      </c>
      <c r="E961">
        <v>1</v>
      </c>
      <c r="F961" t="s">
        <v>3388</v>
      </c>
      <c r="G961" t="s">
        <v>3323</v>
      </c>
      <c r="H961" t="s">
        <v>3386</v>
      </c>
      <c r="I961" t="s">
        <v>1899</v>
      </c>
    </row>
    <row r="962" spans="1:9">
      <c r="A962" t="str">
        <f>"0210588 "</f>
        <v xml:space="preserve">0210588 </v>
      </c>
      <c r="B962" t="s">
        <v>3323</v>
      </c>
      <c r="C962" t="s">
        <v>3389</v>
      </c>
      <c r="D962" t="s">
        <v>3390</v>
      </c>
      <c r="E962">
        <v>1</v>
      </c>
      <c r="F962" t="s">
        <v>3391</v>
      </c>
      <c r="G962" t="s">
        <v>3323</v>
      </c>
      <c r="H962" t="s">
        <v>3389</v>
      </c>
      <c r="I962" t="s">
        <v>1899</v>
      </c>
    </row>
    <row r="963" spans="1:9">
      <c r="A963" t="str">
        <f>"0210593 "</f>
        <v xml:space="preserve">0210593 </v>
      </c>
      <c r="B963" t="s">
        <v>3323</v>
      </c>
      <c r="C963" t="s">
        <v>3392</v>
      </c>
      <c r="D963" t="s">
        <v>3393</v>
      </c>
      <c r="E963">
        <v>1</v>
      </c>
      <c r="F963" t="s">
        <v>3394</v>
      </c>
      <c r="G963" t="s">
        <v>3323</v>
      </c>
      <c r="H963" t="s">
        <v>3392</v>
      </c>
      <c r="I963" t="s">
        <v>1899</v>
      </c>
    </row>
    <row r="964" spans="1:9">
      <c r="A964" t="str">
        <f>"0210598 "</f>
        <v xml:space="preserve">0210598 </v>
      </c>
      <c r="B964" t="s">
        <v>3323</v>
      </c>
      <c r="C964" t="s">
        <v>3395</v>
      </c>
      <c r="D964" t="s">
        <v>3396</v>
      </c>
      <c r="E964">
        <v>1</v>
      </c>
      <c r="F964" t="s">
        <v>3397</v>
      </c>
      <c r="G964" t="s">
        <v>3323</v>
      </c>
      <c r="H964" t="s">
        <v>3395</v>
      </c>
      <c r="I964" t="s">
        <v>1899</v>
      </c>
    </row>
    <row r="965" spans="1:9">
      <c r="A965" t="str">
        <f>"0210601 "</f>
        <v xml:space="preserve">0210601 </v>
      </c>
      <c r="B965" t="s">
        <v>3323</v>
      </c>
      <c r="C965" t="s">
        <v>3398</v>
      </c>
      <c r="D965" t="s">
        <v>3399</v>
      </c>
      <c r="E965">
        <v>1</v>
      </c>
      <c r="F965" t="s">
        <v>3379</v>
      </c>
      <c r="G965" t="s">
        <v>3323</v>
      </c>
      <c r="H965" t="s">
        <v>3398</v>
      </c>
      <c r="I965" t="s">
        <v>3400</v>
      </c>
    </row>
    <row r="966" spans="1:9">
      <c r="A966" t="str">
        <f>"0210613 "</f>
        <v xml:space="preserve">0210613 </v>
      </c>
      <c r="B966" t="s">
        <v>3323</v>
      </c>
      <c r="C966" t="s">
        <v>3401</v>
      </c>
      <c r="D966" t="s">
        <v>3402</v>
      </c>
      <c r="E966">
        <v>2</v>
      </c>
      <c r="F966" t="s">
        <v>3403</v>
      </c>
      <c r="G966" t="s">
        <v>3323</v>
      </c>
      <c r="H966" t="s">
        <v>3401</v>
      </c>
      <c r="I966" t="s">
        <v>1899</v>
      </c>
    </row>
    <row r="967" spans="1:9">
      <c r="A967" t="str">
        <f>"0210617 "</f>
        <v xml:space="preserve">0210617 </v>
      </c>
      <c r="B967" t="s">
        <v>3323</v>
      </c>
      <c r="C967" t="s">
        <v>3404</v>
      </c>
      <c r="D967" t="s">
        <v>3405</v>
      </c>
      <c r="E967">
        <v>1</v>
      </c>
      <c r="F967" t="s">
        <v>3406</v>
      </c>
      <c r="G967" t="s">
        <v>3323</v>
      </c>
      <c r="H967" t="s">
        <v>3404</v>
      </c>
      <c r="I967" t="s">
        <v>1899</v>
      </c>
    </row>
    <row r="968" spans="1:9">
      <c r="A968" t="str">
        <f>"0210618 "</f>
        <v xml:space="preserve">0210618 </v>
      </c>
      <c r="B968" t="s">
        <v>3323</v>
      </c>
      <c r="C968" t="s">
        <v>3407</v>
      </c>
      <c r="D968" t="s">
        <v>3408</v>
      </c>
      <c r="E968">
        <v>1</v>
      </c>
      <c r="F968" t="s">
        <v>3406</v>
      </c>
      <c r="G968" t="s">
        <v>3323</v>
      </c>
      <c r="H968" t="s">
        <v>3407</v>
      </c>
      <c r="I968" t="s">
        <v>1899</v>
      </c>
    </row>
    <row r="969" spans="1:9">
      <c r="A969" t="str">
        <f>"0210630 "</f>
        <v xml:space="preserve">0210630 </v>
      </c>
      <c r="B969" t="s">
        <v>3323</v>
      </c>
      <c r="C969" t="s">
        <v>3409</v>
      </c>
      <c r="D969" t="s">
        <v>3410</v>
      </c>
      <c r="E969">
        <v>1</v>
      </c>
      <c r="F969" t="s">
        <v>3411</v>
      </c>
      <c r="G969" t="s">
        <v>3323</v>
      </c>
      <c r="H969" t="s">
        <v>3409</v>
      </c>
      <c r="I969" t="s">
        <v>1899</v>
      </c>
    </row>
    <row r="970" spans="1:9">
      <c r="A970" t="str">
        <f>"0210640 "</f>
        <v xml:space="preserve">0210640 </v>
      </c>
      <c r="B970" t="s">
        <v>3323</v>
      </c>
      <c r="C970" t="s">
        <v>3412</v>
      </c>
      <c r="D970" t="s">
        <v>3413</v>
      </c>
      <c r="E970">
        <v>1</v>
      </c>
      <c r="F970" t="s">
        <v>3414</v>
      </c>
      <c r="G970" t="s">
        <v>3323</v>
      </c>
      <c r="H970" t="s">
        <v>3412</v>
      </c>
      <c r="I970" t="s">
        <v>1899</v>
      </c>
    </row>
    <row r="971" spans="1:9">
      <c r="A971" t="str">
        <f>"0210643 "</f>
        <v xml:space="preserve">0210643 </v>
      </c>
      <c r="B971" t="s">
        <v>3323</v>
      </c>
      <c r="C971" t="s">
        <v>3415</v>
      </c>
      <c r="D971" t="s">
        <v>3416</v>
      </c>
      <c r="E971">
        <v>1</v>
      </c>
      <c r="F971" t="s">
        <v>3417</v>
      </c>
      <c r="G971" t="s">
        <v>3323</v>
      </c>
      <c r="H971" t="s">
        <v>3415</v>
      </c>
      <c r="I971" t="s">
        <v>1899</v>
      </c>
    </row>
    <row r="972" spans="1:9">
      <c r="A972" t="str">
        <f>"0210647 "</f>
        <v xml:space="preserve">0210647 </v>
      </c>
      <c r="B972" t="s">
        <v>3323</v>
      </c>
      <c r="C972" t="s">
        <v>3418</v>
      </c>
      <c r="D972" t="s">
        <v>3419</v>
      </c>
      <c r="E972">
        <v>1</v>
      </c>
      <c r="F972" t="s">
        <v>3420</v>
      </c>
      <c r="G972" t="s">
        <v>3323</v>
      </c>
      <c r="H972" t="s">
        <v>3418</v>
      </c>
      <c r="I972" t="s">
        <v>1899</v>
      </c>
    </row>
    <row r="973" spans="1:9">
      <c r="A973" t="str">
        <f>"0210650 "</f>
        <v xml:space="preserve">0210650 </v>
      </c>
      <c r="B973" t="s">
        <v>3323</v>
      </c>
      <c r="C973" t="s">
        <v>3421</v>
      </c>
      <c r="D973" t="s">
        <v>3422</v>
      </c>
      <c r="E973">
        <v>2</v>
      </c>
      <c r="F973" t="s">
        <v>3406</v>
      </c>
      <c r="G973" t="s">
        <v>3323</v>
      </c>
      <c r="H973" t="s">
        <v>3421</v>
      </c>
      <c r="I973" t="s">
        <v>1899</v>
      </c>
    </row>
    <row r="974" spans="1:9">
      <c r="A974" t="str">
        <f>"0210660 "</f>
        <v xml:space="preserve">0210660 </v>
      </c>
      <c r="B974" t="s">
        <v>3323</v>
      </c>
      <c r="C974" t="s">
        <v>3423</v>
      </c>
      <c r="D974" t="s">
        <v>3424</v>
      </c>
      <c r="E974">
        <v>1</v>
      </c>
      <c r="F974" t="s">
        <v>3425</v>
      </c>
      <c r="G974" t="s">
        <v>3323</v>
      </c>
      <c r="H974" t="s">
        <v>3423</v>
      </c>
      <c r="I974" t="s">
        <v>1899</v>
      </c>
    </row>
    <row r="975" spans="1:9">
      <c r="A975" t="str">
        <f>"0210666 "</f>
        <v xml:space="preserve">0210666 </v>
      </c>
      <c r="B975" t="s">
        <v>3323</v>
      </c>
      <c r="C975" t="s">
        <v>3426</v>
      </c>
      <c r="D975" t="s">
        <v>3427</v>
      </c>
      <c r="E975">
        <v>1</v>
      </c>
      <c r="F975" t="s">
        <v>3428</v>
      </c>
      <c r="G975" t="s">
        <v>3323</v>
      </c>
      <c r="H975" t="s">
        <v>3426</v>
      </c>
      <c r="I975" t="s">
        <v>1899</v>
      </c>
    </row>
    <row r="976" spans="1:9">
      <c r="A976" t="str">
        <f>"0210675 "</f>
        <v xml:space="preserve">0210675 </v>
      </c>
      <c r="B976" t="s">
        <v>3323</v>
      </c>
      <c r="C976" t="s">
        <v>3429</v>
      </c>
      <c r="D976" t="s">
        <v>3430</v>
      </c>
      <c r="E976">
        <v>1</v>
      </c>
      <c r="F976" t="s">
        <v>3431</v>
      </c>
      <c r="G976" t="s">
        <v>3323</v>
      </c>
      <c r="H976" t="s">
        <v>3429</v>
      </c>
      <c r="I976" t="s">
        <v>1899</v>
      </c>
    </row>
    <row r="977" spans="1:9">
      <c r="A977" t="str">
        <f>"0210694 "</f>
        <v xml:space="preserve">0210694 </v>
      </c>
      <c r="B977" t="s">
        <v>3323</v>
      </c>
      <c r="C977" t="s">
        <v>3432</v>
      </c>
      <c r="D977" t="s">
        <v>3433</v>
      </c>
      <c r="E977">
        <v>1</v>
      </c>
      <c r="F977" t="s">
        <v>3434</v>
      </c>
      <c r="G977" t="s">
        <v>3323</v>
      </c>
      <c r="H977" t="s">
        <v>3432</v>
      </c>
      <c r="I977" t="s">
        <v>1899</v>
      </c>
    </row>
    <row r="978" spans="1:9">
      <c r="A978" t="str">
        <f>"0210708 "</f>
        <v xml:space="preserve">0210708 </v>
      </c>
      <c r="B978" t="s">
        <v>3323</v>
      </c>
      <c r="C978" t="s">
        <v>3435</v>
      </c>
      <c r="D978" t="s">
        <v>3436</v>
      </c>
      <c r="E978">
        <v>2</v>
      </c>
      <c r="F978" t="s">
        <v>3437</v>
      </c>
      <c r="G978" t="s">
        <v>3323</v>
      </c>
      <c r="H978" t="s">
        <v>3435</v>
      </c>
      <c r="I978" t="s">
        <v>1899</v>
      </c>
    </row>
    <row r="979" spans="1:9">
      <c r="A979" t="str">
        <f>"0210756 "</f>
        <v xml:space="preserve">0210756 </v>
      </c>
      <c r="B979" t="s">
        <v>3323</v>
      </c>
      <c r="C979" t="s">
        <v>3438</v>
      </c>
      <c r="D979" t="s">
        <v>3439</v>
      </c>
      <c r="E979">
        <v>1</v>
      </c>
      <c r="F979" t="s">
        <v>3440</v>
      </c>
      <c r="G979" t="s">
        <v>3323</v>
      </c>
      <c r="H979" t="s">
        <v>3438</v>
      </c>
      <c r="I979" t="s">
        <v>3441</v>
      </c>
    </row>
    <row r="980" spans="1:9">
      <c r="A980" t="str">
        <f>"0210776 "</f>
        <v xml:space="preserve">0210776 </v>
      </c>
      <c r="B980" t="s">
        <v>3323</v>
      </c>
      <c r="C980" t="s">
        <v>3442</v>
      </c>
      <c r="D980" t="s">
        <v>3443</v>
      </c>
      <c r="E980">
        <v>2</v>
      </c>
      <c r="F980" t="s">
        <v>3444</v>
      </c>
      <c r="G980" t="s">
        <v>3323</v>
      </c>
      <c r="H980" t="s">
        <v>3442</v>
      </c>
      <c r="I980" t="s">
        <v>1899</v>
      </c>
    </row>
    <row r="981" spans="1:9">
      <c r="A981" t="str">
        <f>"0210782 "</f>
        <v xml:space="preserve">0210782 </v>
      </c>
      <c r="B981" t="s">
        <v>3323</v>
      </c>
      <c r="C981" t="s">
        <v>3445</v>
      </c>
      <c r="D981" t="s">
        <v>3446</v>
      </c>
      <c r="E981">
        <v>2</v>
      </c>
      <c r="F981" t="s">
        <v>3447</v>
      </c>
      <c r="G981" t="s">
        <v>3323</v>
      </c>
      <c r="H981" t="s">
        <v>3445</v>
      </c>
      <c r="I981" t="s">
        <v>1899</v>
      </c>
    </row>
    <row r="982" spans="1:9">
      <c r="A982" t="str">
        <f>"0210804 "</f>
        <v xml:space="preserve">0210804 </v>
      </c>
      <c r="B982" t="s">
        <v>3323</v>
      </c>
      <c r="C982" t="s">
        <v>3448</v>
      </c>
      <c r="D982" t="s">
        <v>3449</v>
      </c>
      <c r="E982">
        <v>2</v>
      </c>
      <c r="F982" t="s">
        <v>3450</v>
      </c>
      <c r="G982" t="s">
        <v>3323</v>
      </c>
      <c r="H982" t="s">
        <v>3448</v>
      </c>
      <c r="I982" t="s">
        <v>1899</v>
      </c>
    </row>
    <row r="983" spans="1:9">
      <c r="A983" t="str">
        <f>"0210811 "</f>
        <v xml:space="preserve">0210811 </v>
      </c>
      <c r="B983" t="s">
        <v>3323</v>
      </c>
      <c r="C983" t="s">
        <v>3451</v>
      </c>
      <c r="D983" t="s">
        <v>3452</v>
      </c>
      <c r="E983">
        <v>1</v>
      </c>
      <c r="F983" t="s">
        <v>3453</v>
      </c>
      <c r="G983" t="s">
        <v>3323</v>
      </c>
      <c r="H983" t="s">
        <v>3451</v>
      </c>
      <c r="I983" t="s">
        <v>1899</v>
      </c>
    </row>
    <row r="984" spans="1:9">
      <c r="A984" t="str">
        <f>"0210819 "</f>
        <v xml:space="preserve">0210819 </v>
      </c>
      <c r="B984" t="s">
        <v>3323</v>
      </c>
      <c r="C984" t="s">
        <v>3454</v>
      </c>
      <c r="D984" t="s">
        <v>3455</v>
      </c>
      <c r="E984">
        <v>1</v>
      </c>
      <c r="F984" t="s">
        <v>3456</v>
      </c>
      <c r="G984" t="s">
        <v>3323</v>
      </c>
      <c r="H984" t="s">
        <v>3454</v>
      </c>
      <c r="I984" t="s">
        <v>1899</v>
      </c>
    </row>
    <row r="985" spans="1:9">
      <c r="A985" t="str">
        <f>"0210826 "</f>
        <v xml:space="preserve">0210826 </v>
      </c>
      <c r="B985" t="s">
        <v>3323</v>
      </c>
      <c r="C985" t="s">
        <v>3457</v>
      </c>
      <c r="D985" t="s">
        <v>3458</v>
      </c>
      <c r="E985">
        <v>1</v>
      </c>
      <c r="F985" t="s">
        <v>3459</v>
      </c>
      <c r="G985" t="s">
        <v>3323</v>
      </c>
      <c r="H985" t="s">
        <v>3457</v>
      </c>
      <c r="I985" t="s">
        <v>1899</v>
      </c>
    </row>
    <row r="986" spans="1:9">
      <c r="A986" t="str">
        <f>"0210838 "</f>
        <v xml:space="preserve">0210838 </v>
      </c>
      <c r="B986" t="s">
        <v>3323</v>
      </c>
      <c r="C986" t="s">
        <v>3460</v>
      </c>
      <c r="D986" t="s">
        <v>3461</v>
      </c>
      <c r="E986">
        <v>1</v>
      </c>
      <c r="F986" t="s">
        <v>3462</v>
      </c>
      <c r="G986" t="s">
        <v>3323</v>
      </c>
      <c r="H986" t="s">
        <v>3460</v>
      </c>
      <c r="I986" t="s">
        <v>1899</v>
      </c>
    </row>
    <row r="987" spans="1:9">
      <c r="A987" t="str">
        <f>"0210843 "</f>
        <v xml:space="preserve">0210843 </v>
      </c>
      <c r="B987" t="s">
        <v>3323</v>
      </c>
      <c r="C987" t="s">
        <v>3463</v>
      </c>
      <c r="D987" t="s">
        <v>3464</v>
      </c>
      <c r="E987">
        <v>1</v>
      </c>
      <c r="F987" t="s">
        <v>3391</v>
      </c>
      <c r="G987" t="s">
        <v>3323</v>
      </c>
      <c r="H987" t="s">
        <v>3463</v>
      </c>
      <c r="I987" t="s">
        <v>1899</v>
      </c>
    </row>
    <row r="988" spans="1:9">
      <c r="A988" t="str">
        <f>"0210847 "</f>
        <v xml:space="preserve">0210847 </v>
      </c>
      <c r="B988" t="s">
        <v>3323</v>
      </c>
      <c r="C988" t="s">
        <v>3465</v>
      </c>
      <c r="D988" t="s">
        <v>3466</v>
      </c>
      <c r="E988">
        <v>1</v>
      </c>
      <c r="F988" t="s">
        <v>3431</v>
      </c>
      <c r="G988" t="s">
        <v>3323</v>
      </c>
      <c r="H988" t="s">
        <v>3465</v>
      </c>
      <c r="I988" t="s">
        <v>1899</v>
      </c>
    </row>
    <row r="989" spans="1:9">
      <c r="A989" t="str">
        <f>"0210856 "</f>
        <v xml:space="preserve">0210856 </v>
      </c>
      <c r="B989" t="s">
        <v>3323</v>
      </c>
      <c r="C989" t="s">
        <v>3467</v>
      </c>
      <c r="D989" t="s">
        <v>3468</v>
      </c>
      <c r="E989">
        <v>1</v>
      </c>
      <c r="F989" t="s">
        <v>3469</v>
      </c>
      <c r="G989" t="s">
        <v>3323</v>
      </c>
      <c r="H989" t="s">
        <v>3467</v>
      </c>
      <c r="I989" t="s">
        <v>1899</v>
      </c>
    </row>
    <row r="990" spans="1:9">
      <c r="A990" t="str">
        <f>"0210859 "</f>
        <v xml:space="preserve">0210859 </v>
      </c>
      <c r="B990" t="s">
        <v>3323</v>
      </c>
      <c r="C990" t="s">
        <v>3470</v>
      </c>
      <c r="D990" t="s">
        <v>3471</v>
      </c>
      <c r="E990">
        <v>2</v>
      </c>
      <c r="F990" t="s">
        <v>3472</v>
      </c>
      <c r="G990" t="s">
        <v>3323</v>
      </c>
      <c r="H990" t="s">
        <v>3470</v>
      </c>
      <c r="I990" t="s">
        <v>2908</v>
      </c>
    </row>
    <row r="991" spans="1:9">
      <c r="A991" t="str">
        <f>"0210899 "</f>
        <v xml:space="preserve">0210899 </v>
      </c>
      <c r="B991" t="s">
        <v>3323</v>
      </c>
      <c r="C991" t="s">
        <v>3473</v>
      </c>
      <c r="D991" t="s">
        <v>3474</v>
      </c>
      <c r="E991">
        <v>1</v>
      </c>
      <c r="F991" t="s">
        <v>3406</v>
      </c>
      <c r="G991" t="s">
        <v>3323</v>
      </c>
      <c r="H991" t="s">
        <v>3473</v>
      </c>
      <c r="I991" t="s">
        <v>1899</v>
      </c>
    </row>
    <row r="992" spans="1:9">
      <c r="A992" t="str">
        <f>"0210906 "</f>
        <v xml:space="preserve">0210906 </v>
      </c>
      <c r="B992" t="s">
        <v>3323</v>
      </c>
      <c r="C992" t="s">
        <v>3475</v>
      </c>
      <c r="D992" t="s">
        <v>3476</v>
      </c>
      <c r="E992">
        <v>1</v>
      </c>
      <c r="F992" t="s">
        <v>3469</v>
      </c>
      <c r="G992" t="s">
        <v>3323</v>
      </c>
      <c r="H992" t="s">
        <v>3475</v>
      </c>
      <c r="I992" t="s">
        <v>1899</v>
      </c>
    </row>
    <row r="993" spans="1:9">
      <c r="A993" t="str">
        <f>"0210912 "</f>
        <v xml:space="preserve">0210912 </v>
      </c>
      <c r="B993" t="s">
        <v>3323</v>
      </c>
      <c r="C993" t="s">
        <v>3477</v>
      </c>
      <c r="D993" t="s">
        <v>3478</v>
      </c>
      <c r="E993">
        <v>2</v>
      </c>
      <c r="F993" t="s">
        <v>3479</v>
      </c>
      <c r="G993" t="s">
        <v>3323</v>
      </c>
      <c r="H993" t="s">
        <v>3477</v>
      </c>
      <c r="I993" t="s">
        <v>1899</v>
      </c>
    </row>
    <row r="994" spans="1:9">
      <c r="A994" t="str">
        <f>"0210925 "</f>
        <v xml:space="preserve">0210925 </v>
      </c>
      <c r="B994" t="s">
        <v>3323</v>
      </c>
      <c r="C994" t="s">
        <v>3480</v>
      </c>
      <c r="D994" t="s">
        <v>3481</v>
      </c>
      <c r="E994">
        <v>2</v>
      </c>
      <c r="F994" t="s">
        <v>3472</v>
      </c>
      <c r="G994" t="s">
        <v>3323</v>
      </c>
      <c r="H994" t="s">
        <v>3480</v>
      </c>
      <c r="I994" t="s">
        <v>1899</v>
      </c>
    </row>
    <row r="995" spans="1:9">
      <c r="A995" t="str">
        <f>"0210958 "</f>
        <v xml:space="preserve">0210958 </v>
      </c>
      <c r="B995" t="s">
        <v>3323</v>
      </c>
      <c r="C995" t="s">
        <v>3482</v>
      </c>
      <c r="D995" t="s">
        <v>3483</v>
      </c>
      <c r="E995">
        <v>1</v>
      </c>
      <c r="F995" t="s">
        <v>1890</v>
      </c>
      <c r="G995" t="s">
        <v>3323</v>
      </c>
      <c r="H995" t="s">
        <v>3482</v>
      </c>
      <c r="I995" t="s">
        <v>1899</v>
      </c>
    </row>
    <row r="996" spans="1:9">
      <c r="A996" t="str">
        <f>"0210983 "</f>
        <v xml:space="preserve">0210983 </v>
      </c>
      <c r="B996" t="s">
        <v>3323</v>
      </c>
      <c r="C996" t="s">
        <v>3484</v>
      </c>
      <c r="D996" t="s">
        <v>3485</v>
      </c>
      <c r="E996">
        <v>1</v>
      </c>
      <c r="F996" t="s">
        <v>3486</v>
      </c>
      <c r="G996" t="s">
        <v>3323</v>
      </c>
      <c r="H996" t="s">
        <v>3484</v>
      </c>
      <c r="I996" t="s">
        <v>2908</v>
      </c>
    </row>
    <row r="997" spans="1:9">
      <c r="A997" t="str">
        <f>"0210985 "</f>
        <v xml:space="preserve">0210985 </v>
      </c>
      <c r="B997" t="s">
        <v>3323</v>
      </c>
      <c r="C997" t="s">
        <v>3487</v>
      </c>
      <c r="D997" t="s">
        <v>3488</v>
      </c>
      <c r="E997">
        <v>3</v>
      </c>
      <c r="F997" t="s">
        <v>3489</v>
      </c>
      <c r="G997" t="s">
        <v>3323</v>
      </c>
      <c r="H997" t="s">
        <v>3487</v>
      </c>
      <c r="I997" t="s">
        <v>2908</v>
      </c>
    </row>
    <row r="998" spans="1:9">
      <c r="A998" t="str">
        <f>"0211003 "</f>
        <v xml:space="preserve">0211003 </v>
      </c>
      <c r="B998" t="s">
        <v>3323</v>
      </c>
      <c r="C998" t="s">
        <v>3490</v>
      </c>
      <c r="D998" t="s">
        <v>3491</v>
      </c>
      <c r="E998">
        <v>1</v>
      </c>
      <c r="F998" t="s">
        <v>3492</v>
      </c>
      <c r="G998" t="s">
        <v>3323</v>
      </c>
      <c r="H998" t="s">
        <v>3490</v>
      </c>
      <c r="I998" t="s">
        <v>1899</v>
      </c>
    </row>
    <row r="999" spans="1:9">
      <c r="A999" t="str">
        <f>"0211103 "</f>
        <v xml:space="preserve">0211103 </v>
      </c>
      <c r="B999" t="s">
        <v>3323</v>
      </c>
      <c r="C999" t="s">
        <v>3493</v>
      </c>
      <c r="D999" t="s">
        <v>3494</v>
      </c>
      <c r="E999">
        <v>1</v>
      </c>
      <c r="F999" t="s">
        <v>3495</v>
      </c>
      <c r="G999" t="s">
        <v>3323</v>
      </c>
      <c r="H999" t="s">
        <v>3493</v>
      </c>
      <c r="I999" t="s">
        <v>1899</v>
      </c>
    </row>
    <row r="1000" spans="1:9">
      <c r="A1000" t="str">
        <f>"0208527 "</f>
        <v xml:space="preserve">0208527 </v>
      </c>
      <c r="B1000" t="s">
        <v>3323</v>
      </c>
      <c r="C1000" t="s">
        <v>3496</v>
      </c>
      <c r="D1000" t="s">
        <v>3497</v>
      </c>
      <c r="E1000">
        <v>1</v>
      </c>
      <c r="F1000" t="s">
        <v>3498</v>
      </c>
      <c r="G1000" t="s">
        <v>3323</v>
      </c>
      <c r="H1000" t="s">
        <v>3496</v>
      </c>
      <c r="I1000" t="s">
        <v>1899</v>
      </c>
    </row>
    <row r="1001" spans="1:9">
      <c r="A1001" t="str">
        <f>"0208531 "</f>
        <v xml:space="preserve">0208531 </v>
      </c>
      <c r="B1001" t="s">
        <v>3323</v>
      </c>
      <c r="C1001" t="s">
        <v>3499</v>
      </c>
      <c r="D1001" t="s">
        <v>3500</v>
      </c>
      <c r="E1001">
        <v>3</v>
      </c>
      <c r="F1001" t="s">
        <v>3351</v>
      </c>
      <c r="G1001" t="s">
        <v>3323</v>
      </c>
      <c r="H1001" t="s">
        <v>3499</v>
      </c>
      <c r="I1001" t="s">
        <v>1899</v>
      </c>
    </row>
    <row r="1002" spans="1:9">
      <c r="A1002" t="str">
        <f>"0208533 "</f>
        <v xml:space="preserve">0208533 </v>
      </c>
      <c r="B1002" t="s">
        <v>3323</v>
      </c>
      <c r="C1002" t="s">
        <v>1888</v>
      </c>
      <c r="D1002" t="s">
        <v>3501</v>
      </c>
      <c r="E1002">
        <v>2</v>
      </c>
      <c r="F1002" t="s">
        <v>3502</v>
      </c>
      <c r="G1002" t="s">
        <v>3323</v>
      </c>
      <c r="H1002" t="s">
        <v>1888</v>
      </c>
      <c r="I1002" t="s">
        <v>1899</v>
      </c>
    </row>
    <row r="1003" spans="1:9">
      <c r="A1003" t="str">
        <f>"0208538 "</f>
        <v xml:space="preserve">0208538 </v>
      </c>
      <c r="B1003" t="s">
        <v>3323</v>
      </c>
      <c r="C1003" t="s">
        <v>3503</v>
      </c>
      <c r="D1003" t="s">
        <v>3504</v>
      </c>
      <c r="E1003">
        <v>1</v>
      </c>
      <c r="F1003" t="s">
        <v>3505</v>
      </c>
      <c r="G1003" t="s">
        <v>3323</v>
      </c>
      <c r="H1003" t="s">
        <v>3503</v>
      </c>
      <c r="I1003" t="s">
        <v>3506</v>
      </c>
    </row>
    <row r="1004" spans="1:9">
      <c r="A1004" t="str">
        <f>"0208541 "</f>
        <v xml:space="preserve">0208541 </v>
      </c>
      <c r="B1004" t="s">
        <v>3323</v>
      </c>
      <c r="C1004" t="s">
        <v>3507</v>
      </c>
      <c r="D1004" t="s">
        <v>3508</v>
      </c>
      <c r="E1004">
        <v>1</v>
      </c>
      <c r="F1004" t="s">
        <v>3509</v>
      </c>
      <c r="G1004" t="s">
        <v>3323</v>
      </c>
      <c r="H1004" t="s">
        <v>3507</v>
      </c>
      <c r="I1004" t="s">
        <v>1899</v>
      </c>
    </row>
    <row r="1005" spans="1:9">
      <c r="A1005" t="str">
        <f>"0208558 "</f>
        <v xml:space="preserve">0208558 </v>
      </c>
      <c r="B1005" t="s">
        <v>3323</v>
      </c>
      <c r="C1005" t="s">
        <v>3510</v>
      </c>
      <c r="D1005" t="s">
        <v>3511</v>
      </c>
      <c r="E1005">
        <v>1</v>
      </c>
      <c r="F1005" t="s">
        <v>3512</v>
      </c>
      <c r="G1005" t="s">
        <v>3323</v>
      </c>
      <c r="H1005" t="s">
        <v>3510</v>
      </c>
      <c r="I1005" t="s">
        <v>1899</v>
      </c>
    </row>
    <row r="1006" spans="1:9">
      <c r="A1006" t="str">
        <f>"0208571 "</f>
        <v xml:space="preserve">0208571 </v>
      </c>
      <c r="B1006" t="s">
        <v>3323</v>
      </c>
      <c r="C1006" t="s">
        <v>1911</v>
      </c>
      <c r="D1006" t="s">
        <v>3513</v>
      </c>
      <c r="E1006">
        <v>1</v>
      </c>
      <c r="F1006" t="s">
        <v>3514</v>
      </c>
      <c r="G1006" t="s">
        <v>3323</v>
      </c>
      <c r="H1006" t="s">
        <v>1911</v>
      </c>
      <c r="I1006" t="s">
        <v>1899</v>
      </c>
    </row>
    <row r="1007" spans="1:9">
      <c r="A1007" t="str">
        <f>"0208589 "</f>
        <v xml:space="preserve">0208589 </v>
      </c>
      <c r="B1007" t="s">
        <v>3323</v>
      </c>
      <c r="C1007" t="s">
        <v>3515</v>
      </c>
      <c r="D1007" t="s">
        <v>3516</v>
      </c>
      <c r="E1007">
        <v>1</v>
      </c>
      <c r="F1007" t="s">
        <v>3517</v>
      </c>
      <c r="G1007" t="s">
        <v>3323</v>
      </c>
      <c r="H1007" t="s">
        <v>3515</v>
      </c>
      <c r="I1007" t="s">
        <v>1899</v>
      </c>
    </row>
    <row r="1008" spans="1:9">
      <c r="A1008" t="str">
        <f>"0208591 "</f>
        <v xml:space="preserve">0208591 </v>
      </c>
      <c r="B1008" t="s">
        <v>3323</v>
      </c>
      <c r="C1008" t="s">
        <v>3518</v>
      </c>
      <c r="D1008" t="s">
        <v>3519</v>
      </c>
      <c r="E1008">
        <v>1</v>
      </c>
      <c r="F1008" t="s">
        <v>3520</v>
      </c>
      <c r="G1008" t="s">
        <v>3323</v>
      </c>
      <c r="H1008" t="s">
        <v>3518</v>
      </c>
      <c r="I1008" t="s">
        <v>1899</v>
      </c>
    </row>
    <row r="1009" spans="1:9">
      <c r="A1009" t="str">
        <f>"0208663 "</f>
        <v xml:space="preserve">0208663 </v>
      </c>
      <c r="B1009" t="s">
        <v>3323</v>
      </c>
      <c r="C1009" t="s">
        <v>3521</v>
      </c>
      <c r="D1009" t="s">
        <v>3522</v>
      </c>
      <c r="E1009">
        <v>1</v>
      </c>
      <c r="F1009" t="s">
        <v>3406</v>
      </c>
      <c r="G1009" t="s">
        <v>3323</v>
      </c>
      <c r="H1009" t="s">
        <v>3521</v>
      </c>
      <c r="I1009" t="s">
        <v>1899</v>
      </c>
    </row>
    <row r="1010" spans="1:9">
      <c r="A1010" t="str">
        <f>"0208664 "</f>
        <v xml:space="preserve">0208664 </v>
      </c>
      <c r="B1010" t="s">
        <v>3323</v>
      </c>
      <c r="C1010" t="s">
        <v>3523</v>
      </c>
      <c r="D1010" t="s">
        <v>3524</v>
      </c>
      <c r="E1010">
        <v>1</v>
      </c>
      <c r="F1010" t="s">
        <v>3406</v>
      </c>
      <c r="G1010" t="s">
        <v>3323</v>
      </c>
      <c r="H1010" t="s">
        <v>3523</v>
      </c>
      <c r="I1010" t="s">
        <v>1899</v>
      </c>
    </row>
    <row r="1011" spans="1:9">
      <c r="A1011" t="str">
        <f>"0208665 "</f>
        <v xml:space="preserve">0208665 </v>
      </c>
      <c r="B1011" t="s">
        <v>3323</v>
      </c>
      <c r="C1011" t="s">
        <v>3525</v>
      </c>
      <c r="D1011" t="s">
        <v>3526</v>
      </c>
      <c r="E1011">
        <v>2</v>
      </c>
      <c r="F1011" t="s">
        <v>3527</v>
      </c>
      <c r="G1011" t="s">
        <v>3323</v>
      </c>
      <c r="H1011" t="s">
        <v>3525</v>
      </c>
      <c r="I1011" t="s">
        <v>1899</v>
      </c>
    </row>
    <row r="1012" spans="1:9">
      <c r="A1012" t="str">
        <f>"0208671 "</f>
        <v xml:space="preserve">0208671 </v>
      </c>
      <c r="B1012" t="s">
        <v>3323</v>
      </c>
      <c r="C1012" t="s">
        <v>1953</v>
      </c>
      <c r="D1012" t="s">
        <v>3528</v>
      </c>
      <c r="E1012">
        <v>1</v>
      </c>
      <c r="F1012" t="s">
        <v>3420</v>
      </c>
      <c r="G1012" t="s">
        <v>3323</v>
      </c>
      <c r="H1012" t="s">
        <v>1953</v>
      </c>
      <c r="I1012" t="s">
        <v>1899</v>
      </c>
    </row>
    <row r="1013" spans="1:9">
      <c r="A1013" t="str">
        <f>"0208675 "</f>
        <v xml:space="preserve">0208675 </v>
      </c>
      <c r="B1013" t="s">
        <v>3323</v>
      </c>
      <c r="C1013" t="s">
        <v>3529</v>
      </c>
      <c r="D1013" t="s">
        <v>3530</v>
      </c>
      <c r="E1013">
        <v>1</v>
      </c>
      <c r="F1013" t="s">
        <v>3531</v>
      </c>
      <c r="G1013" t="s">
        <v>3323</v>
      </c>
      <c r="H1013" t="s">
        <v>3529</v>
      </c>
      <c r="I1013" t="s">
        <v>1899</v>
      </c>
    </row>
    <row r="1014" spans="1:9">
      <c r="A1014" t="str">
        <f>"0208689 "</f>
        <v xml:space="preserve">0208689 </v>
      </c>
      <c r="B1014" t="s">
        <v>3323</v>
      </c>
      <c r="C1014" t="s">
        <v>3532</v>
      </c>
      <c r="D1014" t="s">
        <v>3533</v>
      </c>
      <c r="E1014">
        <v>1</v>
      </c>
      <c r="F1014" t="s">
        <v>3534</v>
      </c>
      <c r="G1014" t="s">
        <v>3323</v>
      </c>
      <c r="H1014" t="s">
        <v>3532</v>
      </c>
      <c r="I1014" t="s">
        <v>1899</v>
      </c>
    </row>
    <row r="1015" spans="1:9">
      <c r="A1015" t="str">
        <f>"0208693 "</f>
        <v xml:space="preserve">0208693 </v>
      </c>
      <c r="B1015" t="s">
        <v>3323</v>
      </c>
      <c r="C1015" t="s">
        <v>3535</v>
      </c>
      <c r="D1015" t="s">
        <v>3536</v>
      </c>
      <c r="E1015">
        <v>1</v>
      </c>
      <c r="F1015" t="s">
        <v>3534</v>
      </c>
      <c r="G1015" t="s">
        <v>3323</v>
      </c>
      <c r="H1015" t="s">
        <v>3535</v>
      </c>
      <c r="I1015" t="s">
        <v>1899</v>
      </c>
    </row>
    <row r="1016" spans="1:9">
      <c r="A1016" t="str">
        <f>"0208701 "</f>
        <v xml:space="preserve">0208701 </v>
      </c>
      <c r="B1016" t="s">
        <v>3323</v>
      </c>
      <c r="C1016" t="s">
        <v>3537</v>
      </c>
      <c r="D1016" t="s">
        <v>3538</v>
      </c>
      <c r="E1016">
        <v>1</v>
      </c>
      <c r="F1016" t="s">
        <v>3431</v>
      </c>
      <c r="G1016" t="s">
        <v>3323</v>
      </c>
      <c r="H1016" t="s">
        <v>3537</v>
      </c>
      <c r="I1016" t="s">
        <v>1899</v>
      </c>
    </row>
    <row r="1017" spans="1:9">
      <c r="A1017" t="str">
        <f>"0208708 "</f>
        <v xml:space="preserve">0208708 </v>
      </c>
      <c r="B1017" t="s">
        <v>3323</v>
      </c>
      <c r="C1017" t="s">
        <v>3539</v>
      </c>
      <c r="D1017" t="s">
        <v>3540</v>
      </c>
      <c r="E1017">
        <v>1</v>
      </c>
      <c r="F1017" t="s">
        <v>2823</v>
      </c>
      <c r="G1017" t="s">
        <v>3323</v>
      </c>
      <c r="H1017" t="s">
        <v>3539</v>
      </c>
      <c r="I1017" t="s">
        <v>1899</v>
      </c>
    </row>
    <row r="1018" spans="1:9">
      <c r="A1018" t="str">
        <f>"0208713 "</f>
        <v xml:space="preserve">0208713 </v>
      </c>
      <c r="B1018" t="s">
        <v>3323</v>
      </c>
      <c r="C1018" t="s">
        <v>2004</v>
      </c>
      <c r="D1018" t="s">
        <v>3541</v>
      </c>
      <c r="E1018">
        <v>1</v>
      </c>
      <c r="F1018" t="s">
        <v>2823</v>
      </c>
      <c r="G1018" t="s">
        <v>3323</v>
      </c>
      <c r="H1018" t="s">
        <v>2004</v>
      </c>
      <c r="I1018" t="s">
        <v>1899</v>
      </c>
    </row>
    <row r="1019" spans="1:9">
      <c r="A1019" t="str">
        <f>"0208715 "</f>
        <v xml:space="preserve">0208715 </v>
      </c>
      <c r="B1019" t="s">
        <v>3323</v>
      </c>
      <c r="C1019" t="s">
        <v>3542</v>
      </c>
      <c r="D1019" t="s">
        <v>3543</v>
      </c>
      <c r="E1019">
        <v>1</v>
      </c>
      <c r="F1019" t="s">
        <v>2823</v>
      </c>
      <c r="G1019" t="s">
        <v>3323</v>
      </c>
      <c r="H1019" t="s">
        <v>3542</v>
      </c>
      <c r="I1019" t="s">
        <v>1899</v>
      </c>
    </row>
    <row r="1020" spans="1:9">
      <c r="A1020" t="str">
        <f>"0208719 "</f>
        <v xml:space="preserve">0208719 </v>
      </c>
      <c r="B1020" t="s">
        <v>3323</v>
      </c>
      <c r="C1020" t="s">
        <v>3544</v>
      </c>
      <c r="D1020" t="s">
        <v>3545</v>
      </c>
      <c r="E1020">
        <v>1</v>
      </c>
      <c r="F1020" t="s">
        <v>3546</v>
      </c>
      <c r="G1020" t="s">
        <v>3323</v>
      </c>
      <c r="H1020" t="s">
        <v>3544</v>
      </c>
      <c r="I1020" t="s">
        <v>1899</v>
      </c>
    </row>
    <row r="1021" spans="1:9">
      <c r="A1021" t="str">
        <f>"0208722 "</f>
        <v xml:space="preserve">0208722 </v>
      </c>
      <c r="B1021" t="s">
        <v>3323</v>
      </c>
      <c r="C1021" t="s">
        <v>3547</v>
      </c>
      <c r="D1021" t="s">
        <v>3548</v>
      </c>
      <c r="E1021">
        <v>1</v>
      </c>
      <c r="F1021" t="s">
        <v>3546</v>
      </c>
      <c r="G1021" t="s">
        <v>3323</v>
      </c>
      <c r="H1021" t="s">
        <v>3547</v>
      </c>
      <c r="I1021" t="s">
        <v>1899</v>
      </c>
    </row>
    <row r="1022" spans="1:9">
      <c r="A1022" t="str">
        <f>"0208724 "</f>
        <v xml:space="preserve">0208724 </v>
      </c>
      <c r="B1022" t="s">
        <v>3323</v>
      </c>
      <c r="C1022" t="s">
        <v>3549</v>
      </c>
      <c r="D1022" t="s">
        <v>3550</v>
      </c>
      <c r="E1022">
        <v>1</v>
      </c>
      <c r="F1022" t="s">
        <v>3546</v>
      </c>
      <c r="G1022" t="s">
        <v>3323</v>
      </c>
      <c r="H1022" t="s">
        <v>3549</v>
      </c>
      <c r="I1022" t="s">
        <v>1899</v>
      </c>
    </row>
    <row r="1023" spans="1:9">
      <c r="A1023" t="str">
        <f>"0208730 "</f>
        <v xml:space="preserve">0208730 </v>
      </c>
      <c r="B1023" t="s">
        <v>3323</v>
      </c>
      <c r="C1023" t="s">
        <v>2015</v>
      </c>
      <c r="D1023" t="s">
        <v>3551</v>
      </c>
      <c r="E1023">
        <v>1</v>
      </c>
      <c r="F1023" t="s">
        <v>3546</v>
      </c>
      <c r="G1023" t="s">
        <v>3323</v>
      </c>
      <c r="H1023" t="s">
        <v>2015</v>
      </c>
      <c r="I1023" t="s">
        <v>1899</v>
      </c>
    </row>
    <row r="1024" spans="1:9">
      <c r="A1024" t="str">
        <f>"0208731 "</f>
        <v xml:space="preserve">0208731 </v>
      </c>
      <c r="B1024" t="s">
        <v>3323</v>
      </c>
      <c r="C1024" t="s">
        <v>3552</v>
      </c>
      <c r="D1024" t="s">
        <v>3553</v>
      </c>
      <c r="E1024">
        <v>1</v>
      </c>
      <c r="F1024" t="s">
        <v>3554</v>
      </c>
      <c r="G1024" t="s">
        <v>3323</v>
      </c>
      <c r="H1024" t="s">
        <v>3552</v>
      </c>
      <c r="I1024" t="s">
        <v>3555</v>
      </c>
    </row>
    <row r="1025" spans="1:9">
      <c r="A1025" t="str">
        <f>"0208733 "</f>
        <v xml:space="preserve">0208733 </v>
      </c>
      <c r="B1025" t="s">
        <v>3323</v>
      </c>
      <c r="C1025" t="s">
        <v>2019</v>
      </c>
      <c r="D1025" t="s">
        <v>3556</v>
      </c>
      <c r="E1025">
        <v>1</v>
      </c>
      <c r="F1025" t="s">
        <v>3557</v>
      </c>
      <c r="G1025" t="s">
        <v>3323</v>
      </c>
      <c r="H1025" t="s">
        <v>2019</v>
      </c>
      <c r="I1025" t="s">
        <v>1899</v>
      </c>
    </row>
    <row r="1026" spans="1:9">
      <c r="A1026" t="str">
        <f>"0208737 "</f>
        <v xml:space="preserve">0208737 </v>
      </c>
      <c r="B1026" t="s">
        <v>3323</v>
      </c>
      <c r="C1026" t="s">
        <v>2023</v>
      </c>
      <c r="D1026" t="s">
        <v>3558</v>
      </c>
      <c r="E1026">
        <v>1</v>
      </c>
      <c r="F1026" t="s">
        <v>3559</v>
      </c>
      <c r="G1026" t="s">
        <v>3323</v>
      </c>
      <c r="H1026" t="s">
        <v>2023</v>
      </c>
      <c r="I1026" t="s">
        <v>1899</v>
      </c>
    </row>
    <row r="1027" spans="1:9">
      <c r="A1027" t="str">
        <f>"0208739 "</f>
        <v xml:space="preserve">0208739 </v>
      </c>
      <c r="B1027" t="s">
        <v>3323</v>
      </c>
      <c r="C1027" t="s">
        <v>3560</v>
      </c>
      <c r="D1027" t="s">
        <v>3561</v>
      </c>
      <c r="E1027">
        <v>1</v>
      </c>
      <c r="F1027" t="s">
        <v>3562</v>
      </c>
      <c r="G1027" t="s">
        <v>3323</v>
      </c>
      <c r="H1027" t="s">
        <v>3560</v>
      </c>
      <c r="I1027" t="s">
        <v>1899</v>
      </c>
    </row>
    <row r="1028" spans="1:9">
      <c r="A1028" t="str">
        <f>"0208750 "</f>
        <v xml:space="preserve">0208750 </v>
      </c>
      <c r="B1028" t="s">
        <v>3323</v>
      </c>
      <c r="C1028" t="s">
        <v>3563</v>
      </c>
      <c r="D1028" t="s">
        <v>3564</v>
      </c>
      <c r="E1028">
        <v>1</v>
      </c>
      <c r="F1028" t="s">
        <v>59</v>
      </c>
      <c r="G1028" t="s">
        <v>3323</v>
      </c>
      <c r="H1028" t="s">
        <v>3563</v>
      </c>
      <c r="I1028" t="s">
        <v>1899</v>
      </c>
    </row>
    <row r="1029" spans="1:9">
      <c r="A1029" t="str">
        <f>"0208756 "</f>
        <v xml:space="preserve">0208756 </v>
      </c>
      <c r="B1029" t="s">
        <v>3323</v>
      </c>
      <c r="C1029" t="s">
        <v>2036</v>
      </c>
      <c r="D1029" t="s">
        <v>3565</v>
      </c>
      <c r="E1029">
        <v>1</v>
      </c>
      <c r="F1029" t="s">
        <v>3566</v>
      </c>
      <c r="G1029" t="s">
        <v>3323</v>
      </c>
      <c r="H1029" t="s">
        <v>2036</v>
      </c>
      <c r="I1029" t="s">
        <v>1899</v>
      </c>
    </row>
    <row r="1030" spans="1:9">
      <c r="A1030" t="str">
        <f>"0208757 "</f>
        <v xml:space="preserve">0208757 </v>
      </c>
      <c r="B1030" t="s">
        <v>3323</v>
      </c>
      <c r="C1030" t="s">
        <v>3567</v>
      </c>
      <c r="D1030" t="s">
        <v>3568</v>
      </c>
      <c r="E1030">
        <v>1</v>
      </c>
      <c r="F1030" t="s">
        <v>3569</v>
      </c>
      <c r="G1030" t="s">
        <v>3323</v>
      </c>
      <c r="H1030" t="s">
        <v>3567</v>
      </c>
      <c r="I1030" t="s">
        <v>1899</v>
      </c>
    </row>
    <row r="1031" spans="1:9">
      <c r="A1031" t="str">
        <f>"0208761 "</f>
        <v xml:space="preserve">0208761 </v>
      </c>
      <c r="B1031" t="s">
        <v>3323</v>
      </c>
      <c r="C1031" t="s">
        <v>3570</v>
      </c>
      <c r="D1031" t="s">
        <v>3571</v>
      </c>
      <c r="E1031">
        <v>1</v>
      </c>
      <c r="F1031" t="s">
        <v>3572</v>
      </c>
      <c r="G1031" t="s">
        <v>3323</v>
      </c>
      <c r="H1031" t="s">
        <v>3570</v>
      </c>
      <c r="I1031" t="s">
        <v>1899</v>
      </c>
    </row>
    <row r="1032" spans="1:9">
      <c r="A1032" t="str">
        <f>"0208772 "</f>
        <v xml:space="preserve">0208772 </v>
      </c>
      <c r="B1032" t="s">
        <v>3323</v>
      </c>
      <c r="C1032" t="s">
        <v>3573</v>
      </c>
      <c r="D1032" t="s">
        <v>3574</v>
      </c>
      <c r="E1032">
        <v>1</v>
      </c>
      <c r="F1032" t="s">
        <v>3575</v>
      </c>
      <c r="G1032" t="s">
        <v>3323</v>
      </c>
      <c r="H1032" t="s">
        <v>3573</v>
      </c>
      <c r="I1032" t="s">
        <v>3576</v>
      </c>
    </row>
    <row r="1033" spans="1:9">
      <c r="A1033" t="str">
        <f>"0208780 "</f>
        <v xml:space="preserve">0208780 </v>
      </c>
      <c r="B1033" t="s">
        <v>3323</v>
      </c>
      <c r="C1033" t="s">
        <v>3577</v>
      </c>
      <c r="D1033" t="s">
        <v>3578</v>
      </c>
      <c r="E1033">
        <v>1</v>
      </c>
      <c r="F1033" t="s">
        <v>3579</v>
      </c>
      <c r="G1033" t="s">
        <v>3323</v>
      </c>
      <c r="H1033" t="s">
        <v>3577</v>
      </c>
      <c r="I1033" t="s">
        <v>1899</v>
      </c>
    </row>
    <row r="1034" spans="1:9">
      <c r="A1034" t="str">
        <f>"0208783 "</f>
        <v xml:space="preserve">0208783 </v>
      </c>
      <c r="B1034" t="s">
        <v>3323</v>
      </c>
      <c r="C1034" t="s">
        <v>3580</v>
      </c>
      <c r="D1034" t="s">
        <v>3581</v>
      </c>
      <c r="E1034">
        <v>1</v>
      </c>
      <c r="F1034" t="s">
        <v>3582</v>
      </c>
      <c r="G1034" t="s">
        <v>3323</v>
      </c>
      <c r="H1034" t="s">
        <v>3580</v>
      </c>
      <c r="I1034" t="s">
        <v>1899</v>
      </c>
    </row>
    <row r="1035" spans="1:9">
      <c r="A1035" t="str">
        <f>"0208787 "</f>
        <v xml:space="preserve">0208787 </v>
      </c>
      <c r="B1035" t="s">
        <v>3323</v>
      </c>
      <c r="C1035" t="s">
        <v>2051</v>
      </c>
      <c r="D1035" t="s">
        <v>3583</v>
      </c>
      <c r="E1035">
        <v>2</v>
      </c>
      <c r="F1035" t="s">
        <v>3584</v>
      </c>
      <c r="G1035" t="s">
        <v>3323</v>
      </c>
      <c r="H1035" t="s">
        <v>2051</v>
      </c>
      <c r="I1035" t="s">
        <v>1899</v>
      </c>
    </row>
    <row r="1036" spans="1:9">
      <c r="A1036" t="str">
        <f>"0208788 "</f>
        <v xml:space="preserve">0208788 </v>
      </c>
      <c r="B1036" t="s">
        <v>3323</v>
      </c>
      <c r="C1036" t="s">
        <v>3585</v>
      </c>
      <c r="D1036" t="s">
        <v>3586</v>
      </c>
      <c r="E1036">
        <v>1</v>
      </c>
      <c r="F1036" t="s">
        <v>3587</v>
      </c>
      <c r="G1036" t="s">
        <v>3323</v>
      </c>
      <c r="H1036" t="s">
        <v>3585</v>
      </c>
      <c r="I1036" t="s">
        <v>2054</v>
      </c>
    </row>
    <row r="1037" spans="1:9">
      <c r="A1037" t="str">
        <f>"0208802 "</f>
        <v xml:space="preserve">0208802 </v>
      </c>
      <c r="B1037" t="s">
        <v>3323</v>
      </c>
      <c r="C1037" t="s">
        <v>3588</v>
      </c>
      <c r="D1037" t="s">
        <v>3589</v>
      </c>
      <c r="E1037">
        <v>1</v>
      </c>
      <c r="F1037" t="s">
        <v>3590</v>
      </c>
      <c r="G1037" t="s">
        <v>3323</v>
      </c>
      <c r="H1037" t="s">
        <v>3588</v>
      </c>
      <c r="I1037" t="s">
        <v>1899</v>
      </c>
    </row>
    <row r="1038" spans="1:9">
      <c r="A1038" t="str">
        <f>"0208803 "</f>
        <v xml:space="preserve">0208803 </v>
      </c>
      <c r="B1038" t="s">
        <v>3323</v>
      </c>
      <c r="C1038" t="s">
        <v>3591</v>
      </c>
      <c r="D1038" t="s">
        <v>3592</v>
      </c>
      <c r="E1038">
        <v>1</v>
      </c>
      <c r="F1038" t="s">
        <v>3593</v>
      </c>
      <c r="G1038" t="s">
        <v>3323</v>
      </c>
      <c r="H1038" t="s">
        <v>3591</v>
      </c>
      <c r="I1038" t="s">
        <v>1899</v>
      </c>
    </row>
    <row r="1039" spans="1:9">
      <c r="A1039" t="str">
        <f>"0208806 "</f>
        <v xml:space="preserve">0208806 </v>
      </c>
      <c r="B1039" t="s">
        <v>3323</v>
      </c>
      <c r="C1039" t="s">
        <v>2079</v>
      </c>
      <c r="D1039" t="s">
        <v>3594</v>
      </c>
      <c r="E1039">
        <v>1</v>
      </c>
      <c r="F1039" t="s">
        <v>3595</v>
      </c>
      <c r="G1039" t="s">
        <v>3323</v>
      </c>
      <c r="H1039" t="s">
        <v>2079</v>
      </c>
      <c r="I1039" t="s">
        <v>1899</v>
      </c>
    </row>
    <row r="1040" spans="1:9">
      <c r="A1040" t="str">
        <f>"0208820 "</f>
        <v xml:space="preserve">0208820 </v>
      </c>
      <c r="B1040" t="s">
        <v>3323</v>
      </c>
      <c r="C1040" t="s">
        <v>2082</v>
      </c>
      <c r="D1040" t="s">
        <v>3596</v>
      </c>
      <c r="E1040">
        <v>2</v>
      </c>
      <c r="F1040" t="s">
        <v>3597</v>
      </c>
      <c r="G1040" t="s">
        <v>3323</v>
      </c>
      <c r="H1040" t="s">
        <v>2082</v>
      </c>
      <c r="I1040" t="s">
        <v>1899</v>
      </c>
    </row>
    <row r="1041" spans="1:9">
      <c r="A1041" t="str">
        <f>"0208823 "</f>
        <v xml:space="preserve">0208823 </v>
      </c>
      <c r="B1041" t="s">
        <v>3323</v>
      </c>
      <c r="C1041" t="s">
        <v>3598</v>
      </c>
      <c r="D1041" t="s">
        <v>3599</v>
      </c>
      <c r="E1041">
        <v>1</v>
      </c>
      <c r="F1041" t="s">
        <v>3600</v>
      </c>
      <c r="G1041" t="s">
        <v>3323</v>
      </c>
      <c r="H1041" t="s">
        <v>3598</v>
      </c>
      <c r="I1041" t="s">
        <v>1899</v>
      </c>
    </row>
    <row r="1042" spans="1:9">
      <c r="A1042" t="str">
        <f>"0208844 "</f>
        <v xml:space="preserve">0208844 </v>
      </c>
      <c r="B1042" t="s">
        <v>3323</v>
      </c>
      <c r="C1042" t="s">
        <v>3601</v>
      </c>
      <c r="D1042" t="s">
        <v>3602</v>
      </c>
      <c r="E1042">
        <v>2</v>
      </c>
      <c r="F1042" t="s">
        <v>3603</v>
      </c>
      <c r="G1042" t="s">
        <v>3323</v>
      </c>
      <c r="H1042" t="s">
        <v>3601</v>
      </c>
      <c r="I1042" t="s">
        <v>1899</v>
      </c>
    </row>
    <row r="1043" spans="1:9">
      <c r="A1043" t="str">
        <f>"0208851 "</f>
        <v xml:space="preserve">0208851 </v>
      </c>
      <c r="B1043" t="s">
        <v>3323</v>
      </c>
      <c r="C1043" t="s">
        <v>3604</v>
      </c>
      <c r="D1043" t="s">
        <v>3605</v>
      </c>
      <c r="E1043">
        <v>1</v>
      </c>
      <c r="F1043" t="s">
        <v>3606</v>
      </c>
      <c r="G1043" t="s">
        <v>3323</v>
      </c>
      <c r="H1043" t="s">
        <v>3604</v>
      </c>
      <c r="I1043" t="s">
        <v>1899</v>
      </c>
    </row>
    <row r="1044" spans="1:9">
      <c r="A1044" t="str">
        <f>"0208858 "</f>
        <v xml:space="preserve">0208858 </v>
      </c>
      <c r="B1044" t="s">
        <v>3323</v>
      </c>
      <c r="C1044" t="s">
        <v>2103</v>
      </c>
      <c r="D1044" t="s">
        <v>3607</v>
      </c>
      <c r="E1044">
        <v>1</v>
      </c>
      <c r="F1044" t="s">
        <v>3608</v>
      </c>
      <c r="G1044" t="s">
        <v>3323</v>
      </c>
      <c r="H1044" t="s">
        <v>2103</v>
      </c>
      <c r="I1044" t="s">
        <v>2106</v>
      </c>
    </row>
    <row r="1045" spans="1:9">
      <c r="A1045" t="str">
        <f>"0208863 "</f>
        <v xml:space="preserve">0208863 </v>
      </c>
      <c r="B1045" t="s">
        <v>3323</v>
      </c>
      <c r="C1045" t="s">
        <v>3609</v>
      </c>
      <c r="D1045" t="s">
        <v>3610</v>
      </c>
      <c r="E1045">
        <v>1</v>
      </c>
      <c r="F1045" t="s">
        <v>3611</v>
      </c>
      <c r="G1045" t="s">
        <v>3323</v>
      </c>
      <c r="H1045" t="s">
        <v>3609</v>
      </c>
      <c r="I1045" t="s">
        <v>1899</v>
      </c>
    </row>
    <row r="1046" spans="1:9">
      <c r="A1046" t="str">
        <f>"0208868 "</f>
        <v xml:space="preserve">0208868 </v>
      </c>
      <c r="B1046" t="s">
        <v>3323</v>
      </c>
      <c r="C1046" t="s">
        <v>3612</v>
      </c>
      <c r="D1046" t="s">
        <v>3613</v>
      </c>
      <c r="E1046">
        <v>3</v>
      </c>
      <c r="F1046" t="s">
        <v>3614</v>
      </c>
      <c r="G1046" t="s">
        <v>3323</v>
      </c>
      <c r="H1046" t="s">
        <v>3612</v>
      </c>
      <c r="I1046" t="s">
        <v>1899</v>
      </c>
    </row>
    <row r="1047" spans="1:9">
      <c r="A1047" t="str">
        <f>"0208871 "</f>
        <v xml:space="preserve">0208871 </v>
      </c>
      <c r="B1047" t="s">
        <v>3323</v>
      </c>
      <c r="C1047" t="s">
        <v>3615</v>
      </c>
      <c r="D1047" t="s">
        <v>3616</v>
      </c>
      <c r="E1047">
        <v>1</v>
      </c>
      <c r="F1047" t="s">
        <v>3617</v>
      </c>
      <c r="G1047" t="s">
        <v>3323</v>
      </c>
      <c r="H1047" t="s">
        <v>3615</v>
      </c>
      <c r="I1047" t="s">
        <v>1899</v>
      </c>
    </row>
    <row r="1048" spans="1:9">
      <c r="A1048" t="str">
        <f>"0208905 "</f>
        <v xml:space="preserve">0208905 </v>
      </c>
      <c r="B1048" t="s">
        <v>3323</v>
      </c>
      <c r="C1048" t="s">
        <v>3618</v>
      </c>
      <c r="D1048" t="s">
        <v>3619</v>
      </c>
      <c r="E1048">
        <v>1</v>
      </c>
      <c r="F1048" t="s">
        <v>3620</v>
      </c>
      <c r="G1048" t="s">
        <v>3323</v>
      </c>
      <c r="H1048" t="s">
        <v>3618</v>
      </c>
      <c r="I1048" t="s">
        <v>1899</v>
      </c>
    </row>
    <row r="1049" spans="1:9">
      <c r="A1049" t="str">
        <f>"0208917 "</f>
        <v xml:space="preserve">0208917 </v>
      </c>
      <c r="B1049" t="s">
        <v>3323</v>
      </c>
      <c r="C1049" t="s">
        <v>3621</v>
      </c>
      <c r="D1049" t="s">
        <v>3622</v>
      </c>
      <c r="E1049">
        <v>1</v>
      </c>
      <c r="F1049" t="s">
        <v>3623</v>
      </c>
      <c r="G1049" t="s">
        <v>3323</v>
      </c>
      <c r="H1049" t="s">
        <v>3621</v>
      </c>
      <c r="I1049" t="s">
        <v>1899</v>
      </c>
    </row>
    <row r="1050" spans="1:9">
      <c r="A1050" t="str">
        <f>"0208919 "</f>
        <v xml:space="preserve">0208919 </v>
      </c>
      <c r="B1050" t="s">
        <v>3323</v>
      </c>
      <c r="C1050" t="s">
        <v>2125</v>
      </c>
      <c r="D1050" t="s">
        <v>3624</v>
      </c>
      <c r="E1050">
        <v>1</v>
      </c>
      <c r="F1050" t="s">
        <v>3625</v>
      </c>
      <c r="G1050" t="s">
        <v>3323</v>
      </c>
      <c r="H1050" t="s">
        <v>2125</v>
      </c>
      <c r="I1050" t="s">
        <v>1899</v>
      </c>
    </row>
    <row r="1051" spans="1:9">
      <c r="A1051" t="str">
        <f>"0208922 "</f>
        <v xml:space="preserve">0208922 </v>
      </c>
      <c r="B1051" t="s">
        <v>3323</v>
      </c>
      <c r="C1051" t="s">
        <v>2129</v>
      </c>
      <c r="D1051" t="s">
        <v>3626</v>
      </c>
      <c r="E1051">
        <v>5</v>
      </c>
      <c r="F1051" t="s">
        <v>3627</v>
      </c>
      <c r="G1051" t="s">
        <v>3323</v>
      </c>
      <c r="H1051" t="s">
        <v>2129</v>
      </c>
      <c r="I1051" t="s">
        <v>1899</v>
      </c>
    </row>
    <row r="1052" spans="1:9">
      <c r="A1052" t="str">
        <f>"0208924 "</f>
        <v xml:space="preserve">0208924 </v>
      </c>
      <c r="B1052" t="s">
        <v>3323</v>
      </c>
      <c r="C1052" t="s">
        <v>3628</v>
      </c>
      <c r="D1052" t="s">
        <v>3629</v>
      </c>
      <c r="E1052">
        <v>1</v>
      </c>
      <c r="F1052" t="s">
        <v>3630</v>
      </c>
      <c r="G1052" t="s">
        <v>3323</v>
      </c>
      <c r="H1052" t="s">
        <v>3628</v>
      </c>
      <c r="I1052" t="s">
        <v>1899</v>
      </c>
    </row>
    <row r="1053" spans="1:9">
      <c r="A1053" t="str">
        <f>"0208939 "</f>
        <v xml:space="preserve">0208939 </v>
      </c>
      <c r="B1053" t="s">
        <v>3323</v>
      </c>
      <c r="C1053" t="s">
        <v>3631</v>
      </c>
      <c r="D1053" t="s">
        <v>3632</v>
      </c>
      <c r="E1053">
        <v>1</v>
      </c>
      <c r="F1053" t="s">
        <v>3633</v>
      </c>
      <c r="G1053" t="s">
        <v>3323</v>
      </c>
      <c r="H1053" t="s">
        <v>3631</v>
      </c>
      <c r="I1053" t="s">
        <v>1899</v>
      </c>
    </row>
    <row r="1054" spans="1:9">
      <c r="A1054" t="str">
        <f>"0208946 "</f>
        <v xml:space="preserve">0208946 </v>
      </c>
      <c r="B1054" t="s">
        <v>3323</v>
      </c>
      <c r="C1054" t="s">
        <v>2148</v>
      </c>
      <c r="D1054" t="s">
        <v>3634</v>
      </c>
      <c r="E1054">
        <v>1</v>
      </c>
      <c r="F1054" t="s">
        <v>3635</v>
      </c>
      <c r="G1054" t="s">
        <v>3323</v>
      </c>
      <c r="H1054" t="s">
        <v>2148</v>
      </c>
      <c r="I1054" t="s">
        <v>1899</v>
      </c>
    </row>
    <row r="1055" spans="1:9">
      <c r="A1055" t="str">
        <f>"0208948 "</f>
        <v xml:space="preserve">0208948 </v>
      </c>
      <c r="B1055" t="s">
        <v>3323</v>
      </c>
      <c r="C1055" t="s">
        <v>3636</v>
      </c>
      <c r="D1055" t="s">
        <v>3637</v>
      </c>
      <c r="E1055">
        <v>5</v>
      </c>
      <c r="F1055" t="s">
        <v>3635</v>
      </c>
      <c r="G1055" t="s">
        <v>3323</v>
      </c>
      <c r="H1055" t="s">
        <v>3636</v>
      </c>
      <c r="I1055" t="s">
        <v>1899</v>
      </c>
    </row>
    <row r="1056" spans="1:9">
      <c r="A1056" t="str">
        <f>"0208964 "</f>
        <v xml:space="preserve">0208964 </v>
      </c>
      <c r="B1056" t="s">
        <v>3323</v>
      </c>
      <c r="C1056" t="s">
        <v>3638</v>
      </c>
      <c r="D1056" t="s">
        <v>3639</v>
      </c>
      <c r="E1056">
        <v>1</v>
      </c>
      <c r="F1056" t="s">
        <v>3554</v>
      </c>
      <c r="G1056" t="s">
        <v>3323</v>
      </c>
      <c r="H1056" t="s">
        <v>3638</v>
      </c>
      <c r="I1056" t="s">
        <v>1899</v>
      </c>
    </row>
    <row r="1057" spans="1:9">
      <c r="A1057" t="str">
        <f>"0208981 "</f>
        <v xml:space="preserve">0208981 </v>
      </c>
      <c r="B1057" t="s">
        <v>3323</v>
      </c>
      <c r="C1057" t="s">
        <v>2178</v>
      </c>
      <c r="D1057" t="s">
        <v>3640</v>
      </c>
      <c r="E1057">
        <v>4</v>
      </c>
      <c r="F1057" t="s">
        <v>3641</v>
      </c>
      <c r="G1057" t="s">
        <v>3323</v>
      </c>
      <c r="H1057" t="s">
        <v>2178</v>
      </c>
      <c r="I1057" t="s">
        <v>1899</v>
      </c>
    </row>
    <row r="1058" spans="1:9">
      <c r="A1058" t="str">
        <f>"0208982 "</f>
        <v xml:space="preserve">0208982 </v>
      </c>
      <c r="B1058" t="s">
        <v>3323</v>
      </c>
      <c r="C1058" t="s">
        <v>3642</v>
      </c>
      <c r="D1058" t="s">
        <v>3643</v>
      </c>
      <c r="E1058">
        <v>1</v>
      </c>
      <c r="F1058" t="s">
        <v>293</v>
      </c>
      <c r="G1058" t="s">
        <v>3323</v>
      </c>
      <c r="H1058" t="s">
        <v>3642</v>
      </c>
      <c r="I1058" t="s">
        <v>3644</v>
      </c>
    </row>
    <row r="1059" spans="1:9">
      <c r="A1059" t="str">
        <f>"0208984 "</f>
        <v xml:space="preserve">0208984 </v>
      </c>
      <c r="B1059" t="s">
        <v>3323</v>
      </c>
      <c r="C1059" t="s">
        <v>3645</v>
      </c>
      <c r="D1059" t="s">
        <v>3646</v>
      </c>
      <c r="E1059">
        <v>2</v>
      </c>
      <c r="F1059" t="s">
        <v>293</v>
      </c>
      <c r="G1059" t="s">
        <v>3323</v>
      </c>
      <c r="H1059" t="s">
        <v>3645</v>
      </c>
      <c r="I1059" t="s">
        <v>1899</v>
      </c>
    </row>
    <row r="1060" spans="1:9">
      <c r="A1060" t="str">
        <f>"0208994 "</f>
        <v xml:space="preserve">0208994 </v>
      </c>
      <c r="B1060" t="s">
        <v>3323</v>
      </c>
      <c r="C1060" t="s">
        <v>3647</v>
      </c>
      <c r="D1060" t="s">
        <v>3648</v>
      </c>
      <c r="E1060">
        <v>1</v>
      </c>
      <c r="F1060" t="s">
        <v>3649</v>
      </c>
      <c r="G1060" t="s">
        <v>3323</v>
      </c>
      <c r="H1060" t="s">
        <v>3647</v>
      </c>
      <c r="I1060" t="s">
        <v>1899</v>
      </c>
    </row>
    <row r="1061" spans="1:9">
      <c r="A1061" t="str">
        <f>"0208996 "</f>
        <v xml:space="preserve">0208996 </v>
      </c>
      <c r="B1061" t="s">
        <v>3323</v>
      </c>
      <c r="C1061" t="s">
        <v>3650</v>
      </c>
      <c r="D1061" t="s">
        <v>3651</v>
      </c>
      <c r="E1061">
        <v>1</v>
      </c>
      <c r="F1061" t="s">
        <v>3652</v>
      </c>
      <c r="G1061" t="s">
        <v>3323</v>
      </c>
      <c r="H1061" t="s">
        <v>3650</v>
      </c>
      <c r="I1061" t="s">
        <v>1899</v>
      </c>
    </row>
    <row r="1062" spans="1:9">
      <c r="A1062" t="str">
        <f>"0209002 "</f>
        <v xml:space="preserve">0209002 </v>
      </c>
      <c r="B1062" t="s">
        <v>3323</v>
      </c>
      <c r="C1062" t="s">
        <v>2201</v>
      </c>
      <c r="D1062" t="s">
        <v>3653</v>
      </c>
      <c r="E1062">
        <v>1</v>
      </c>
      <c r="F1062" t="s">
        <v>3654</v>
      </c>
      <c r="G1062" t="s">
        <v>3323</v>
      </c>
      <c r="H1062" t="s">
        <v>2201</v>
      </c>
      <c r="I1062" t="s">
        <v>1899</v>
      </c>
    </row>
    <row r="1063" spans="1:9">
      <c r="A1063" t="str">
        <f>"0209006 "</f>
        <v xml:space="preserve">0209006 </v>
      </c>
      <c r="B1063" t="s">
        <v>3323</v>
      </c>
      <c r="C1063" t="s">
        <v>2205</v>
      </c>
      <c r="D1063" t="s">
        <v>3655</v>
      </c>
      <c r="E1063" t="s">
        <v>16</v>
      </c>
      <c r="F1063" t="s">
        <v>3656</v>
      </c>
      <c r="G1063" t="s">
        <v>3323</v>
      </c>
      <c r="H1063" t="s">
        <v>2205</v>
      </c>
      <c r="I1063" t="s">
        <v>1899</v>
      </c>
    </row>
    <row r="1064" spans="1:9">
      <c r="A1064" t="str">
        <f>"0209010 "</f>
        <v xml:space="preserve">0209010 </v>
      </c>
      <c r="B1064" t="s">
        <v>3323</v>
      </c>
      <c r="C1064" t="s">
        <v>2213</v>
      </c>
      <c r="D1064" t="s">
        <v>3657</v>
      </c>
      <c r="E1064">
        <v>3</v>
      </c>
      <c r="F1064" t="s">
        <v>3656</v>
      </c>
      <c r="G1064" t="s">
        <v>3323</v>
      </c>
      <c r="H1064" t="s">
        <v>2213</v>
      </c>
      <c r="I1064" t="s">
        <v>2212</v>
      </c>
    </row>
    <row r="1065" spans="1:9">
      <c r="A1065" t="str">
        <f>"0209011 "</f>
        <v xml:space="preserve">0209011 </v>
      </c>
      <c r="B1065" t="s">
        <v>3323</v>
      </c>
      <c r="C1065" t="s">
        <v>2217</v>
      </c>
      <c r="D1065" t="s">
        <v>3658</v>
      </c>
      <c r="E1065">
        <v>3</v>
      </c>
      <c r="F1065" t="s">
        <v>3659</v>
      </c>
      <c r="G1065" t="s">
        <v>3323</v>
      </c>
      <c r="H1065" t="s">
        <v>2217</v>
      </c>
      <c r="I1065" t="s">
        <v>1899</v>
      </c>
    </row>
    <row r="1066" spans="1:9">
      <c r="A1066" t="str">
        <f>"0209012 "</f>
        <v xml:space="preserve">0209012 </v>
      </c>
      <c r="B1066" t="s">
        <v>3323</v>
      </c>
      <c r="C1066" t="s">
        <v>3660</v>
      </c>
      <c r="D1066" t="s">
        <v>3661</v>
      </c>
      <c r="E1066">
        <v>1</v>
      </c>
      <c r="F1066" t="s">
        <v>3662</v>
      </c>
      <c r="G1066" t="s">
        <v>3323</v>
      </c>
      <c r="H1066" t="s">
        <v>3660</v>
      </c>
      <c r="I1066" t="s">
        <v>1899</v>
      </c>
    </row>
    <row r="1067" spans="1:9">
      <c r="A1067" t="str">
        <f>"0209014 "</f>
        <v xml:space="preserve">0209014 </v>
      </c>
      <c r="B1067" t="s">
        <v>3323</v>
      </c>
      <c r="C1067" t="s">
        <v>2224</v>
      </c>
      <c r="D1067" t="s">
        <v>3663</v>
      </c>
      <c r="E1067">
        <v>1</v>
      </c>
      <c r="F1067" t="s">
        <v>3664</v>
      </c>
      <c r="G1067" t="s">
        <v>3323</v>
      </c>
      <c r="H1067" t="s">
        <v>2224</v>
      </c>
      <c r="I1067" t="s">
        <v>1899</v>
      </c>
    </row>
    <row r="1068" spans="1:9">
      <c r="A1068" t="str">
        <f>"0209016 "</f>
        <v xml:space="preserve">0209016 </v>
      </c>
      <c r="B1068" t="s">
        <v>3323</v>
      </c>
      <c r="C1068" t="s">
        <v>3665</v>
      </c>
      <c r="D1068" t="s">
        <v>3666</v>
      </c>
      <c r="E1068">
        <v>2</v>
      </c>
      <c r="F1068" t="s">
        <v>3667</v>
      </c>
      <c r="G1068" t="s">
        <v>3323</v>
      </c>
      <c r="H1068" t="s">
        <v>3665</v>
      </c>
      <c r="I1068" t="s">
        <v>1899</v>
      </c>
    </row>
    <row r="1069" spans="1:9">
      <c r="A1069" t="str">
        <f>"0209025 "</f>
        <v xml:space="preserve">0209025 </v>
      </c>
      <c r="B1069" t="s">
        <v>3323</v>
      </c>
      <c r="C1069" t="s">
        <v>2239</v>
      </c>
      <c r="D1069" t="s">
        <v>3668</v>
      </c>
      <c r="E1069">
        <v>1</v>
      </c>
      <c r="F1069" t="s">
        <v>3669</v>
      </c>
      <c r="G1069" t="s">
        <v>3323</v>
      </c>
      <c r="H1069" t="s">
        <v>2239</v>
      </c>
      <c r="I1069" t="s">
        <v>1899</v>
      </c>
    </row>
    <row r="1070" spans="1:9">
      <c r="A1070" t="str">
        <f>"0209027 "</f>
        <v xml:space="preserve">0209027 </v>
      </c>
      <c r="B1070" t="s">
        <v>3323</v>
      </c>
      <c r="C1070" t="s">
        <v>2243</v>
      </c>
      <c r="D1070" t="s">
        <v>3670</v>
      </c>
      <c r="E1070">
        <v>2</v>
      </c>
      <c r="F1070" t="s">
        <v>3669</v>
      </c>
      <c r="G1070" t="s">
        <v>3323</v>
      </c>
      <c r="H1070" t="s">
        <v>2243</v>
      </c>
      <c r="I1070" t="s">
        <v>1899</v>
      </c>
    </row>
    <row r="1071" spans="1:9">
      <c r="A1071" t="str">
        <f>"0209028 "</f>
        <v xml:space="preserve">0209028 </v>
      </c>
      <c r="B1071" t="s">
        <v>3323</v>
      </c>
      <c r="C1071" t="s">
        <v>2246</v>
      </c>
      <c r="D1071" t="s">
        <v>3671</v>
      </c>
      <c r="E1071">
        <v>1</v>
      </c>
      <c r="F1071" t="s">
        <v>3672</v>
      </c>
      <c r="G1071" t="s">
        <v>3323</v>
      </c>
      <c r="H1071" t="s">
        <v>2246</v>
      </c>
      <c r="I1071" t="s">
        <v>1899</v>
      </c>
    </row>
    <row r="1072" spans="1:9">
      <c r="A1072" t="str">
        <f>"0209034 "</f>
        <v xml:space="preserve">0209034 </v>
      </c>
      <c r="B1072" t="s">
        <v>3323</v>
      </c>
      <c r="C1072" t="s">
        <v>2254</v>
      </c>
      <c r="D1072" t="s">
        <v>3673</v>
      </c>
      <c r="E1072">
        <v>1</v>
      </c>
      <c r="F1072" t="s">
        <v>3674</v>
      </c>
      <c r="G1072" t="s">
        <v>3323</v>
      </c>
      <c r="H1072" t="s">
        <v>2254</v>
      </c>
      <c r="I1072" t="s">
        <v>1899</v>
      </c>
    </row>
    <row r="1073" spans="1:9">
      <c r="A1073" t="str">
        <f>"0209036 "</f>
        <v xml:space="preserve">0209036 </v>
      </c>
      <c r="B1073" t="s">
        <v>3323</v>
      </c>
      <c r="C1073" t="s">
        <v>3675</v>
      </c>
      <c r="D1073" t="s">
        <v>3676</v>
      </c>
      <c r="E1073">
        <v>1</v>
      </c>
      <c r="F1073" t="s">
        <v>3677</v>
      </c>
      <c r="G1073" t="s">
        <v>3323</v>
      </c>
      <c r="H1073" t="s">
        <v>3675</v>
      </c>
      <c r="I1073" t="s">
        <v>3678</v>
      </c>
    </row>
    <row r="1074" spans="1:9">
      <c r="A1074" t="str">
        <f>"0209037 "</f>
        <v xml:space="preserve">0209037 </v>
      </c>
      <c r="B1074" t="s">
        <v>3323</v>
      </c>
      <c r="C1074" t="s">
        <v>3679</v>
      </c>
      <c r="D1074" t="s">
        <v>3680</v>
      </c>
      <c r="E1074">
        <v>3</v>
      </c>
      <c r="F1074" t="s">
        <v>3582</v>
      </c>
      <c r="G1074" t="s">
        <v>3323</v>
      </c>
      <c r="H1074" t="s">
        <v>3679</v>
      </c>
      <c r="I1074" t="s">
        <v>1899</v>
      </c>
    </row>
    <row r="1075" spans="1:9">
      <c r="A1075" t="str">
        <f>"0209042 "</f>
        <v xml:space="preserve">0209042 </v>
      </c>
      <c r="B1075" t="s">
        <v>3323</v>
      </c>
      <c r="C1075" t="s">
        <v>3681</v>
      </c>
      <c r="D1075" t="s">
        <v>3682</v>
      </c>
      <c r="E1075">
        <v>1</v>
      </c>
      <c r="F1075" t="s">
        <v>3683</v>
      </c>
      <c r="G1075" t="s">
        <v>3323</v>
      </c>
      <c r="H1075" t="s">
        <v>3681</v>
      </c>
      <c r="I1075" t="s">
        <v>1899</v>
      </c>
    </row>
    <row r="1076" spans="1:9">
      <c r="A1076" t="str">
        <f>"0209053 "</f>
        <v xml:space="preserve">0209053 </v>
      </c>
      <c r="B1076" t="s">
        <v>3323</v>
      </c>
      <c r="C1076" t="s">
        <v>2274</v>
      </c>
      <c r="D1076" t="s">
        <v>3684</v>
      </c>
      <c r="E1076">
        <v>1</v>
      </c>
      <c r="F1076" t="s">
        <v>3685</v>
      </c>
      <c r="G1076" t="s">
        <v>3323</v>
      </c>
      <c r="H1076" t="s">
        <v>2274</v>
      </c>
      <c r="I1076" t="s">
        <v>1899</v>
      </c>
    </row>
    <row r="1077" spans="1:9">
      <c r="A1077" t="str">
        <f>"0209058 "</f>
        <v xml:space="preserve">0209058 </v>
      </c>
      <c r="B1077" t="s">
        <v>3323</v>
      </c>
      <c r="C1077" t="s">
        <v>3686</v>
      </c>
      <c r="D1077" t="s">
        <v>3687</v>
      </c>
      <c r="E1077">
        <v>1</v>
      </c>
      <c r="F1077" t="s">
        <v>3688</v>
      </c>
      <c r="G1077" t="s">
        <v>3323</v>
      </c>
      <c r="H1077" t="s">
        <v>3686</v>
      </c>
      <c r="I1077" t="s">
        <v>1899</v>
      </c>
    </row>
    <row r="1078" spans="1:9">
      <c r="A1078" t="str">
        <f>"0209069 "</f>
        <v xml:space="preserve">0209069 </v>
      </c>
      <c r="B1078" t="s">
        <v>3323</v>
      </c>
      <c r="C1078" t="s">
        <v>2285</v>
      </c>
      <c r="D1078" t="s">
        <v>3689</v>
      </c>
      <c r="E1078">
        <v>3</v>
      </c>
      <c r="F1078" t="s">
        <v>3690</v>
      </c>
      <c r="G1078" t="s">
        <v>3323</v>
      </c>
      <c r="H1078" t="s">
        <v>2285</v>
      </c>
      <c r="I1078" t="s">
        <v>1899</v>
      </c>
    </row>
    <row r="1079" spans="1:9">
      <c r="A1079" t="str">
        <f>"0209073 "</f>
        <v xml:space="preserve">0209073 </v>
      </c>
      <c r="B1079" t="s">
        <v>3323</v>
      </c>
      <c r="C1079" t="s">
        <v>3691</v>
      </c>
      <c r="D1079" t="s">
        <v>3692</v>
      </c>
      <c r="E1079">
        <v>1</v>
      </c>
      <c r="F1079" t="s">
        <v>3693</v>
      </c>
      <c r="G1079" t="s">
        <v>3323</v>
      </c>
      <c r="H1079" t="s">
        <v>3691</v>
      </c>
      <c r="I1079" t="s">
        <v>1899</v>
      </c>
    </row>
    <row r="1080" spans="1:9">
      <c r="A1080" t="str">
        <f>"0209084 "</f>
        <v xml:space="preserve">0209084 </v>
      </c>
      <c r="B1080" t="s">
        <v>3323</v>
      </c>
      <c r="C1080" t="s">
        <v>2293</v>
      </c>
      <c r="D1080" t="s">
        <v>3694</v>
      </c>
      <c r="E1080">
        <v>2</v>
      </c>
      <c r="F1080" t="s">
        <v>3695</v>
      </c>
      <c r="G1080" t="s">
        <v>3323</v>
      </c>
      <c r="H1080" t="s">
        <v>2293</v>
      </c>
      <c r="I1080" t="s">
        <v>1899</v>
      </c>
    </row>
    <row r="1081" spans="1:9">
      <c r="A1081" t="str">
        <f>"0209088 "</f>
        <v xml:space="preserve">0209088 </v>
      </c>
      <c r="B1081" t="s">
        <v>3323</v>
      </c>
      <c r="C1081" t="s">
        <v>3696</v>
      </c>
      <c r="D1081" t="s">
        <v>3697</v>
      </c>
      <c r="E1081">
        <v>1</v>
      </c>
      <c r="F1081" t="s">
        <v>3162</v>
      </c>
      <c r="G1081" t="s">
        <v>3323</v>
      </c>
      <c r="H1081" t="s">
        <v>3696</v>
      </c>
      <c r="I1081" t="s">
        <v>1899</v>
      </c>
    </row>
    <row r="1082" spans="1:9">
      <c r="A1082" t="str">
        <f>"0209089 "</f>
        <v xml:space="preserve">0209089 </v>
      </c>
      <c r="B1082" t="s">
        <v>3323</v>
      </c>
      <c r="C1082" t="s">
        <v>3698</v>
      </c>
      <c r="D1082" t="s">
        <v>3699</v>
      </c>
      <c r="E1082">
        <v>1</v>
      </c>
      <c r="F1082" t="s">
        <v>3700</v>
      </c>
      <c r="G1082" t="s">
        <v>3323</v>
      </c>
      <c r="H1082" t="s">
        <v>3698</v>
      </c>
      <c r="I1082" t="s">
        <v>3701</v>
      </c>
    </row>
    <row r="1083" spans="1:9">
      <c r="A1083" t="str">
        <f>"0209097 "</f>
        <v xml:space="preserve">0209097 </v>
      </c>
      <c r="B1083" t="s">
        <v>3323</v>
      </c>
      <c r="C1083" t="s">
        <v>2317</v>
      </c>
      <c r="D1083" t="s">
        <v>3702</v>
      </c>
      <c r="E1083">
        <v>1</v>
      </c>
      <c r="F1083" t="s">
        <v>3703</v>
      </c>
      <c r="G1083" t="s">
        <v>3323</v>
      </c>
      <c r="H1083" t="s">
        <v>2317</v>
      </c>
      <c r="I1083" t="s">
        <v>1899</v>
      </c>
    </row>
    <row r="1084" spans="1:9">
      <c r="A1084" t="str">
        <f>"0209105 "</f>
        <v xml:space="preserve">0209105 </v>
      </c>
      <c r="B1084" t="s">
        <v>3323</v>
      </c>
      <c r="C1084" t="s">
        <v>3704</v>
      </c>
      <c r="D1084" t="s">
        <v>3705</v>
      </c>
      <c r="E1084">
        <v>1</v>
      </c>
      <c r="F1084" t="s">
        <v>3706</v>
      </c>
      <c r="G1084" t="s">
        <v>3323</v>
      </c>
      <c r="H1084" t="s">
        <v>3704</v>
      </c>
      <c r="I1084" t="s">
        <v>1899</v>
      </c>
    </row>
    <row r="1085" spans="1:9">
      <c r="A1085" t="str">
        <f>"0209110 "</f>
        <v xml:space="preserve">0209110 </v>
      </c>
      <c r="B1085" t="s">
        <v>3323</v>
      </c>
      <c r="C1085" t="s">
        <v>2321</v>
      </c>
      <c r="D1085" t="s">
        <v>3707</v>
      </c>
      <c r="E1085">
        <v>3</v>
      </c>
      <c r="F1085" t="s">
        <v>846</v>
      </c>
      <c r="G1085" t="s">
        <v>3323</v>
      </c>
      <c r="H1085" t="s">
        <v>2321</v>
      </c>
      <c r="I1085" t="s">
        <v>1899</v>
      </c>
    </row>
    <row r="1086" spans="1:9">
      <c r="A1086" t="str">
        <f>"0209113 "</f>
        <v xml:space="preserve">0209113 </v>
      </c>
      <c r="B1086" t="s">
        <v>3323</v>
      </c>
      <c r="C1086" t="s">
        <v>2329</v>
      </c>
      <c r="D1086" t="s">
        <v>3708</v>
      </c>
      <c r="E1086">
        <v>1</v>
      </c>
      <c r="F1086" t="s">
        <v>3709</v>
      </c>
      <c r="G1086" t="s">
        <v>3323</v>
      </c>
      <c r="H1086" t="s">
        <v>2329</v>
      </c>
      <c r="I1086" t="s">
        <v>1899</v>
      </c>
    </row>
    <row r="1087" spans="1:9">
      <c r="A1087" t="str">
        <f>"0209115 "</f>
        <v xml:space="preserve">0209115 </v>
      </c>
      <c r="B1087" t="s">
        <v>3323</v>
      </c>
      <c r="C1087" t="s">
        <v>3710</v>
      </c>
      <c r="D1087" t="s">
        <v>3711</v>
      </c>
      <c r="E1087">
        <v>2</v>
      </c>
      <c r="F1087" t="s">
        <v>3712</v>
      </c>
      <c r="G1087" t="s">
        <v>3323</v>
      </c>
      <c r="H1087" t="s">
        <v>3710</v>
      </c>
      <c r="I1087" t="s">
        <v>1899</v>
      </c>
    </row>
    <row r="1088" spans="1:9">
      <c r="A1088" t="str">
        <f>"0209126 "</f>
        <v xml:space="preserve">0209126 </v>
      </c>
      <c r="B1088" t="s">
        <v>3323</v>
      </c>
      <c r="C1088" t="s">
        <v>3713</v>
      </c>
      <c r="D1088" t="s">
        <v>3714</v>
      </c>
      <c r="E1088">
        <v>2</v>
      </c>
      <c r="F1088" t="s">
        <v>3715</v>
      </c>
      <c r="G1088" t="s">
        <v>3323</v>
      </c>
      <c r="H1088" t="s">
        <v>3713</v>
      </c>
      <c r="I1088" t="s">
        <v>3716</v>
      </c>
    </row>
    <row r="1089" spans="1:9">
      <c r="A1089" t="str">
        <f>"0209134 "</f>
        <v xml:space="preserve">0209134 </v>
      </c>
      <c r="B1089" t="s">
        <v>3323</v>
      </c>
      <c r="C1089" t="s">
        <v>3717</v>
      </c>
      <c r="D1089" t="s">
        <v>3718</v>
      </c>
      <c r="E1089">
        <v>2</v>
      </c>
      <c r="F1089" t="s">
        <v>3719</v>
      </c>
      <c r="G1089" t="s">
        <v>3323</v>
      </c>
      <c r="H1089" t="s">
        <v>3717</v>
      </c>
      <c r="I1089" t="s">
        <v>1899</v>
      </c>
    </row>
    <row r="1090" spans="1:9">
      <c r="A1090" t="str">
        <f>"0209141 "</f>
        <v xml:space="preserve">0209141 </v>
      </c>
      <c r="B1090" t="s">
        <v>3323</v>
      </c>
      <c r="C1090" t="s">
        <v>2359</v>
      </c>
      <c r="D1090" t="s">
        <v>3720</v>
      </c>
      <c r="E1090">
        <v>1</v>
      </c>
      <c r="F1090" t="s">
        <v>2057</v>
      </c>
      <c r="G1090" t="s">
        <v>3323</v>
      </c>
      <c r="H1090" t="s">
        <v>2359</v>
      </c>
      <c r="I1090" t="s">
        <v>1899</v>
      </c>
    </row>
    <row r="1091" spans="1:9">
      <c r="A1091" t="str">
        <f>"0209143 "</f>
        <v xml:space="preserve">0209143 </v>
      </c>
      <c r="B1091" t="s">
        <v>3323</v>
      </c>
      <c r="C1091" t="s">
        <v>3721</v>
      </c>
      <c r="D1091" t="s">
        <v>3722</v>
      </c>
      <c r="E1091">
        <v>1</v>
      </c>
      <c r="F1091" t="s">
        <v>3723</v>
      </c>
      <c r="G1091" t="s">
        <v>3323</v>
      </c>
      <c r="H1091" t="s">
        <v>3721</v>
      </c>
      <c r="I1091" t="s">
        <v>1899</v>
      </c>
    </row>
    <row r="1092" spans="1:9">
      <c r="A1092" t="str">
        <f>"0209149 "</f>
        <v xml:space="preserve">0209149 </v>
      </c>
      <c r="B1092" t="s">
        <v>3323</v>
      </c>
      <c r="C1092" t="s">
        <v>3724</v>
      </c>
      <c r="D1092" t="s">
        <v>3725</v>
      </c>
      <c r="E1092">
        <v>2</v>
      </c>
      <c r="F1092" t="s">
        <v>3726</v>
      </c>
      <c r="G1092" t="s">
        <v>3323</v>
      </c>
      <c r="H1092" t="s">
        <v>3724</v>
      </c>
      <c r="I1092" t="s">
        <v>1899</v>
      </c>
    </row>
    <row r="1093" spans="1:9">
      <c r="A1093" t="str">
        <f>"0209150 "</f>
        <v xml:space="preserve">0209150 </v>
      </c>
      <c r="B1093" t="s">
        <v>3323</v>
      </c>
      <c r="C1093" t="s">
        <v>2374</v>
      </c>
      <c r="D1093" t="s">
        <v>3727</v>
      </c>
      <c r="E1093">
        <v>1</v>
      </c>
      <c r="F1093" t="s">
        <v>3611</v>
      </c>
      <c r="G1093" t="s">
        <v>3323</v>
      </c>
      <c r="H1093" t="s">
        <v>2374</v>
      </c>
      <c r="I1093" t="s">
        <v>3728</v>
      </c>
    </row>
    <row r="1094" spans="1:9">
      <c r="A1094" t="str">
        <f>"0209152 "</f>
        <v xml:space="preserve">0209152 </v>
      </c>
      <c r="B1094" t="s">
        <v>3323</v>
      </c>
      <c r="C1094" t="s">
        <v>3729</v>
      </c>
      <c r="D1094" t="s">
        <v>3730</v>
      </c>
      <c r="E1094">
        <v>1</v>
      </c>
      <c r="F1094" t="s">
        <v>3731</v>
      </c>
      <c r="G1094" t="s">
        <v>3323</v>
      </c>
      <c r="H1094" t="s">
        <v>3729</v>
      </c>
      <c r="I1094" t="s">
        <v>1899</v>
      </c>
    </row>
    <row r="1095" spans="1:9">
      <c r="A1095" t="str">
        <f>"0209153 "</f>
        <v xml:space="preserve">0209153 </v>
      </c>
      <c r="B1095" t="s">
        <v>3323</v>
      </c>
      <c r="C1095" t="s">
        <v>3732</v>
      </c>
      <c r="D1095" t="s">
        <v>3733</v>
      </c>
      <c r="E1095">
        <v>2</v>
      </c>
      <c r="F1095" t="s">
        <v>2191</v>
      </c>
      <c r="G1095" t="s">
        <v>3323</v>
      </c>
      <c r="H1095" t="s">
        <v>3732</v>
      </c>
      <c r="I1095" t="s">
        <v>1899</v>
      </c>
    </row>
    <row r="1096" spans="1:9">
      <c r="A1096" t="str">
        <f>"0209155 "</f>
        <v xml:space="preserve">0209155 </v>
      </c>
      <c r="B1096" t="s">
        <v>3323</v>
      </c>
      <c r="C1096" t="s">
        <v>2378</v>
      </c>
      <c r="D1096" t="s">
        <v>3734</v>
      </c>
      <c r="E1096">
        <v>1</v>
      </c>
      <c r="F1096" t="s">
        <v>3735</v>
      </c>
      <c r="G1096" t="s">
        <v>3323</v>
      </c>
      <c r="H1096" t="s">
        <v>2378</v>
      </c>
      <c r="I1096" t="s">
        <v>1899</v>
      </c>
    </row>
    <row r="1097" spans="1:9">
      <c r="A1097" t="str">
        <f>"0209157 "</f>
        <v xml:space="preserve">0209157 </v>
      </c>
      <c r="B1097" t="s">
        <v>3323</v>
      </c>
      <c r="C1097" t="s">
        <v>2382</v>
      </c>
      <c r="D1097" t="s">
        <v>3736</v>
      </c>
      <c r="E1097">
        <v>1</v>
      </c>
      <c r="F1097" t="s">
        <v>3688</v>
      </c>
      <c r="G1097" t="s">
        <v>3323</v>
      </c>
      <c r="H1097" t="s">
        <v>2382</v>
      </c>
      <c r="I1097" t="s">
        <v>1899</v>
      </c>
    </row>
    <row r="1098" spans="1:9">
      <c r="A1098" t="str">
        <f>"0209160 "</f>
        <v xml:space="preserve">0209160 </v>
      </c>
      <c r="B1098" t="s">
        <v>3323</v>
      </c>
      <c r="C1098" t="s">
        <v>2386</v>
      </c>
      <c r="D1098" t="s">
        <v>3737</v>
      </c>
      <c r="E1098">
        <v>2</v>
      </c>
      <c r="F1098" t="s">
        <v>3738</v>
      </c>
      <c r="G1098" t="s">
        <v>3323</v>
      </c>
      <c r="H1098" t="s">
        <v>2386</v>
      </c>
      <c r="I1098" t="s">
        <v>1899</v>
      </c>
    </row>
    <row r="1099" spans="1:9">
      <c r="A1099" t="str">
        <f>"0209161 "</f>
        <v xml:space="preserve">0209161 </v>
      </c>
      <c r="B1099" t="s">
        <v>3323</v>
      </c>
      <c r="C1099" t="s">
        <v>3739</v>
      </c>
      <c r="D1099" t="s">
        <v>3740</v>
      </c>
      <c r="E1099">
        <v>1</v>
      </c>
      <c r="F1099" t="s">
        <v>3741</v>
      </c>
      <c r="G1099" t="s">
        <v>3323</v>
      </c>
      <c r="H1099" t="s">
        <v>3739</v>
      </c>
      <c r="I1099" t="s">
        <v>1899</v>
      </c>
    </row>
    <row r="1100" spans="1:9">
      <c r="A1100" t="str">
        <f>"0209167 "</f>
        <v xml:space="preserve">0209167 </v>
      </c>
      <c r="B1100" t="s">
        <v>3323</v>
      </c>
      <c r="C1100" t="s">
        <v>3742</v>
      </c>
      <c r="D1100" t="s">
        <v>3743</v>
      </c>
      <c r="E1100">
        <v>1</v>
      </c>
      <c r="F1100" t="s">
        <v>3744</v>
      </c>
      <c r="G1100" t="s">
        <v>3323</v>
      </c>
      <c r="H1100" t="s">
        <v>3742</v>
      </c>
      <c r="I1100" t="s">
        <v>1899</v>
      </c>
    </row>
    <row r="1101" spans="1:9">
      <c r="A1101" t="str">
        <f>"0209173 "</f>
        <v xml:space="preserve">0209173 </v>
      </c>
      <c r="B1101" t="s">
        <v>3323</v>
      </c>
      <c r="C1101" t="s">
        <v>3745</v>
      </c>
      <c r="D1101" t="s">
        <v>3746</v>
      </c>
      <c r="E1101">
        <v>3</v>
      </c>
      <c r="F1101" t="s">
        <v>3747</v>
      </c>
      <c r="G1101" t="s">
        <v>3323</v>
      </c>
      <c r="H1101" t="s">
        <v>3745</v>
      </c>
      <c r="I1101" t="s">
        <v>1899</v>
      </c>
    </row>
    <row r="1102" spans="1:9">
      <c r="A1102" t="str">
        <f>"0209174 "</f>
        <v xml:space="preserve">0209174 </v>
      </c>
      <c r="B1102" t="s">
        <v>3323</v>
      </c>
      <c r="C1102" t="s">
        <v>2398</v>
      </c>
      <c r="D1102" t="s">
        <v>3748</v>
      </c>
      <c r="E1102">
        <v>1</v>
      </c>
      <c r="F1102" t="s">
        <v>3749</v>
      </c>
      <c r="G1102" t="s">
        <v>3323</v>
      </c>
      <c r="H1102" t="s">
        <v>2398</v>
      </c>
      <c r="I1102" t="s">
        <v>1899</v>
      </c>
    </row>
    <row r="1103" spans="1:9">
      <c r="A1103" t="str">
        <f>"0209176 "</f>
        <v xml:space="preserve">0209176 </v>
      </c>
      <c r="B1103" t="s">
        <v>3323</v>
      </c>
      <c r="C1103" t="s">
        <v>2402</v>
      </c>
      <c r="D1103" t="s">
        <v>3750</v>
      </c>
      <c r="E1103">
        <v>2</v>
      </c>
      <c r="F1103" t="s">
        <v>3751</v>
      </c>
      <c r="G1103" t="s">
        <v>3323</v>
      </c>
      <c r="H1103" t="s">
        <v>2402</v>
      </c>
      <c r="I1103" t="s">
        <v>1899</v>
      </c>
    </row>
    <row r="1104" spans="1:9">
      <c r="A1104" t="str">
        <f>"0209181 "</f>
        <v xml:space="preserve">0209181 </v>
      </c>
      <c r="B1104" t="s">
        <v>3323</v>
      </c>
      <c r="C1104" t="s">
        <v>3752</v>
      </c>
      <c r="D1104" t="s">
        <v>3753</v>
      </c>
      <c r="E1104">
        <v>1</v>
      </c>
      <c r="F1104" t="s">
        <v>3754</v>
      </c>
      <c r="G1104" t="s">
        <v>3323</v>
      </c>
      <c r="H1104" t="s">
        <v>3752</v>
      </c>
      <c r="I1104" t="s">
        <v>1899</v>
      </c>
    </row>
    <row r="1105" spans="1:9">
      <c r="A1105" t="str">
        <f>"0209193 "</f>
        <v xml:space="preserve">0209193 </v>
      </c>
      <c r="B1105" t="s">
        <v>3323</v>
      </c>
      <c r="C1105" t="s">
        <v>3755</v>
      </c>
      <c r="D1105" t="s">
        <v>3756</v>
      </c>
      <c r="E1105">
        <v>2</v>
      </c>
      <c r="F1105" t="s">
        <v>3757</v>
      </c>
      <c r="G1105" t="s">
        <v>3323</v>
      </c>
      <c r="H1105" t="s">
        <v>3755</v>
      </c>
      <c r="I1105" t="s">
        <v>1899</v>
      </c>
    </row>
    <row r="1106" spans="1:9">
      <c r="A1106" t="str">
        <f>"0209194 "</f>
        <v xml:space="preserve">0209194 </v>
      </c>
      <c r="B1106" t="s">
        <v>3323</v>
      </c>
      <c r="C1106" t="s">
        <v>2434</v>
      </c>
      <c r="D1106" t="s">
        <v>3758</v>
      </c>
      <c r="E1106">
        <v>1</v>
      </c>
      <c r="F1106" t="s">
        <v>3759</v>
      </c>
      <c r="G1106" t="s">
        <v>3323</v>
      </c>
      <c r="H1106" t="s">
        <v>2434</v>
      </c>
      <c r="I1106" t="s">
        <v>3760</v>
      </c>
    </row>
    <row r="1107" spans="1:9">
      <c r="A1107" t="str">
        <f>"0209198 "</f>
        <v xml:space="preserve">0209198 </v>
      </c>
      <c r="B1107" t="s">
        <v>3323</v>
      </c>
      <c r="C1107" t="s">
        <v>2438</v>
      </c>
      <c r="D1107" t="s">
        <v>3761</v>
      </c>
      <c r="E1107">
        <v>1</v>
      </c>
      <c r="F1107" t="s">
        <v>3677</v>
      </c>
      <c r="G1107" t="s">
        <v>3323</v>
      </c>
      <c r="H1107" t="s">
        <v>2438</v>
      </c>
      <c r="I1107" t="s">
        <v>1899</v>
      </c>
    </row>
    <row r="1108" spans="1:9">
      <c r="A1108" t="str">
        <f>"0209211 "</f>
        <v xml:space="preserve">0209211 </v>
      </c>
      <c r="B1108" t="s">
        <v>3323</v>
      </c>
      <c r="C1108" t="s">
        <v>3762</v>
      </c>
      <c r="D1108" t="s">
        <v>3763</v>
      </c>
      <c r="E1108">
        <v>1</v>
      </c>
      <c r="F1108" t="s">
        <v>3764</v>
      </c>
      <c r="G1108" t="s">
        <v>3323</v>
      </c>
      <c r="H1108" t="s">
        <v>3762</v>
      </c>
      <c r="I1108" t="s">
        <v>1899</v>
      </c>
    </row>
    <row r="1109" spans="1:9">
      <c r="A1109" t="str">
        <f>"0209222 "</f>
        <v xml:space="preserve">0209222 </v>
      </c>
      <c r="B1109" t="s">
        <v>3323</v>
      </c>
      <c r="C1109" t="s">
        <v>2465</v>
      </c>
      <c r="D1109" t="s">
        <v>3765</v>
      </c>
      <c r="E1109">
        <v>2</v>
      </c>
      <c r="F1109" t="s">
        <v>3766</v>
      </c>
      <c r="G1109" t="s">
        <v>3323</v>
      </c>
      <c r="H1109" t="s">
        <v>2465</v>
      </c>
      <c r="I1109" t="s">
        <v>1899</v>
      </c>
    </row>
    <row r="1110" spans="1:9">
      <c r="A1110" t="str">
        <f>"0209233 "</f>
        <v xml:space="preserve">0209233 </v>
      </c>
      <c r="B1110" t="s">
        <v>3323</v>
      </c>
      <c r="C1110" t="s">
        <v>3767</v>
      </c>
      <c r="D1110" t="s">
        <v>3768</v>
      </c>
      <c r="E1110">
        <v>1</v>
      </c>
      <c r="F1110" t="s">
        <v>3769</v>
      </c>
      <c r="G1110" t="s">
        <v>3323</v>
      </c>
      <c r="H1110" t="s">
        <v>3767</v>
      </c>
      <c r="I1110" t="s">
        <v>1899</v>
      </c>
    </row>
    <row r="1111" spans="1:9">
      <c r="A1111" t="str">
        <f>"0209236 "</f>
        <v xml:space="preserve">0209236 </v>
      </c>
      <c r="B1111" t="s">
        <v>3323</v>
      </c>
      <c r="C1111" t="s">
        <v>2469</v>
      </c>
      <c r="D1111" t="s">
        <v>3770</v>
      </c>
      <c r="E1111">
        <v>1</v>
      </c>
      <c r="F1111" t="s">
        <v>3771</v>
      </c>
      <c r="G1111" t="s">
        <v>3323</v>
      </c>
      <c r="H1111" t="s">
        <v>2469</v>
      </c>
      <c r="I1111" t="s">
        <v>1899</v>
      </c>
    </row>
    <row r="1112" spans="1:9">
      <c r="A1112" t="str">
        <f>"0209237 "</f>
        <v xml:space="preserve">0209237 </v>
      </c>
      <c r="B1112" t="s">
        <v>3323</v>
      </c>
      <c r="C1112" t="s">
        <v>3772</v>
      </c>
      <c r="D1112" t="s">
        <v>3773</v>
      </c>
      <c r="E1112">
        <v>3</v>
      </c>
      <c r="F1112" t="s">
        <v>1337</v>
      </c>
      <c r="G1112" t="s">
        <v>3323</v>
      </c>
      <c r="H1112" t="s">
        <v>3772</v>
      </c>
      <c r="I1112" t="s">
        <v>1899</v>
      </c>
    </row>
    <row r="1113" spans="1:9">
      <c r="A1113" t="str">
        <f>"0209238 "</f>
        <v xml:space="preserve">0209238 </v>
      </c>
      <c r="B1113" t="s">
        <v>3323</v>
      </c>
      <c r="C1113" t="s">
        <v>3774</v>
      </c>
      <c r="D1113" t="s">
        <v>3775</v>
      </c>
      <c r="E1113">
        <v>1</v>
      </c>
      <c r="F1113" t="s">
        <v>3776</v>
      </c>
      <c r="G1113" t="s">
        <v>3323</v>
      </c>
      <c r="H1113" t="s">
        <v>3774</v>
      </c>
      <c r="I1113" t="s">
        <v>1899</v>
      </c>
    </row>
    <row r="1114" spans="1:9">
      <c r="A1114" t="str">
        <f>"0209240 "</f>
        <v xml:space="preserve">0209240 </v>
      </c>
      <c r="B1114" t="s">
        <v>3323</v>
      </c>
      <c r="C1114" t="s">
        <v>2473</v>
      </c>
      <c r="D1114" t="s">
        <v>3777</v>
      </c>
      <c r="E1114">
        <v>3</v>
      </c>
      <c r="F1114" t="s">
        <v>3744</v>
      </c>
      <c r="G1114" t="s">
        <v>3323</v>
      </c>
      <c r="H1114" t="s">
        <v>2473</v>
      </c>
      <c r="I1114" t="s">
        <v>1899</v>
      </c>
    </row>
    <row r="1115" spans="1:9">
      <c r="A1115" t="str">
        <f>"0209245 "</f>
        <v xml:space="preserve">0209245 </v>
      </c>
      <c r="B1115" t="s">
        <v>3323</v>
      </c>
      <c r="C1115" t="s">
        <v>3778</v>
      </c>
      <c r="D1115" t="s">
        <v>3779</v>
      </c>
      <c r="E1115">
        <v>1</v>
      </c>
      <c r="F1115" t="s">
        <v>3780</v>
      </c>
      <c r="G1115" t="s">
        <v>3323</v>
      </c>
      <c r="H1115" t="s">
        <v>3778</v>
      </c>
      <c r="I1115" t="s">
        <v>3781</v>
      </c>
    </row>
    <row r="1116" spans="1:9">
      <c r="A1116" t="str">
        <f>"0209252 "</f>
        <v xml:space="preserve">0209252 </v>
      </c>
      <c r="B1116" t="s">
        <v>3323</v>
      </c>
      <c r="C1116" t="s">
        <v>3782</v>
      </c>
      <c r="D1116" t="s">
        <v>3783</v>
      </c>
      <c r="E1116">
        <v>1</v>
      </c>
      <c r="F1116" t="s">
        <v>3738</v>
      </c>
      <c r="G1116" t="s">
        <v>3323</v>
      </c>
      <c r="H1116" t="s">
        <v>3782</v>
      </c>
      <c r="I1116" t="s">
        <v>1899</v>
      </c>
    </row>
    <row r="1117" spans="1:9">
      <c r="A1117" t="str">
        <f>"0209254 "</f>
        <v xml:space="preserve">0209254 </v>
      </c>
      <c r="B1117" t="s">
        <v>3323</v>
      </c>
      <c r="C1117" t="s">
        <v>3784</v>
      </c>
      <c r="D1117" t="s">
        <v>3785</v>
      </c>
      <c r="E1117">
        <v>2</v>
      </c>
      <c r="F1117" t="s">
        <v>3786</v>
      </c>
      <c r="G1117" t="s">
        <v>3323</v>
      </c>
      <c r="H1117" t="s">
        <v>3784</v>
      </c>
      <c r="I1117" t="s">
        <v>3787</v>
      </c>
    </row>
    <row r="1118" spans="1:9">
      <c r="A1118" t="str">
        <f>"0209257 "</f>
        <v xml:space="preserve">0209257 </v>
      </c>
      <c r="B1118" t="s">
        <v>3323</v>
      </c>
      <c r="C1118" t="s">
        <v>3788</v>
      </c>
      <c r="D1118" t="s">
        <v>3789</v>
      </c>
      <c r="E1118">
        <v>1</v>
      </c>
      <c r="F1118" t="s">
        <v>3790</v>
      </c>
      <c r="G1118" t="s">
        <v>3323</v>
      </c>
      <c r="H1118" t="s">
        <v>3788</v>
      </c>
      <c r="I1118" t="s">
        <v>3781</v>
      </c>
    </row>
    <row r="1119" spans="1:9">
      <c r="A1119" t="str">
        <f>"0209259 "</f>
        <v xml:space="preserve">0209259 </v>
      </c>
      <c r="B1119" t="s">
        <v>3323</v>
      </c>
      <c r="C1119" t="s">
        <v>3791</v>
      </c>
      <c r="D1119" t="s">
        <v>3792</v>
      </c>
      <c r="E1119">
        <v>2</v>
      </c>
      <c r="F1119" t="s">
        <v>3793</v>
      </c>
      <c r="G1119" t="s">
        <v>3323</v>
      </c>
      <c r="H1119" t="s">
        <v>3791</v>
      </c>
      <c r="I1119" t="s">
        <v>1899</v>
      </c>
    </row>
    <row r="1120" spans="1:9">
      <c r="A1120" t="str">
        <f>"0209262 "</f>
        <v xml:space="preserve">0209262 </v>
      </c>
      <c r="B1120" t="s">
        <v>3323</v>
      </c>
      <c r="C1120" t="s">
        <v>3794</v>
      </c>
      <c r="D1120" t="s">
        <v>3795</v>
      </c>
      <c r="E1120">
        <v>1</v>
      </c>
      <c r="F1120" t="s">
        <v>3796</v>
      </c>
      <c r="G1120" t="s">
        <v>3323</v>
      </c>
      <c r="H1120" t="s">
        <v>3794</v>
      </c>
      <c r="I1120" t="s">
        <v>1899</v>
      </c>
    </row>
    <row r="1121" spans="1:9">
      <c r="A1121" t="str">
        <f>"0209264 "</f>
        <v xml:space="preserve">0209264 </v>
      </c>
      <c r="B1121" t="s">
        <v>3323</v>
      </c>
      <c r="C1121" t="s">
        <v>2508</v>
      </c>
      <c r="D1121" t="s">
        <v>3797</v>
      </c>
      <c r="E1121">
        <v>1</v>
      </c>
      <c r="F1121" t="s">
        <v>3798</v>
      </c>
      <c r="G1121" t="s">
        <v>3323</v>
      </c>
      <c r="H1121" t="s">
        <v>2508</v>
      </c>
      <c r="I1121" t="s">
        <v>1899</v>
      </c>
    </row>
    <row r="1122" spans="1:9">
      <c r="A1122" t="str">
        <f>"0209267 "</f>
        <v xml:space="preserve">0209267 </v>
      </c>
      <c r="B1122" t="s">
        <v>3323</v>
      </c>
      <c r="C1122" t="s">
        <v>3799</v>
      </c>
      <c r="D1122" t="s">
        <v>3800</v>
      </c>
      <c r="E1122">
        <v>1</v>
      </c>
      <c r="F1122" t="s">
        <v>3801</v>
      </c>
      <c r="G1122" t="s">
        <v>3323</v>
      </c>
      <c r="H1122" t="s">
        <v>3799</v>
      </c>
      <c r="I1122" t="s">
        <v>1899</v>
      </c>
    </row>
    <row r="1123" spans="1:9">
      <c r="A1123" t="str">
        <f>"0209274 "</f>
        <v xml:space="preserve">0209274 </v>
      </c>
      <c r="B1123" t="s">
        <v>3323</v>
      </c>
      <c r="C1123" t="s">
        <v>3802</v>
      </c>
      <c r="D1123" t="s">
        <v>3803</v>
      </c>
      <c r="E1123">
        <v>1</v>
      </c>
      <c r="F1123" t="s">
        <v>3804</v>
      </c>
      <c r="G1123" t="s">
        <v>3323</v>
      </c>
      <c r="H1123" t="s">
        <v>3802</v>
      </c>
      <c r="I1123" t="s">
        <v>1899</v>
      </c>
    </row>
    <row r="1124" spans="1:9">
      <c r="A1124" t="str">
        <f>"0209276 "</f>
        <v xml:space="preserve">0209276 </v>
      </c>
      <c r="B1124" t="s">
        <v>3323</v>
      </c>
      <c r="C1124" t="s">
        <v>3805</v>
      </c>
      <c r="D1124" t="s">
        <v>3806</v>
      </c>
      <c r="E1124">
        <v>1</v>
      </c>
      <c r="F1124" t="s">
        <v>3807</v>
      </c>
      <c r="G1124" t="s">
        <v>3323</v>
      </c>
      <c r="H1124" t="s">
        <v>3805</v>
      </c>
      <c r="I1124" t="s">
        <v>1899</v>
      </c>
    </row>
    <row r="1125" spans="1:9">
      <c r="A1125" t="str">
        <f>"0209292 "</f>
        <v xml:space="preserve">0209292 </v>
      </c>
      <c r="B1125" t="s">
        <v>3323</v>
      </c>
      <c r="C1125" t="s">
        <v>3808</v>
      </c>
      <c r="D1125" t="s">
        <v>3809</v>
      </c>
      <c r="E1125">
        <v>1</v>
      </c>
      <c r="F1125" t="s">
        <v>3810</v>
      </c>
      <c r="G1125" t="s">
        <v>3323</v>
      </c>
      <c r="H1125" t="s">
        <v>3808</v>
      </c>
      <c r="I1125" t="s">
        <v>1899</v>
      </c>
    </row>
    <row r="1126" spans="1:9">
      <c r="A1126" t="str">
        <f>"0209296 "</f>
        <v xml:space="preserve">0209296 </v>
      </c>
      <c r="B1126" t="s">
        <v>3323</v>
      </c>
      <c r="C1126" t="s">
        <v>3811</v>
      </c>
      <c r="D1126" t="s">
        <v>3812</v>
      </c>
      <c r="E1126">
        <v>1</v>
      </c>
      <c r="F1126" t="s">
        <v>3813</v>
      </c>
      <c r="G1126" t="s">
        <v>3323</v>
      </c>
      <c r="H1126" t="s">
        <v>3811</v>
      </c>
      <c r="I1126" t="s">
        <v>1899</v>
      </c>
    </row>
    <row r="1127" spans="1:9">
      <c r="A1127" t="str">
        <f>"0209306 "</f>
        <v xml:space="preserve">0209306 </v>
      </c>
      <c r="B1127" t="s">
        <v>3323</v>
      </c>
      <c r="C1127" t="s">
        <v>3814</v>
      </c>
      <c r="D1127" t="s">
        <v>3815</v>
      </c>
      <c r="E1127" t="s">
        <v>16</v>
      </c>
      <c r="F1127" t="s">
        <v>3816</v>
      </c>
      <c r="G1127" t="s">
        <v>3323</v>
      </c>
      <c r="H1127" t="s">
        <v>3814</v>
      </c>
      <c r="I1127" t="s">
        <v>1899</v>
      </c>
    </row>
    <row r="1128" spans="1:9">
      <c r="A1128" t="str">
        <f>"0209313 "</f>
        <v xml:space="preserve">0209313 </v>
      </c>
      <c r="B1128" t="s">
        <v>3323</v>
      </c>
      <c r="C1128" t="s">
        <v>3817</v>
      </c>
      <c r="D1128" t="s">
        <v>3818</v>
      </c>
      <c r="E1128" t="s">
        <v>16</v>
      </c>
      <c r="F1128" t="s">
        <v>3517</v>
      </c>
      <c r="G1128" t="s">
        <v>3323</v>
      </c>
      <c r="H1128" t="s">
        <v>3817</v>
      </c>
      <c r="I1128" t="s">
        <v>1899</v>
      </c>
    </row>
    <row r="1129" spans="1:9">
      <c r="A1129" t="str">
        <f>"0209326 "</f>
        <v xml:space="preserve">0209326 </v>
      </c>
      <c r="B1129" t="s">
        <v>3323</v>
      </c>
      <c r="C1129" t="s">
        <v>3819</v>
      </c>
      <c r="D1129" t="s">
        <v>3820</v>
      </c>
      <c r="E1129">
        <v>1</v>
      </c>
      <c r="F1129" t="s">
        <v>3821</v>
      </c>
      <c r="G1129" t="s">
        <v>3323</v>
      </c>
      <c r="H1129" t="s">
        <v>3819</v>
      </c>
      <c r="I1129" t="s">
        <v>1899</v>
      </c>
    </row>
    <row r="1130" spans="1:9">
      <c r="A1130" t="str">
        <f>"0209328 "</f>
        <v xml:space="preserve">0209328 </v>
      </c>
      <c r="B1130" t="s">
        <v>3323</v>
      </c>
      <c r="C1130" t="s">
        <v>3822</v>
      </c>
      <c r="D1130" t="s">
        <v>3823</v>
      </c>
      <c r="E1130">
        <v>1</v>
      </c>
      <c r="F1130" t="s">
        <v>3824</v>
      </c>
      <c r="G1130" t="s">
        <v>3323</v>
      </c>
      <c r="H1130" t="s">
        <v>3822</v>
      </c>
      <c r="I1130" t="s">
        <v>3825</v>
      </c>
    </row>
    <row r="1131" spans="1:9">
      <c r="A1131" t="str">
        <f>"0209342 "</f>
        <v xml:space="preserve">0209342 </v>
      </c>
      <c r="B1131" t="s">
        <v>3323</v>
      </c>
      <c r="C1131" t="s">
        <v>3826</v>
      </c>
      <c r="D1131" t="s">
        <v>3827</v>
      </c>
      <c r="E1131">
        <v>2</v>
      </c>
      <c r="F1131" t="s">
        <v>3828</v>
      </c>
      <c r="G1131" t="s">
        <v>3323</v>
      </c>
      <c r="H1131" t="s">
        <v>3826</v>
      </c>
      <c r="I1131" t="s">
        <v>1899</v>
      </c>
    </row>
    <row r="1132" spans="1:9">
      <c r="A1132" t="str">
        <f>"0209345 "</f>
        <v xml:space="preserve">0209345 </v>
      </c>
      <c r="B1132" t="s">
        <v>3323</v>
      </c>
      <c r="C1132" t="s">
        <v>2542</v>
      </c>
      <c r="D1132" t="s">
        <v>3829</v>
      </c>
      <c r="E1132">
        <v>5</v>
      </c>
      <c r="F1132" t="s">
        <v>3633</v>
      </c>
      <c r="G1132" t="s">
        <v>3323</v>
      </c>
      <c r="H1132" t="s">
        <v>2542</v>
      </c>
      <c r="I1132" t="s">
        <v>1899</v>
      </c>
    </row>
    <row r="1133" spans="1:9">
      <c r="A1133" t="str">
        <f>"0209346 "</f>
        <v xml:space="preserve">0209346 </v>
      </c>
      <c r="B1133" t="s">
        <v>3323</v>
      </c>
      <c r="C1133" t="s">
        <v>2546</v>
      </c>
      <c r="D1133" t="s">
        <v>3830</v>
      </c>
      <c r="E1133">
        <v>1</v>
      </c>
      <c r="F1133" t="s">
        <v>3633</v>
      </c>
      <c r="G1133" t="s">
        <v>3323</v>
      </c>
      <c r="H1133" t="s">
        <v>2546</v>
      </c>
      <c r="I1133" t="s">
        <v>1899</v>
      </c>
    </row>
    <row r="1134" spans="1:9">
      <c r="A1134" t="str">
        <f>"0209348 "</f>
        <v xml:space="preserve">0209348 </v>
      </c>
      <c r="B1134" t="s">
        <v>3323</v>
      </c>
      <c r="C1134" t="s">
        <v>2550</v>
      </c>
      <c r="D1134" t="s">
        <v>3831</v>
      </c>
      <c r="E1134">
        <v>1</v>
      </c>
      <c r="F1134" t="s">
        <v>3832</v>
      </c>
      <c r="G1134" t="s">
        <v>3323</v>
      </c>
      <c r="H1134" t="s">
        <v>2550</v>
      </c>
      <c r="I1134" t="s">
        <v>1899</v>
      </c>
    </row>
    <row r="1135" spans="1:9">
      <c r="A1135" t="str">
        <f>"0209350 "</f>
        <v xml:space="preserve">0209350 </v>
      </c>
      <c r="B1135" t="s">
        <v>3323</v>
      </c>
      <c r="C1135" t="s">
        <v>2554</v>
      </c>
      <c r="D1135" t="s">
        <v>3833</v>
      </c>
      <c r="E1135">
        <v>3</v>
      </c>
      <c r="F1135" t="s">
        <v>3832</v>
      </c>
      <c r="G1135" t="s">
        <v>3323</v>
      </c>
      <c r="H1135" t="s">
        <v>2554</v>
      </c>
      <c r="I1135" t="s">
        <v>1899</v>
      </c>
    </row>
    <row r="1136" spans="1:9">
      <c r="A1136" t="str">
        <f>"0209352 "</f>
        <v xml:space="preserve">0209352 </v>
      </c>
      <c r="B1136" t="s">
        <v>3323</v>
      </c>
      <c r="C1136" t="s">
        <v>2557</v>
      </c>
      <c r="D1136" t="s">
        <v>3834</v>
      </c>
      <c r="E1136">
        <v>5</v>
      </c>
      <c r="F1136" t="s">
        <v>3554</v>
      </c>
      <c r="G1136" t="s">
        <v>3323</v>
      </c>
      <c r="H1136" t="s">
        <v>2557</v>
      </c>
      <c r="I1136" t="s">
        <v>1899</v>
      </c>
    </row>
    <row r="1137" spans="1:9">
      <c r="A1137" t="str">
        <f>"0209354 "</f>
        <v xml:space="preserve">0209354 </v>
      </c>
      <c r="B1137" t="s">
        <v>3323</v>
      </c>
      <c r="C1137" t="s">
        <v>3835</v>
      </c>
      <c r="D1137" t="s">
        <v>3836</v>
      </c>
      <c r="E1137">
        <v>1</v>
      </c>
      <c r="F1137" t="s">
        <v>3837</v>
      </c>
      <c r="G1137" t="s">
        <v>3323</v>
      </c>
      <c r="H1137" t="s">
        <v>3835</v>
      </c>
      <c r="I1137" t="s">
        <v>2559</v>
      </c>
    </row>
    <row r="1138" spans="1:9">
      <c r="A1138" t="str">
        <f>"0209357 "</f>
        <v xml:space="preserve">0209357 </v>
      </c>
      <c r="B1138" t="s">
        <v>3323</v>
      </c>
      <c r="C1138" t="s">
        <v>3838</v>
      </c>
      <c r="D1138" t="s">
        <v>3839</v>
      </c>
      <c r="E1138">
        <v>3</v>
      </c>
      <c r="F1138" t="s">
        <v>3840</v>
      </c>
      <c r="G1138" t="s">
        <v>3323</v>
      </c>
      <c r="H1138" t="s">
        <v>3838</v>
      </c>
      <c r="I1138" t="s">
        <v>1899</v>
      </c>
    </row>
    <row r="1139" spans="1:9">
      <c r="A1139" t="str">
        <f>"0209375 "</f>
        <v xml:space="preserve">0209375 </v>
      </c>
      <c r="B1139" t="s">
        <v>3323</v>
      </c>
      <c r="C1139" t="s">
        <v>3841</v>
      </c>
      <c r="D1139" t="s">
        <v>3842</v>
      </c>
      <c r="E1139">
        <v>1</v>
      </c>
      <c r="F1139" t="s">
        <v>3843</v>
      </c>
      <c r="G1139" t="s">
        <v>3323</v>
      </c>
      <c r="H1139" t="s">
        <v>3841</v>
      </c>
      <c r="I1139" t="s">
        <v>1899</v>
      </c>
    </row>
    <row r="1140" spans="1:9">
      <c r="A1140" t="str">
        <f>"0209382 "</f>
        <v xml:space="preserve">0209382 </v>
      </c>
      <c r="B1140" t="s">
        <v>3323</v>
      </c>
      <c r="C1140" t="s">
        <v>3844</v>
      </c>
      <c r="D1140" t="s">
        <v>3845</v>
      </c>
      <c r="E1140">
        <v>1</v>
      </c>
      <c r="F1140" t="s">
        <v>3846</v>
      </c>
      <c r="G1140" t="s">
        <v>3323</v>
      </c>
      <c r="H1140" t="s">
        <v>3844</v>
      </c>
      <c r="I1140" t="s">
        <v>1899</v>
      </c>
    </row>
    <row r="1141" spans="1:9">
      <c r="A1141" t="str">
        <f>"0209426 "</f>
        <v xml:space="preserve">0209426 </v>
      </c>
      <c r="B1141" t="s">
        <v>3323</v>
      </c>
      <c r="C1141" t="s">
        <v>3847</v>
      </c>
      <c r="D1141" t="s">
        <v>3848</v>
      </c>
      <c r="E1141">
        <v>1</v>
      </c>
      <c r="F1141" t="s">
        <v>3849</v>
      </c>
      <c r="G1141" t="s">
        <v>3323</v>
      </c>
      <c r="H1141" t="s">
        <v>3847</v>
      </c>
      <c r="I1141" t="s">
        <v>3850</v>
      </c>
    </row>
    <row r="1142" spans="1:9">
      <c r="A1142" t="str">
        <f>"0209432 "</f>
        <v xml:space="preserve">0209432 </v>
      </c>
      <c r="B1142" t="s">
        <v>3323</v>
      </c>
      <c r="C1142" t="s">
        <v>3851</v>
      </c>
      <c r="D1142" t="s">
        <v>3852</v>
      </c>
      <c r="E1142">
        <v>1</v>
      </c>
      <c r="F1142" t="s">
        <v>2592</v>
      </c>
      <c r="G1142" t="s">
        <v>3323</v>
      </c>
      <c r="H1142" t="s">
        <v>3851</v>
      </c>
      <c r="I1142" t="s">
        <v>3853</v>
      </c>
    </row>
    <row r="1143" spans="1:9">
      <c r="A1143" t="str">
        <f>"0209439 "</f>
        <v xml:space="preserve">0209439 </v>
      </c>
      <c r="B1143" t="s">
        <v>3323</v>
      </c>
      <c r="C1143" t="s">
        <v>3854</v>
      </c>
      <c r="D1143" t="s">
        <v>3855</v>
      </c>
      <c r="E1143">
        <v>1</v>
      </c>
      <c r="F1143" t="s">
        <v>3856</v>
      </c>
      <c r="G1143" t="s">
        <v>3323</v>
      </c>
      <c r="H1143" t="s">
        <v>3854</v>
      </c>
      <c r="I1143" t="s">
        <v>1899</v>
      </c>
    </row>
    <row r="1144" spans="1:9">
      <c r="A1144" t="str">
        <f>"0209448 "</f>
        <v xml:space="preserve">0209448 </v>
      </c>
      <c r="B1144" t="s">
        <v>3323</v>
      </c>
      <c r="C1144" t="s">
        <v>2593</v>
      </c>
      <c r="D1144" t="s">
        <v>3857</v>
      </c>
      <c r="E1144">
        <v>1</v>
      </c>
      <c r="F1144" t="s">
        <v>3858</v>
      </c>
      <c r="G1144" t="s">
        <v>3323</v>
      </c>
      <c r="H1144" t="s">
        <v>2593</v>
      </c>
      <c r="I1144" t="s">
        <v>3859</v>
      </c>
    </row>
    <row r="1145" spans="1:9">
      <c r="A1145" t="str">
        <f>"0209451 "</f>
        <v xml:space="preserve">0209451 </v>
      </c>
      <c r="B1145" t="s">
        <v>3323</v>
      </c>
      <c r="C1145" t="s">
        <v>3860</v>
      </c>
      <c r="D1145" t="s">
        <v>3861</v>
      </c>
      <c r="E1145">
        <v>1</v>
      </c>
      <c r="F1145" t="s">
        <v>2372</v>
      </c>
      <c r="G1145" t="s">
        <v>3323</v>
      </c>
      <c r="H1145" t="s">
        <v>3860</v>
      </c>
      <c r="I1145" t="s">
        <v>1899</v>
      </c>
    </row>
    <row r="1146" spans="1:9">
      <c r="A1146" t="str">
        <f>"0209459 "</f>
        <v xml:space="preserve">0209459 </v>
      </c>
      <c r="B1146" t="s">
        <v>3323</v>
      </c>
      <c r="C1146" t="s">
        <v>2597</v>
      </c>
      <c r="D1146" t="s">
        <v>3862</v>
      </c>
      <c r="E1146">
        <v>1</v>
      </c>
      <c r="F1146" t="s">
        <v>3863</v>
      </c>
      <c r="G1146" t="s">
        <v>3323</v>
      </c>
      <c r="H1146" t="s">
        <v>2597</v>
      </c>
      <c r="I1146" t="s">
        <v>3864</v>
      </c>
    </row>
    <row r="1147" spans="1:9">
      <c r="A1147" t="str">
        <f>"0209462 "</f>
        <v xml:space="preserve">0209462 </v>
      </c>
      <c r="B1147" t="s">
        <v>3323</v>
      </c>
      <c r="C1147" t="s">
        <v>3865</v>
      </c>
      <c r="D1147" t="s">
        <v>3866</v>
      </c>
      <c r="E1147">
        <v>1</v>
      </c>
      <c r="F1147" t="s">
        <v>3867</v>
      </c>
      <c r="G1147" t="s">
        <v>3323</v>
      </c>
      <c r="H1147" t="s">
        <v>3865</v>
      </c>
      <c r="I1147" t="s">
        <v>3868</v>
      </c>
    </row>
    <row r="1148" spans="1:9">
      <c r="A1148" t="str">
        <f>"0209552 "</f>
        <v xml:space="preserve">0209552 </v>
      </c>
      <c r="B1148" t="s">
        <v>3323</v>
      </c>
      <c r="C1148" t="s">
        <v>3869</v>
      </c>
      <c r="D1148" t="s">
        <v>3870</v>
      </c>
      <c r="E1148">
        <v>1</v>
      </c>
      <c r="F1148" t="s">
        <v>3674</v>
      </c>
      <c r="G1148" t="s">
        <v>3323</v>
      </c>
      <c r="H1148" t="s">
        <v>3869</v>
      </c>
      <c r="I1148" t="s">
        <v>3871</v>
      </c>
    </row>
    <row r="1149" spans="1:9">
      <c r="A1149" t="str">
        <f>"0210016 "</f>
        <v xml:space="preserve">0210016 </v>
      </c>
      <c r="B1149" t="s">
        <v>3323</v>
      </c>
      <c r="C1149">
        <v>94017</v>
      </c>
      <c r="D1149" t="s">
        <v>3872</v>
      </c>
      <c r="E1149">
        <v>4</v>
      </c>
      <c r="F1149" t="s">
        <v>3873</v>
      </c>
      <c r="G1149" t="s">
        <v>3323</v>
      </c>
      <c r="H1149">
        <v>94017</v>
      </c>
      <c r="I1149" t="s">
        <v>3874</v>
      </c>
    </row>
    <row r="1150" spans="1:9">
      <c r="A1150" t="str">
        <f>"0209979 "</f>
        <v xml:space="preserve">0209979 </v>
      </c>
      <c r="B1150" t="s">
        <v>3323</v>
      </c>
      <c r="C1150">
        <v>94053</v>
      </c>
      <c r="D1150" t="s">
        <v>3875</v>
      </c>
      <c r="E1150">
        <v>2</v>
      </c>
      <c r="F1150" t="s">
        <v>3876</v>
      </c>
      <c r="G1150" t="s">
        <v>3323</v>
      </c>
      <c r="H1150">
        <v>94053</v>
      </c>
      <c r="I1150" t="s">
        <v>3877</v>
      </c>
    </row>
    <row r="1151" spans="1:9">
      <c r="A1151" t="str">
        <f>"0209844 "</f>
        <v xml:space="preserve">0209844 </v>
      </c>
      <c r="B1151" t="s">
        <v>3323</v>
      </c>
      <c r="C1151">
        <v>94059</v>
      </c>
      <c r="D1151" t="s">
        <v>3878</v>
      </c>
      <c r="E1151">
        <v>4</v>
      </c>
      <c r="F1151" t="s">
        <v>3879</v>
      </c>
      <c r="G1151" t="s">
        <v>3323</v>
      </c>
      <c r="H1151">
        <v>94059</v>
      </c>
      <c r="I1151" t="s">
        <v>3880</v>
      </c>
    </row>
    <row r="1152" spans="1:9">
      <c r="A1152" t="str">
        <f>"0209949 "</f>
        <v xml:space="preserve">0209949 </v>
      </c>
      <c r="B1152" t="s">
        <v>3323</v>
      </c>
      <c r="C1152">
        <v>94080</v>
      </c>
      <c r="D1152" t="s">
        <v>3881</v>
      </c>
      <c r="E1152">
        <v>3</v>
      </c>
      <c r="F1152" t="s">
        <v>3882</v>
      </c>
      <c r="G1152" t="s">
        <v>3323</v>
      </c>
      <c r="H1152">
        <v>94080</v>
      </c>
      <c r="I1152" t="s">
        <v>3883</v>
      </c>
    </row>
    <row r="1153" spans="1:9">
      <c r="A1153" t="str">
        <f>"0209793 "</f>
        <v xml:space="preserve">0209793 </v>
      </c>
      <c r="B1153" t="s">
        <v>3323</v>
      </c>
      <c r="C1153">
        <v>94090</v>
      </c>
      <c r="D1153" t="s">
        <v>3884</v>
      </c>
      <c r="E1153">
        <v>1</v>
      </c>
      <c r="F1153" t="s">
        <v>3885</v>
      </c>
      <c r="G1153" t="s">
        <v>3323</v>
      </c>
      <c r="H1153">
        <v>94090</v>
      </c>
      <c r="I1153" t="s">
        <v>3147</v>
      </c>
    </row>
    <row r="1154" spans="1:9">
      <c r="A1154" t="str">
        <f>"0209998 "</f>
        <v xml:space="preserve">0209998 </v>
      </c>
      <c r="B1154" t="s">
        <v>3323</v>
      </c>
      <c r="C1154">
        <v>94092</v>
      </c>
      <c r="D1154" t="s">
        <v>3886</v>
      </c>
      <c r="E1154">
        <v>1</v>
      </c>
      <c r="F1154" t="s">
        <v>3887</v>
      </c>
      <c r="G1154" t="s">
        <v>3323</v>
      </c>
      <c r="H1154">
        <v>94092</v>
      </c>
      <c r="I1154" t="s">
        <v>3171</v>
      </c>
    </row>
    <row r="1155" spans="1:9">
      <c r="A1155" t="str">
        <f>"0210216 "</f>
        <v xml:space="preserve">0210216 </v>
      </c>
      <c r="B1155" t="s">
        <v>3323</v>
      </c>
      <c r="C1155">
        <v>941020</v>
      </c>
      <c r="D1155" t="s">
        <v>3888</v>
      </c>
      <c r="E1155">
        <v>1</v>
      </c>
      <c r="F1155" t="s">
        <v>3889</v>
      </c>
      <c r="G1155" t="s">
        <v>3323</v>
      </c>
      <c r="H1155">
        <v>941020</v>
      </c>
      <c r="I1155" t="s">
        <v>3288</v>
      </c>
    </row>
    <row r="1156" spans="1:9">
      <c r="A1156" t="str">
        <f>"0210261 "</f>
        <v xml:space="preserve">0210261 </v>
      </c>
      <c r="B1156" t="s">
        <v>3323</v>
      </c>
      <c r="C1156">
        <v>941033</v>
      </c>
      <c r="D1156" t="s">
        <v>3890</v>
      </c>
      <c r="E1156">
        <v>1</v>
      </c>
      <c r="F1156" t="s">
        <v>3891</v>
      </c>
      <c r="G1156" t="s">
        <v>3323</v>
      </c>
      <c r="H1156">
        <v>941033</v>
      </c>
      <c r="I1156" t="s">
        <v>3892</v>
      </c>
    </row>
    <row r="1157" spans="1:9">
      <c r="A1157" t="str">
        <f>"0210249 "</f>
        <v xml:space="preserve">0210249 </v>
      </c>
      <c r="B1157" t="s">
        <v>3323</v>
      </c>
      <c r="C1157">
        <v>941043</v>
      </c>
      <c r="D1157" t="s">
        <v>3893</v>
      </c>
      <c r="E1157">
        <v>1</v>
      </c>
      <c r="F1157" t="s">
        <v>3894</v>
      </c>
      <c r="G1157" t="s">
        <v>3323</v>
      </c>
      <c r="H1157">
        <v>941043</v>
      </c>
      <c r="I1157" t="s">
        <v>3113</v>
      </c>
    </row>
    <row r="1158" spans="1:9">
      <c r="A1158" t="str">
        <f>"0210335 "</f>
        <v xml:space="preserve">0210335 </v>
      </c>
      <c r="B1158" t="s">
        <v>3323</v>
      </c>
      <c r="C1158">
        <v>941046</v>
      </c>
      <c r="D1158" t="s">
        <v>3895</v>
      </c>
      <c r="E1158">
        <v>1</v>
      </c>
      <c r="F1158" t="s">
        <v>3896</v>
      </c>
      <c r="G1158" t="s">
        <v>3323</v>
      </c>
      <c r="H1158">
        <v>941046</v>
      </c>
      <c r="I1158" t="s">
        <v>3897</v>
      </c>
    </row>
    <row r="1159" spans="1:9">
      <c r="A1159" t="str">
        <f>"0209992 "</f>
        <v xml:space="preserve">0209992 </v>
      </c>
      <c r="B1159" t="s">
        <v>3323</v>
      </c>
      <c r="C1159">
        <v>941052</v>
      </c>
      <c r="D1159" t="s">
        <v>3898</v>
      </c>
      <c r="E1159">
        <v>1</v>
      </c>
      <c r="F1159" t="s">
        <v>3899</v>
      </c>
      <c r="G1159" t="s">
        <v>3323</v>
      </c>
      <c r="H1159">
        <v>941052</v>
      </c>
      <c r="I1159" t="s">
        <v>3900</v>
      </c>
    </row>
    <row r="1160" spans="1:9">
      <c r="A1160" t="str">
        <f>"0210134 "</f>
        <v xml:space="preserve">0210134 </v>
      </c>
      <c r="B1160" t="s">
        <v>3323</v>
      </c>
      <c r="C1160">
        <v>941071</v>
      </c>
      <c r="D1160" t="s">
        <v>3901</v>
      </c>
      <c r="E1160">
        <v>1</v>
      </c>
      <c r="F1160" t="s">
        <v>3902</v>
      </c>
      <c r="G1160" t="s">
        <v>3323</v>
      </c>
      <c r="H1160">
        <v>941071</v>
      </c>
      <c r="I1160" t="s">
        <v>3903</v>
      </c>
    </row>
    <row r="1161" spans="1:9">
      <c r="A1161" t="str">
        <f>"0210054 "</f>
        <v xml:space="preserve">0210054 </v>
      </c>
      <c r="B1161" t="s">
        <v>3323</v>
      </c>
      <c r="C1161">
        <v>94120</v>
      </c>
      <c r="D1161" t="s">
        <v>3904</v>
      </c>
      <c r="E1161">
        <v>2</v>
      </c>
      <c r="F1161" t="s">
        <v>3905</v>
      </c>
      <c r="G1161" t="s">
        <v>3323</v>
      </c>
      <c r="H1161">
        <v>94120</v>
      </c>
      <c r="I1161" t="s">
        <v>3906</v>
      </c>
    </row>
    <row r="1162" spans="1:9">
      <c r="A1162" t="str">
        <f>"0210067 "</f>
        <v xml:space="preserve">0210067 </v>
      </c>
      <c r="B1162" t="s">
        <v>3323</v>
      </c>
      <c r="C1162">
        <v>94139</v>
      </c>
      <c r="D1162" t="s">
        <v>3907</v>
      </c>
      <c r="E1162">
        <v>1</v>
      </c>
      <c r="F1162" t="s">
        <v>3608</v>
      </c>
      <c r="G1162" t="s">
        <v>3323</v>
      </c>
      <c r="H1162">
        <v>94139</v>
      </c>
      <c r="I1162" t="s">
        <v>3908</v>
      </c>
    </row>
    <row r="1163" spans="1:9">
      <c r="A1163" t="str">
        <f>"0210031 "</f>
        <v xml:space="preserve">0210031 </v>
      </c>
      <c r="B1163" t="s">
        <v>3323</v>
      </c>
      <c r="C1163">
        <v>94142</v>
      </c>
      <c r="D1163" t="s">
        <v>3909</v>
      </c>
      <c r="E1163">
        <v>1</v>
      </c>
      <c r="F1163" t="s">
        <v>3751</v>
      </c>
      <c r="G1163" t="s">
        <v>3323</v>
      </c>
      <c r="H1163">
        <v>94142</v>
      </c>
      <c r="I1163" t="s">
        <v>3910</v>
      </c>
    </row>
    <row r="1164" spans="1:9">
      <c r="A1164" t="str">
        <f>"0209927 "</f>
        <v xml:space="preserve">0209927 </v>
      </c>
      <c r="B1164" t="s">
        <v>3323</v>
      </c>
      <c r="C1164">
        <v>94145</v>
      </c>
      <c r="D1164" t="s">
        <v>3911</v>
      </c>
      <c r="E1164">
        <v>1</v>
      </c>
      <c r="F1164" t="s">
        <v>3828</v>
      </c>
      <c r="G1164" t="s">
        <v>3323</v>
      </c>
      <c r="H1164">
        <v>94145</v>
      </c>
      <c r="I1164" t="s">
        <v>3912</v>
      </c>
    </row>
    <row r="1165" spans="1:9">
      <c r="A1165" t="str">
        <f>"0210232 "</f>
        <v xml:space="preserve">0210232 </v>
      </c>
      <c r="B1165" t="s">
        <v>3323</v>
      </c>
      <c r="C1165">
        <v>94148</v>
      </c>
      <c r="D1165" t="s">
        <v>3913</v>
      </c>
      <c r="E1165">
        <v>1</v>
      </c>
      <c r="F1165" t="s">
        <v>3914</v>
      </c>
      <c r="G1165" t="s">
        <v>3323</v>
      </c>
      <c r="H1165">
        <v>94148</v>
      </c>
      <c r="I1165" t="s">
        <v>3915</v>
      </c>
    </row>
    <row r="1166" spans="1:9">
      <c r="A1166" t="str">
        <f>"0210271 "</f>
        <v xml:space="preserve">0210271 </v>
      </c>
      <c r="B1166" t="s">
        <v>3323</v>
      </c>
      <c r="C1166">
        <v>94167</v>
      </c>
      <c r="D1166" t="s">
        <v>3916</v>
      </c>
      <c r="E1166">
        <v>1</v>
      </c>
      <c r="F1166" t="s">
        <v>3917</v>
      </c>
      <c r="G1166" t="s">
        <v>3323</v>
      </c>
      <c r="H1166">
        <v>94167</v>
      </c>
      <c r="I1166" t="s">
        <v>3918</v>
      </c>
    </row>
    <row r="1167" spans="1:9">
      <c r="A1167" t="str">
        <f>"0209895 "</f>
        <v xml:space="preserve">0209895 </v>
      </c>
      <c r="B1167" t="s">
        <v>3323</v>
      </c>
      <c r="C1167">
        <v>94169</v>
      </c>
      <c r="D1167" t="s">
        <v>3919</v>
      </c>
      <c r="E1167">
        <v>4</v>
      </c>
      <c r="F1167" t="s">
        <v>3879</v>
      </c>
      <c r="G1167" t="s">
        <v>3323</v>
      </c>
      <c r="H1167">
        <v>94169</v>
      </c>
      <c r="I1167" t="s">
        <v>3920</v>
      </c>
    </row>
    <row r="1168" spans="1:9">
      <c r="A1168" t="str">
        <f>"0210018 "</f>
        <v xml:space="preserve">0210018 </v>
      </c>
      <c r="B1168" t="s">
        <v>3323</v>
      </c>
      <c r="C1168">
        <v>94175</v>
      </c>
      <c r="D1168" t="s">
        <v>3921</v>
      </c>
      <c r="E1168">
        <v>1</v>
      </c>
      <c r="F1168" t="s">
        <v>3922</v>
      </c>
      <c r="G1168" t="s">
        <v>3323</v>
      </c>
      <c r="H1168">
        <v>94175</v>
      </c>
      <c r="I1168" t="s">
        <v>3923</v>
      </c>
    </row>
    <row r="1169" spans="1:9">
      <c r="A1169" t="str">
        <f>"0210171 "</f>
        <v xml:space="preserve">0210171 </v>
      </c>
      <c r="B1169" t="s">
        <v>3323</v>
      </c>
      <c r="C1169">
        <v>94180</v>
      </c>
      <c r="D1169" t="s">
        <v>3924</v>
      </c>
      <c r="E1169">
        <v>1</v>
      </c>
      <c r="F1169" t="s">
        <v>3925</v>
      </c>
      <c r="G1169" t="s">
        <v>3323</v>
      </c>
      <c r="H1169">
        <v>94180</v>
      </c>
      <c r="I1169" t="s">
        <v>3926</v>
      </c>
    </row>
    <row r="1170" spans="1:9">
      <c r="A1170" t="str">
        <f>"0210055 "</f>
        <v xml:space="preserve">0210055 </v>
      </c>
      <c r="B1170" t="s">
        <v>3323</v>
      </c>
      <c r="C1170">
        <v>94185</v>
      </c>
      <c r="D1170" t="s">
        <v>3927</v>
      </c>
      <c r="E1170">
        <v>1</v>
      </c>
      <c r="F1170" t="s">
        <v>2046</v>
      </c>
      <c r="G1170" t="s">
        <v>3323</v>
      </c>
      <c r="H1170">
        <v>94185</v>
      </c>
      <c r="I1170" t="s">
        <v>3928</v>
      </c>
    </row>
    <row r="1171" spans="1:9">
      <c r="A1171" t="str">
        <f>"0209786 "</f>
        <v xml:space="preserve">0209786 </v>
      </c>
      <c r="B1171" t="s">
        <v>3323</v>
      </c>
      <c r="C1171">
        <v>94195</v>
      </c>
      <c r="D1171" t="s">
        <v>3929</v>
      </c>
      <c r="E1171">
        <v>2</v>
      </c>
      <c r="F1171" t="s">
        <v>3930</v>
      </c>
      <c r="G1171" t="s">
        <v>3323</v>
      </c>
      <c r="H1171">
        <v>94195</v>
      </c>
      <c r="I1171" t="s">
        <v>3931</v>
      </c>
    </row>
    <row r="1172" spans="1:9">
      <c r="A1172" t="str">
        <f>"0210160 "</f>
        <v xml:space="preserve">0210160 </v>
      </c>
      <c r="B1172" t="s">
        <v>3323</v>
      </c>
      <c r="C1172">
        <v>94198</v>
      </c>
      <c r="D1172" t="s">
        <v>3932</v>
      </c>
      <c r="E1172">
        <v>1</v>
      </c>
      <c r="F1172" t="s">
        <v>3933</v>
      </c>
      <c r="G1172" t="s">
        <v>3323</v>
      </c>
      <c r="H1172">
        <v>94198</v>
      </c>
      <c r="I1172" t="s">
        <v>3934</v>
      </c>
    </row>
    <row r="1173" spans="1:9">
      <c r="A1173" t="str">
        <f>"0210056 "</f>
        <v xml:space="preserve">0210056 </v>
      </c>
      <c r="B1173" t="s">
        <v>3323</v>
      </c>
      <c r="C1173">
        <v>94208</v>
      </c>
      <c r="D1173" t="s">
        <v>3935</v>
      </c>
      <c r="E1173">
        <v>1</v>
      </c>
      <c r="F1173" t="s">
        <v>3936</v>
      </c>
      <c r="G1173" t="s">
        <v>3323</v>
      </c>
      <c r="H1173">
        <v>94208</v>
      </c>
      <c r="I1173" t="s">
        <v>3937</v>
      </c>
    </row>
    <row r="1174" spans="1:9">
      <c r="A1174" t="str">
        <f>"0209791 "</f>
        <v xml:space="preserve">0209791 </v>
      </c>
      <c r="B1174" t="s">
        <v>3323</v>
      </c>
      <c r="C1174">
        <v>94212</v>
      </c>
      <c r="D1174" t="s">
        <v>3938</v>
      </c>
      <c r="E1174">
        <v>1</v>
      </c>
      <c r="F1174" t="s">
        <v>3939</v>
      </c>
      <c r="G1174" t="s">
        <v>3323</v>
      </c>
      <c r="H1174">
        <v>94212</v>
      </c>
      <c r="I1174" t="s">
        <v>3202</v>
      </c>
    </row>
    <row r="1175" spans="1:9">
      <c r="A1175" t="str">
        <f>"0209965 "</f>
        <v xml:space="preserve">0209965 </v>
      </c>
      <c r="B1175" t="s">
        <v>3323</v>
      </c>
      <c r="C1175">
        <v>94213</v>
      </c>
      <c r="D1175" t="s">
        <v>3940</v>
      </c>
      <c r="E1175">
        <v>1</v>
      </c>
      <c r="F1175" t="s">
        <v>3941</v>
      </c>
      <c r="G1175" t="s">
        <v>3323</v>
      </c>
      <c r="H1175">
        <v>94213</v>
      </c>
      <c r="I1175" t="s">
        <v>3198</v>
      </c>
    </row>
    <row r="1176" spans="1:9">
      <c r="A1176" t="str">
        <f>"0210126 "</f>
        <v xml:space="preserve">0210126 </v>
      </c>
      <c r="B1176" t="s">
        <v>3323</v>
      </c>
      <c r="C1176">
        <v>94224</v>
      </c>
      <c r="D1176" t="s">
        <v>3942</v>
      </c>
      <c r="E1176">
        <v>2</v>
      </c>
      <c r="F1176" t="s">
        <v>3943</v>
      </c>
      <c r="G1176" t="s">
        <v>3323</v>
      </c>
      <c r="H1176">
        <v>94224</v>
      </c>
      <c r="I1176" t="s">
        <v>3944</v>
      </c>
    </row>
    <row r="1177" spans="1:9">
      <c r="A1177" t="str">
        <f>"0210187 "</f>
        <v xml:space="preserve">0210187 </v>
      </c>
      <c r="B1177" t="s">
        <v>3323</v>
      </c>
      <c r="C1177">
        <v>94229</v>
      </c>
      <c r="D1177" t="s">
        <v>3945</v>
      </c>
      <c r="E1177">
        <v>2</v>
      </c>
      <c r="F1177" t="s">
        <v>2053</v>
      </c>
      <c r="G1177" t="s">
        <v>3323</v>
      </c>
      <c r="H1177">
        <v>94229</v>
      </c>
      <c r="I1177" t="s">
        <v>3946</v>
      </c>
    </row>
    <row r="1178" spans="1:9">
      <c r="A1178" t="str">
        <f>"0209859 "</f>
        <v xml:space="preserve">0209859 </v>
      </c>
      <c r="B1178" t="s">
        <v>3323</v>
      </c>
      <c r="C1178">
        <v>94234</v>
      </c>
      <c r="D1178" t="s">
        <v>3947</v>
      </c>
      <c r="E1178">
        <v>4</v>
      </c>
      <c r="F1178" t="s">
        <v>3948</v>
      </c>
      <c r="G1178" t="s">
        <v>3323</v>
      </c>
      <c r="H1178">
        <v>94234</v>
      </c>
      <c r="I1178" t="s">
        <v>3167</v>
      </c>
    </row>
    <row r="1179" spans="1:9">
      <c r="A1179" t="str">
        <f>"0210195 "</f>
        <v xml:space="preserve">0210195 </v>
      </c>
      <c r="B1179" t="s">
        <v>3323</v>
      </c>
      <c r="C1179">
        <v>94240</v>
      </c>
      <c r="D1179" t="s">
        <v>3949</v>
      </c>
      <c r="E1179">
        <v>2</v>
      </c>
      <c r="F1179" t="s">
        <v>3950</v>
      </c>
      <c r="G1179" t="s">
        <v>3323</v>
      </c>
      <c r="H1179">
        <v>94240</v>
      </c>
      <c r="I1179" t="s">
        <v>3951</v>
      </c>
    </row>
    <row r="1180" spans="1:9">
      <c r="A1180" t="str">
        <f>"0210138 "</f>
        <v xml:space="preserve">0210138 </v>
      </c>
      <c r="B1180" t="s">
        <v>3323</v>
      </c>
      <c r="C1180">
        <v>94249</v>
      </c>
      <c r="D1180" t="s">
        <v>3952</v>
      </c>
      <c r="E1180">
        <v>1</v>
      </c>
      <c r="F1180" t="s">
        <v>3953</v>
      </c>
      <c r="G1180" t="s">
        <v>3323</v>
      </c>
      <c r="H1180">
        <v>94249</v>
      </c>
      <c r="I1180" t="s">
        <v>3954</v>
      </c>
    </row>
    <row r="1181" spans="1:9">
      <c r="A1181" t="str">
        <f>"0210280 "</f>
        <v xml:space="preserve">0210280 </v>
      </c>
      <c r="B1181" t="s">
        <v>3323</v>
      </c>
      <c r="C1181">
        <v>94251</v>
      </c>
      <c r="D1181" t="s">
        <v>3955</v>
      </c>
      <c r="E1181">
        <v>1</v>
      </c>
      <c r="F1181" t="s">
        <v>3956</v>
      </c>
      <c r="G1181" t="s">
        <v>3323</v>
      </c>
      <c r="H1181">
        <v>94251</v>
      </c>
      <c r="I1181" t="s">
        <v>3957</v>
      </c>
    </row>
    <row r="1182" spans="1:9">
      <c r="A1182" t="str">
        <f>"0209868 "</f>
        <v xml:space="preserve">0209868 </v>
      </c>
      <c r="B1182" t="s">
        <v>3323</v>
      </c>
      <c r="C1182">
        <v>94253</v>
      </c>
      <c r="D1182" t="s">
        <v>3958</v>
      </c>
      <c r="E1182">
        <v>1</v>
      </c>
      <c r="F1182" t="s">
        <v>3959</v>
      </c>
      <c r="G1182" t="s">
        <v>3323</v>
      </c>
      <c r="H1182">
        <v>94253</v>
      </c>
      <c r="I1182" t="s">
        <v>3960</v>
      </c>
    </row>
    <row r="1183" spans="1:9">
      <c r="A1183" t="str">
        <f>"0210117 "</f>
        <v xml:space="preserve">0210117 </v>
      </c>
      <c r="B1183" t="s">
        <v>3323</v>
      </c>
      <c r="C1183">
        <v>94287</v>
      </c>
      <c r="D1183" t="s">
        <v>3961</v>
      </c>
      <c r="E1183">
        <v>1</v>
      </c>
      <c r="F1183" t="s">
        <v>3962</v>
      </c>
      <c r="G1183" t="s">
        <v>3323</v>
      </c>
      <c r="H1183">
        <v>94287</v>
      </c>
      <c r="I1183" t="s">
        <v>3194</v>
      </c>
    </row>
    <row r="1184" spans="1:9">
      <c r="A1184" t="str">
        <f>"0209982 "</f>
        <v xml:space="preserve">0209982 </v>
      </c>
      <c r="B1184" t="s">
        <v>3323</v>
      </c>
      <c r="C1184">
        <v>94289</v>
      </c>
      <c r="D1184" t="s">
        <v>3963</v>
      </c>
      <c r="E1184">
        <v>4</v>
      </c>
      <c r="F1184" t="s">
        <v>3964</v>
      </c>
      <c r="G1184" t="s">
        <v>3323</v>
      </c>
      <c r="H1184">
        <v>94289</v>
      </c>
      <c r="I1184" t="s">
        <v>3206</v>
      </c>
    </row>
    <row r="1185" spans="1:9">
      <c r="A1185" t="str">
        <f>"0210011 "</f>
        <v xml:space="preserve">0210011 </v>
      </c>
      <c r="B1185" t="s">
        <v>3323</v>
      </c>
      <c r="C1185">
        <v>94290</v>
      </c>
      <c r="D1185" t="s">
        <v>3965</v>
      </c>
      <c r="E1185">
        <v>1</v>
      </c>
      <c r="F1185" t="s">
        <v>3966</v>
      </c>
      <c r="G1185" t="s">
        <v>3323</v>
      </c>
      <c r="H1185">
        <v>94290</v>
      </c>
      <c r="I1185" t="s">
        <v>3967</v>
      </c>
    </row>
    <row r="1186" spans="1:9">
      <c r="A1186" t="str">
        <f>"0209796 "</f>
        <v xml:space="preserve">0209796 </v>
      </c>
      <c r="B1186" t="s">
        <v>3323</v>
      </c>
      <c r="C1186">
        <v>94295</v>
      </c>
      <c r="D1186" t="s">
        <v>3968</v>
      </c>
      <c r="E1186">
        <v>1</v>
      </c>
      <c r="F1186" t="s">
        <v>3969</v>
      </c>
      <c r="G1186" t="s">
        <v>3323</v>
      </c>
      <c r="H1186">
        <v>94295</v>
      </c>
      <c r="I1186" t="s">
        <v>3151</v>
      </c>
    </row>
    <row r="1187" spans="1:9">
      <c r="A1187" t="str">
        <f>"0209860 "</f>
        <v xml:space="preserve">0209860 </v>
      </c>
      <c r="B1187" t="s">
        <v>3323</v>
      </c>
      <c r="C1187">
        <v>94324</v>
      </c>
      <c r="D1187" t="s">
        <v>3970</v>
      </c>
      <c r="E1187">
        <v>4</v>
      </c>
      <c r="F1187" t="s">
        <v>3971</v>
      </c>
      <c r="G1187" t="s">
        <v>3323</v>
      </c>
      <c r="H1187">
        <v>94324</v>
      </c>
      <c r="I1187" t="s">
        <v>3179</v>
      </c>
    </row>
    <row r="1188" spans="1:9">
      <c r="A1188" t="str">
        <f>"0210094 "</f>
        <v xml:space="preserve">0210094 </v>
      </c>
      <c r="B1188" t="s">
        <v>3323</v>
      </c>
      <c r="C1188">
        <v>94326</v>
      </c>
      <c r="D1188" t="s">
        <v>3972</v>
      </c>
      <c r="E1188">
        <v>1</v>
      </c>
      <c r="F1188" t="s">
        <v>3798</v>
      </c>
      <c r="G1188" t="s">
        <v>3323</v>
      </c>
      <c r="H1188">
        <v>94326</v>
      </c>
      <c r="I1188" t="s">
        <v>3973</v>
      </c>
    </row>
    <row r="1189" spans="1:9">
      <c r="A1189" t="str">
        <f>"0210292 "</f>
        <v xml:space="preserve">0210292 </v>
      </c>
      <c r="B1189" t="s">
        <v>3323</v>
      </c>
      <c r="C1189">
        <v>94327</v>
      </c>
      <c r="D1189" t="s">
        <v>3974</v>
      </c>
      <c r="E1189">
        <v>1</v>
      </c>
      <c r="F1189" t="s">
        <v>3975</v>
      </c>
      <c r="G1189" t="s">
        <v>3323</v>
      </c>
      <c r="H1189">
        <v>94327</v>
      </c>
      <c r="I1189" t="s">
        <v>3976</v>
      </c>
    </row>
    <row r="1190" spans="1:9">
      <c r="A1190" t="str">
        <f>"0209994 "</f>
        <v xml:space="preserve">0209994 </v>
      </c>
      <c r="B1190" t="s">
        <v>3323</v>
      </c>
      <c r="C1190">
        <v>94329</v>
      </c>
      <c r="D1190" t="s">
        <v>3977</v>
      </c>
      <c r="E1190">
        <v>1</v>
      </c>
      <c r="F1190" t="s">
        <v>3978</v>
      </c>
      <c r="G1190" t="s">
        <v>3323</v>
      </c>
      <c r="H1190">
        <v>94329</v>
      </c>
      <c r="I1190" t="s">
        <v>3979</v>
      </c>
    </row>
    <row r="1191" spans="1:9">
      <c r="A1191" t="str">
        <f>"0209978 "</f>
        <v xml:space="preserve">0209978 </v>
      </c>
      <c r="B1191" t="s">
        <v>3323</v>
      </c>
      <c r="C1191">
        <v>94330</v>
      </c>
      <c r="D1191" t="s">
        <v>3980</v>
      </c>
      <c r="E1191">
        <v>1</v>
      </c>
      <c r="F1191" t="s">
        <v>3981</v>
      </c>
      <c r="G1191" t="s">
        <v>3323</v>
      </c>
      <c r="H1191">
        <v>94330</v>
      </c>
      <c r="I1191" t="s">
        <v>3982</v>
      </c>
    </row>
    <row r="1192" spans="1:9">
      <c r="A1192" t="str">
        <f>"0209950 "</f>
        <v xml:space="preserve">0209950 </v>
      </c>
      <c r="B1192" t="s">
        <v>3323</v>
      </c>
      <c r="C1192">
        <v>94340</v>
      </c>
      <c r="D1192" t="s">
        <v>3983</v>
      </c>
      <c r="E1192">
        <v>1</v>
      </c>
      <c r="F1192" t="s">
        <v>3738</v>
      </c>
      <c r="G1192" t="s">
        <v>3323</v>
      </c>
      <c r="H1192">
        <v>94340</v>
      </c>
      <c r="I1192" t="s">
        <v>3190</v>
      </c>
    </row>
    <row r="1193" spans="1:9">
      <c r="A1193" t="str">
        <f>"0210084 "</f>
        <v xml:space="preserve">0210084 </v>
      </c>
      <c r="B1193" t="s">
        <v>3323</v>
      </c>
      <c r="C1193">
        <v>94403</v>
      </c>
      <c r="D1193" t="s">
        <v>3984</v>
      </c>
      <c r="E1193">
        <v>2</v>
      </c>
      <c r="F1193" t="s">
        <v>3985</v>
      </c>
      <c r="G1193" t="s">
        <v>3323</v>
      </c>
      <c r="H1193">
        <v>94403</v>
      </c>
      <c r="I1193" t="s">
        <v>3986</v>
      </c>
    </row>
    <row r="1194" spans="1:9">
      <c r="A1194" t="str">
        <f>"0209801 "</f>
        <v xml:space="preserve">0209801 </v>
      </c>
      <c r="B1194" t="s">
        <v>3323</v>
      </c>
      <c r="C1194">
        <v>94404</v>
      </c>
      <c r="D1194" t="s">
        <v>3987</v>
      </c>
      <c r="E1194">
        <v>1</v>
      </c>
      <c r="F1194" t="s">
        <v>3950</v>
      </c>
      <c r="G1194" t="s">
        <v>3323</v>
      </c>
      <c r="H1194">
        <v>94404</v>
      </c>
      <c r="I1194" t="s">
        <v>3988</v>
      </c>
    </row>
    <row r="1195" spans="1:9">
      <c r="A1195" t="str">
        <f>"0210043 "</f>
        <v xml:space="preserve">0210043 </v>
      </c>
      <c r="B1195" t="s">
        <v>3323</v>
      </c>
      <c r="C1195">
        <v>94405</v>
      </c>
      <c r="D1195" t="s">
        <v>3989</v>
      </c>
      <c r="E1195">
        <v>1</v>
      </c>
      <c r="F1195" t="s">
        <v>3990</v>
      </c>
      <c r="G1195" t="s">
        <v>3323</v>
      </c>
      <c r="H1195">
        <v>94405</v>
      </c>
      <c r="I1195" t="s">
        <v>3991</v>
      </c>
    </row>
    <row r="1196" spans="1:9">
      <c r="A1196" t="str">
        <f>"0210205 "</f>
        <v xml:space="preserve">0210205 </v>
      </c>
      <c r="B1196" t="s">
        <v>3323</v>
      </c>
      <c r="C1196">
        <v>94406</v>
      </c>
      <c r="D1196" t="s">
        <v>3992</v>
      </c>
      <c r="E1196">
        <v>1</v>
      </c>
      <c r="F1196" t="s">
        <v>3993</v>
      </c>
      <c r="G1196" t="s">
        <v>3323</v>
      </c>
      <c r="H1196">
        <v>94406</v>
      </c>
      <c r="I1196" t="s">
        <v>3994</v>
      </c>
    </row>
    <row r="1197" spans="1:9">
      <c r="A1197" t="str">
        <f>"0210265 "</f>
        <v xml:space="preserve">0210265 </v>
      </c>
      <c r="B1197" t="s">
        <v>3323</v>
      </c>
      <c r="C1197">
        <v>94408</v>
      </c>
      <c r="D1197" t="s">
        <v>3995</v>
      </c>
      <c r="E1197">
        <v>1</v>
      </c>
      <c r="F1197" t="s">
        <v>3996</v>
      </c>
      <c r="G1197" t="s">
        <v>3323</v>
      </c>
      <c r="H1197">
        <v>94408</v>
      </c>
      <c r="I1197" t="s">
        <v>3997</v>
      </c>
    </row>
    <row r="1198" spans="1:9">
      <c r="A1198" t="str">
        <f>"0210288 "</f>
        <v xml:space="preserve">0210288 </v>
      </c>
      <c r="B1198" t="s">
        <v>3323</v>
      </c>
      <c r="C1198">
        <v>94415</v>
      </c>
      <c r="D1198" t="s">
        <v>3998</v>
      </c>
      <c r="E1198">
        <v>1</v>
      </c>
      <c r="F1198" t="s">
        <v>3999</v>
      </c>
      <c r="G1198" t="s">
        <v>3323</v>
      </c>
      <c r="H1198">
        <v>94415</v>
      </c>
      <c r="I1198" t="s">
        <v>4000</v>
      </c>
    </row>
    <row r="1199" spans="1:9">
      <c r="A1199" t="str">
        <f>"0210118 "</f>
        <v xml:space="preserve">0210118 </v>
      </c>
      <c r="B1199" t="s">
        <v>3323</v>
      </c>
      <c r="C1199">
        <v>94416</v>
      </c>
      <c r="D1199" t="s">
        <v>4001</v>
      </c>
      <c r="E1199">
        <v>1</v>
      </c>
      <c r="F1199" t="s">
        <v>4002</v>
      </c>
      <c r="G1199" t="s">
        <v>3323</v>
      </c>
      <c r="H1199">
        <v>94416</v>
      </c>
      <c r="I1199" t="s">
        <v>3125</v>
      </c>
    </row>
    <row r="1200" spans="1:9">
      <c r="A1200" t="str">
        <f>"0210343 "</f>
        <v xml:space="preserve">0210343 </v>
      </c>
      <c r="B1200" t="s">
        <v>3323</v>
      </c>
      <c r="C1200">
        <v>94417</v>
      </c>
      <c r="D1200" t="s">
        <v>4003</v>
      </c>
      <c r="E1200">
        <v>1</v>
      </c>
      <c r="F1200" t="s">
        <v>4004</v>
      </c>
      <c r="G1200" t="s">
        <v>3323</v>
      </c>
      <c r="H1200">
        <v>94417</v>
      </c>
      <c r="I1200" t="s">
        <v>4005</v>
      </c>
    </row>
    <row r="1201" spans="1:9">
      <c r="A1201" t="str">
        <f>"0210027 "</f>
        <v xml:space="preserve">0210027 </v>
      </c>
      <c r="B1201" t="s">
        <v>3323</v>
      </c>
      <c r="C1201">
        <v>94422</v>
      </c>
      <c r="D1201" t="s">
        <v>4006</v>
      </c>
      <c r="E1201">
        <v>1</v>
      </c>
      <c r="F1201" t="s">
        <v>2872</v>
      </c>
      <c r="G1201" t="s">
        <v>3323</v>
      </c>
      <c r="H1201">
        <v>94422</v>
      </c>
      <c r="I1201" t="s">
        <v>3163</v>
      </c>
    </row>
    <row r="1202" spans="1:9">
      <c r="A1202" t="str">
        <f>"0210223 "</f>
        <v xml:space="preserve">0210223 </v>
      </c>
      <c r="B1202" t="s">
        <v>3323</v>
      </c>
      <c r="C1202">
        <v>94439</v>
      </c>
      <c r="D1202" t="s">
        <v>4007</v>
      </c>
      <c r="E1202">
        <v>1</v>
      </c>
      <c r="F1202" t="s">
        <v>4008</v>
      </c>
      <c r="G1202" t="s">
        <v>3323</v>
      </c>
      <c r="H1202">
        <v>94439</v>
      </c>
      <c r="I1202" t="s">
        <v>4009</v>
      </c>
    </row>
    <row r="1203" spans="1:9">
      <c r="A1203" t="str">
        <f>"0210048 "</f>
        <v xml:space="preserve">0210048 </v>
      </c>
      <c r="B1203" t="s">
        <v>3323</v>
      </c>
      <c r="C1203">
        <v>94463</v>
      </c>
      <c r="D1203" t="s">
        <v>4010</v>
      </c>
      <c r="E1203">
        <v>1</v>
      </c>
      <c r="F1203" t="s">
        <v>4011</v>
      </c>
      <c r="G1203" t="s">
        <v>3323</v>
      </c>
      <c r="H1203">
        <v>94463</v>
      </c>
      <c r="I1203" t="s">
        <v>4012</v>
      </c>
    </row>
    <row r="1204" spans="1:9">
      <c r="A1204" t="str">
        <f>"0210035 "</f>
        <v xml:space="preserve">0210035 </v>
      </c>
      <c r="B1204" t="s">
        <v>3323</v>
      </c>
      <c r="C1204">
        <v>94468</v>
      </c>
      <c r="D1204" t="s">
        <v>4013</v>
      </c>
      <c r="E1204">
        <v>1</v>
      </c>
      <c r="F1204" t="s">
        <v>4014</v>
      </c>
      <c r="G1204" t="s">
        <v>3323</v>
      </c>
      <c r="H1204">
        <v>94468</v>
      </c>
      <c r="I1204" t="s">
        <v>4015</v>
      </c>
    </row>
    <row r="1205" spans="1:9">
      <c r="A1205" t="str">
        <f>"0210290 "</f>
        <v xml:space="preserve">0210290 </v>
      </c>
      <c r="B1205" t="s">
        <v>3323</v>
      </c>
      <c r="C1205">
        <v>94491</v>
      </c>
      <c r="D1205" t="s">
        <v>4016</v>
      </c>
      <c r="E1205">
        <v>1</v>
      </c>
      <c r="F1205" t="s">
        <v>4017</v>
      </c>
      <c r="G1205" t="s">
        <v>3323</v>
      </c>
      <c r="H1205">
        <v>94491</v>
      </c>
      <c r="I1205" t="s">
        <v>4018</v>
      </c>
    </row>
    <row r="1206" spans="1:9">
      <c r="A1206" t="str">
        <f>"0209871 "</f>
        <v xml:space="preserve">0209871 </v>
      </c>
      <c r="B1206" t="s">
        <v>3323</v>
      </c>
      <c r="C1206">
        <v>94522</v>
      </c>
      <c r="D1206" t="s">
        <v>4019</v>
      </c>
      <c r="E1206">
        <v>1</v>
      </c>
      <c r="F1206" t="s">
        <v>4020</v>
      </c>
      <c r="G1206" t="s">
        <v>3323</v>
      </c>
      <c r="H1206">
        <v>94522</v>
      </c>
      <c r="I1206" t="s">
        <v>3093</v>
      </c>
    </row>
    <row r="1207" spans="1:9">
      <c r="A1207" t="str">
        <f>"0210276 "</f>
        <v xml:space="preserve">0210276 </v>
      </c>
      <c r="B1207" t="s">
        <v>3323</v>
      </c>
      <c r="C1207">
        <v>94589</v>
      </c>
      <c r="D1207" t="s">
        <v>4021</v>
      </c>
      <c r="E1207">
        <v>1</v>
      </c>
      <c r="F1207" t="s">
        <v>4022</v>
      </c>
      <c r="G1207" t="s">
        <v>3323</v>
      </c>
      <c r="H1207">
        <v>94589</v>
      </c>
      <c r="I1207" t="s">
        <v>4023</v>
      </c>
    </row>
    <row r="1208" spans="1:9">
      <c r="A1208" t="str">
        <f>"0210313 "</f>
        <v xml:space="preserve">0210313 </v>
      </c>
      <c r="B1208" t="s">
        <v>3323</v>
      </c>
      <c r="C1208">
        <v>94592</v>
      </c>
      <c r="D1208" t="s">
        <v>4024</v>
      </c>
      <c r="E1208">
        <v>1</v>
      </c>
      <c r="F1208" t="s">
        <v>4025</v>
      </c>
      <c r="G1208" t="s">
        <v>3323</v>
      </c>
      <c r="H1208">
        <v>94592</v>
      </c>
      <c r="I1208" t="s">
        <v>4026</v>
      </c>
    </row>
    <row r="1209" spans="1:9">
      <c r="A1209" t="str">
        <f>"0210348 "</f>
        <v xml:space="preserve">0210348 </v>
      </c>
      <c r="B1209" t="s">
        <v>3323</v>
      </c>
      <c r="C1209">
        <v>94596</v>
      </c>
      <c r="D1209" t="s">
        <v>4027</v>
      </c>
      <c r="E1209">
        <v>1</v>
      </c>
      <c r="F1209" t="s">
        <v>4028</v>
      </c>
      <c r="G1209" t="s">
        <v>3323</v>
      </c>
      <c r="H1209">
        <v>94596</v>
      </c>
      <c r="I1209" t="s">
        <v>4029</v>
      </c>
    </row>
    <row r="1210" spans="1:9">
      <c r="A1210" t="str">
        <f>"0210247 "</f>
        <v xml:space="preserve">0210247 </v>
      </c>
      <c r="B1210" t="s">
        <v>3323</v>
      </c>
      <c r="C1210">
        <v>94616</v>
      </c>
      <c r="D1210" t="s">
        <v>4030</v>
      </c>
      <c r="E1210">
        <v>1</v>
      </c>
      <c r="F1210" t="s">
        <v>4031</v>
      </c>
      <c r="G1210" t="s">
        <v>3323</v>
      </c>
      <c r="H1210">
        <v>94616</v>
      </c>
      <c r="I1210" t="s">
        <v>4032</v>
      </c>
    </row>
    <row r="1211" spans="1:9">
      <c r="A1211" t="str">
        <f>"0210349 "</f>
        <v xml:space="preserve">0210349 </v>
      </c>
      <c r="B1211" t="s">
        <v>3323</v>
      </c>
      <c r="C1211">
        <v>94621</v>
      </c>
      <c r="D1211" t="s">
        <v>4033</v>
      </c>
      <c r="E1211">
        <v>1</v>
      </c>
      <c r="F1211" t="s">
        <v>4034</v>
      </c>
      <c r="G1211" t="s">
        <v>3323</v>
      </c>
      <c r="H1211">
        <v>94621</v>
      </c>
      <c r="I1211" t="s">
        <v>4035</v>
      </c>
    </row>
    <row r="1212" spans="1:9">
      <c r="A1212" t="str">
        <f>"0209945 "</f>
        <v xml:space="preserve">0209945 </v>
      </c>
      <c r="B1212" t="s">
        <v>3323</v>
      </c>
      <c r="C1212">
        <v>94650</v>
      </c>
      <c r="D1212" t="s">
        <v>4036</v>
      </c>
      <c r="E1212" t="s">
        <v>16</v>
      </c>
      <c r="F1212" t="s">
        <v>4037</v>
      </c>
      <c r="G1212" t="s">
        <v>3323</v>
      </c>
      <c r="H1212">
        <v>94650</v>
      </c>
      <c r="I1212" t="s">
        <v>3236</v>
      </c>
    </row>
    <row r="1213" spans="1:9">
      <c r="A1213" t="str">
        <f>"0210197 "</f>
        <v xml:space="preserve">0210197 </v>
      </c>
      <c r="B1213" t="s">
        <v>3323</v>
      </c>
      <c r="C1213">
        <v>94652</v>
      </c>
      <c r="D1213" t="s">
        <v>4038</v>
      </c>
      <c r="E1213">
        <v>1</v>
      </c>
      <c r="F1213" t="s">
        <v>4039</v>
      </c>
      <c r="G1213" t="s">
        <v>3323</v>
      </c>
      <c r="H1213">
        <v>94652</v>
      </c>
      <c r="I1213" t="s">
        <v>4040</v>
      </c>
    </row>
    <row r="1214" spans="1:9">
      <c r="A1214" t="str">
        <f>"0210286 "</f>
        <v xml:space="preserve">0210286 </v>
      </c>
      <c r="B1214" t="s">
        <v>3323</v>
      </c>
      <c r="C1214">
        <v>94659</v>
      </c>
      <c r="D1214" t="s">
        <v>4041</v>
      </c>
      <c r="E1214">
        <v>1</v>
      </c>
      <c r="F1214" t="s">
        <v>4042</v>
      </c>
      <c r="G1214" t="s">
        <v>3323</v>
      </c>
      <c r="H1214">
        <v>94659</v>
      </c>
      <c r="I1214" t="s">
        <v>4043</v>
      </c>
    </row>
    <row r="1215" spans="1:9">
      <c r="A1215" t="str">
        <f>"0210191 "</f>
        <v xml:space="preserve">0210191 </v>
      </c>
      <c r="B1215" t="s">
        <v>3323</v>
      </c>
      <c r="C1215">
        <v>94662</v>
      </c>
      <c r="D1215" t="s">
        <v>4044</v>
      </c>
      <c r="E1215">
        <v>1</v>
      </c>
      <c r="F1215" t="s">
        <v>2053</v>
      </c>
      <c r="G1215" t="s">
        <v>3323</v>
      </c>
      <c r="H1215">
        <v>94662</v>
      </c>
      <c r="I1215" t="s">
        <v>4045</v>
      </c>
    </row>
    <row r="1216" spans="1:9">
      <c r="A1216" t="str">
        <f>"0210246 "</f>
        <v xml:space="preserve">0210246 </v>
      </c>
      <c r="B1216" t="s">
        <v>3323</v>
      </c>
      <c r="C1216">
        <v>94664</v>
      </c>
      <c r="D1216" t="s">
        <v>4046</v>
      </c>
      <c r="E1216">
        <v>1</v>
      </c>
      <c r="F1216" t="s">
        <v>4047</v>
      </c>
      <c r="G1216" t="s">
        <v>3323</v>
      </c>
      <c r="H1216">
        <v>94664</v>
      </c>
      <c r="I1216" t="s">
        <v>3030</v>
      </c>
    </row>
    <row r="1217" spans="1:9">
      <c r="A1217" t="str">
        <f>"0209986 "</f>
        <v xml:space="preserve">0209986 </v>
      </c>
      <c r="B1217" t="s">
        <v>3323</v>
      </c>
      <c r="C1217">
        <v>94671</v>
      </c>
      <c r="D1217" t="s">
        <v>4048</v>
      </c>
      <c r="E1217">
        <v>1</v>
      </c>
      <c r="F1217" t="s">
        <v>4049</v>
      </c>
      <c r="G1217" t="s">
        <v>3323</v>
      </c>
      <c r="H1217">
        <v>94671</v>
      </c>
      <c r="I1217" t="s">
        <v>4050</v>
      </c>
    </row>
    <row r="1218" spans="1:9">
      <c r="A1218" t="str">
        <f>"0209966 "</f>
        <v xml:space="preserve">0209966 </v>
      </c>
      <c r="B1218" t="s">
        <v>3323</v>
      </c>
      <c r="C1218">
        <v>94676</v>
      </c>
      <c r="D1218" t="s">
        <v>4051</v>
      </c>
      <c r="E1218">
        <v>1</v>
      </c>
      <c r="F1218" t="s">
        <v>4052</v>
      </c>
      <c r="G1218" t="s">
        <v>3323</v>
      </c>
      <c r="H1218">
        <v>94676</v>
      </c>
      <c r="I1218" t="s">
        <v>4053</v>
      </c>
    </row>
    <row r="1219" spans="1:9">
      <c r="A1219" t="str">
        <f>"0210135 "</f>
        <v xml:space="preserve">0210135 </v>
      </c>
      <c r="B1219" t="s">
        <v>3323</v>
      </c>
      <c r="C1219">
        <v>94687</v>
      </c>
      <c r="D1219" t="s">
        <v>4054</v>
      </c>
      <c r="E1219">
        <v>1</v>
      </c>
      <c r="F1219" t="s">
        <v>4055</v>
      </c>
      <c r="G1219" t="s">
        <v>3323</v>
      </c>
      <c r="H1219">
        <v>94687</v>
      </c>
      <c r="I1219" t="s">
        <v>3212</v>
      </c>
    </row>
    <row r="1220" spans="1:9">
      <c r="A1220" t="str">
        <f>"0209974 "</f>
        <v xml:space="preserve">0209974 </v>
      </c>
      <c r="B1220" t="s">
        <v>3323</v>
      </c>
      <c r="C1220">
        <v>94688</v>
      </c>
      <c r="D1220" t="s">
        <v>4056</v>
      </c>
      <c r="E1220">
        <v>1</v>
      </c>
      <c r="F1220" t="s">
        <v>4057</v>
      </c>
      <c r="G1220" t="s">
        <v>3323</v>
      </c>
      <c r="H1220">
        <v>94688</v>
      </c>
      <c r="I1220" t="s">
        <v>4058</v>
      </c>
    </row>
    <row r="1221" spans="1:9">
      <c r="A1221" t="str">
        <f>"0210196 "</f>
        <v xml:space="preserve">0210196 </v>
      </c>
      <c r="B1221" t="s">
        <v>3323</v>
      </c>
      <c r="C1221">
        <v>94689</v>
      </c>
      <c r="D1221" t="s">
        <v>4059</v>
      </c>
      <c r="E1221">
        <v>1</v>
      </c>
      <c r="F1221" t="s">
        <v>4060</v>
      </c>
      <c r="G1221" t="s">
        <v>3323</v>
      </c>
      <c r="H1221">
        <v>94689</v>
      </c>
      <c r="I1221" t="s">
        <v>4061</v>
      </c>
    </row>
    <row r="1222" spans="1:9">
      <c r="A1222" t="str">
        <f>"0209810 "</f>
        <v xml:space="preserve">0209810 </v>
      </c>
      <c r="B1222" t="s">
        <v>3323</v>
      </c>
      <c r="C1222">
        <v>94696</v>
      </c>
      <c r="D1222" t="s">
        <v>4062</v>
      </c>
      <c r="E1222">
        <v>1</v>
      </c>
      <c r="F1222" t="s">
        <v>4063</v>
      </c>
      <c r="G1222" t="s">
        <v>3323</v>
      </c>
      <c r="H1222">
        <v>94696</v>
      </c>
      <c r="I1222" t="s">
        <v>4058</v>
      </c>
    </row>
    <row r="1223" spans="1:9">
      <c r="A1223" t="str">
        <f>"0210125 "</f>
        <v xml:space="preserve">0210125 </v>
      </c>
      <c r="B1223" t="s">
        <v>3323</v>
      </c>
      <c r="C1223">
        <v>94714</v>
      </c>
      <c r="D1223" t="s">
        <v>4064</v>
      </c>
      <c r="E1223" t="s">
        <v>16</v>
      </c>
      <c r="F1223" t="s">
        <v>4065</v>
      </c>
      <c r="G1223" t="s">
        <v>3323</v>
      </c>
      <c r="H1223">
        <v>94714</v>
      </c>
      <c r="I1223" t="s">
        <v>4066</v>
      </c>
    </row>
    <row r="1224" spans="1:9">
      <c r="A1224" t="str">
        <f>"0210050 "</f>
        <v xml:space="preserve">0210050 </v>
      </c>
      <c r="B1224" t="s">
        <v>3323</v>
      </c>
      <c r="C1224">
        <v>94723</v>
      </c>
      <c r="D1224" t="s">
        <v>4067</v>
      </c>
      <c r="E1224">
        <v>1</v>
      </c>
      <c r="F1224" t="s">
        <v>4068</v>
      </c>
      <c r="G1224" t="s">
        <v>3323</v>
      </c>
      <c r="H1224">
        <v>94723</v>
      </c>
      <c r="I1224" t="s">
        <v>4069</v>
      </c>
    </row>
    <row r="1225" spans="1:9">
      <c r="A1225" t="str">
        <f>"0210143 "</f>
        <v xml:space="preserve">0210143 </v>
      </c>
      <c r="B1225" t="s">
        <v>3323</v>
      </c>
      <c r="C1225">
        <v>94730</v>
      </c>
      <c r="D1225" t="s">
        <v>4070</v>
      </c>
      <c r="E1225">
        <v>1</v>
      </c>
      <c r="F1225" t="s">
        <v>4071</v>
      </c>
      <c r="G1225" t="s">
        <v>3323</v>
      </c>
      <c r="H1225">
        <v>94730</v>
      </c>
      <c r="I1225" t="s">
        <v>4072</v>
      </c>
    </row>
    <row r="1226" spans="1:9">
      <c r="A1226" t="str">
        <f>"0210243 "</f>
        <v xml:space="preserve">0210243 </v>
      </c>
      <c r="B1226" t="s">
        <v>3323</v>
      </c>
      <c r="C1226">
        <v>94736</v>
      </c>
      <c r="D1226" t="s">
        <v>4073</v>
      </c>
      <c r="E1226">
        <v>1</v>
      </c>
      <c r="F1226" t="s">
        <v>4074</v>
      </c>
      <c r="G1226" t="s">
        <v>3323</v>
      </c>
      <c r="H1226">
        <v>94736</v>
      </c>
      <c r="I1226" t="s">
        <v>3002</v>
      </c>
    </row>
    <row r="1227" spans="1:9">
      <c r="A1227" t="str">
        <f>"0210194 "</f>
        <v xml:space="preserve">0210194 </v>
      </c>
      <c r="B1227" t="s">
        <v>3323</v>
      </c>
      <c r="C1227">
        <v>94740</v>
      </c>
      <c r="D1227" t="s">
        <v>4075</v>
      </c>
      <c r="E1227">
        <v>1</v>
      </c>
      <c r="F1227" t="s">
        <v>4076</v>
      </c>
      <c r="G1227" t="s">
        <v>3323</v>
      </c>
      <c r="H1227">
        <v>94740</v>
      </c>
      <c r="I1227" t="s">
        <v>3292</v>
      </c>
    </row>
    <row r="1228" spans="1:9">
      <c r="A1228" t="str">
        <f>"0210330 "</f>
        <v xml:space="preserve">0210330 </v>
      </c>
      <c r="B1228" t="s">
        <v>3323</v>
      </c>
      <c r="C1228">
        <v>94755</v>
      </c>
      <c r="D1228" t="s">
        <v>4077</v>
      </c>
      <c r="E1228">
        <v>1</v>
      </c>
      <c r="F1228" t="s">
        <v>4078</v>
      </c>
      <c r="G1228" t="s">
        <v>3323</v>
      </c>
      <c r="H1228">
        <v>94755</v>
      </c>
      <c r="I1228" t="s">
        <v>4079</v>
      </c>
    </row>
    <row r="1229" spans="1:9">
      <c r="A1229" t="str">
        <f>"0210241 "</f>
        <v xml:space="preserve">0210241 </v>
      </c>
      <c r="B1229" t="s">
        <v>3323</v>
      </c>
      <c r="C1229">
        <v>94757</v>
      </c>
      <c r="D1229" t="s">
        <v>4080</v>
      </c>
      <c r="E1229">
        <v>1</v>
      </c>
      <c r="F1229" t="s">
        <v>4081</v>
      </c>
      <c r="G1229" t="s">
        <v>3323</v>
      </c>
      <c r="H1229">
        <v>94757</v>
      </c>
      <c r="I1229" t="s">
        <v>4082</v>
      </c>
    </row>
    <row r="1230" spans="1:9">
      <c r="A1230" t="str">
        <f>"0210042 "</f>
        <v xml:space="preserve">0210042 </v>
      </c>
      <c r="B1230" t="s">
        <v>3323</v>
      </c>
      <c r="C1230">
        <v>94763</v>
      </c>
      <c r="D1230" t="s">
        <v>4083</v>
      </c>
      <c r="E1230">
        <v>1</v>
      </c>
      <c r="F1230" t="s">
        <v>4084</v>
      </c>
      <c r="G1230" t="s">
        <v>3323</v>
      </c>
      <c r="H1230">
        <v>94763</v>
      </c>
      <c r="I1230" t="s">
        <v>4085</v>
      </c>
    </row>
    <row r="1231" spans="1:9">
      <c r="A1231" t="str">
        <f>"0210299 "</f>
        <v xml:space="preserve">0210299 </v>
      </c>
      <c r="B1231" t="s">
        <v>3323</v>
      </c>
      <c r="C1231">
        <v>94769</v>
      </c>
      <c r="D1231" t="s">
        <v>4086</v>
      </c>
      <c r="E1231">
        <v>1</v>
      </c>
      <c r="F1231" t="s">
        <v>3996</v>
      </c>
      <c r="G1231" t="s">
        <v>3323</v>
      </c>
      <c r="H1231">
        <v>94769</v>
      </c>
      <c r="I1231" t="s">
        <v>3228</v>
      </c>
    </row>
    <row r="1232" spans="1:9">
      <c r="A1232" t="str">
        <f>"0209943 "</f>
        <v xml:space="preserve">0209943 </v>
      </c>
      <c r="B1232" t="s">
        <v>3323</v>
      </c>
      <c r="C1232">
        <v>94771</v>
      </c>
      <c r="D1232" t="s">
        <v>4087</v>
      </c>
      <c r="E1232">
        <v>1</v>
      </c>
      <c r="F1232" t="s">
        <v>4088</v>
      </c>
      <c r="G1232" t="s">
        <v>3323</v>
      </c>
      <c r="H1232">
        <v>94771</v>
      </c>
      <c r="I1232" t="s">
        <v>4089</v>
      </c>
    </row>
    <row r="1233" spans="1:9">
      <c r="A1233" t="str">
        <f>"0210021 "</f>
        <v xml:space="preserve">0210021 </v>
      </c>
      <c r="B1233" t="s">
        <v>3323</v>
      </c>
      <c r="C1233">
        <v>94774</v>
      </c>
      <c r="D1233" t="s">
        <v>4090</v>
      </c>
      <c r="E1233">
        <v>3</v>
      </c>
      <c r="F1233" t="s">
        <v>4091</v>
      </c>
      <c r="G1233" t="s">
        <v>3323</v>
      </c>
      <c r="H1233">
        <v>94774</v>
      </c>
      <c r="I1233" t="s">
        <v>3272</v>
      </c>
    </row>
    <row r="1234" spans="1:9">
      <c r="A1234" t="str">
        <f>"0209803 "</f>
        <v xml:space="preserve">0209803 </v>
      </c>
      <c r="B1234" t="s">
        <v>3323</v>
      </c>
      <c r="C1234">
        <v>94775</v>
      </c>
      <c r="D1234" t="s">
        <v>4092</v>
      </c>
      <c r="E1234">
        <v>2</v>
      </c>
      <c r="F1234" t="s">
        <v>3495</v>
      </c>
      <c r="G1234" t="s">
        <v>3323</v>
      </c>
      <c r="H1234">
        <v>94775</v>
      </c>
      <c r="I1234" t="s">
        <v>3256</v>
      </c>
    </row>
    <row r="1235" spans="1:9">
      <c r="A1235" t="str">
        <f>"0210213 "</f>
        <v xml:space="preserve">0210213 </v>
      </c>
      <c r="B1235" t="s">
        <v>3323</v>
      </c>
      <c r="C1235">
        <v>94777</v>
      </c>
      <c r="D1235" t="s">
        <v>4093</v>
      </c>
      <c r="E1235">
        <v>1</v>
      </c>
      <c r="F1235" t="s">
        <v>4094</v>
      </c>
      <c r="G1235" t="s">
        <v>3323</v>
      </c>
      <c r="H1235">
        <v>94777</v>
      </c>
      <c r="I1235" t="s">
        <v>3252</v>
      </c>
    </row>
    <row r="1236" spans="1:9">
      <c r="A1236" t="str">
        <f>"0209818 "</f>
        <v xml:space="preserve">0209818 </v>
      </c>
      <c r="B1236" t="s">
        <v>3323</v>
      </c>
      <c r="C1236">
        <v>94782</v>
      </c>
      <c r="D1236" t="s">
        <v>4095</v>
      </c>
      <c r="E1236">
        <v>1</v>
      </c>
      <c r="F1236" t="s">
        <v>3683</v>
      </c>
      <c r="G1236" t="s">
        <v>3323</v>
      </c>
      <c r="H1236">
        <v>94782</v>
      </c>
      <c r="I1236" t="s">
        <v>4096</v>
      </c>
    </row>
    <row r="1237" spans="1:9">
      <c r="A1237" t="str">
        <f>"0209855 "</f>
        <v xml:space="preserve">0209855 </v>
      </c>
      <c r="B1237" t="s">
        <v>3323</v>
      </c>
      <c r="C1237">
        <v>94785</v>
      </c>
      <c r="D1237" t="s">
        <v>4097</v>
      </c>
      <c r="E1237">
        <v>2</v>
      </c>
      <c r="F1237" t="s">
        <v>4098</v>
      </c>
      <c r="G1237" t="s">
        <v>3323</v>
      </c>
      <c r="H1237">
        <v>94785</v>
      </c>
      <c r="I1237" t="s">
        <v>3315</v>
      </c>
    </row>
    <row r="1238" spans="1:9">
      <c r="A1238" t="str">
        <f>"0210263 "</f>
        <v xml:space="preserve">0210263 </v>
      </c>
      <c r="B1238" t="s">
        <v>3323</v>
      </c>
      <c r="C1238">
        <v>94787</v>
      </c>
      <c r="D1238" t="s">
        <v>4099</v>
      </c>
      <c r="E1238">
        <v>1</v>
      </c>
      <c r="F1238" t="s">
        <v>4042</v>
      </c>
      <c r="G1238" t="s">
        <v>3323</v>
      </c>
      <c r="H1238">
        <v>94787</v>
      </c>
      <c r="I1238" t="s">
        <v>4100</v>
      </c>
    </row>
    <row r="1239" spans="1:9">
      <c r="A1239" t="str">
        <f>"0210158 "</f>
        <v xml:space="preserve">0210158 </v>
      </c>
      <c r="B1239" t="s">
        <v>3323</v>
      </c>
      <c r="C1239">
        <v>94789</v>
      </c>
      <c r="D1239" t="s">
        <v>4101</v>
      </c>
      <c r="E1239">
        <v>1</v>
      </c>
      <c r="F1239" t="s">
        <v>4102</v>
      </c>
      <c r="G1239" t="s">
        <v>3323</v>
      </c>
      <c r="H1239">
        <v>94789</v>
      </c>
      <c r="I1239" t="s">
        <v>4103</v>
      </c>
    </row>
    <row r="1240" spans="1:9">
      <c r="A1240" t="str">
        <f>"0210147 "</f>
        <v xml:space="preserve">0210147 </v>
      </c>
      <c r="B1240" t="s">
        <v>3323</v>
      </c>
      <c r="C1240">
        <v>94808</v>
      </c>
      <c r="D1240" t="s">
        <v>4104</v>
      </c>
      <c r="E1240">
        <v>3</v>
      </c>
      <c r="F1240" t="s">
        <v>4105</v>
      </c>
      <c r="G1240" t="s">
        <v>3323</v>
      </c>
      <c r="H1240">
        <v>94808</v>
      </c>
      <c r="I1240" t="s">
        <v>3311</v>
      </c>
    </row>
    <row r="1241" spans="1:9">
      <c r="A1241" t="str">
        <f>"0209975 "</f>
        <v xml:space="preserve">0209975 </v>
      </c>
      <c r="B1241" t="s">
        <v>3323</v>
      </c>
      <c r="C1241">
        <v>94822</v>
      </c>
      <c r="D1241" t="s">
        <v>4106</v>
      </c>
      <c r="E1241">
        <v>1</v>
      </c>
      <c r="F1241" t="s">
        <v>4042</v>
      </c>
      <c r="G1241" t="s">
        <v>3323</v>
      </c>
      <c r="H1241">
        <v>94822</v>
      </c>
      <c r="I1241" t="s">
        <v>4107</v>
      </c>
    </row>
    <row r="1242" spans="1:9">
      <c r="A1242" t="str">
        <f>"0210289 "</f>
        <v xml:space="preserve">0210289 </v>
      </c>
      <c r="B1242" t="s">
        <v>3323</v>
      </c>
      <c r="C1242">
        <v>94824</v>
      </c>
      <c r="D1242" t="s">
        <v>4108</v>
      </c>
      <c r="E1242">
        <v>1</v>
      </c>
      <c r="F1242" t="s">
        <v>4109</v>
      </c>
      <c r="G1242" t="s">
        <v>3323</v>
      </c>
      <c r="H1242">
        <v>94824</v>
      </c>
      <c r="I1242" t="s">
        <v>4110</v>
      </c>
    </row>
    <row r="1243" spans="1:9">
      <c r="A1243" t="str">
        <f>"0210341 "</f>
        <v xml:space="preserve">0210341 </v>
      </c>
      <c r="B1243" t="s">
        <v>3323</v>
      </c>
      <c r="C1243">
        <v>94825</v>
      </c>
      <c r="D1243" t="s">
        <v>4111</v>
      </c>
      <c r="E1243">
        <v>2</v>
      </c>
      <c r="F1243" t="s">
        <v>4112</v>
      </c>
      <c r="G1243" t="s">
        <v>3323</v>
      </c>
      <c r="H1243">
        <v>94825</v>
      </c>
      <c r="I1243" t="s">
        <v>4113</v>
      </c>
    </row>
    <row r="1244" spans="1:9">
      <c r="A1244" t="str">
        <f>"0210344 "</f>
        <v xml:space="preserve">0210344 </v>
      </c>
      <c r="B1244" t="s">
        <v>3323</v>
      </c>
      <c r="C1244">
        <v>94835</v>
      </c>
      <c r="D1244" t="s">
        <v>4114</v>
      </c>
      <c r="E1244">
        <v>1</v>
      </c>
      <c r="F1244" t="s">
        <v>4115</v>
      </c>
      <c r="G1244" t="s">
        <v>3323</v>
      </c>
      <c r="H1244">
        <v>94835</v>
      </c>
      <c r="I1244" t="s">
        <v>4116</v>
      </c>
    </row>
    <row r="1245" spans="1:9">
      <c r="A1245" t="str">
        <f>"0209816 "</f>
        <v xml:space="preserve">0209816 </v>
      </c>
      <c r="B1245" t="s">
        <v>3323</v>
      </c>
      <c r="C1245">
        <v>94839</v>
      </c>
      <c r="D1245" t="s">
        <v>4117</v>
      </c>
      <c r="E1245">
        <v>1</v>
      </c>
      <c r="F1245" t="s">
        <v>4118</v>
      </c>
      <c r="G1245" t="s">
        <v>3323</v>
      </c>
      <c r="H1245">
        <v>94839</v>
      </c>
      <c r="I1245" t="s">
        <v>3018</v>
      </c>
    </row>
    <row r="1246" spans="1:9">
      <c r="A1246" t="str">
        <f>"0210152 "</f>
        <v xml:space="preserve">0210152 </v>
      </c>
      <c r="B1246" t="s">
        <v>3323</v>
      </c>
      <c r="C1246">
        <v>94840</v>
      </c>
      <c r="D1246" t="s">
        <v>4119</v>
      </c>
      <c r="E1246">
        <v>1</v>
      </c>
      <c r="F1246" t="s">
        <v>3867</v>
      </c>
      <c r="G1246" t="s">
        <v>3323</v>
      </c>
      <c r="H1246">
        <v>94840</v>
      </c>
      <c r="I1246" t="s">
        <v>4120</v>
      </c>
    </row>
    <row r="1247" spans="1:9">
      <c r="A1247" t="str">
        <f>"0210245 "</f>
        <v xml:space="preserve">0210245 </v>
      </c>
      <c r="B1247" t="s">
        <v>3323</v>
      </c>
      <c r="C1247">
        <v>94843</v>
      </c>
      <c r="D1247" t="s">
        <v>4121</v>
      </c>
      <c r="E1247">
        <v>1</v>
      </c>
      <c r="F1247" t="s">
        <v>4122</v>
      </c>
      <c r="G1247" t="s">
        <v>3323</v>
      </c>
      <c r="H1247">
        <v>94843</v>
      </c>
      <c r="I1247" t="s">
        <v>4123</v>
      </c>
    </row>
    <row r="1248" spans="1:9">
      <c r="A1248" t="str">
        <f>"0209828 "</f>
        <v xml:space="preserve">0209828 </v>
      </c>
      <c r="B1248" t="s">
        <v>3323</v>
      </c>
      <c r="C1248">
        <v>94846</v>
      </c>
      <c r="D1248" t="s">
        <v>4124</v>
      </c>
      <c r="E1248">
        <v>1</v>
      </c>
      <c r="F1248" t="s">
        <v>4125</v>
      </c>
      <c r="G1248" t="s">
        <v>3323</v>
      </c>
      <c r="H1248">
        <v>94846</v>
      </c>
      <c r="I1248" t="s">
        <v>3307</v>
      </c>
    </row>
    <row r="1249" spans="1:9">
      <c r="A1249" t="str">
        <f>"0210098 "</f>
        <v xml:space="preserve">0210098 </v>
      </c>
      <c r="B1249" t="s">
        <v>3323</v>
      </c>
      <c r="C1249">
        <v>94847</v>
      </c>
      <c r="D1249" t="s">
        <v>4126</v>
      </c>
      <c r="E1249">
        <v>1</v>
      </c>
      <c r="F1249" t="s">
        <v>4127</v>
      </c>
      <c r="G1249" t="s">
        <v>3323</v>
      </c>
      <c r="H1249">
        <v>94847</v>
      </c>
      <c r="I1249" t="s">
        <v>4128</v>
      </c>
    </row>
    <row r="1250" spans="1:9">
      <c r="A1250" t="str">
        <f>"0210102 "</f>
        <v xml:space="preserve">0210102 </v>
      </c>
      <c r="B1250" t="s">
        <v>3323</v>
      </c>
      <c r="C1250">
        <v>94854</v>
      </c>
      <c r="D1250" t="s">
        <v>4129</v>
      </c>
      <c r="E1250">
        <v>1</v>
      </c>
      <c r="F1250" t="s">
        <v>4130</v>
      </c>
      <c r="G1250" t="s">
        <v>3323</v>
      </c>
      <c r="H1250">
        <v>94854</v>
      </c>
      <c r="I1250" t="s">
        <v>3299</v>
      </c>
    </row>
    <row r="1251" spans="1:9">
      <c r="A1251" t="str">
        <f>"0209897 "</f>
        <v xml:space="preserve">0209897 </v>
      </c>
      <c r="B1251" t="s">
        <v>3323</v>
      </c>
      <c r="C1251">
        <v>94862</v>
      </c>
      <c r="D1251" t="s">
        <v>4131</v>
      </c>
      <c r="E1251">
        <v>2</v>
      </c>
      <c r="F1251" t="s">
        <v>3667</v>
      </c>
      <c r="G1251" t="s">
        <v>3323</v>
      </c>
      <c r="H1251">
        <v>94862</v>
      </c>
      <c r="I1251" t="s">
        <v>4132</v>
      </c>
    </row>
    <row r="1252" spans="1:9">
      <c r="A1252" t="str">
        <f>"0209873 "</f>
        <v xml:space="preserve">0209873 </v>
      </c>
      <c r="B1252" t="s">
        <v>3323</v>
      </c>
      <c r="C1252">
        <v>94863</v>
      </c>
      <c r="D1252" t="s">
        <v>4133</v>
      </c>
      <c r="E1252">
        <v>1</v>
      </c>
      <c r="F1252" t="s">
        <v>4134</v>
      </c>
      <c r="G1252" t="s">
        <v>3323</v>
      </c>
      <c r="H1252">
        <v>94863</v>
      </c>
      <c r="I1252" t="s">
        <v>4135</v>
      </c>
    </row>
    <row r="1253" spans="1:9">
      <c r="A1253" t="str">
        <f>"0210007 "</f>
        <v xml:space="preserve">0210007 </v>
      </c>
      <c r="B1253" t="s">
        <v>3323</v>
      </c>
      <c r="C1253">
        <v>94885</v>
      </c>
      <c r="D1253" t="s">
        <v>4136</v>
      </c>
      <c r="E1253">
        <v>1</v>
      </c>
      <c r="F1253" t="s">
        <v>4137</v>
      </c>
      <c r="G1253" t="s">
        <v>3323</v>
      </c>
      <c r="H1253">
        <v>94885</v>
      </c>
      <c r="I1253" t="s">
        <v>4138</v>
      </c>
    </row>
    <row r="1254" spans="1:9">
      <c r="A1254" t="str">
        <f>"0210329 "</f>
        <v xml:space="preserve">0210329 </v>
      </c>
      <c r="B1254" t="s">
        <v>3323</v>
      </c>
      <c r="C1254">
        <v>94897</v>
      </c>
      <c r="D1254" t="s">
        <v>4139</v>
      </c>
      <c r="E1254">
        <v>1</v>
      </c>
      <c r="F1254" t="s">
        <v>4140</v>
      </c>
      <c r="G1254" t="s">
        <v>3323</v>
      </c>
      <c r="H1254">
        <v>94897</v>
      </c>
      <c r="I1254" t="s">
        <v>4141</v>
      </c>
    </row>
    <row r="1255" spans="1:9">
      <c r="A1255" t="str">
        <f>"0209929 "</f>
        <v xml:space="preserve">0209929 </v>
      </c>
      <c r="B1255" t="s">
        <v>3323</v>
      </c>
      <c r="C1255">
        <v>94904</v>
      </c>
      <c r="D1255" t="s">
        <v>4142</v>
      </c>
      <c r="E1255">
        <v>1</v>
      </c>
      <c r="F1255" t="s">
        <v>4143</v>
      </c>
      <c r="G1255" t="s">
        <v>3323</v>
      </c>
      <c r="H1255">
        <v>94904</v>
      </c>
      <c r="I1255" t="s">
        <v>3006</v>
      </c>
    </row>
    <row r="1256" spans="1:9">
      <c r="A1256" t="str">
        <f>"0210239 "</f>
        <v xml:space="preserve">0210239 </v>
      </c>
      <c r="B1256" t="s">
        <v>3323</v>
      </c>
      <c r="C1256">
        <v>94905</v>
      </c>
      <c r="D1256" t="s">
        <v>4144</v>
      </c>
      <c r="E1256">
        <v>1</v>
      </c>
      <c r="F1256" t="s">
        <v>4145</v>
      </c>
      <c r="G1256" t="s">
        <v>3323</v>
      </c>
      <c r="H1256">
        <v>94905</v>
      </c>
      <c r="I1256" t="s">
        <v>4146</v>
      </c>
    </row>
    <row r="1257" spans="1:9">
      <c r="A1257" t="str">
        <f>"0209821 "</f>
        <v xml:space="preserve">0209821 </v>
      </c>
      <c r="B1257" t="s">
        <v>3323</v>
      </c>
      <c r="C1257">
        <v>94908</v>
      </c>
      <c r="D1257" t="s">
        <v>4147</v>
      </c>
      <c r="E1257">
        <v>1</v>
      </c>
      <c r="F1257" t="s">
        <v>4148</v>
      </c>
      <c r="G1257" t="s">
        <v>3323</v>
      </c>
      <c r="H1257">
        <v>94908</v>
      </c>
      <c r="I1257" t="s">
        <v>3042</v>
      </c>
    </row>
    <row r="1258" spans="1:9">
      <c r="A1258" t="str">
        <f>"0210133 "</f>
        <v xml:space="preserve">0210133 </v>
      </c>
      <c r="B1258" t="s">
        <v>3323</v>
      </c>
      <c r="C1258">
        <v>94909</v>
      </c>
      <c r="D1258" t="s">
        <v>4149</v>
      </c>
      <c r="E1258">
        <v>1</v>
      </c>
      <c r="F1258" t="s">
        <v>4031</v>
      </c>
      <c r="G1258" t="s">
        <v>3323</v>
      </c>
      <c r="H1258">
        <v>94909</v>
      </c>
      <c r="I1258" t="s">
        <v>4150</v>
      </c>
    </row>
    <row r="1259" spans="1:9">
      <c r="A1259" t="str">
        <f>"0210173 "</f>
        <v xml:space="preserve">0210173 </v>
      </c>
      <c r="B1259" t="s">
        <v>3323</v>
      </c>
      <c r="C1259">
        <v>94923</v>
      </c>
      <c r="D1259" t="s">
        <v>4151</v>
      </c>
      <c r="E1259">
        <v>1</v>
      </c>
      <c r="F1259" t="s">
        <v>4152</v>
      </c>
      <c r="G1259" t="s">
        <v>3323</v>
      </c>
      <c r="H1259">
        <v>94923</v>
      </c>
      <c r="I1259" t="s">
        <v>3070</v>
      </c>
    </row>
    <row r="1260" spans="1:9">
      <c r="A1260" t="str">
        <f>"0210303 "</f>
        <v xml:space="preserve">0210303 </v>
      </c>
      <c r="B1260" t="s">
        <v>3323</v>
      </c>
      <c r="C1260">
        <v>94936</v>
      </c>
      <c r="D1260" t="s">
        <v>4153</v>
      </c>
      <c r="E1260">
        <v>1</v>
      </c>
      <c r="F1260" t="s">
        <v>4154</v>
      </c>
      <c r="G1260" t="s">
        <v>3323</v>
      </c>
      <c r="H1260">
        <v>94936</v>
      </c>
      <c r="I1260" t="s">
        <v>4155</v>
      </c>
    </row>
    <row r="1261" spans="1:9">
      <c r="A1261" t="str">
        <f>"0210097 "</f>
        <v xml:space="preserve">0210097 </v>
      </c>
      <c r="B1261" t="s">
        <v>3323</v>
      </c>
      <c r="C1261">
        <v>94939</v>
      </c>
      <c r="D1261" t="s">
        <v>4156</v>
      </c>
      <c r="E1261">
        <v>2</v>
      </c>
      <c r="F1261" t="s">
        <v>4157</v>
      </c>
      <c r="G1261" t="s">
        <v>3323</v>
      </c>
      <c r="H1261">
        <v>94939</v>
      </c>
      <c r="I1261" t="s">
        <v>4158</v>
      </c>
    </row>
    <row r="1262" spans="1:9">
      <c r="A1262" t="str">
        <f>"0210036 "</f>
        <v xml:space="preserve">0210036 </v>
      </c>
      <c r="B1262" t="s">
        <v>3323</v>
      </c>
      <c r="C1262">
        <v>94944</v>
      </c>
      <c r="D1262" t="s">
        <v>4159</v>
      </c>
      <c r="E1262">
        <v>1</v>
      </c>
      <c r="F1262" t="s">
        <v>4160</v>
      </c>
      <c r="G1262" t="s">
        <v>3323</v>
      </c>
      <c r="H1262">
        <v>94944</v>
      </c>
      <c r="I1262" t="s">
        <v>4161</v>
      </c>
    </row>
    <row r="1263" spans="1:9">
      <c r="A1263" t="str">
        <f>"0210078 "</f>
        <v xml:space="preserve">0210078 </v>
      </c>
      <c r="B1263" t="s">
        <v>3323</v>
      </c>
      <c r="C1263">
        <v>94950</v>
      </c>
      <c r="D1263" t="s">
        <v>4162</v>
      </c>
      <c r="E1263">
        <v>1</v>
      </c>
      <c r="F1263" t="s">
        <v>4163</v>
      </c>
      <c r="G1263" t="s">
        <v>3323</v>
      </c>
      <c r="H1263">
        <v>94950</v>
      </c>
      <c r="I1263" t="s">
        <v>3097</v>
      </c>
    </row>
    <row r="1264" spans="1:9">
      <c r="A1264" t="str">
        <f>"0210114 "</f>
        <v xml:space="preserve">0210114 </v>
      </c>
      <c r="B1264" t="s">
        <v>3323</v>
      </c>
      <c r="C1264">
        <v>94957</v>
      </c>
      <c r="D1264" t="s">
        <v>4164</v>
      </c>
      <c r="E1264">
        <v>1</v>
      </c>
      <c r="F1264" t="s">
        <v>3065</v>
      </c>
      <c r="G1264" t="s">
        <v>3323</v>
      </c>
      <c r="H1264">
        <v>94957</v>
      </c>
      <c r="I1264" t="s">
        <v>4165</v>
      </c>
    </row>
    <row r="1265" spans="1:9">
      <c r="A1265" t="str">
        <f>"0210166 "</f>
        <v xml:space="preserve">0210166 </v>
      </c>
      <c r="B1265" t="s">
        <v>3323</v>
      </c>
      <c r="C1265">
        <v>94959</v>
      </c>
      <c r="D1265" t="s">
        <v>4166</v>
      </c>
      <c r="E1265">
        <v>1</v>
      </c>
      <c r="F1265" t="s">
        <v>4167</v>
      </c>
      <c r="G1265" t="s">
        <v>3323</v>
      </c>
      <c r="H1265">
        <v>94959</v>
      </c>
      <c r="I1265" t="s">
        <v>4168</v>
      </c>
    </row>
    <row r="1266" spans="1:9">
      <c r="A1266" t="str">
        <f>"0210155 "</f>
        <v xml:space="preserve">0210155 </v>
      </c>
      <c r="B1266" t="s">
        <v>3323</v>
      </c>
      <c r="C1266">
        <v>94970</v>
      </c>
      <c r="D1266" t="s">
        <v>4169</v>
      </c>
      <c r="E1266">
        <v>1</v>
      </c>
      <c r="F1266" t="s">
        <v>4170</v>
      </c>
      <c r="G1266" t="s">
        <v>3323</v>
      </c>
      <c r="H1266">
        <v>94970</v>
      </c>
      <c r="I1266" t="s">
        <v>3054</v>
      </c>
    </row>
    <row r="1267" spans="1:9">
      <c r="A1267" t="str">
        <f>"0210192 "</f>
        <v xml:space="preserve">0210192 </v>
      </c>
      <c r="B1267" t="s">
        <v>3323</v>
      </c>
      <c r="C1267">
        <v>94974</v>
      </c>
      <c r="D1267" t="s">
        <v>4171</v>
      </c>
      <c r="E1267">
        <v>1</v>
      </c>
      <c r="F1267" t="s">
        <v>4172</v>
      </c>
      <c r="G1267" t="s">
        <v>3323</v>
      </c>
      <c r="H1267">
        <v>94974</v>
      </c>
      <c r="I1267" t="s">
        <v>4173</v>
      </c>
    </row>
    <row r="1268" spans="1:9">
      <c r="A1268" t="str">
        <f>"0209977 "</f>
        <v xml:space="preserve">0209977 </v>
      </c>
      <c r="B1268" t="s">
        <v>3323</v>
      </c>
      <c r="C1268">
        <v>94975</v>
      </c>
      <c r="D1268" t="s">
        <v>4174</v>
      </c>
      <c r="E1268">
        <v>1</v>
      </c>
      <c r="F1268" t="s">
        <v>4175</v>
      </c>
      <c r="G1268" t="s">
        <v>3323</v>
      </c>
      <c r="H1268">
        <v>94975</v>
      </c>
      <c r="I1268" t="s">
        <v>4176</v>
      </c>
    </row>
    <row r="1269" spans="1:9">
      <c r="A1269" t="str">
        <f>"0210024 "</f>
        <v xml:space="preserve">0210024 </v>
      </c>
      <c r="B1269" t="s">
        <v>3323</v>
      </c>
      <c r="C1269">
        <v>94981</v>
      </c>
      <c r="D1269" t="s">
        <v>4177</v>
      </c>
      <c r="E1269">
        <v>2</v>
      </c>
      <c r="F1269" t="s">
        <v>4178</v>
      </c>
      <c r="G1269" t="s">
        <v>3323</v>
      </c>
      <c r="H1269">
        <v>94981</v>
      </c>
      <c r="I1269" t="s">
        <v>4179</v>
      </c>
    </row>
    <row r="1270" spans="1:9">
      <c r="A1270" t="str">
        <f>"0210234 "</f>
        <v xml:space="preserve">0210234 </v>
      </c>
      <c r="B1270" t="s">
        <v>3323</v>
      </c>
      <c r="C1270">
        <v>94992</v>
      </c>
      <c r="D1270" t="s">
        <v>4180</v>
      </c>
      <c r="E1270">
        <v>1</v>
      </c>
      <c r="F1270" t="s">
        <v>4181</v>
      </c>
      <c r="G1270" t="s">
        <v>3323</v>
      </c>
      <c r="H1270">
        <v>94992</v>
      </c>
      <c r="I1270" t="s">
        <v>4182</v>
      </c>
    </row>
    <row r="1271" spans="1:9">
      <c r="A1271" t="str">
        <f>"0205060 "</f>
        <v xml:space="preserve">0205060 </v>
      </c>
      <c r="B1271" t="s">
        <v>3323</v>
      </c>
      <c r="C1271" t="s">
        <v>4183</v>
      </c>
      <c r="D1271" t="s">
        <v>4184</v>
      </c>
      <c r="E1271">
        <v>1</v>
      </c>
      <c r="F1271" t="s">
        <v>4185</v>
      </c>
      <c r="G1271" t="s">
        <v>3323</v>
      </c>
      <c r="H1271" t="s">
        <v>4183</v>
      </c>
      <c r="I1271" t="s">
        <v>4186</v>
      </c>
    </row>
    <row r="1272" spans="1:9">
      <c r="A1272" t="str">
        <f>"0205061 "</f>
        <v xml:space="preserve">0205061 </v>
      </c>
      <c r="B1272" t="s">
        <v>3323</v>
      </c>
      <c r="C1272" t="s">
        <v>4187</v>
      </c>
      <c r="D1272" t="s">
        <v>4188</v>
      </c>
      <c r="E1272">
        <v>1</v>
      </c>
      <c r="F1272" t="s">
        <v>4189</v>
      </c>
      <c r="G1272" t="s">
        <v>3323</v>
      </c>
      <c r="H1272" t="s">
        <v>4187</v>
      </c>
      <c r="I1272" t="s">
        <v>4190</v>
      </c>
    </row>
    <row r="1273" spans="1:9">
      <c r="A1273" t="str">
        <f>"0205062 "</f>
        <v xml:space="preserve">0205062 </v>
      </c>
      <c r="B1273" t="s">
        <v>3323</v>
      </c>
      <c r="C1273" t="s">
        <v>4191</v>
      </c>
      <c r="D1273" t="s">
        <v>4192</v>
      </c>
      <c r="E1273">
        <v>1</v>
      </c>
      <c r="F1273" t="s">
        <v>4193</v>
      </c>
      <c r="G1273" t="s">
        <v>3323</v>
      </c>
      <c r="H1273" t="s">
        <v>4191</v>
      </c>
      <c r="I1273" t="s">
        <v>4194</v>
      </c>
    </row>
    <row r="1274" spans="1:9">
      <c r="A1274" t="str">
        <f>"0205097 "</f>
        <v xml:space="preserve">0205097 </v>
      </c>
      <c r="B1274" t="s">
        <v>3323</v>
      </c>
      <c r="C1274" t="s">
        <v>4195</v>
      </c>
      <c r="D1274" t="s">
        <v>4196</v>
      </c>
      <c r="E1274">
        <v>2</v>
      </c>
      <c r="F1274" t="s">
        <v>4197</v>
      </c>
      <c r="G1274" t="s">
        <v>3323</v>
      </c>
      <c r="H1274" t="s">
        <v>4195</v>
      </c>
      <c r="I1274" t="s">
        <v>4198</v>
      </c>
    </row>
    <row r="1275" spans="1:9">
      <c r="A1275" t="str">
        <f>"0205098 "</f>
        <v xml:space="preserve">0205098 </v>
      </c>
      <c r="B1275" t="s">
        <v>3323</v>
      </c>
      <c r="C1275" t="s">
        <v>4199</v>
      </c>
      <c r="D1275" t="s">
        <v>4200</v>
      </c>
      <c r="E1275">
        <v>1</v>
      </c>
      <c r="F1275" t="s">
        <v>4201</v>
      </c>
      <c r="G1275" t="s">
        <v>3323</v>
      </c>
      <c r="H1275" t="s">
        <v>4199</v>
      </c>
      <c r="I1275" t="s">
        <v>4202</v>
      </c>
    </row>
    <row r="1276" spans="1:9">
      <c r="A1276" t="str">
        <f>"0205304 "</f>
        <v xml:space="preserve">0205304 </v>
      </c>
      <c r="B1276" t="s">
        <v>3323</v>
      </c>
      <c r="C1276" t="s">
        <v>4203</v>
      </c>
      <c r="D1276" t="s">
        <v>4204</v>
      </c>
      <c r="E1276">
        <v>1</v>
      </c>
      <c r="F1276" t="s">
        <v>4205</v>
      </c>
      <c r="G1276" t="s">
        <v>3323</v>
      </c>
      <c r="H1276" t="s">
        <v>4203</v>
      </c>
      <c r="I1276" t="s">
        <v>4206</v>
      </c>
    </row>
    <row r="1277" spans="1:9">
      <c r="A1277" t="str">
        <f>"0205527 "</f>
        <v xml:space="preserve">0205527 </v>
      </c>
      <c r="B1277" t="s">
        <v>3323</v>
      </c>
      <c r="C1277" t="s">
        <v>4207</v>
      </c>
      <c r="D1277" t="s">
        <v>4208</v>
      </c>
      <c r="E1277">
        <v>1</v>
      </c>
      <c r="F1277" t="s">
        <v>4209</v>
      </c>
      <c r="G1277" t="s">
        <v>3323</v>
      </c>
      <c r="H1277" t="s">
        <v>4207</v>
      </c>
      <c r="I1277" t="s">
        <v>4210</v>
      </c>
    </row>
    <row r="1278" spans="1:9">
      <c r="A1278" t="str">
        <f>"0205710 "</f>
        <v xml:space="preserve">0205710 </v>
      </c>
      <c r="B1278" t="s">
        <v>3323</v>
      </c>
      <c r="C1278" t="s">
        <v>4211</v>
      </c>
      <c r="D1278" t="s">
        <v>4212</v>
      </c>
      <c r="E1278">
        <v>1</v>
      </c>
      <c r="F1278" t="s">
        <v>4213</v>
      </c>
      <c r="G1278" t="s">
        <v>3323</v>
      </c>
      <c r="H1278" t="s">
        <v>4211</v>
      </c>
      <c r="I1278" t="s">
        <v>4214</v>
      </c>
    </row>
    <row r="1279" spans="1:9">
      <c r="A1279" t="str">
        <f>"0206032 "</f>
        <v xml:space="preserve">0206032 </v>
      </c>
      <c r="B1279" t="s">
        <v>3323</v>
      </c>
      <c r="C1279" t="s">
        <v>4215</v>
      </c>
      <c r="D1279" t="s">
        <v>4216</v>
      </c>
      <c r="E1279">
        <v>1</v>
      </c>
      <c r="F1279" t="s">
        <v>4217</v>
      </c>
      <c r="G1279" t="s">
        <v>3323</v>
      </c>
      <c r="H1279" t="s">
        <v>4215</v>
      </c>
      <c r="I1279" t="s">
        <v>4218</v>
      </c>
    </row>
    <row r="1280" spans="1:9">
      <c r="A1280" t="str">
        <f>"0206061 "</f>
        <v xml:space="preserve">0206061 </v>
      </c>
      <c r="B1280" t="s">
        <v>3323</v>
      </c>
      <c r="C1280" t="s">
        <v>4219</v>
      </c>
      <c r="D1280" t="s">
        <v>4220</v>
      </c>
      <c r="E1280">
        <v>1</v>
      </c>
      <c r="F1280" t="s">
        <v>4221</v>
      </c>
      <c r="G1280" t="s">
        <v>3323</v>
      </c>
      <c r="H1280" t="s">
        <v>4219</v>
      </c>
      <c r="I1280" t="s">
        <v>4222</v>
      </c>
    </row>
    <row r="1281" spans="1:9">
      <c r="A1281" t="str">
        <f>"0206062 "</f>
        <v xml:space="preserve">0206062 </v>
      </c>
      <c r="B1281" t="s">
        <v>3323</v>
      </c>
      <c r="C1281" t="s">
        <v>4223</v>
      </c>
      <c r="D1281" t="s">
        <v>4224</v>
      </c>
      <c r="E1281">
        <v>1</v>
      </c>
      <c r="F1281" t="s">
        <v>4225</v>
      </c>
      <c r="G1281" t="s">
        <v>3323</v>
      </c>
      <c r="H1281" t="s">
        <v>4223</v>
      </c>
      <c r="I1281" t="s">
        <v>4226</v>
      </c>
    </row>
    <row r="1282" spans="1:9">
      <c r="A1282" t="str">
        <f>"0206121 "</f>
        <v xml:space="preserve">0206121 </v>
      </c>
      <c r="B1282" t="s">
        <v>3323</v>
      </c>
      <c r="C1282" t="s">
        <v>4227</v>
      </c>
      <c r="D1282" t="s">
        <v>4228</v>
      </c>
      <c r="E1282">
        <v>1</v>
      </c>
      <c r="F1282" t="s">
        <v>4229</v>
      </c>
      <c r="G1282" t="s">
        <v>3323</v>
      </c>
      <c r="H1282" t="s">
        <v>4227</v>
      </c>
      <c r="I1282" t="s">
        <v>4230</v>
      </c>
    </row>
    <row r="1283" spans="1:9">
      <c r="A1283" t="str">
        <f>"0206236 "</f>
        <v xml:space="preserve">0206236 </v>
      </c>
      <c r="B1283" t="s">
        <v>3323</v>
      </c>
      <c r="C1283" t="s">
        <v>4231</v>
      </c>
      <c r="D1283" t="s">
        <v>4232</v>
      </c>
      <c r="E1283">
        <v>1</v>
      </c>
      <c r="F1283" t="s">
        <v>3843</v>
      </c>
      <c r="G1283" t="s">
        <v>3323</v>
      </c>
      <c r="H1283" t="s">
        <v>4231</v>
      </c>
      <c r="I1283" t="s">
        <v>1899</v>
      </c>
    </row>
    <row r="1284" spans="1:9">
      <c r="A1284" t="str">
        <f>"0206396 "</f>
        <v xml:space="preserve">0206396 </v>
      </c>
      <c r="B1284" t="s">
        <v>3323</v>
      </c>
      <c r="C1284" t="s">
        <v>4233</v>
      </c>
      <c r="D1284" t="s">
        <v>4234</v>
      </c>
      <c r="E1284">
        <v>1</v>
      </c>
      <c r="F1284" t="s">
        <v>4235</v>
      </c>
      <c r="G1284" t="s">
        <v>3323</v>
      </c>
      <c r="H1284" t="s">
        <v>4233</v>
      </c>
      <c r="I1284" t="s">
        <v>4236</v>
      </c>
    </row>
    <row r="1285" spans="1:9">
      <c r="A1285" t="str">
        <f>"0206556 "</f>
        <v xml:space="preserve">0206556 </v>
      </c>
      <c r="B1285" t="s">
        <v>3323</v>
      </c>
      <c r="C1285" t="s">
        <v>4237</v>
      </c>
      <c r="D1285" t="s">
        <v>4238</v>
      </c>
      <c r="E1285">
        <v>2</v>
      </c>
      <c r="F1285" t="s">
        <v>4239</v>
      </c>
      <c r="G1285" t="s">
        <v>3323</v>
      </c>
      <c r="H1285" t="s">
        <v>4237</v>
      </c>
      <c r="I1285" t="s">
        <v>4240</v>
      </c>
    </row>
    <row r="1286" spans="1:9">
      <c r="A1286" t="str">
        <f>"0206583 "</f>
        <v xml:space="preserve">0206583 </v>
      </c>
      <c r="B1286" t="s">
        <v>3323</v>
      </c>
      <c r="C1286" t="s">
        <v>4241</v>
      </c>
      <c r="D1286" t="s">
        <v>4242</v>
      </c>
      <c r="E1286">
        <v>1</v>
      </c>
      <c r="F1286" t="s">
        <v>4243</v>
      </c>
      <c r="G1286" t="s">
        <v>3323</v>
      </c>
      <c r="H1286" t="s">
        <v>4241</v>
      </c>
      <c r="I1286" t="s">
        <v>4244</v>
      </c>
    </row>
    <row r="1287" spans="1:9">
      <c r="A1287" t="str">
        <f>"0207592 "</f>
        <v xml:space="preserve">0207592 </v>
      </c>
      <c r="B1287" t="s">
        <v>3323</v>
      </c>
      <c r="C1287" t="s">
        <v>4245</v>
      </c>
      <c r="D1287" t="s">
        <v>4246</v>
      </c>
      <c r="E1287">
        <v>2</v>
      </c>
      <c r="F1287" t="s">
        <v>4247</v>
      </c>
      <c r="G1287" t="s">
        <v>3323</v>
      </c>
      <c r="H1287" t="s">
        <v>4245</v>
      </c>
      <c r="I1287" t="s">
        <v>4248</v>
      </c>
    </row>
    <row r="1288" spans="1:9">
      <c r="A1288" t="str">
        <f>"0207754 "</f>
        <v xml:space="preserve">0207754 </v>
      </c>
      <c r="B1288" t="s">
        <v>3323</v>
      </c>
      <c r="C1288" t="s">
        <v>4249</v>
      </c>
      <c r="D1288" t="s">
        <v>4250</v>
      </c>
      <c r="E1288">
        <v>1</v>
      </c>
      <c r="F1288" t="s">
        <v>4251</v>
      </c>
      <c r="G1288" t="s">
        <v>3323</v>
      </c>
      <c r="H1288" t="s">
        <v>4249</v>
      </c>
      <c r="I1288" t="s">
        <v>4252</v>
      </c>
    </row>
    <row r="1289" spans="1:9">
      <c r="A1289" t="str">
        <f>"0207794 "</f>
        <v xml:space="preserve">0207794 </v>
      </c>
      <c r="B1289" t="s">
        <v>3323</v>
      </c>
      <c r="C1289" t="s">
        <v>4253</v>
      </c>
      <c r="D1289" t="s">
        <v>4254</v>
      </c>
      <c r="E1289">
        <v>1</v>
      </c>
      <c r="F1289" t="s">
        <v>4255</v>
      </c>
      <c r="G1289" t="s">
        <v>3323</v>
      </c>
      <c r="H1289" t="s">
        <v>4253</v>
      </c>
      <c r="I1289" t="s">
        <v>4256</v>
      </c>
    </row>
    <row r="1290" spans="1:9">
      <c r="A1290" t="str">
        <f>"0207804 "</f>
        <v xml:space="preserve">0207804 </v>
      </c>
      <c r="B1290" t="s">
        <v>3323</v>
      </c>
      <c r="C1290" t="s">
        <v>4257</v>
      </c>
      <c r="D1290" t="s">
        <v>4258</v>
      </c>
      <c r="E1290">
        <v>1</v>
      </c>
      <c r="F1290" t="s">
        <v>4259</v>
      </c>
      <c r="G1290" t="s">
        <v>3323</v>
      </c>
      <c r="H1290" t="s">
        <v>4257</v>
      </c>
      <c r="I1290" t="s">
        <v>4260</v>
      </c>
    </row>
    <row r="1291" spans="1:9">
      <c r="A1291" t="str">
        <f>"0207849 "</f>
        <v xml:space="preserve">0207849 </v>
      </c>
      <c r="B1291" t="s">
        <v>3323</v>
      </c>
      <c r="C1291" t="s">
        <v>4261</v>
      </c>
      <c r="D1291" t="s">
        <v>4262</v>
      </c>
      <c r="E1291">
        <v>1</v>
      </c>
      <c r="F1291" t="s">
        <v>4263</v>
      </c>
      <c r="G1291" t="s">
        <v>3323</v>
      </c>
      <c r="H1291" t="s">
        <v>4261</v>
      </c>
      <c r="I1291" t="s">
        <v>4264</v>
      </c>
    </row>
    <row r="1292" spans="1:9">
      <c r="A1292" t="str">
        <f>"0207962 "</f>
        <v xml:space="preserve">0207962 </v>
      </c>
      <c r="B1292" t="s">
        <v>3323</v>
      </c>
      <c r="C1292" t="s">
        <v>4265</v>
      </c>
      <c r="D1292" t="s">
        <v>4266</v>
      </c>
      <c r="E1292">
        <v>2</v>
      </c>
      <c r="F1292" t="s">
        <v>4267</v>
      </c>
      <c r="G1292" t="s">
        <v>3323</v>
      </c>
      <c r="H1292" t="s">
        <v>4265</v>
      </c>
      <c r="I1292" t="s">
        <v>4268</v>
      </c>
    </row>
    <row r="1293" spans="1:9">
      <c r="A1293" t="str">
        <f>"0208035 "</f>
        <v xml:space="preserve">0208035 </v>
      </c>
      <c r="B1293" t="s">
        <v>3323</v>
      </c>
      <c r="C1293" t="s">
        <v>4269</v>
      </c>
      <c r="D1293" t="s">
        <v>4270</v>
      </c>
      <c r="E1293">
        <v>1</v>
      </c>
      <c r="F1293" t="s">
        <v>4271</v>
      </c>
      <c r="G1293" t="s">
        <v>3323</v>
      </c>
      <c r="H1293" t="s">
        <v>4269</v>
      </c>
      <c r="I1293" t="s">
        <v>4272</v>
      </c>
    </row>
    <row r="1294" spans="1:9">
      <c r="A1294" t="str">
        <f>"0087665 "</f>
        <v xml:space="preserve">0087665 </v>
      </c>
      <c r="B1294" t="s">
        <v>4273</v>
      </c>
      <c r="C1294" t="s">
        <v>4274</v>
      </c>
      <c r="D1294" t="s">
        <v>4275</v>
      </c>
      <c r="E1294" t="s">
        <v>16</v>
      </c>
      <c r="F1294" t="s">
        <v>4276</v>
      </c>
      <c r="G1294" t="s">
        <v>4273</v>
      </c>
      <c r="H1294" t="s">
        <v>4274</v>
      </c>
      <c r="I1294" t="s">
        <v>4277</v>
      </c>
    </row>
    <row r="1295" spans="1:9">
      <c r="A1295" t="str">
        <f>"0087666 "</f>
        <v xml:space="preserve">0087666 </v>
      </c>
      <c r="B1295" t="s">
        <v>4273</v>
      </c>
      <c r="C1295" t="s">
        <v>4278</v>
      </c>
      <c r="D1295" t="s">
        <v>4279</v>
      </c>
      <c r="E1295" t="s">
        <v>16</v>
      </c>
      <c r="F1295" t="s">
        <v>4280</v>
      </c>
      <c r="G1295" t="s">
        <v>4273</v>
      </c>
      <c r="H1295" t="s">
        <v>4278</v>
      </c>
      <c r="I1295" t="s">
        <v>4281</v>
      </c>
    </row>
    <row r="1296" spans="1:9">
      <c r="A1296" t="str">
        <f>"0087667 "</f>
        <v xml:space="preserve">0087667 </v>
      </c>
      <c r="B1296" t="s">
        <v>4273</v>
      </c>
      <c r="C1296" t="s">
        <v>4282</v>
      </c>
      <c r="D1296" t="s">
        <v>4283</v>
      </c>
      <c r="E1296" t="s">
        <v>16</v>
      </c>
      <c r="F1296" t="s">
        <v>4284</v>
      </c>
      <c r="G1296" t="s">
        <v>4273</v>
      </c>
      <c r="H1296" t="s">
        <v>4282</v>
      </c>
      <c r="I1296" t="s">
        <v>4285</v>
      </c>
    </row>
    <row r="1297" spans="1:9">
      <c r="A1297" t="str">
        <f>"0087668 "</f>
        <v xml:space="preserve">0087668 </v>
      </c>
      <c r="B1297" t="s">
        <v>4273</v>
      </c>
      <c r="C1297" t="s">
        <v>4286</v>
      </c>
      <c r="D1297" t="s">
        <v>4287</v>
      </c>
      <c r="E1297">
        <v>3</v>
      </c>
      <c r="F1297" t="s">
        <v>4288</v>
      </c>
      <c r="G1297" t="s">
        <v>4273</v>
      </c>
      <c r="H1297" t="s">
        <v>4286</v>
      </c>
      <c r="I1297" s="2" t="s">
        <v>4289</v>
      </c>
    </row>
    <row r="1298" spans="1:9">
      <c r="A1298" t="str">
        <f>"0087670 "</f>
        <v xml:space="preserve">0087670 </v>
      </c>
      <c r="B1298" t="s">
        <v>4273</v>
      </c>
      <c r="C1298" t="s">
        <v>4290</v>
      </c>
      <c r="D1298" t="s">
        <v>4291</v>
      </c>
      <c r="E1298" t="s">
        <v>16</v>
      </c>
      <c r="F1298" t="s">
        <v>3662</v>
      </c>
      <c r="G1298" t="s">
        <v>4273</v>
      </c>
      <c r="H1298" t="s">
        <v>4290</v>
      </c>
      <c r="I1298" t="s">
        <v>4292</v>
      </c>
    </row>
    <row r="1299" spans="1:9">
      <c r="A1299" t="str">
        <f>"0087671 "</f>
        <v xml:space="preserve">0087671 </v>
      </c>
      <c r="B1299" t="s">
        <v>4273</v>
      </c>
      <c r="C1299" t="s">
        <v>4293</v>
      </c>
      <c r="D1299" t="s">
        <v>4294</v>
      </c>
      <c r="E1299" t="s">
        <v>16</v>
      </c>
      <c r="F1299" t="s">
        <v>4020</v>
      </c>
      <c r="G1299" t="s">
        <v>4273</v>
      </c>
      <c r="H1299" t="s">
        <v>4293</v>
      </c>
      <c r="I1299" t="s">
        <v>4295</v>
      </c>
    </row>
    <row r="1300" spans="1:9">
      <c r="A1300" t="str">
        <f>"0087673 "</f>
        <v xml:space="preserve">0087673 </v>
      </c>
      <c r="B1300" t="s">
        <v>4273</v>
      </c>
      <c r="C1300" t="s">
        <v>4296</v>
      </c>
      <c r="D1300" t="s">
        <v>4297</v>
      </c>
      <c r="E1300" t="s">
        <v>16</v>
      </c>
      <c r="F1300" t="s">
        <v>3656</v>
      </c>
      <c r="G1300" t="s">
        <v>4273</v>
      </c>
      <c r="H1300" t="s">
        <v>4296</v>
      </c>
      <c r="I1300" t="s">
        <v>4298</v>
      </c>
    </row>
    <row r="1301" spans="1:9">
      <c r="A1301" t="str">
        <f>"0087678 "</f>
        <v xml:space="preserve">0087678 </v>
      </c>
      <c r="B1301" t="s">
        <v>4273</v>
      </c>
      <c r="C1301" t="s">
        <v>4299</v>
      </c>
      <c r="D1301" t="s">
        <v>4300</v>
      </c>
      <c r="E1301" t="s">
        <v>16</v>
      </c>
      <c r="F1301" t="s">
        <v>4301</v>
      </c>
      <c r="G1301" t="s">
        <v>4273</v>
      </c>
      <c r="H1301" t="s">
        <v>4299</v>
      </c>
      <c r="I1301" t="s">
        <v>4302</v>
      </c>
    </row>
    <row r="1302" spans="1:9">
      <c r="A1302" t="str">
        <f>"0087680 "</f>
        <v xml:space="preserve">0087680 </v>
      </c>
      <c r="B1302" t="s">
        <v>4273</v>
      </c>
      <c r="C1302" t="s">
        <v>4303</v>
      </c>
      <c r="D1302" t="s">
        <v>4304</v>
      </c>
      <c r="E1302" t="s">
        <v>16</v>
      </c>
      <c r="F1302" t="s">
        <v>4305</v>
      </c>
      <c r="G1302" t="s">
        <v>4273</v>
      </c>
      <c r="H1302" t="s">
        <v>4303</v>
      </c>
      <c r="I1302" s="2" t="s">
        <v>4306</v>
      </c>
    </row>
    <row r="1303" spans="1:9">
      <c r="A1303" t="str">
        <f>"0087681 "</f>
        <v xml:space="preserve">0087681 </v>
      </c>
      <c r="B1303" t="s">
        <v>4273</v>
      </c>
      <c r="C1303" t="s">
        <v>4307</v>
      </c>
      <c r="D1303" t="s">
        <v>4308</v>
      </c>
      <c r="E1303" t="s">
        <v>16</v>
      </c>
      <c r="F1303" t="s">
        <v>784</v>
      </c>
      <c r="G1303" t="s">
        <v>4273</v>
      </c>
      <c r="H1303" t="s">
        <v>4307</v>
      </c>
      <c r="I1303" t="s">
        <v>4309</v>
      </c>
    </row>
    <row r="1304" spans="1:9">
      <c r="A1304" t="str">
        <f>"0087682 "</f>
        <v xml:space="preserve">0087682 </v>
      </c>
      <c r="B1304" t="s">
        <v>4273</v>
      </c>
      <c r="C1304" t="s">
        <v>4310</v>
      </c>
      <c r="D1304" t="s">
        <v>4311</v>
      </c>
      <c r="E1304" t="s">
        <v>16</v>
      </c>
      <c r="F1304" t="s">
        <v>4312</v>
      </c>
      <c r="G1304" t="s">
        <v>4273</v>
      </c>
      <c r="H1304" t="s">
        <v>4310</v>
      </c>
      <c r="I1304" t="s">
        <v>4313</v>
      </c>
    </row>
    <row r="1305" spans="1:9">
      <c r="A1305" t="str">
        <f>"0087683 "</f>
        <v xml:space="preserve">0087683 </v>
      </c>
      <c r="B1305" t="s">
        <v>4273</v>
      </c>
      <c r="C1305" t="s">
        <v>4314</v>
      </c>
      <c r="D1305" t="s">
        <v>4315</v>
      </c>
      <c r="E1305" t="s">
        <v>16</v>
      </c>
      <c r="F1305" t="s">
        <v>4316</v>
      </c>
      <c r="G1305" t="s">
        <v>4273</v>
      </c>
      <c r="H1305" t="s">
        <v>4314</v>
      </c>
      <c r="I1305" t="s">
        <v>4317</v>
      </c>
    </row>
    <row r="1306" spans="1:9">
      <c r="A1306" t="str">
        <f>"0087687 "</f>
        <v xml:space="preserve">0087687 </v>
      </c>
      <c r="B1306" t="s">
        <v>4273</v>
      </c>
      <c r="C1306" t="s">
        <v>4318</v>
      </c>
      <c r="D1306" t="s">
        <v>4319</v>
      </c>
      <c r="E1306" t="s">
        <v>16</v>
      </c>
      <c r="F1306" t="s">
        <v>4320</v>
      </c>
      <c r="G1306" t="s">
        <v>4273</v>
      </c>
      <c r="H1306" t="s">
        <v>4318</v>
      </c>
      <c r="I1306" t="s">
        <v>4321</v>
      </c>
    </row>
    <row r="1307" spans="1:9">
      <c r="A1307" t="str">
        <f>"0087688 "</f>
        <v xml:space="preserve">0087688 </v>
      </c>
      <c r="B1307" t="s">
        <v>4273</v>
      </c>
      <c r="C1307" t="s">
        <v>4322</v>
      </c>
      <c r="D1307" t="s">
        <v>4323</v>
      </c>
      <c r="E1307" t="s">
        <v>16</v>
      </c>
      <c r="F1307" t="s">
        <v>3235</v>
      </c>
      <c r="G1307" t="s">
        <v>4273</v>
      </c>
      <c r="H1307" t="s">
        <v>4322</v>
      </c>
      <c r="I1307" s="2" t="s">
        <v>4324</v>
      </c>
    </row>
    <row r="1308" spans="1:9">
      <c r="A1308" t="str">
        <f>"0087691 "</f>
        <v xml:space="preserve">0087691 </v>
      </c>
      <c r="B1308" t="s">
        <v>4273</v>
      </c>
      <c r="C1308" t="s">
        <v>4325</v>
      </c>
      <c r="D1308" t="s">
        <v>4326</v>
      </c>
      <c r="E1308">
        <v>4</v>
      </c>
      <c r="F1308" t="s">
        <v>4327</v>
      </c>
      <c r="G1308" t="s">
        <v>4273</v>
      </c>
      <c r="H1308" t="s">
        <v>4325</v>
      </c>
      <c r="I1308" t="s">
        <v>4328</v>
      </c>
    </row>
    <row r="1309" spans="1:9">
      <c r="A1309" t="str">
        <f>"0087692 "</f>
        <v xml:space="preserve">0087692 </v>
      </c>
      <c r="B1309" t="s">
        <v>4273</v>
      </c>
      <c r="C1309" t="s">
        <v>4329</v>
      </c>
      <c r="D1309" t="s">
        <v>4330</v>
      </c>
      <c r="E1309" t="s">
        <v>16</v>
      </c>
      <c r="F1309" t="s">
        <v>3603</v>
      </c>
      <c r="G1309" t="s">
        <v>4273</v>
      </c>
      <c r="H1309" t="s">
        <v>4329</v>
      </c>
      <c r="I1309" t="s">
        <v>4331</v>
      </c>
    </row>
    <row r="1310" spans="1:9">
      <c r="A1310" t="str">
        <f>"0087695 "</f>
        <v xml:space="preserve">0087695 </v>
      </c>
      <c r="B1310" t="s">
        <v>4273</v>
      </c>
      <c r="C1310" t="s">
        <v>4332</v>
      </c>
      <c r="D1310" t="s">
        <v>4333</v>
      </c>
      <c r="E1310" t="s">
        <v>16</v>
      </c>
      <c r="F1310" t="s">
        <v>4334</v>
      </c>
      <c r="G1310" t="s">
        <v>4273</v>
      </c>
      <c r="H1310" t="s">
        <v>4332</v>
      </c>
      <c r="I1310" t="s">
        <v>4335</v>
      </c>
    </row>
    <row r="1311" spans="1:9">
      <c r="A1311" t="str">
        <f>"0087698 "</f>
        <v xml:space="preserve">0087698 </v>
      </c>
      <c r="B1311" t="s">
        <v>4273</v>
      </c>
      <c r="C1311" t="s">
        <v>4336</v>
      </c>
      <c r="D1311" t="s">
        <v>4337</v>
      </c>
      <c r="E1311">
        <v>4</v>
      </c>
      <c r="F1311" t="s">
        <v>4338</v>
      </c>
      <c r="G1311" t="s">
        <v>4273</v>
      </c>
      <c r="H1311" t="s">
        <v>4336</v>
      </c>
      <c r="I1311" t="s">
        <v>4339</v>
      </c>
    </row>
    <row r="1312" spans="1:9">
      <c r="A1312" t="str">
        <f>"0087719 "</f>
        <v xml:space="preserve">0087719 </v>
      </c>
      <c r="B1312" t="s">
        <v>4273</v>
      </c>
      <c r="C1312" t="s">
        <v>4340</v>
      </c>
      <c r="D1312" t="s">
        <v>4341</v>
      </c>
      <c r="E1312" t="s">
        <v>16</v>
      </c>
      <c r="F1312" t="s">
        <v>4342</v>
      </c>
      <c r="G1312" t="s">
        <v>4273</v>
      </c>
      <c r="H1312" t="s">
        <v>4340</v>
      </c>
      <c r="I1312" t="s">
        <v>4343</v>
      </c>
    </row>
    <row r="1313" spans="1:9">
      <c r="A1313" t="str">
        <f>"0087723 "</f>
        <v xml:space="preserve">0087723 </v>
      </c>
      <c r="B1313" t="s">
        <v>4273</v>
      </c>
      <c r="C1313" t="s">
        <v>4344</v>
      </c>
      <c r="D1313" t="s">
        <v>4345</v>
      </c>
      <c r="E1313" t="s">
        <v>16</v>
      </c>
      <c r="F1313" t="s">
        <v>4346</v>
      </c>
      <c r="G1313" t="s">
        <v>4273</v>
      </c>
      <c r="H1313" t="s">
        <v>4344</v>
      </c>
      <c r="I1313" t="s">
        <v>4347</v>
      </c>
    </row>
    <row r="1314" spans="1:9">
      <c r="A1314" t="str">
        <f>"0087732 "</f>
        <v xml:space="preserve">0087732 </v>
      </c>
      <c r="B1314" t="s">
        <v>4273</v>
      </c>
      <c r="C1314" t="s">
        <v>4348</v>
      </c>
      <c r="D1314" t="s">
        <v>4349</v>
      </c>
      <c r="E1314" t="s">
        <v>16</v>
      </c>
      <c r="F1314" t="s">
        <v>4350</v>
      </c>
      <c r="G1314" t="s">
        <v>4273</v>
      </c>
      <c r="H1314" t="s">
        <v>4348</v>
      </c>
      <c r="I1314" t="s">
        <v>4351</v>
      </c>
    </row>
    <row r="1315" spans="1:9">
      <c r="A1315" t="str">
        <f>"0087742 "</f>
        <v xml:space="preserve">0087742 </v>
      </c>
      <c r="B1315" t="s">
        <v>4273</v>
      </c>
      <c r="C1315" t="s">
        <v>4352</v>
      </c>
      <c r="D1315" t="s">
        <v>4353</v>
      </c>
      <c r="E1315" t="s">
        <v>16</v>
      </c>
      <c r="F1315" t="s">
        <v>4354</v>
      </c>
      <c r="G1315" t="s">
        <v>4273</v>
      </c>
      <c r="H1315" t="s">
        <v>4352</v>
      </c>
      <c r="I1315" t="s">
        <v>4355</v>
      </c>
    </row>
    <row r="1316" spans="1:9">
      <c r="A1316" t="str">
        <f>"0087048 "</f>
        <v xml:space="preserve">0087048 </v>
      </c>
      <c r="B1316" t="s">
        <v>4273</v>
      </c>
      <c r="C1316" t="s">
        <v>4356</v>
      </c>
      <c r="D1316" t="s">
        <v>4357</v>
      </c>
      <c r="E1316" t="s">
        <v>16</v>
      </c>
      <c r="F1316" t="s">
        <v>4312</v>
      </c>
      <c r="G1316" t="s">
        <v>4273</v>
      </c>
      <c r="H1316" t="s">
        <v>4356</v>
      </c>
      <c r="I1316" t="s">
        <v>4358</v>
      </c>
    </row>
    <row r="1317" spans="1:9">
      <c r="A1317" t="str">
        <f>"0087050 "</f>
        <v xml:space="preserve">0087050 </v>
      </c>
      <c r="B1317" t="s">
        <v>4273</v>
      </c>
      <c r="C1317" t="s">
        <v>4359</v>
      </c>
      <c r="D1317" t="s">
        <v>4360</v>
      </c>
      <c r="E1317" t="s">
        <v>16</v>
      </c>
      <c r="F1317" t="s">
        <v>4312</v>
      </c>
      <c r="G1317" t="s">
        <v>4273</v>
      </c>
      <c r="H1317" t="s">
        <v>4359</v>
      </c>
      <c r="I1317" t="s">
        <v>4361</v>
      </c>
    </row>
    <row r="1318" spans="1:9">
      <c r="A1318" t="str">
        <f>"0212321 "</f>
        <v xml:space="preserve">0212321 </v>
      </c>
      <c r="B1318" t="s">
        <v>4273</v>
      </c>
      <c r="C1318" t="s">
        <v>4362</v>
      </c>
      <c r="D1318" t="s">
        <v>4363</v>
      </c>
      <c r="E1318" t="s">
        <v>16</v>
      </c>
      <c r="F1318" t="s">
        <v>4364</v>
      </c>
      <c r="G1318" t="s">
        <v>4273</v>
      </c>
      <c r="H1318" t="s">
        <v>4362</v>
      </c>
      <c r="I1318" t="s">
        <v>4365</v>
      </c>
    </row>
    <row r="1319" spans="1:9">
      <c r="A1319" t="str">
        <f>"0087053 "</f>
        <v xml:space="preserve">0087053 </v>
      </c>
      <c r="B1319" t="s">
        <v>4273</v>
      </c>
      <c r="C1319" t="s">
        <v>4366</v>
      </c>
      <c r="D1319" t="s">
        <v>4367</v>
      </c>
      <c r="E1319" t="s">
        <v>16</v>
      </c>
      <c r="F1319" t="s">
        <v>3975</v>
      </c>
      <c r="G1319" t="s">
        <v>4273</v>
      </c>
      <c r="H1319" t="s">
        <v>4366</v>
      </c>
      <c r="I1319" t="s">
        <v>4368</v>
      </c>
    </row>
    <row r="1320" spans="1:9">
      <c r="A1320" t="str">
        <f>"0087064 "</f>
        <v xml:space="preserve">0087064 </v>
      </c>
      <c r="B1320" t="s">
        <v>4273</v>
      </c>
      <c r="C1320" t="s">
        <v>4369</v>
      </c>
      <c r="D1320" t="s">
        <v>4370</v>
      </c>
      <c r="E1320" t="s">
        <v>16</v>
      </c>
      <c r="F1320" t="s">
        <v>3975</v>
      </c>
      <c r="G1320" t="s">
        <v>4273</v>
      </c>
      <c r="H1320" t="s">
        <v>4369</v>
      </c>
      <c r="I1320" t="s">
        <v>4371</v>
      </c>
    </row>
    <row r="1321" spans="1:9">
      <c r="A1321" t="str">
        <f>"0087065 "</f>
        <v xml:space="preserve">0087065 </v>
      </c>
      <c r="B1321" t="s">
        <v>4273</v>
      </c>
      <c r="C1321" t="s">
        <v>4372</v>
      </c>
      <c r="D1321" t="s">
        <v>4373</v>
      </c>
      <c r="E1321" t="s">
        <v>16</v>
      </c>
      <c r="F1321" t="s">
        <v>3975</v>
      </c>
      <c r="G1321" t="s">
        <v>4273</v>
      </c>
      <c r="H1321" t="s">
        <v>4372</v>
      </c>
      <c r="I1321" t="s">
        <v>4374</v>
      </c>
    </row>
    <row r="1322" spans="1:9">
      <c r="A1322" t="str">
        <f>"0087077 "</f>
        <v xml:space="preserve">0087077 </v>
      </c>
      <c r="B1322" t="s">
        <v>4273</v>
      </c>
      <c r="C1322" t="s">
        <v>4375</v>
      </c>
      <c r="D1322" t="s">
        <v>4376</v>
      </c>
      <c r="E1322">
        <v>4</v>
      </c>
      <c r="F1322" t="s">
        <v>4312</v>
      </c>
      <c r="G1322" t="s">
        <v>4273</v>
      </c>
      <c r="H1322" t="s">
        <v>4375</v>
      </c>
      <c r="I1322" t="s">
        <v>4377</v>
      </c>
    </row>
    <row r="1323" spans="1:9">
      <c r="A1323" t="str">
        <f>"0087091 "</f>
        <v xml:space="preserve">0087091 </v>
      </c>
      <c r="B1323" t="s">
        <v>4273</v>
      </c>
      <c r="C1323" t="s">
        <v>4378</v>
      </c>
      <c r="D1323" t="s">
        <v>4379</v>
      </c>
      <c r="E1323" t="s">
        <v>16</v>
      </c>
      <c r="F1323" t="s">
        <v>4312</v>
      </c>
      <c r="G1323" t="s">
        <v>4273</v>
      </c>
      <c r="H1323" t="s">
        <v>4378</v>
      </c>
      <c r="I1323" t="s">
        <v>4380</v>
      </c>
    </row>
    <row r="1324" spans="1:9">
      <c r="A1324" t="str">
        <f>"0087102 "</f>
        <v xml:space="preserve">0087102 </v>
      </c>
      <c r="B1324" t="s">
        <v>4273</v>
      </c>
      <c r="C1324" t="s">
        <v>4381</v>
      </c>
      <c r="D1324" t="s">
        <v>4382</v>
      </c>
      <c r="E1324">
        <v>4</v>
      </c>
      <c r="F1324" t="s">
        <v>3975</v>
      </c>
      <c r="G1324" t="s">
        <v>4273</v>
      </c>
      <c r="H1324" t="s">
        <v>4381</v>
      </c>
      <c r="I1324" t="s">
        <v>4383</v>
      </c>
    </row>
    <row r="1325" spans="1:9">
      <c r="A1325" t="str">
        <f>"0087104 "</f>
        <v xml:space="preserve">0087104 </v>
      </c>
      <c r="B1325" t="s">
        <v>4273</v>
      </c>
      <c r="C1325" t="s">
        <v>4384</v>
      </c>
      <c r="D1325" t="s">
        <v>4385</v>
      </c>
      <c r="E1325">
        <v>4</v>
      </c>
      <c r="F1325" t="s">
        <v>3975</v>
      </c>
      <c r="G1325" t="s">
        <v>4273</v>
      </c>
      <c r="H1325" t="s">
        <v>4384</v>
      </c>
      <c r="I1325" t="s">
        <v>4386</v>
      </c>
    </row>
    <row r="1326" spans="1:9">
      <c r="A1326" t="str">
        <f>"0087138 "</f>
        <v xml:space="preserve">0087138 </v>
      </c>
      <c r="B1326" t="s">
        <v>4273</v>
      </c>
      <c r="C1326" t="s">
        <v>4387</v>
      </c>
      <c r="D1326" t="s">
        <v>4388</v>
      </c>
      <c r="E1326" t="s">
        <v>16</v>
      </c>
      <c r="F1326" t="s">
        <v>4312</v>
      </c>
      <c r="G1326" t="s">
        <v>4273</v>
      </c>
      <c r="H1326" t="s">
        <v>4387</v>
      </c>
      <c r="I1326" t="s">
        <v>4389</v>
      </c>
    </row>
    <row r="1327" spans="1:9">
      <c r="A1327" t="str">
        <f>"0087139 "</f>
        <v xml:space="preserve">0087139 </v>
      </c>
      <c r="B1327" t="s">
        <v>4273</v>
      </c>
      <c r="C1327" t="s">
        <v>4390</v>
      </c>
      <c r="D1327" t="s">
        <v>4391</v>
      </c>
      <c r="E1327" t="s">
        <v>16</v>
      </c>
      <c r="F1327" t="s">
        <v>4392</v>
      </c>
      <c r="G1327" t="s">
        <v>4273</v>
      </c>
      <c r="H1327" t="s">
        <v>4390</v>
      </c>
      <c r="I1327" t="s">
        <v>4393</v>
      </c>
    </row>
    <row r="1328" spans="1:9">
      <c r="A1328" t="str">
        <f>"0087184 "</f>
        <v xml:space="preserve">0087184 </v>
      </c>
      <c r="B1328" t="s">
        <v>4273</v>
      </c>
      <c r="C1328" t="s">
        <v>4394</v>
      </c>
      <c r="D1328" t="s">
        <v>4395</v>
      </c>
      <c r="E1328" t="s">
        <v>16</v>
      </c>
      <c r="F1328" t="s">
        <v>4396</v>
      </c>
      <c r="G1328" t="s">
        <v>4273</v>
      </c>
      <c r="H1328" t="s">
        <v>4397</v>
      </c>
      <c r="I1328" t="s">
        <v>4398</v>
      </c>
    </row>
    <row r="1329" spans="1:9">
      <c r="A1329" t="str">
        <f>"0087188 "</f>
        <v xml:space="preserve">0087188 </v>
      </c>
      <c r="B1329" t="s">
        <v>4273</v>
      </c>
      <c r="C1329" t="s">
        <v>4399</v>
      </c>
      <c r="D1329" t="s">
        <v>4400</v>
      </c>
      <c r="E1329" t="s">
        <v>16</v>
      </c>
      <c r="F1329" t="s">
        <v>4401</v>
      </c>
      <c r="G1329" t="s">
        <v>4273</v>
      </c>
      <c r="H1329" t="s">
        <v>4402</v>
      </c>
      <c r="I1329" t="s">
        <v>4403</v>
      </c>
    </row>
    <row r="1330" spans="1:9">
      <c r="A1330" t="str">
        <f>"0087189 "</f>
        <v xml:space="preserve">0087189 </v>
      </c>
      <c r="B1330" t="s">
        <v>4273</v>
      </c>
      <c r="C1330" t="s">
        <v>4404</v>
      </c>
      <c r="D1330" t="s">
        <v>4405</v>
      </c>
      <c r="E1330" t="s">
        <v>16</v>
      </c>
      <c r="F1330" t="s">
        <v>4406</v>
      </c>
      <c r="G1330" t="s">
        <v>4273</v>
      </c>
      <c r="H1330" t="s">
        <v>4407</v>
      </c>
      <c r="I1330" t="s">
        <v>4408</v>
      </c>
    </row>
    <row r="1331" spans="1:9">
      <c r="A1331" t="str">
        <f>"0087190 "</f>
        <v xml:space="preserve">0087190 </v>
      </c>
      <c r="B1331" t="s">
        <v>4273</v>
      </c>
      <c r="C1331" t="s">
        <v>4409</v>
      </c>
      <c r="D1331" t="s">
        <v>4410</v>
      </c>
      <c r="E1331" t="s">
        <v>16</v>
      </c>
      <c r="F1331" t="s">
        <v>3975</v>
      </c>
      <c r="G1331" t="s">
        <v>4273</v>
      </c>
      <c r="H1331" t="s">
        <v>4411</v>
      </c>
      <c r="I1331" t="s">
        <v>4412</v>
      </c>
    </row>
    <row r="1332" spans="1:9">
      <c r="A1332" t="str">
        <f>"0087193 "</f>
        <v xml:space="preserve">0087193 </v>
      </c>
      <c r="B1332" t="s">
        <v>4273</v>
      </c>
      <c r="C1332" t="s">
        <v>4413</v>
      </c>
      <c r="D1332" t="s">
        <v>4414</v>
      </c>
      <c r="E1332" t="s">
        <v>16</v>
      </c>
      <c r="F1332" t="s">
        <v>4401</v>
      </c>
      <c r="G1332" t="s">
        <v>4273</v>
      </c>
      <c r="H1332" t="s">
        <v>4415</v>
      </c>
      <c r="I1332" t="s">
        <v>4416</v>
      </c>
    </row>
    <row r="1333" spans="1:9">
      <c r="A1333" t="str">
        <f>"0087194 "</f>
        <v xml:space="preserve">0087194 </v>
      </c>
      <c r="B1333" t="s">
        <v>4273</v>
      </c>
      <c r="C1333" t="s">
        <v>4417</v>
      </c>
      <c r="D1333" t="s">
        <v>4418</v>
      </c>
      <c r="E1333" t="s">
        <v>16</v>
      </c>
      <c r="F1333" t="s">
        <v>4401</v>
      </c>
      <c r="G1333" t="s">
        <v>4273</v>
      </c>
      <c r="H1333" t="s">
        <v>4419</v>
      </c>
      <c r="I1333" t="s">
        <v>4420</v>
      </c>
    </row>
    <row r="1334" spans="1:9">
      <c r="A1334" t="str">
        <f>"0087197 "</f>
        <v xml:space="preserve">0087197 </v>
      </c>
      <c r="B1334" t="s">
        <v>4273</v>
      </c>
      <c r="C1334" t="s">
        <v>4421</v>
      </c>
      <c r="D1334" t="s">
        <v>4422</v>
      </c>
      <c r="E1334" t="s">
        <v>16</v>
      </c>
      <c r="F1334" t="s">
        <v>4396</v>
      </c>
      <c r="G1334" t="s">
        <v>4273</v>
      </c>
      <c r="H1334" t="s">
        <v>4421</v>
      </c>
      <c r="I1334" t="s">
        <v>4423</v>
      </c>
    </row>
    <row r="1335" spans="1:9">
      <c r="A1335" t="str">
        <f>"0087198 "</f>
        <v xml:space="preserve">0087198 </v>
      </c>
      <c r="B1335" t="s">
        <v>4273</v>
      </c>
      <c r="C1335" t="s">
        <v>4424</v>
      </c>
      <c r="D1335" t="s">
        <v>4425</v>
      </c>
      <c r="E1335">
        <v>4</v>
      </c>
      <c r="F1335" t="s">
        <v>4426</v>
      </c>
      <c r="G1335" t="s">
        <v>4273</v>
      </c>
      <c r="H1335" t="s">
        <v>4427</v>
      </c>
      <c r="I1335" t="s">
        <v>4428</v>
      </c>
    </row>
    <row r="1336" spans="1:9">
      <c r="A1336" t="str">
        <f>"0087199 "</f>
        <v xml:space="preserve">0087199 </v>
      </c>
      <c r="B1336" t="s">
        <v>4273</v>
      </c>
      <c r="C1336" t="s">
        <v>4429</v>
      </c>
      <c r="D1336" t="s">
        <v>4430</v>
      </c>
      <c r="E1336" t="s">
        <v>16</v>
      </c>
      <c r="F1336" t="s">
        <v>3351</v>
      </c>
      <c r="G1336" t="s">
        <v>4273</v>
      </c>
      <c r="H1336" t="s">
        <v>4431</v>
      </c>
      <c r="I1336" t="s">
        <v>4432</v>
      </c>
    </row>
    <row r="1337" spans="1:9">
      <c r="A1337" t="str">
        <f>"0087200 "</f>
        <v xml:space="preserve">0087200 </v>
      </c>
      <c r="B1337" t="s">
        <v>4273</v>
      </c>
      <c r="C1337" t="s">
        <v>4433</v>
      </c>
      <c r="D1337" t="s">
        <v>4434</v>
      </c>
      <c r="E1337">
        <v>4</v>
      </c>
      <c r="F1337" t="s">
        <v>3514</v>
      </c>
      <c r="G1337" t="s">
        <v>4273</v>
      </c>
      <c r="H1337" t="s">
        <v>4433</v>
      </c>
      <c r="I1337" t="s">
        <v>4435</v>
      </c>
    </row>
    <row r="1338" spans="1:9">
      <c r="A1338" t="str">
        <f>"0087201 "</f>
        <v xml:space="preserve">0087201 </v>
      </c>
      <c r="B1338" t="s">
        <v>4273</v>
      </c>
      <c r="C1338" t="s">
        <v>4436</v>
      </c>
      <c r="D1338" t="s">
        <v>4437</v>
      </c>
      <c r="E1338" t="s">
        <v>16</v>
      </c>
      <c r="F1338" t="s">
        <v>4438</v>
      </c>
      <c r="G1338" t="s">
        <v>4273</v>
      </c>
      <c r="H1338" t="s">
        <v>4439</v>
      </c>
      <c r="I1338" t="s">
        <v>4440</v>
      </c>
    </row>
    <row r="1339" spans="1:9">
      <c r="A1339" t="str">
        <f>"0240726 "</f>
        <v xml:space="preserve">0240726 </v>
      </c>
      <c r="B1339" t="s">
        <v>4273</v>
      </c>
      <c r="C1339" t="s">
        <v>4441</v>
      </c>
      <c r="D1339" t="s">
        <v>4442</v>
      </c>
      <c r="E1339">
        <v>4</v>
      </c>
      <c r="F1339" t="s">
        <v>3514</v>
      </c>
      <c r="G1339" t="s">
        <v>4273</v>
      </c>
      <c r="H1339" t="s">
        <v>4443</v>
      </c>
      <c r="I1339" t="s">
        <v>4444</v>
      </c>
    </row>
    <row r="1340" spans="1:9">
      <c r="A1340" t="str">
        <f>"0087204 "</f>
        <v xml:space="preserve">0087204 </v>
      </c>
      <c r="B1340" t="s">
        <v>4273</v>
      </c>
      <c r="C1340" t="s">
        <v>4445</v>
      </c>
      <c r="D1340" t="s">
        <v>4446</v>
      </c>
      <c r="E1340" t="s">
        <v>16</v>
      </c>
      <c r="F1340" t="s">
        <v>4447</v>
      </c>
      <c r="G1340" t="s">
        <v>4273</v>
      </c>
      <c r="H1340" t="s">
        <v>4448</v>
      </c>
      <c r="I1340" s="2" t="s">
        <v>4449</v>
      </c>
    </row>
    <row r="1341" spans="1:9">
      <c r="A1341" t="str">
        <f>"0087205 "</f>
        <v xml:space="preserve">0087205 </v>
      </c>
      <c r="B1341" t="s">
        <v>4273</v>
      </c>
      <c r="C1341" t="s">
        <v>4450</v>
      </c>
      <c r="D1341" t="s">
        <v>4451</v>
      </c>
      <c r="E1341" t="s">
        <v>16</v>
      </c>
      <c r="F1341" t="s">
        <v>4406</v>
      </c>
      <c r="G1341" t="s">
        <v>4273</v>
      </c>
      <c r="H1341" t="s">
        <v>4452</v>
      </c>
      <c r="I1341" t="s">
        <v>4453</v>
      </c>
    </row>
    <row r="1342" spans="1:9">
      <c r="A1342" t="str">
        <f>"0240727 "</f>
        <v xml:space="preserve">0240727 </v>
      </c>
      <c r="B1342" t="s">
        <v>4273</v>
      </c>
      <c r="C1342" t="s">
        <v>4454</v>
      </c>
      <c r="D1342" t="s">
        <v>4455</v>
      </c>
      <c r="E1342">
        <v>4</v>
      </c>
      <c r="F1342" t="s">
        <v>4456</v>
      </c>
      <c r="G1342" t="s">
        <v>4273</v>
      </c>
      <c r="H1342" t="s">
        <v>4457</v>
      </c>
      <c r="I1342" t="s">
        <v>4458</v>
      </c>
    </row>
    <row r="1343" spans="1:9">
      <c r="A1343" t="str">
        <f>"0087206 "</f>
        <v xml:space="preserve">0087206 </v>
      </c>
      <c r="B1343" t="s">
        <v>4273</v>
      </c>
      <c r="C1343" t="s">
        <v>4459</v>
      </c>
      <c r="D1343" t="s">
        <v>4460</v>
      </c>
      <c r="E1343" t="s">
        <v>16</v>
      </c>
      <c r="F1343" t="s">
        <v>3975</v>
      </c>
      <c r="G1343" t="s">
        <v>4273</v>
      </c>
      <c r="H1343" t="s">
        <v>4461</v>
      </c>
      <c r="I1343" t="s">
        <v>4462</v>
      </c>
    </row>
    <row r="1344" spans="1:9">
      <c r="A1344" t="str">
        <f>"0087210 "</f>
        <v xml:space="preserve">0087210 </v>
      </c>
      <c r="B1344" t="s">
        <v>4273</v>
      </c>
      <c r="C1344" t="s">
        <v>4463</v>
      </c>
      <c r="D1344" t="s">
        <v>4464</v>
      </c>
      <c r="E1344">
        <v>4</v>
      </c>
      <c r="F1344" t="s">
        <v>4447</v>
      </c>
      <c r="G1344" t="s">
        <v>4273</v>
      </c>
      <c r="H1344" t="s">
        <v>4465</v>
      </c>
      <c r="I1344" t="s">
        <v>4466</v>
      </c>
    </row>
    <row r="1345" spans="1:9">
      <c r="A1345" t="str">
        <f>"0087211 "</f>
        <v xml:space="preserve">0087211 </v>
      </c>
      <c r="B1345" t="s">
        <v>4273</v>
      </c>
      <c r="C1345" t="s">
        <v>4467</v>
      </c>
      <c r="D1345" t="s">
        <v>4468</v>
      </c>
      <c r="E1345">
        <v>4</v>
      </c>
      <c r="F1345" t="s">
        <v>4456</v>
      </c>
      <c r="G1345" t="s">
        <v>4273</v>
      </c>
      <c r="H1345" t="s">
        <v>4469</v>
      </c>
      <c r="I1345" t="s">
        <v>4470</v>
      </c>
    </row>
    <row r="1346" spans="1:9">
      <c r="A1346" t="str">
        <f>"0087216 "</f>
        <v xml:space="preserve">0087216 </v>
      </c>
      <c r="B1346" t="s">
        <v>4273</v>
      </c>
      <c r="C1346" t="s">
        <v>4471</v>
      </c>
      <c r="D1346" t="s">
        <v>4472</v>
      </c>
      <c r="E1346" t="s">
        <v>16</v>
      </c>
      <c r="F1346" t="s">
        <v>3357</v>
      </c>
      <c r="G1346" t="s">
        <v>4273</v>
      </c>
      <c r="H1346" t="s">
        <v>4471</v>
      </c>
      <c r="I1346" t="s">
        <v>4473</v>
      </c>
    </row>
    <row r="1347" spans="1:9">
      <c r="A1347" t="str">
        <f>"0087217 "</f>
        <v xml:space="preserve">0087217 </v>
      </c>
      <c r="B1347" t="s">
        <v>4273</v>
      </c>
      <c r="C1347" t="s">
        <v>4474</v>
      </c>
      <c r="D1347" t="s">
        <v>4475</v>
      </c>
      <c r="E1347" t="s">
        <v>16</v>
      </c>
      <c r="F1347" t="s">
        <v>1878</v>
      </c>
      <c r="G1347" t="s">
        <v>4273</v>
      </c>
      <c r="H1347" t="s">
        <v>4474</v>
      </c>
      <c r="I1347" t="s">
        <v>4476</v>
      </c>
    </row>
    <row r="1348" spans="1:9">
      <c r="A1348" t="str">
        <f>"0240728 "</f>
        <v xml:space="preserve">0240728 </v>
      </c>
      <c r="B1348" t="s">
        <v>4273</v>
      </c>
      <c r="C1348" t="s">
        <v>4477</v>
      </c>
      <c r="D1348" t="s">
        <v>4478</v>
      </c>
      <c r="E1348" t="s">
        <v>16</v>
      </c>
      <c r="F1348" t="s">
        <v>4479</v>
      </c>
      <c r="G1348" t="s">
        <v>4273</v>
      </c>
      <c r="H1348" t="s">
        <v>4477</v>
      </c>
      <c r="I1348" t="s">
        <v>4480</v>
      </c>
    </row>
    <row r="1349" spans="1:9">
      <c r="A1349" t="str">
        <f>"0087226 "</f>
        <v xml:space="preserve">0087226 </v>
      </c>
      <c r="B1349" t="s">
        <v>4273</v>
      </c>
      <c r="C1349" t="s">
        <v>4481</v>
      </c>
      <c r="D1349" t="s">
        <v>4482</v>
      </c>
      <c r="E1349">
        <v>4</v>
      </c>
      <c r="F1349" t="s">
        <v>4396</v>
      </c>
      <c r="G1349" t="s">
        <v>4273</v>
      </c>
      <c r="H1349" t="s">
        <v>4481</v>
      </c>
      <c r="I1349" t="s">
        <v>4483</v>
      </c>
    </row>
    <row r="1350" spans="1:9">
      <c r="A1350" t="str">
        <f>"0153151 "</f>
        <v xml:space="preserve">0153151 </v>
      </c>
      <c r="B1350" t="s">
        <v>4273</v>
      </c>
      <c r="C1350" t="s">
        <v>4484</v>
      </c>
      <c r="D1350" t="s">
        <v>4485</v>
      </c>
      <c r="E1350" t="s">
        <v>16</v>
      </c>
      <c r="F1350" t="s">
        <v>4486</v>
      </c>
      <c r="G1350" t="s">
        <v>4273</v>
      </c>
      <c r="H1350" t="s">
        <v>4487</v>
      </c>
      <c r="I1350" s="2" t="s">
        <v>4488</v>
      </c>
    </row>
    <row r="1351" spans="1:9">
      <c r="A1351" t="str">
        <f>"0087229 "</f>
        <v xml:space="preserve">0087229 </v>
      </c>
      <c r="B1351" t="s">
        <v>4273</v>
      </c>
      <c r="C1351" t="s">
        <v>4489</v>
      </c>
      <c r="D1351" t="s">
        <v>4490</v>
      </c>
      <c r="E1351">
        <v>4</v>
      </c>
      <c r="F1351" t="s">
        <v>4491</v>
      </c>
      <c r="G1351" t="s">
        <v>4273</v>
      </c>
      <c r="H1351" t="s">
        <v>4489</v>
      </c>
      <c r="I1351" t="s">
        <v>4492</v>
      </c>
    </row>
    <row r="1352" spans="1:9">
      <c r="A1352" t="str">
        <f>"0087230 "</f>
        <v xml:space="preserve">0087230 </v>
      </c>
      <c r="B1352" t="s">
        <v>4273</v>
      </c>
      <c r="C1352" t="s">
        <v>4493</v>
      </c>
      <c r="D1352" t="s">
        <v>4494</v>
      </c>
      <c r="E1352" t="s">
        <v>16</v>
      </c>
      <c r="F1352" t="s">
        <v>4495</v>
      </c>
      <c r="G1352" t="s">
        <v>4273</v>
      </c>
      <c r="H1352" t="s">
        <v>4496</v>
      </c>
      <c r="I1352" t="s">
        <v>4497</v>
      </c>
    </row>
    <row r="1353" spans="1:9">
      <c r="A1353" t="str">
        <f>"0087233 "</f>
        <v xml:space="preserve">0087233 </v>
      </c>
      <c r="B1353" t="s">
        <v>4273</v>
      </c>
      <c r="C1353" t="s">
        <v>4498</v>
      </c>
      <c r="D1353" t="s">
        <v>4499</v>
      </c>
      <c r="E1353">
        <v>4</v>
      </c>
      <c r="F1353" t="s">
        <v>4500</v>
      </c>
      <c r="G1353" t="s">
        <v>4273</v>
      </c>
      <c r="H1353" t="s">
        <v>4501</v>
      </c>
      <c r="I1353" t="s">
        <v>4502</v>
      </c>
    </row>
    <row r="1354" spans="1:9">
      <c r="A1354" t="str">
        <f>"0087234 "</f>
        <v xml:space="preserve">0087234 </v>
      </c>
      <c r="B1354" t="s">
        <v>4273</v>
      </c>
      <c r="C1354" t="s">
        <v>4503</v>
      </c>
      <c r="D1354" t="s">
        <v>4504</v>
      </c>
      <c r="E1354" t="s">
        <v>16</v>
      </c>
      <c r="F1354" t="s">
        <v>3391</v>
      </c>
      <c r="G1354" t="s">
        <v>4273</v>
      </c>
      <c r="H1354" t="s">
        <v>4505</v>
      </c>
      <c r="I1354" t="s">
        <v>4506</v>
      </c>
    </row>
    <row r="1355" spans="1:9">
      <c r="A1355" t="str">
        <f>"0087245 "</f>
        <v xml:space="preserve">0087245 </v>
      </c>
      <c r="B1355" t="s">
        <v>4273</v>
      </c>
      <c r="C1355" t="s">
        <v>4507</v>
      </c>
      <c r="D1355" t="s">
        <v>4508</v>
      </c>
      <c r="E1355" t="s">
        <v>16</v>
      </c>
      <c r="F1355" t="s">
        <v>4509</v>
      </c>
      <c r="G1355" t="s">
        <v>4273</v>
      </c>
      <c r="H1355" t="s">
        <v>4510</v>
      </c>
      <c r="I1355" t="s">
        <v>4511</v>
      </c>
    </row>
    <row r="1356" spans="1:9">
      <c r="A1356" t="str">
        <f>"0087246 "</f>
        <v xml:space="preserve">0087246 </v>
      </c>
      <c r="B1356" t="s">
        <v>4273</v>
      </c>
      <c r="C1356" t="s">
        <v>4512</v>
      </c>
      <c r="D1356" t="s">
        <v>4513</v>
      </c>
      <c r="E1356" t="s">
        <v>16</v>
      </c>
      <c r="F1356" t="s">
        <v>4514</v>
      </c>
      <c r="G1356" t="s">
        <v>4273</v>
      </c>
      <c r="H1356" t="s">
        <v>4515</v>
      </c>
      <c r="I1356" t="s">
        <v>4516</v>
      </c>
    </row>
    <row r="1357" spans="1:9">
      <c r="A1357" t="str">
        <f>"0087258 "</f>
        <v xml:space="preserve">0087258 </v>
      </c>
      <c r="B1357" t="s">
        <v>4273</v>
      </c>
      <c r="C1357" t="s">
        <v>4517</v>
      </c>
      <c r="D1357" t="s">
        <v>4518</v>
      </c>
      <c r="E1357">
        <v>4</v>
      </c>
      <c r="F1357" t="s">
        <v>3719</v>
      </c>
      <c r="G1357" t="s">
        <v>4273</v>
      </c>
      <c r="H1357" t="s">
        <v>4517</v>
      </c>
      <c r="I1357" t="s">
        <v>4519</v>
      </c>
    </row>
    <row r="1358" spans="1:9">
      <c r="A1358" t="str">
        <f>"0087259 "</f>
        <v xml:space="preserve">0087259 </v>
      </c>
      <c r="B1358" t="s">
        <v>4273</v>
      </c>
      <c r="C1358" t="s">
        <v>4520</v>
      </c>
      <c r="D1358" t="s">
        <v>4521</v>
      </c>
      <c r="E1358" t="s">
        <v>16</v>
      </c>
      <c r="F1358" t="s">
        <v>3587</v>
      </c>
      <c r="G1358" t="s">
        <v>4273</v>
      </c>
      <c r="H1358" t="s">
        <v>4522</v>
      </c>
      <c r="I1358" t="s">
        <v>4523</v>
      </c>
    </row>
    <row r="1359" spans="1:9">
      <c r="A1359" t="str">
        <f>"0087260 "</f>
        <v xml:space="preserve">0087260 </v>
      </c>
      <c r="B1359" t="s">
        <v>4273</v>
      </c>
      <c r="C1359" t="s">
        <v>4524</v>
      </c>
      <c r="D1359" t="s">
        <v>4525</v>
      </c>
      <c r="E1359" t="s">
        <v>16</v>
      </c>
      <c r="F1359" t="s">
        <v>3045</v>
      </c>
      <c r="G1359" t="s">
        <v>4273</v>
      </c>
      <c r="H1359" t="s">
        <v>4524</v>
      </c>
      <c r="I1359" t="s">
        <v>4526</v>
      </c>
    </row>
    <row r="1360" spans="1:9">
      <c r="A1360" t="str">
        <f>"0087267 "</f>
        <v xml:space="preserve">0087267 </v>
      </c>
      <c r="B1360" t="s">
        <v>4273</v>
      </c>
      <c r="C1360" t="s">
        <v>4527</v>
      </c>
      <c r="D1360" t="s">
        <v>4528</v>
      </c>
      <c r="E1360" t="s">
        <v>16</v>
      </c>
      <c r="F1360" t="s">
        <v>2552</v>
      </c>
      <c r="G1360" t="s">
        <v>4273</v>
      </c>
      <c r="H1360" t="s">
        <v>4529</v>
      </c>
      <c r="I1360" t="s">
        <v>4530</v>
      </c>
    </row>
    <row r="1361" spans="1:9">
      <c r="A1361" t="str">
        <f>"0087268 "</f>
        <v xml:space="preserve">0087268 </v>
      </c>
      <c r="B1361" t="s">
        <v>4273</v>
      </c>
      <c r="C1361" t="s">
        <v>4531</v>
      </c>
      <c r="D1361" t="s">
        <v>4532</v>
      </c>
      <c r="E1361" t="s">
        <v>16</v>
      </c>
      <c r="F1361" t="s">
        <v>784</v>
      </c>
      <c r="G1361" t="s">
        <v>4273</v>
      </c>
      <c r="H1361" t="s">
        <v>4533</v>
      </c>
      <c r="I1361" t="s">
        <v>4534</v>
      </c>
    </row>
    <row r="1362" spans="1:9">
      <c r="A1362" t="str">
        <f>"0087269 "</f>
        <v xml:space="preserve">0087269 </v>
      </c>
      <c r="B1362" t="s">
        <v>4273</v>
      </c>
      <c r="C1362" t="s">
        <v>4535</v>
      </c>
      <c r="D1362" t="s">
        <v>4536</v>
      </c>
      <c r="E1362" t="s">
        <v>16</v>
      </c>
      <c r="F1362" t="s">
        <v>4537</v>
      </c>
      <c r="G1362" t="s">
        <v>4273</v>
      </c>
      <c r="H1362" t="s">
        <v>4538</v>
      </c>
      <c r="I1362" s="2" t="s">
        <v>4539</v>
      </c>
    </row>
    <row r="1363" spans="1:9">
      <c r="A1363" t="str">
        <f>"0087277 "</f>
        <v xml:space="preserve">0087277 </v>
      </c>
      <c r="B1363" t="s">
        <v>4273</v>
      </c>
      <c r="C1363" t="s">
        <v>4540</v>
      </c>
      <c r="D1363" t="s">
        <v>4541</v>
      </c>
      <c r="E1363">
        <v>4</v>
      </c>
      <c r="F1363" t="s">
        <v>4542</v>
      </c>
      <c r="G1363" t="s">
        <v>4273</v>
      </c>
      <c r="H1363" t="s">
        <v>4540</v>
      </c>
      <c r="I1363" t="s">
        <v>4543</v>
      </c>
    </row>
    <row r="1364" spans="1:9">
      <c r="A1364" t="str">
        <f>"0087279 "</f>
        <v xml:space="preserve">0087279 </v>
      </c>
      <c r="B1364" t="s">
        <v>4273</v>
      </c>
      <c r="C1364" t="s">
        <v>4544</v>
      </c>
      <c r="D1364" t="s">
        <v>4545</v>
      </c>
      <c r="E1364" t="s">
        <v>16</v>
      </c>
      <c r="F1364" t="s">
        <v>3045</v>
      </c>
      <c r="G1364" t="s">
        <v>4273</v>
      </c>
      <c r="H1364" t="s">
        <v>4544</v>
      </c>
      <c r="I1364" t="s">
        <v>4546</v>
      </c>
    </row>
    <row r="1365" spans="1:9">
      <c r="A1365" t="str">
        <f>"0087282 "</f>
        <v xml:space="preserve">0087282 </v>
      </c>
      <c r="B1365" t="s">
        <v>4273</v>
      </c>
      <c r="C1365" t="s">
        <v>4547</v>
      </c>
      <c r="D1365" t="s">
        <v>4548</v>
      </c>
      <c r="E1365" t="s">
        <v>16</v>
      </c>
      <c r="F1365" t="s">
        <v>3751</v>
      </c>
      <c r="G1365" t="s">
        <v>4273</v>
      </c>
      <c r="H1365" t="s">
        <v>4547</v>
      </c>
      <c r="I1365" t="s">
        <v>4549</v>
      </c>
    </row>
    <row r="1366" spans="1:9">
      <c r="A1366" t="str">
        <f>"0087292 "</f>
        <v xml:space="preserve">0087292 </v>
      </c>
      <c r="B1366" t="s">
        <v>4273</v>
      </c>
      <c r="C1366" t="s">
        <v>4550</v>
      </c>
      <c r="D1366" t="s">
        <v>4551</v>
      </c>
      <c r="E1366">
        <v>4</v>
      </c>
      <c r="F1366" t="s">
        <v>4552</v>
      </c>
      <c r="G1366" t="s">
        <v>4273</v>
      </c>
      <c r="H1366" t="s">
        <v>4550</v>
      </c>
      <c r="I1366" t="s">
        <v>4553</v>
      </c>
    </row>
    <row r="1367" spans="1:9">
      <c r="A1367" t="str">
        <f>"0087296 "</f>
        <v xml:space="preserve">0087296 </v>
      </c>
      <c r="B1367" t="s">
        <v>4273</v>
      </c>
      <c r="C1367" t="s">
        <v>4554</v>
      </c>
      <c r="D1367" t="s">
        <v>4555</v>
      </c>
      <c r="E1367" t="s">
        <v>16</v>
      </c>
      <c r="F1367" t="s">
        <v>4556</v>
      </c>
      <c r="G1367" t="s">
        <v>4273</v>
      </c>
      <c r="H1367" t="s">
        <v>4557</v>
      </c>
      <c r="I1367" t="s">
        <v>4558</v>
      </c>
    </row>
    <row r="1368" spans="1:9">
      <c r="A1368" t="str">
        <f>"0087297 "</f>
        <v xml:space="preserve">0087297 </v>
      </c>
      <c r="B1368" t="s">
        <v>4273</v>
      </c>
      <c r="C1368" t="s">
        <v>4559</v>
      </c>
      <c r="D1368" t="s">
        <v>4560</v>
      </c>
      <c r="E1368">
        <v>4</v>
      </c>
      <c r="F1368" t="s">
        <v>4456</v>
      </c>
      <c r="G1368" t="s">
        <v>4273</v>
      </c>
      <c r="H1368" t="s">
        <v>4561</v>
      </c>
      <c r="I1368" t="s">
        <v>4562</v>
      </c>
    </row>
    <row r="1369" spans="1:9">
      <c r="A1369" t="str">
        <f>"0087302 "</f>
        <v xml:space="preserve">0087302 </v>
      </c>
      <c r="B1369" t="s">
        <v>4273</v>
      </c>
      <c r="C1369" t="s">
        <v>4563</v>
      </c>
      <c r="D1369" t="s">
        <v>4564</v>
      </c>
      <c r="E1369" t="s">
        <v>16</v>
      </c>
      <c r="F1369" t="s">
        <v>2802</v>
      </c>
      <c r="G1369" t="s">
        <v>4273</v>
      </c>
      <c r="H1369" t="s">
        <v>4563</v>
      </c>
      <c r="I1369" t="s">
        <v>4565</v>
      </c>
    </row>
    <row r="1370" spans="1:9">
      <c r="A1370" t="str">
        <f>"0087304 "</f>
        <v xml:space="preserve">0087304 </v>
      </c>
      <c r="B1370" t="s">
        <v>4273</v>
      </c>
      <c r="C1370" t="s">
        <v>4566</v>
      </c>
      <c r="D1370" t="s">
        <v>4567</v>
      </c>
      <c r="E1370" t="s">
        <v>16</v>
      </c>
      <c r="F1370" t="s">
        <v>4568</v>
      </c>
      <c r="G1370" t="s">
        <v>4273</v>
      </c>
      <c r="H1370" t="s">
        <v>4569</v>
      </c>
      <c r="I1370" s="2" t="s">
        <v>4570</v>
      </c>
    </row>
    <row r="1371" spans="1:9">
      <c r="A1371" t="str">
        <f>"0087305 "</f>
        <v xml:space="preserve">0087305 </v>
      </c>
      <c r="B1371" t="s">
        <v>4273</v>
      </c>
      <c r="C1371" t="s">
        <v>4571</v>
      </c>
      <c r="D1371" t="s">
        <v>4572</v>
      </c>
      <c r="E1371" t="s">
        <v>16</v>
      </c>
      <c r="F1371" t="s">
        <v>4573</v>
      </c>
      <c r="G1371" t="s">
        <v>4273</v>
      </c>
      <c r="H1371" t="s">
        <v>4574</v>
      </c>
      <c r="I1371" t="s">
        <v>4575</v>
      </c>
    </row>
    <row r="1372" spans="1:9">
      <c r="A1372" t="str">
        <f>"0240730 "</f>
        <v xml:space="preserve">0240730 </v>
      </c>
      <c r="B1372" t="s">
        <v>4273</v>
      </c>
      <c r="C1372" t="s">
        <v>4576</v>
      </c>
      <c r="D1372" t="s">
        <v>4577</v>
      </c>
      <c r="E1372" t="s">
        <v>16</v>
      </c>
      <c r="F1372" t="s">
        <v>4578</v>
      </c>
      <c r="G1372" t="s">
        <v>4273</v>
      </c>
      <c r="H1372" t="s">
        <v>4579</v>
      </c>
      <c r="I1372" t="s">
        <v>4580</v>
      </c>
    </row>
    <row r="1373" spans="1:9">
      <c r="A1373" t="str">
        <f>"0087310 "</f>
        <v xml:space="preserve">0087310 </v>
      </c>
      <c r="B1373" t="s">
        <v>4273</v>
      </c>
      <c r="C1373" t="s">
        <v>4581</v>
      </c>
      <c r="D1373" t="s">
        <v>4582</v>
      </c>
      <c r="E1373" t="s">
        <v>16</v>
      </c>
      <c r="F1373" t="s">
        <v>4396</v>
      </c>
      <c r="G1373" t="s">
        <v>4273</v>
      </c>
      <c r="H1373" t="s">
        <v>4581</v>
      </c>
      <c r="I1373" t="s">
        <v>4583</v>
      </c>
    </row>
    <row r="1374" spans="1:9">
      <c r="A1374" t="str">
        <f>"0087340 "</f>
        <v xml:space="preserve">0087340 </v>
      </c>
      <c r="B1374" t="s">
        <v>4273</v>
      </c>
      <c r="C1374" t="s">
        <v>4584</v>
      </c>
      <c r="D1374" t="s">
        <v>4585</v>
      </c>
      <c r="E1374" t="s">
        <v>16</v>
      </c>
      <c r="F1374" t="s">
        <v>2184</v>
      </c>
      <c r="G1374" t="s">
        <v>4273</v>
      </c>
      <c r="H1374" t="s">
        <v>4584</v>
      </c>
      <c r="I1374" t="s">
        <v>4586</v>
      </c>
    </row>
    <row r="1375" spans="1:9">
      <c r="A1375" t="str">
        <f>"0087345 "</f>
        <v xml:space="preserve">0087345 </v>
      </c>
      <c r="B1375" t="s">
        <v>4273</v>
      </c>
      <c r="C1375" t="s">
        <v>4587</v>
      </c>
      <c r="D1375" t="s">
        <v>4588</v>
      </c>
      <c r="E1375" t="s">
        <v>16</v>
      </c>
      <c r="F1375" t="s">
        <v>4316</v>
      </c>
      <c r="G1375" t="s">
        <v>4273</v>
      </c>
      <c r="H1375" t="s">
        <v>4587</v>
      </c>
      <c r="I1375" t="s">
        <v>4589</v>
      </c>
    </row>
    <row r="1376" spans="1:9">
      <c r="A1376" t="str">
        <f>"0087356 "</f>
        <v xml:space="preserve">0087356 </v>
      </c>
      <c r="B1376" t="s">
        <v>4273</v>
      </c>
      <c r="C1376" t="s">
        <v>4590</v>
      </c>
      <c r="D1376" t="s">
        <v>4591</v>
      </c>
      <c r="E1376" t="s">
        <v>16</v>
      </c>
      <c r="F1376" t="s">
        <v>4592</v>
      </c>
      <c r="G1376" t="s">
        <v>4273</v>
      </c>
      <c r="H1376" t="s">
        <v>4593</v>
      </c>
      <c r="I1376" t="s">
        <v>4594</v>
      </c>
    </row>
    <row r="1377" spans="1:9">
      <c r="A1377" t="str">
        <f>"0087357 "</f>
        <v xml:space="preserve">0087357 </v>
      </c>
      <c r="B1377" t="s">
        <v>4273</v>
      </c>
      <c r="C1377" t="s">
        <v>4595</v>
      </c>
      <c r="D1377" t="s">
        <v>4596</v>
      </c>
      <c r="E1377" t="s">
        <v>16</v>
      </c>
      <c r="F1377" t="s">
        <v>4592</v>
      </c>
      <c r="G1377" t="s">
        <v>4273</v>
      </c>
      <c r="H1377" t="s">
        <v>4597</v>
      </c>
      <c r="I1377" t="s">
        <v>4598</v>
      </c>
    </row>
    <row r="1378" spans="1:9">
      <c r="A1378" t="str">
        <f>"0087364 "</f>
        <v xml:space="preserve">0087364 </v>
      </c>
      <c r="B1378" t="s">
        <v>4273</v>
      </c>
      <c r="C1378" t="s">
        <v>4599</v>
      </c>
      <c r="D1378" t="s">
        <v>4600</v>
      </c>
      <c r="E1378" t="s">
        <v>16</v>
      </c>
      <c r="F1378" t="s">
        <v>4592</v>
      </c>
      <c r="G1378" t="s">
        <v>4273</v>
      </c>
      <c r="H1378" t="s">
        <v>4599</v>
      </c>
      <c r="I1378" t="s">
        <v>4601</v>
      </c>
    </row>
    <row r="1379" spans="1:9">
      <c r="A1379" t="str">
        <f>"0087367 "</f>
        <v xml:space="preserve">0087367 </v>
      </c>
      <c r="B1379" t="s">
        <v>4273</v>
      </c>
      <c r="C1379" t="s">
        <v>4602</v>
      </c>
      <c r="D1379" t="s">
        <v>4603</v>
      </c>
      <c r="E1379" t="s">
        <v>16</v>
      </c>
      <c r="F1379" t="s">
        <v>4604</v>
      </c>
      <c r="G1379" t="s">
        <v>4273</v>
      </c>
      <c r="H1379" t="s">
        <v>4605</v>
      </c>
      <c r="I1379" t="s">
        <v>4606</v>
      </c>
    </row>
    <row r="1380" spans="1:9">
      <c r="A1380" t="str">
        <f>"0087376 "</f>
        <v xml:space="preserve">0087376 </v>
      </c>
      <c r="B1380" t="s">
        <v>4273</v>
      </c>
      <c r="C1380" t="s">
        <v>4607</v>
      </c>
      <c r="D1380" t="s">
        <v>4608</v>
      </c>
      <c r="E1380" t="s">
        <v>16</v>
      </c>
      <c r="F1380" t="s">
        <v>3370</v>
      </c>
      <c r="G1380" t="s">
        <v>4273</v>
      </c>
      <c r="H1380" t="s">
        <v>4609</v>
      </c>
      <c r="I1380" t="s">
        <v>4610</v>
      </c>
    </row>
    <row r="1381" spans="1:9">
      <c r="A1381" t="str">
        <f>"0087377 "</f>
        <v xml:space="preserve">0087377 </v>
      </c>
      <c r="B1381" t="s">
        <v>4273</v>
      </c>
      <c r="C1381" t="s">
        <v>4611</v>
      </c>
      <c r="D1381" t="s">
        <v>4612</v>
      </c>
      <c r="E1381" t="s">
        <v>16</v>
      </c>
      <c r="F1381" t="s">
        <v>4509</v>
      </c>
      <c r="G1381" t="s">
        <v>4273</v>
      </c>
      <c r="H1381" t="s">
        <v>4613</v>
      </c>
      <c r="I1381" t="s">
        <v>4614</v>
      </c>
    </row>
    <row r="1382" spans="1:9">
      <c r="A1382" t="str">
        <f>"0087379 "</f>
        <v xml:space="preserve">0087379 </v>
      </c>
      <c r="B1382" t="s">
        <v>4273</v>
      </c>
      <c r="C1382" t="s">
        <v>4615</v>
      </c>
      <c r="D1382" t="s">
        <v>4616</v>
      </c>
      <c r="E1382" t="s">
        <v>16</v>
      </c>
      <c r="F1382" t="s">
        <v>4617</v>
      </c>
      <c r="G1382" t="s">
        <v>4273</v>
      </c>
      <c r="H1382" t="s">
        <v>4618</v>
      </c>
      <c r="I1382" t="s">
        <v>4619</v>
      </c>
    </row>
    <row r="1383" spans="1:9">
      <c r="A1383" t="str">
        <f>"0153162 "</f>
        <v xml:space="preserve">0153162 </v>
      </c>
      <c r="B1383" t="s">
        <v>4273</v>
      </c>
      <c r="C1383" t="s">
        <v>4620</v>
      </c>
      <c r="D1383" t="s">
        <v>4621</v>
      </c>
      <c r="E1383">
        <v>2</v>
      </c>
      <c r="F1383" t="s">
        <v>1545</v>
      </c>
      <c r="G1383" t="s">
        <v>4273</v>
      </c>
      <c r="H1383" t="s">
        <v>4622</v>
      </c>
      <c r="I1383" t="s">
        <v>4623</v>
      </c>
    </row>
    <row r="1384" spans="1:9">
      <c r="A1384" t="str">
        <f>"0087404 "</f>
        <v xml:space="preserve">0087404 </v>
      </c>
      <c r="B1384" t="s">
        <v>4273</v>
      </c>
      <c r="C1384" t="s">
        <v>4624</v>
      </c>
      <c r="D1384" t="s">
        <v>4625</v>
      </c>
      <c r="E1384" t="s">
        <v>16</v>
      </c>
      <c r="F1384" t="s">
        <v>4626</v>
      </c>
      <c r="G1384" t="s">
        <v>4273</v>
      </c>
      <c r="H1384" t="s">
        <v>4627</v>
      </c>
      <c r="I1384" t="s">
        <v>4628</v>
      </c>
    </row>
    <row r="1385" spans="1:9">
      <c r="A1385" t="str">
        <f>"0087410 "</f>
        <v xml:space="preserve">0087410 </v>
      </c>
      <c r="B1385" t="s">
        <v>4273</v>
      </c>
      <c r="C1385" t="s">
        <v>4629</v>
      </c>
      <c r="D1385" t="s">
        <v>4630</v>
      </c>
      <c r="E1385" t="s">
        <v>16</v>
      </c>
      <c r="F1385" t="s">
        <v>4568</v>
      </c>
      <c r="G1385" t="s">
        <v>4273</v>
      </c>
      <c r="H1385" t="s">
        <v>4631</v>
      </c>
      <c r="I1385" t="s">
        <v>4632</v>
      </c>
    </row>
    <row r="1386" spans="1:9">
      <c r="A1386" t="str">
        <f>"0087429 "</f>
        <v xml:space="preserve">0087429 </v>
      </c>
      <c r="B1386" t="s">
        <v>4273</v>
      </c>
      <c r="C1386" t="s">
        <v>4633</v>
      </c>
      <c r="D1386" t="s">
        <v>4634</v>
      </c>
      <c r="E1386" t="s">
        <v>16</v>
      </c>
      <c r="F1386" t="s">
        <v>4635</v>
      </c>
      <c r="G1386" t="s">
        <v>4273</v>
      </c>
      <c r="H1386" t="s">
        <v>4633</v>
      </c>
      <c r="I1386" t="s">
        <v>4636</v>
      </c>
    </row>
    <row r="1387" spans="1:9">
      <c r="A1387" t="str">
        <f>"0087437 "</f>
        <v xml:space="preserve">0087437 </v>
      </c>
      <c r="B1387" t="s">
        <v>4273</v>
      </c>
      <c r="C1387" t="s">
        <v>4637</v>
      </c>
      <c r="D1387" t="s">
        <v>4638</v>
      </c>
      <c r="E1387" t="s">
        <v>16</v>
      </c>
      <c r="F1387" t="s">
        <v>4639</v>
      </c>
      <c r="G1387" t="s">
        <v>4273</v>
      </c>
      <c r="H1387" t="s">
        <v>4637</v>
      </c>
      <c r="I1387" t="s">
        <v>4640</v>
      </c>
    </row>
    <row r="1388" spans="1:9">
      <c r="A1388" t="str">
        <f>"0087446 "</f>
        <v xml:space="preserve">0087446 </v>
      </c>
      <c r="B1388" t="s">
        <v>4273</v>
      </c>
      <c r="C1388" t="s">
        <v>4641</v>
      </c>
      <c r="D1388" t="s">
        <v>4642</v>
      </c>
      <c r="E1388" t="s">
        <v>16</v>
      </c>
      <c r="F1388" t="s">
        <v>4643</v>
      </c>
      <c r="G1388" t="s">
        <v>4273</v>
      </c>
      <c r="H1388" t="s">
        <v>4641</v>
      </c>
      <c r="I1388" t="s">
        <v>4644</v>
      </c>
    </row>
    <row r="1389" spans="1:9">
      <c r="A1389" t="str">
        <f>"0087500 "</f>
        <v xml:space="preserve">0087500 </v>
      </c>
      <c r="B1389" t="s">
        <v>4273</v>
      </c>
      <c r="C1389" t="s">
        <v>4645</v>
      </c>
      <c r="D1389" t="s">
        <v>4646</v>
      </c>
      <c r="E1389" t="s">
        <v>16</v>
      </c>
      <c r="F1389" t="s">
        <v>4647</v>
      </c>
      <c r="G1389" t="s">
        <v>4273</v>
      </c>
      <c r="H1389" t="s">
        <v>4648</v>
      </c>
      <c r="I1389" t="s">
        <v>4649</v>
      </c>
    </row>
    <row r="1390" spans="1:9">
      <c r="A1390" t="str">
        <f>"0087501 "</f>
        <v xml:space="preserve">0087501 </v>
      </c>
      <c r="B1390" t="s">
        <v>4273</v>
      </c>
      <c r="C1390" t="s">
        <v>4650</v>
      </c>
      <c r="D1390" t="s">
        <v>4651</v>
      </c>
      <c r="E1390" t="s">
        <v>16</v>
      </c>
      <c r="F1390" t="s">
        <v>4509</v>
      </c>
      <c r="G1390" t="s">
        <v>4273</v>
      </c>
      <c r="H1390" t="s">
        <v>4652</v>
      </c>
      <c r="I1390" t="s">
        <v>4653</v>
      </c>
    </row>
    <row r="1391" spans="1:9">
      <c r="A1391" t="str">
        <f>"0087512 "</f>
        <v xml:space="preserve">0087512 </v>
      </c>
      <c r="B1391" t="s">
        <v>4273</v>
      </c>
      <c r="C1391" t="s">
        <v>4654</v>
      </c>
      <c r="D1391" t="s">
        <v>4655</v>
      </c>
      <c r="E1391" t="s">
        <v>16</v>
      </c>
      <c r="F1391" t="s">
        <v>4656</v>
      </c>
      <c r="G1391" t="s">
        <v>4273</v>
      </c>
      <c r="H1391" t="s">
        <v>4657</v>
      </c>
      <c r="I1391" t="s">
        <v>4658</v>
      </c>
    </row>
    <row r="1392" spans="1:9">
      <c r="A1392" t="str">
        <f>"0087520 "</f>
        <v xml:space="preserve">0087520 </v>
      </c>
      <c r="B1392" t="s">
        <v>4273</v>
      </c>
      <c r="C1392" t="s">
        <v>4659</v>
      </c>
      <c r="D1392" t="s">
        <v>4660</v>
      </c>
      <c r="E1392" t="s">
        <v>16</v>
      </c>
      <c r="F1392" t="s">
        <v>4661</v>
      </c>
      <c r="G1392" t="s">
        <v>4273</v>
      </c>
      <c r="H1392" t="s">
        <v>4659</v>
      </c>
      <c r="I1392" s="2" t="s">
        <v>4662</v>
      </c>
    </row>
    <row r="1393" spans="1:9">
      <c r="A1393" t="str">
        <f>"0087523 "</f>
        <v xml:space="preserve">0087523 </v>
      </c>
      <c r="B1393" t="s">
        <v>4273</v>
      </c>
      <c r="C1393" t="s">
        <v>4663</v>
      </c>
      <c r="D1393" t="s">
        <v>4664</v>
      </c>
      <c r="E1393">
        <v>4</v>
      </c>
      <c r="F1393" t="s">
        <v>4665</v>
      </c>
      <c r="G1393" t="s">
        <v>4273</v>
      </c>
      <c r="H1393" t="s">
        <v>4663</v>
      </c>
      <c r="I1393" t="s">
        <v>4666</v>
      </c>
    </row>
    <row r="1394" spans="1:9">
      <c r="A1394" t="str">
        <f>"0087524 "</f>
        <v xml:space="preserve">0087524 </v>
      </c>
      <c r="B1394" t="s">
        <v>4273</v>
      </c>
      <c r="C1394" t="s">
        <v>4667</v>
      </c>
      <c r="D1394" t="s">
        <v>4668</v>
      </c>
      <c r="E1394" t="s">
        <v>16</v>
      </c>
      <c r="F1394" t="s">
        <v>4669</v>
      </c>
      <c r="G1394" t="s">
        <v>4273</v>
      </c>
      <c r="H1394" t="s">
        <v>4670</v>
      </c>
      <c r="I1394" t="s">
        <v>4671</v>
      </c>
    </row>
    <row r="1395" spans="1:9">
      <c r="A1395" t="str">
        <f>"0087526 "</f>
        <v xml:space="preserve">0087526 </v>
      </c>
      <c r="B1395" t="s">
        <v>4273</v>
      </c>
      <c r="C1395" t="s">
        <v>4672</v>
      </c>
      <c r="D1395" t="s">
        <v>4673</v>
      </c>
      <c r="E1395" t="s">
        <v>16</v>
      </c>
      <c r="F1395" t="s">
        <v>4626</v>
      </c>
      <c r="G1395" t="s">
        <v>4273</v>
      </c>
      <c r="H1395" t="s">
        <v>4674</v>
      </c>
      <c r="I1395" t="s">
        <v>4675</v>
      </c>
    </row>
    <row r="1396" spans="1:9">
      <c r="A1396" t="str">
        <f>"0240731 "</f>
        <v xml:space="preserve">0240731 </v>
      </c>
      <c r="B1396" t="s">
        <v>4273</v>
      </c>
      <c r="C1396" t="s">
        <v>4676</v>
      </c>
      <c r="D1396" t="s">
        <v>4677</v>
      </c>
      <c r="E1396" t="s">
        <v>16</v>
      </c>
      <c r="F1396" t="s">
        <v>4678</v>
      </c>
      <c r="G1396" t="s">
        <v>4273</v>
      </c>
      <c r="H1396" t="s">
        <v>4679</v>
      </c>
      <c r="I1396" t="s">
        <v>4680</v>
      </c>
    </row>
    <row r="1397" spans="1:9">
      <c r="A1397" t="str">
        <f>"0087527 "</f>
        <v xml:space="preserve">0087527 </v>
      </c>
      <c r="B1397" t="s">
        <v>4273</v>
      </c>
      <c r="C1397" t="s">
        <v>4681</v>
      </c>
      <c r="D1397" t="s">
        <v>4682</v>
      </c>
      <c r="E1397" t="s">
        <v>16</v>
      </c>
      <c r="F1397" t="s">
        <v>4573</v>
      </c>
      <c r="G1397" t="s">
        <v>4273</v>
      </c>
      <c r="H1397" t="s">
        <v>4683</v>
      </c>
      <c r="I1397" t="s">
        <v>4684</v>
      </c>
    </row>
    <row r="1398" spans="1:9">
      <c r="A1398" t="str">
        <f>"0240732 "</f>
        <v xml:space="preserve">0240732 </v>
      </c>
      <c r="B1398" t="s">
        <v>4273</v>
      </c>
      <c r="C1398" t="s">
        <v>4685</v>
      </c>
      <c r="D1398" t="s">
        <v>4686</v>
      </c>
      <c r="E1398" t="s">
        <v>16</v>
      </c>
      <c r="F1398" t="s">
        <v>4578</v>
      </c>
      <c r="G1398" t="s">
        <v>4273</v>
      </c>
      <c r="H1398" t="s">
        <v>4687</v>
      </c>
      <c r="I1398" t="s">
        <v>4688</v>
      </c>
    </row>
    <row r="1399" spans="1:9">
      <c r="A1399" t="str">
        <f>"0087529 "</f>
        <v xml:space="preserve">0087529 </v>
      </c>
      <c r="B1399" t="s">
        <v>4273</v>
      </c>
      <c r="C1399" t="s">
        <v>4689</v>
      </c>
      <c r="D1399" t="s">
        <v>4690</v>
      </c>
      <c r="E1399" t="s">
        <v>16</v>
      </c>
      <c r="F1399" t="s">
        <v>4691</v>
      </c>
      <c r="G1399" t="s">
        <v>4273</v>
      </c>
      <c r="H1399" t="s">
        <v>4692</v>
      </c>
      <c r="I1399" s="2" t="s">
        <v>4693</v>
      </c>
    </row>
    <row r="1400" spans="1:9">
      <c r="A1400" t="str">
        <f>"0240733 "</f>
        <v xml:space="preserve">0240733 </v>
      </c>
      <c r="B1400" t="s">
        <v>4273</v>
      </c>
      <c r="C1400" t="s">
        <v>4694</v>
      </c>
      <c r="D1400" t="s">
        <v>4695</v>
      </c>
      <c r="E1400" t="s">
        <v>16</v>
      </c>
      <c r="F1400" t="s">
        <v>4696</v>
      </c>
      <c r="G1400" t="s">
        <v>4273</v>
      </c>
      <c r="H1400" t="s">
        <v>4697</v>
      </c>
      <c r="I1400" s="2" t="s">
        <v>4698</v>
      </c>
    </row>
    <row r="1401" spans="1:9">
      <c r="A1401" t="str">
        <f>"0087551 "</f>
        <v xml:space="preserve">0087551 </v>
      </c>
      <c r="B1401" t="s">
        <v>4273</v>
      </c>
      <c r="C1401" t="s">
        <v>4699</v>
      </c>
      <c r="D1401" t="s">
        <v>4700</v>
      </c>
      <c r="E1401" t="s">
        <v>16</v>
      </c>
      <c r="F1401" t="s">
        <v>4701</v>
      </c>
      <c r="G1401" t="s">
        <v>4273</v>
      </c>
      <c r="H1401" t="s">
        <v>4702</v>
      </c>
      <c r="I1401" t="s">
        <v>4703</v>
      </c>
    </row>
    <row r="1402" spans="1:9">
      <c r="A1402" t="str">
        <f>"0087558 "</f>
        <v xml:space="preserve">0087558 </v>
      </c>
      <c r="B1402" t="s">
        <v>4273</v>
      </c>
      <c r="C1402" t="s">
        <v>4704</v>
      </c>
      <c r="D1402" t="s">
        <v>4705</v>
      </c>
      <c r="E1402" t="s">
        <v>16</v>
      </c>
      <c r="F1402" t="s">
        <v>4661</v>
      </c>
      <c r="G1402" t="s">
        <v>4273</v>
      </c>
      <c r="H1402" t="s">
        <v>4704</v>
      </c>
      <c r="I1402" s="2" t="s">
        <v>4706</v>
      </c>
    </row>
    <row r="1403" spans="1:9">
      <c r="A1403" t="str">
        <f>"0087573 "</f>
        <v xml:space="preserve">0087573 </v>
      </c>
      <c r="B1403" t="s">
        <v>4273</v>
      </c>
      <c r="C1403" t="s">
        <v>4707</v>
      </c>
      <c r="D1403" t="s">
        <v>4708</v>
      </c>
      <c r="E1403" t="s">
        <v>16</v>
      </c>
      <c r="F1403" t="s">
        <v>4514</v>
      </c>
      <c r="G1403" t="s">
        <v>4273</v>
      </c>
      <c r="H1403" t="s">
        <v>4709</v>
      </c>
      <c r="I1403" t="s">
        <v>4710</v>
      </c>
    </row>
    <row r="1404" spans="1:9">
      <c r="A1404" t="str">
        <f>"0153182 "</f>
        <v xml:space="preserve">0153182 </v>
      </c>
      <c r="B1404" t="s">
        <v>4273</v>
      </c>
      <c r="C1404" t="s">
        <v>4711</v>
      </c>
      <c r="D1404" t="s">
        <v>4712</v>
      </c>
      <c r="E1404" t="s">
        <v>16</v>
      </c>
      <c r="F1404" t="s">
        <v>4401</v>
      </c>
      <c r="G1404" t="s">
        <v>4273</v>
      </c>
      <c r="H1404" t="s">
        <v>4713</v>
      </c>
      <c r="I1404" t="s">
        <v>4714</v>
      </c>
    </row>
    <row r="1405" spans="1:9">
      <c r="A1405" t="str">
        <f>"0087651 "</f>
        <v xml:space="preserve">0087651 </v>
      </c>
      <c r="B1405" t="s">
        <v>4273</v>
      </c>
      <c r="C1405" t="s">
        <v>4715</v>
      </c>
      <c r="D1405" t="s">
        <v>4716</v>
      </c>
      <c r="E1405" t="s">
        <v>16</v>
      </c>
      <c r="F1405" t="s">
        <v>3434</v>
      </c>
      <c r="G1405" t="s">
        <v>4273</v>
      </c>
      <c r="H1405" t="s">
        <v>4717</v>
      </c>
      <c r="I1405" t="s">
        <v>4718</v>
      </c>
    </row>
    <row r="1406" spans="1:9">
      <c r="A1406" t="str">
        <f>"0087656 "</f>
        <v xml:space="preserve">0087656 </v>
      </c>
      <c r="B1406" t="s">
        <v>4273</v>
      </c>
      <c r="C1406" t="s">
        <v>4719</v>
      </c>
      <c r="D1406" t="s">
        <v>4720</v>
      </c>
      <c r="E1406" t="s">
        <v>16</v>
      </c>
      <c r="F1406" t="s">
        <v>4721</v>
      </c>
      <c r="G1406" t="s">
        <v>4273</v>
      </c>
      <c r="H1406" t="s">
        <v>4719</v>
      </c>
      <c r="I1406" t="s">
        <v>4722</v>
      </c>
    </row>
    <row r="1407" spans="1:9">
      <c r="A1407" t="str">
        <f>"0160511 "</f>
        <v xml:space="preserve">0160511 </v>
      </c>
      <c r="B1407" t="s">
        <v>4723</v>
      </c>
      <c r="C1407">
        <v>140007</v>
      </c>
      <c r="D1407" t="s">
        <v>4724</v>
      </c>
      <c r="E1407" t="s">
        <v>16</v>
      </c>
      <c r="F1407" t="s">
        <v>3406</v>
      </c>
      <c r="G1407" t="s">
        <v>4723</v>
      </c>
      <c r="H1407">
        <v>140007</v>
      </c>
    </row>
    <row r="1408" spans="1:9">
      <c r="A1408" t="str">
        <f>"0158723 "</f>
        <v xml:space="preserve">0158723 </v>
      </c>
      <c r="B1408" t="s">
        <v>4723</v>
      </c>
      <c r="C1408">
        <v>140016</v>
      </c>
      <c r="D1408" t="s">
        <v>4725</v>
      </c>
      <c r="E1408" t="s">
        <v>16</v>
      </c>
      <c r="F1408" t="s">
        <v>4726</v>
      </c>
      <c r="G1408" t="s">
        <v>4723</v>
      </c>
      <c r="H1408">
        <v>140016</v>
      </c>
    </row>
    <row r="1409" spans="1:9">
      <c r="A1409" t="str">
        <f>"0200855 "</f>
        <v xml:space="preserve">0200855 </v>
      </c>
      <c r="B1409" t="s">
        <v>4723</v>
      </c>
      <c r="C1409">
        <v>172764</v>
      </c>
      <c r="D1409" t="s">
        <v>4727</v>
      </c>
      <c r="E1409" t="s">
        <v>16</v>
      </c>
      <c r="F1409" t="s">
        <v>4728</v>
      </c>
      <c r="G1409" t="s">
        <v>4723</v>
      </c>
      <c r="H1409">
        <v>172764</v>
      </c>
    </row>
    <row r="1410" spans="1:9">
      <c r="A1410" t="str">
        <f>"0007860 "</f>
        <v xml:space="preserve">0007860 </v>
      </c>
      <c r="B1410" t="s">
        <v>4723</v>
      </c>
      <c r="C1410">
        <v>194731</v>
      </c>
      <c r="D1410" t="s">
        <v>4729</v>
      </c>
      <c r="E1410">
        <v>3</v>
      </c>
      <c r="F1410" t="s">
        <v>4730</v>
      </c>
      <c r="G1410" t="s">
        <v>4723</v>
      </c>
      <c r="H1410">
        <v>194731</v>
      </c>
    </row>
    <row r="1411" spans="1:9">
      <c r="A1411" t="str">
        <f>"0007874 "</f>
        <v xml:space="preserve">0007874 </v>
      </c>
      <c r="B1411" t="s">
        <v>4723</v>
      </c>
      <c r="C1411">
        <v>194734</v>
      </c>
      <c r="D1411" t="s">
        <v>4731</v>
      </c>
      <c r="E1411" t="s">
        <v>16</v>
      </c>
      <c r="F1411" t="s">
        <v>4732</v>
      </c>
      <c r="G1411" t="s">
        <v>4723</v>
      </c>
      <c r="H1411">
        <v>194734</v>
      </c>
    </row>
    <row r="1412" spans="1:9">
      <c r="A1412" t="str">
        <f>"0033813 "</f>
        <v xml:space="preserve">0033813 </v>
      </c>
      <c r="B1412" t="s">
        <v>4723</v>
      </c>
      <c r="C1412">
        <v>194736</v>
      </c>
      <c r="D1412" t="s">
        <v>4733</v>
      </c>
      <c r="E1412" t="s">
        <v>16</v>
      </c>
      <c r="F1412" t="s">
        <v>4734</v>
      </c>
      <c r="G1412" t="s">
        <v>4723</v>
      </c>
      <c r="H1412">
        <v>194736</v>
      </c>
    </row>
    <row r="1413" spans="1:9">
      <c r="A1413" t="str">
        <f>"0007861 "</f>
        <v xml:space="preserve">0007861 </v>
      </c>
      <c r="B1413" t="s">
        <v>4723</v>
      </c>
      <c r="C1413">
        <v>194747</v>
      </c>
      <c r="D1413" t="s">
        <v>4735</v>
      </c>
      <c r="E1413" t="s">
        <v>16</v>
      </c>
      <c r="F1413" t="s">
        <v>4736</v>
      </c>
      <c r="G1413" t="s">
        <v>4723</v>
      </c>
      <c r="H1413">
        <v>194747</v>
      </c>
    </row>
    <row r="1414" spans="1:9">
      <c r="A1414" t="str">
        <f>"0007883 "</f>
        <v xml:space="preserve">0007883 </v>
      </c>
      <c r="B1414" t="s">
        <v>4723</v>
      </c>
      <c r="C1414">
        <v>194748</v>
      </c>
      <c r="D1414" t="s">
        <v>4737</v>
      </c>
      <c r="E1414" t="s">
        <v>16</v>
      </c>
      <c r="F1414" t="s">
        <v>4738</v>
      </c>
      <c r="G1414" t="s">
        <v>4723</v>
      </c>
      <c r="H1414">
        <v>194748</v>
      </c>
    </row>
    <row r="1415" spans="1:9">
      <c r="A1415" t="str">
        <f>"0007858 "</f>
        <v xml:space="preserve">0007858 </v>
      </c>
      <c r="B1415" t="s">
        <v>4723</v>
      </c>
      <c r="C1415">
        <v>194757</v>
      </c>
      <c r="D1415" t="s">
        <v>4739</v>
      </c>
      <c r="E1415" t="s">
        <v>16</v>
      </c>
      <c r="F1415" t="s">
        <v>4740</v>
      </c>
      <c r="G1415" t="s">
        <v>4723</v>
      </c>
      <c r="H1415">
        <v>194757</v>
      </c>
    </row>
    <row r="1416" spans="1:9">
      <c r="A1416" t="str">
        <f>"0160627 "</f>
        <v xml:space="preserve">0160627 </v>
      </c>
      <c r="B1416" t="s">
        <v>4723</v>
      </c>
      <c r="C1416">
        <v>194832</v>
      </c>
      <c r="D1416" t="s">
        <v>4741</v>
      </c>
      <c r="E1416">
        <v>3</v>
      </c>
      <c r="F1416" t="s">
        <v>4742</v>
      </c>
      <c r="G1416" t="s">
        <v>4723</v>
      </c>
      <c r="H1416">
        <v>194832</v>
      </c>
    </row>
    <row r="1417" spans="1:9">
      <c r="A1417" t="str">
        <f>"0155754 "</f>
        <v xml:space="preserve">0155754 </v>
      </c>
      <c r="B1417" t="s">
        <v>4723</v>
      </c>
      <c r="C1417">
        <v>194839</v>
      </c>
      <c r="D1417" t="s">
        <v>4743</v>
      </c>
      <c r="E1417" t="s">
        <v>16</v>
      </c>
      <c r="F1417" t="s">
        <v>4744</v>
      </c>
      <c r="G1417" t="s">
        <v>4723</v>
      </c>
      <c r="H1417">
        <v>194839</v>
      </c>
      <c r="I1417" t="str">
        <f>"2710198100"</f>
        <v>2710198100</v>
      </c>
    </row>
    <row r="1418" spans="1:9">
      <c r="A1418" t="str">
        <f>"0201396 "</f>
        <v xml:space="preserve">0201396 </v>
      </c>
      <c r="B1418" t="s">
        <v>4723</v>
      </c>
      <c r="C1418">
        <v>194849</v>
      </c>
      <c r="D1418" t="s">
        <v>4745</v>
      </c>
      <c r="E1418" t="s">
        <v>16</v>
      </c>
      <c r="F1418" t="s">
        <v>4746</v>
      </c>
      <c r="G1418" t="s">
        <v>4723</v>
      </c>
      <c r="H1418">
        <v>194849</v>
      </c>
    </row>
    <row r="1419" spans="1:9">
      <c r="A1419" t="str">
        <f>"0200619 "</f>
        <v xml:space="preserve">0200619 </v>
      </c>
      <c r="B1419" t="s">
        <v>4723</v>
      </c>
      <c r="C1419">
        <v>194860</v>
      </c>
      <c r="D1419" t="s">
        <v>4747</v>
      </c>
      <c r="E1419">
        <v>5</v>
      </c>
      <c r="F1419" t="s">
        <v>4748</v>
      </c>
      <c r="G1419" t="s">
        <v>4723</v>
      </c>
      <c r="H1419">
        <v>194860</v>
      </c>
    </row>
    <row r="1420" spans="1:9">
      <c r="A1420" t="str">
        <f>"0155757 "</f>
        <v xml:space="preserve">0155757 </v>
      </c>
      <c r="B1420" t="s">
        <v>4723</v>
      </c>
      <c r="C1420">
        <v>194872</v>
      </c>
      <c r="D1420" t="s">
        <v>4749</v>
      </c>
      <c r="E1420" t="s">
        <v>16</v>
      </c>
      <c r="F1420" t="s">
        <v>4750</v>
      </c>
      <c r="G1420" t="s">
        <v>4723</v>
      </c>
      <c r="H1420">
        <v>194872</v>
      </c>
    </row>
    <row r="1421" spans="1:9">
      <c r="A1421" t="str">
        <f>"0155756 "</f>
        <v xml:space="preserve">0155756 </v>
      </c>
      <c r="B1421" t="s">
        <v>4723</v>
      </c>
      <c r="C1421">
        <v>194873</v>
      </c>
      <c r="D1421" t="s">
        <v>4751</v>
      </c>
      <c r="E1421" t="s">
        <v>16</v>
      </c>
      <c r="F1421" t="s">
        <v>4752</v>
      </c>
      <c r="G1421" t="s">
        <v>4723</v>
      </c>
      <c r="H1421">
        <v>194873</v>
      </c>
    </row>
    <row r="1422" spans="1:9">
      <c r="A1422" t="str">
        <f>"0155755 "</f>
        <v xml:space="preserve">0155755 </v>
      </c>
      <c r="B1422" t="s">
        <v>4723</v>
      </c>
      <c r="C1422">
        <v>194875</v>
      </c>
      <c r="D1422" t="s">
        <v>4753</v>
      </c>
      <c r="E1422" t="s">
        <v>16</v>
      </c>
      <c r="F1422" t="s">
        <v>4754</v>
      </c>
      <c r="G1422" t="s">
        <v>4723</v>
      </c>
      <c r="H1422">
        <v>194875</v>
      </c>
    </row>
    <row r="1423" spans="1:9">
      <c r="A1423" t="str">
        <f>"0200581 "</f>
        <v xml:space="preserve">0200581 </v>
      </c>
      <c r="B1423" t="s">
        <v>4723</v>
      </c>
      <c r="C1423">
        <v>194877</v>
      </c>
      <c r="D1423" t="s">
        <v>4755</v>
      </c>
      <c r="E1423" t="s">
        <v>16</v>
      </c>
      <c r="F1423" t="s">
        <v>4756</v>
      </c>
      <c r="G1423" t="s">
        <v>4723</v>
      </c>
      <c r="H1423">
        <v>194877</v>
      </c>
    </row>
    <row r="1424" spans="1:9">
      <c r="A1424" t="str">
        <f>"0200578 "</f>
        <v xml:space="preserve">0200578 </v>
      </c>
      <c r="B1424" t="s">
        <v>4723</v>
      </c>
      <c r="C1424">
        <v>194878</v>
      </c>
      <c r="D1424" t="s">
        <v>4757</v>
      </c>
      <c r="E1424" t="s">
        <v>16</v>
      </c>
      <c r="F1424" t="s">
        <v>4758</v>
      </c>
      <c r="G1424" t="s">
        <v>4723</v>
      </c>
      <c r="H1424">
        <v>194878</v>
      </c>
    </row>
    <row r="1425" spans="1:9">
      <c r="A1425" t="str">
        <f>"0200620 "</f>
        <v xml:space="preserve">0200620 </v>
      </c>
      <c r="B1425" t="s">
        <v>4723</v>
      </c>
      <c r="C1425">
        <v>194890</v>
      </c>
      <c r="D1425" t="s">
        <v>4759</v>
      </c>
      <c r="E1425" t="s">
        <v>16</v>
      </c>
      <c r="F1425" t="s">
        <v>4760</v>
      </c>
      <c r="G1425" t="s">
        <v>4723</v>
      </c>
      <c r="H1425">
        <v>194890</v>
      </c>
    </row>
    <row r="1426" spans="1:9">
      <c r="A1426" t="str">
        <f>"0200625 "</f>
        <v xml:space="preserve">0200625 </v>
      </c>
      <c r="B1426" t="s">
        <v>4723</v>
      </c>
      <c r="C1426">
        <v>194904</v>
      </c>
      <c r="D1426" t="s">
        <v>4761</v>
      </c>
      <c r="E1426">
        <v>1</v>
      </c>
      <c r="F1426" t="s">
        <v>4762</v>
      </c>
      <c r="G1426" t="s">
        <v>4723</v>
      </c>
      <c r="H1426">
        <v>194904</v>
      </c>
    </row>
    <row r="1427" spans="1:9">
      <c r="A1427" t="str">
        <f>"0200614 "</f>
        <v xml:space="preserve">0200614 </v>
      </c>
      <c r="B1427" t="s">
        <v>4723</v>
      </c>
      <c r="C1427">
        <v>194906</v>
      </c>
      <c r="D1427" t="s">
        <v>4763</v>
      </c>
      <c r="E1427" t="s">
        <v>16</v>
      </c>
      <c r="F1427" t="s">
        <v>4764</v>
      </c>
      <c r="G1427" t="s">
        <v>4723</v>
      </c>
      <c r="H1427">
        <v>194906</v>
      </c>
    </row>
    <row r="1428" spans="1:9">
      <c r="A1428" t="str">
        <f>"0200616 "</f>
        <v xml:space="preserve">0200616 </v>
      </c>
      <c r="B1428" t="s">
        <v>4723</v>
      </c>
      <c r="C1428">
        <v>194908</v>
      </c>
      <c r="D1428" t="s">
        <v>4765</v>
      </c>
      <c r="E1428">
        <v>3</v>
      </c>
      <c r="F1428" t="s">
        <v>4766</v>
      </c>
      <c r="G1428" t="s">
        <v>4723</v>
      </c>
      <c r="H1428">
        <v>194908</v>
      </c>
    </row>
    <row r="1429" spans="1:9">
      <c r="A1429" t="str">
        <f>"0086607 "</f>
        <v xml:space="preserve">0086607 </v>
      </c>
      <c r="B1429" t="s">
        <v>4723</v>
      </c>
      <c r="C1429">
        <v>194949</v>
      </c>
      <c r="D1429" t="s">
        <v>4767</v>
      </c>
      <c r="E1429" t="s">
        <v>16</v>
      </c>
      <c r="F1429" t="s">
        <v>4768</v>
      </c>
      <c r="G1429" t="s">
        <v>4723</v>
      </c>
      <c r="H1429">
        <v>194949</v>
      </c>
    </row>
    <row r="1430" spans="1:9">
      <c r="A1430" t="str">
        <f>"0067631 "</f>
        <v xml:space="preserve">0067631 </v>
      </c>
      <c r="B1430" t="s">
        <v>4723</v>
      </c>
      <c r="C1430">
        <v>194965</v>
      </c>
      <c r="D1430" t="s">
        <v>4769</v>
      </c>
      <c r="E1430" t="s">
        <v>16</v>
      </c>
      <c r="F1430" t="s">
        <v>4770</v>
      </c>
      <c r="G1430" t="s">
        <v>4723</v>
      </c>
      <c r="H1430">
        <v>194965</v>
      </c>
    </row>
    <row r="1431" spans="1:9">
      <c r="A1431" t="str">
        <f>"0156870 "</f>
        <v xml:space="preserve">0156870 </v>
      </c>
      <c r="B1431" t="s">
        <v>4723</v>
      </c>
      <c r="C1431">
        <v>195003</v>
      </c>
      <c r="D1431" t="s">
        <v>4771</v>
      </c>
      <c r="E1431" t="s">
        <v>16</v>
      </c>
      <c r="F1431" t="s">
        <v>4772</v>
      </c>
      <c r="G1431" t="s">
        <v>4723</v>
      </c>
      <c r="H1431">
        <v>195003</v>
      </c>
    </row>
    <row r="1432" spans="1:9">
      <c r="A1432" t="str">
        <f>"0267623 "</f>
        <v xml:space="preserve">0267623 </v>
      </c>
      <c r="B1432" t="s">
        <v>4723</v>
      </c>
      <c r="C1432">
        <v>196133</v>
      </c>
      <c r="D1432" t="s">
        <v>4773</v>
      </c>
      <c r="E1432">
        <v>4</v>
      </c>
      <c r="F1432" t="s">
        <v>4774</v>
      </c>
      <c r="G1432" t="s">
        <v>4723</v>
      </c>
      <c r="H1432">
        <v>196133</v>
      </c>
      <c r="I1432" t="str">
        <f>"2710198100"</f>
        <v>2710198100</v>
      </c>
    </row>
    <row r="1433" spans="1:9">
      <c r="A1433" t="str">
        <f>"0156887 "</f>
        <v xml:space="preserve">0156887 </v>
      </c>
      <c r="B1433" t="s">
        <v>4723</v>
      </c>
      <c r="C1433">
        <v>201552</v>
      </c>
      <c r="D1433" t="s">
        <v>4775</v>
      </c>
      <c r="E1433" t="s">
        <v>16</v>
      </c>
      <c r="F1433" t="s">
        <v>4776</v>
      </c>
      <c r="G1433" t="s">
        <v>4723</v>
      </c>
      <c r="H1433">
        <v>201552</v>
      </c>
    </row>
    <row r="1434" spans="1:9">
      <c r="A1434" t="str">
        <f>"0156868 "</f>
        <v xml:space="preserve">0156868 </v>
      </c>
      <c r="B1434" t="s">
        <v>4723</v>
      </c>
      <c r="C1434">
        <v>201553</v>
      </c>
      <c r="D1434" t="s">
        <v>4777</v>
      </c>
      <c r="E1434" t="s">
        <v>16</v>
      </c>
      <c r="F1434" t="s">
        <v>4778</v>
      </c>
      <c r="G1434" t="s">
        <v>4723</v>
      </c>
      <c r="H1434">
        <v>201553</v>
      </c>
    </row>
    <row r="1435" spans="1:9">
      <c r="A1435" t="str">
        <f>"0156888 "</f>
        <v xml:space="preserve">0156888 </v>
      </c>
      <c r="B1435" t="s">
        <v>4723</v>
      </c>
      <c r="C1435">
        <v>201554</v>
      </c>
      <c r="D1435" t="s">
        <v>4779</v>
      </c>
      <c r="E1435" t="s">
        <v>16</v>
      </c>
      <c r="F1435" t="s">
        <v>4780</v>
      </c>
      <c r="G1435" t="s">
        <v>4723</v>
      </c>
      <c r="H1435">
        <v>201554</v>
      </c>
    </row>
    <row r="1436" spans="1:9">
      <c r="A1436" t="str">
        <f>"0156886 "</f>
        <v xml:space="preserve">0156886 </v>
      </c>
      <c r="B1436" t="s">
        <v>4723</v>
      </c>
      <c r="C1436">
        <v>201555</v>
      </c>
      <c r="D1436" t="s">
        <v>4781</v>
      </c>
      <c r="E1436" t="s">
        <v>16</v>
      </c>
      <c r="F1436" t="s">
        <v>4782</v>
      </c>
      <c r="G1436" t="s">
        <v>4723</v>
      </c>
      <c r="H1436">
        <v>201555</v>
      </c>
    </row>
    <row r="1437" spans="1:9">
      <c r="A1437" t="str">
        <f>"0156944 "</f>
        <v xml:space="preserve">0156944 </v>
      </c>
      <c r="B1437" t="s">
        <v>4723</v>
      </c>
      <c r="C1437">
        <v>201558</v>
      </c>
      <c r="D1437" t="s">
        <v>4783</v>
      </c>
      <c r="E1437" t="s">
        <v>16</v>
      </c>
      <c r="F1437" t="s">
        <v>4784</v>
      </c>
      <c r="G1437" t="s">
        <v>4723</v>
      </c>
      <c r="H1437">
        <v>201558</v>
      </c>
    </row>
    <row r="1438" spans="1:9">
      <c r="A1438" t="str">
        <f>"0211715 "</f>
        <v xml:space="preserve">0211715 </v>
      </c>
      <c r="B1438" t="s">
        <v>4723</v>
      </c>
      <c r="C1438">
        <v>203701</v>
      </c>
      <c r="D1438" t="s">
        <v>4785</v>
      </c>
      <c r="E1438" t="s">
        <v>16</v>
      </c>
      <c r="F1438" t="s">
        <v>4786</v>
      </c>
      <c r="G1438" t="s">
        <v>4723</v>
      </c>
      <c r="H1438">
        <v>203701</v>
      </c>
    </row>
    <row r="1439" spans="1:9">
      <c r="A1439" t="str">
        <f>"0033876 "</f>
        <v xml:space="preserve">0033876 </v>
      </c>
      <c r="B1439" t="s">
        <v>4787</v>
      </c>
      <c r="C1439" t="s">
        <v>4788</v>
      </c>
      <c r="D1439" t="s">
        <v>4789</v>
      </c>
      <c r="E1439" t="s">
        <v>16</v>
      </c>
      <c r="F1439" t="s">
        <v>4790</v>
      </c>
      <c r="G1439" t="s">
        <v>4787</v>
      </c>
      <c r="H1439" t="s">
        <v>4788</v>
      </c>
      <c r="I1439" t="s">
        <v>4791</v>
      </c>
    </row>
    <row r="1440" spans="1:9">
      <c r="A1440" t="str">
        <f>"0033875 "</f>
        <v xml:space="preserve">0033875 </v>
      </c>
      <c r="B1440" t="s">
        <v>4787</v>
      </c>
      <c r="C1440" t="s">
        <v>4792</v>
      </c>
      <c r="D1440" t="s">
        <v>4793</v>
      </c>
      <c r="E1440" t="s">
        <v>16</v>
      </c>
      <c r="F1440" t="s">
        <v>4794</v>
      </c>
      <c r="G1440" t="s">
        <v>4787</v>
      </c>
      <c r="H1440" t="s">
        <v>4792</v>
      </c>
      <c r="I1440" t="s">
        <v>4791</v>
      </c>
    </row>
    <row r="1441" spans="1:9">
      <c r="A1441" t="str">
        <f>"0204366 "</f>
        <v xml:space="preserve">0204366 </v>
      </c>
      <c r="B1441" t="s">
        <v>4787</v>
      </c>
      <c r="C1441" t="s">
        <v>4795</v>
      </c>
      <c r="D1441" t="s">
        <v>4796</v>
      </c>
      <c r="E1441">
        <v>1</v>
      </c>
      <c r="F1441" t="s">
        <v>4797</v>
      </c>
      <c r="G1441" t="s">
        <v>4787</v>
      </c>
      <c r="H1441" t="s">
        <v>4795</v>
      </c>
      <c r="I1441" t="s">
        <v>4798</v>
      </c>
    </row>
    <row r="1442" spans="1:9">
      <c r="A1442" t="str">
        <f>"0033911 "</f>
        <v xml:space="preserve">0033911 </v>
      </c>
      <c r="B1442" t="s">
        <v>4787</v>
      </c>
      <c r="C1442" t="s">
        <v>4799</v>
      </c>
      <c r="D1442" t="s">
        <v>4800</v>
      </c>
      <c r="E1442" t="s">
        <v>16</v>
      </c>
      <c r="F1442" t="s">
        <v>4801</v>
      </c>
      <c r="G1442" t="s">
        <v>4787</v>
      </c>
      <c r="H1442" t="s">
        <v>4799</v>
      </c>
      <c r="I1442" t="s">
        <v>4798</v>
      </c>
    </row>
    <row r="1443" spans="1:9">
      <c r="A1443" t="str">
        <f>"0033910 "</f>
        <v xml:space="preserve">0033910 </v>
      </c>
      <c r="B1443" t="s">
        <v>4787</v>
      </c>
      <c r="C1443" t="s">
        <v>4802</v>
      </c>
      <c r="D1443" t="s">
        <v>4803</v>
      </c>
      <c r="E1443" t="s">
        <v>16</v>
      </c>
      <c r="F1443" t="s">
        <v>4804</v>
      </c>
      <c r="G1443" t="s">
        <v>4787</v>
      </c>
      <c r="H1443" t="s">
        <v>4802</v>
      </c>
      <c r="I1443" t="s">
        <v>4805</v>
      </c>
    </row>
    <row r="1444" spans="1:9">
      <c r="A1444" t="str">
        <f>"0204369 "</f>
        <v xml:space="preserve">0204369 </v>
      </c>
      <c r="B1444" t="s">
        <v>4787</v>
      </c>
      <c r="C1444" t="s">
        <v>4806</v>
      </c>
      <c r="D1444" t="s">
        <v>4807</v>
      </c>
      <c r="E1444">
        <v>2</v>
      </c>
      <c r="F1444" t="s">
        <v>4808</v>
      </c>
      <c r="G1444" t="s">
        <v>4787</v>
      </c>
      <c r="H1444" t="s">
        <v>4806</v>
      </c>
      <c r="I1444" t="s">
        <v>4805</v>
      </c>
    </row>
    <row r="1445" spans="1:9">
      <c r="A1445" t="str">
        <f>"0220107 "</f>
        <v xml:space="preserve">0220107 </v>
      </c>
      <c r="B1445" t="s">
        <v>4787</v>
      </c>
      <c r="C1445" t="s">
        <v>4809</v>
      </c>
      <c r="D1445" t="s">
        <v>4810</v>
      </c>
      <c r="E1445">
        <v>1</v>
      </c>
      <c r="F1445" t="s">
        <v>4811</v>
      </c>
      <c r="G1445" t="s">
        <v>4787</v>
      </c>
      <c r="H1445" t="s">
        <v>4809</v>
      </c>
      <c r="I1445" t="s">
        <v>4812</v>
      </c>
    </row>
    <row r="1446" spans="1:9">
      <c r="A1446" t="str">
        <f>"0220106 "</f>
        <v xml:space="preserve">0220106 </v>
      </c>
      <c r="B1446" t="s">
        <v>4787</v>
      </c>
      <c r="C1446" t="s">
        <v>4813</v>
      </c>
      <c r="D1446" t="s">
        <v>4814</v>
      </c>
      <c r="E1446">
        <v>2</v>
      </c>
      <c r="F1446" t="s">
        <v>4815</v>
      </c>
      <c r="G1446" t="s">
        <v>4787</v>
      </c>
      <c r="H1446" t="s">
        <v>4813</v>
      </c>
      <c r="I1446" t="s">
        <v>4812</v>
      </c>
    </row>
    <row r="1447" spans="1:9">
      <c r="A1447" t="str">
        <f>"0269122 "</f>
        <v xml:space="preserve">0269122 </v>
      </c>
      <c r="B1447" t="s">
        <v>4787</v>
      </c>
      <c r="C1447" t="s">
        <v>4816</v>
      </c>
      <c r="D1447" t="s">
        <v>4817</v>
      </c>
      <c r="E1447" t="s">
        <v>16</v>
      </c>
      <c r="F1447" t="s">
        <v>4818</v>
      </c>
      <c r="G1447" t="s">
        <v>4787</v>
      </c>
      <c r="H1447" t="s">
        <v>4816</v>
      </c>
    </row>
    <row r="1448" spans="1:9">
      <c r="A1448" t="str">
        <f>"0020890 "</f>
        <v xml:space="preserve">0020890 </v>
      </c>
      <c r="B1448" t="s">
        <v>4787</v>
      </c>
      <c r="C1448" t="s">
        <v>4819</v>
      </c>
      <c r="D1448" t="s">
        <v>4820</v>
      </c>
      <c r="E1448">
        <v>3</v>
      </c>
      <c r="F1448" t="s">
        <v>4821</v>
      </c>
      <c r="G1448" t="s">
        <v>4787</v>
      </c>
      <c r="H1448" t="s">
        <v>4819</v>
      </c>
      <c r="I1448" t="s">
        <v>4822</v>
      </c>
    </row>
    <row r="1449" spans="1:9">
      <c r="A1449" t="str">
        <f>"0020896 "</f>
        <v xml:space="preserve">0020896 </v>
      </c>
      <c r="B1449" t="s">
        <v>4787</v>
      </c>
      <c r="C1449" t="s">
        <v>4823</v>
      </c>
      <c r="D1449" t="s">
        <v>4824</v>
      </c>
      <c r="E1449">
        <v>3</v>
      </c>
      <c r="F1449" t="s">
        <v>4825</v>
      </c>
      <c r="G1449" t="s">
        <v>4787</v>
      </c>
      <c r="H1449" t="s">
        <v>4823</v>
      </c>
      <c r="I1449" t="s">
        <v>4822</v>
      </c>
    </row>
    <row r="1450" spans="1:9">
      <c r="A1450" t="str">
        <f>"0203918 "</f>
        <v xml:space="preserve">0203918 </v>
      </c>
      <c r="B1450" t="s">
        <v>4787</v>
      </c>
      <c r="C1450" t="s">
        <v>4826</v>
      </c>
      <c r="D1450" t="s">
        <v>4827</v>
      </c>
      <c r="E1450">
        <v>2</v>
      </c>
      <c r="F1450" t="s">
        <v>4828</v>
      </c>
      <c r="G1450" t="s">
        <v>4787</v>
      </c>
      <c r="H1450" t="s">
        <v>4826</v>
      </c>
      <c r="I1450" t="s">
        <v>4829</v>
      </c>
    </row>
    <row r="1451" spans="1:9">
      <c r="A1451" t="str">
        <f>"0020891 "</f>
        <v xml:space="preserve">0020891 </v>
      </c>
      <c r="B1451" t="s">
        <v>4787</v>
      </c>
      <c r="C1451" t="s">
        <v>4830</v>
      </c>
      <c r="D1451" t="s">
        <v>4831</v>
      </c>
      <c r="E1451" t="s">
        <v>16</v>
      </c>
      <c r="F1451" t="s">
        <v>4832</v>
      </c>
      <c r="G1451" t="s">
        <v>4787</v>
      </c>
      <c r="H1451" t="s">
        <v>4830</v>
      </c>
      <c r="I1451" t="s">
        <v>4829</v>
      </c>
    </row>
    <row r="1452" spans="1:9">
      <c r="A1452" t="str">
        <f>"0033824 "</f>
        <v xml:space="preserve">0033824 </v>
      </c>
      <c r="B1452" t="s">
        <v>4787</v>
      </c>
      <c r="C1452" t="s">
        <v>4833</v>
      </c>
      <c r="D1452" t="s">
        <v>4834</v>
      </c>
      <c r="E1452">
        <v>1</v>
      </c>
      <c r="F1452" t="s">
        <v>4835</v>
      </c>
      <c r="G1452" t="s">
        <v>4787</v>
      </c>
      <c r="H1452" t="s">
        <v>4833</v>
      </c>
      <c r="I1452" t="s">
        <v>4829</v>
      </c>
    </row>
    <row r="1453" spans="1:9">
      <c r="A1453" t="str">
        <f>"0020897 "</f>
        <v xml:space="preserve">0020897 </v>
      </c>
      <c r="B1453" t="s">
        <v>4787</v>
      </c>
      <c r="C1453" t="s">
        <v>4836</v>
      </c>
      <c r="D1453" t="s">
        <v>4837</v>
      </c>
      <c r="E1453" t="s">
        <v>16</v>
      </c>
      <c r="F1453" t="s">
        <v>4838</v>
      </c>
      <c r="G1453" t="s">
        <v>4787</v>
      </c>
      <c r="H1453" t="s">
        <v>4836</v>
      </c>
      <c r="I1453" t="s">
        <v>4829</v>
      </c>
    </row>
    <row r="1454" spans="1:9">
      <c r="A1454" t="str">
        <f>"0203919 "</f>
        <v xml:space="preserve">0203919 </v>
      </c>
      <c r="B1454" t="s">
        <v>4787</v>
      </c>
      <c r="C1454" t="s">
        <v>4839</v>
      </c>
      <c r="D1454" t="s">
        <v>4840</v>
      </c>
      <c r="E1454">
        <v>2</v>
      </c>
      <c r="F1454" t="s">
        <v>4841</v>
      </c>
      <c r="G1454" t="s">
        <v>4787</v>
      </c>
      <c r="H1454" t="s">
        <v>4839</v>
      </c>
      <c r="I1454" t="s">
        <v>4842</v>
      </c>
    </row>
    <row r="1455" spans="1:9">
      <c r="A1455" t="str">
        <f>"0020892 "</f>
        <v xml:space="preserve">0020892 </v>
      </c>
      <c r="B1455" t="s">
        <v>4787</v>
      </c>
      <c r="C1455" t="s">
        <v>4843</v>
      </c>
      <c r="D1455" t="s">
        <v>4844</v>
      </c>
      <c r="E1455" t="s">
        <v>16</v>
      </c>
      <c r="F1455" t="s">
        <v>4845</v>
      </c>
      <c r="G1455" t="s">
        <v>4787</v>
      </c>
      <c r="H1455" t="s">
        <v>4843</v>
      </c>
      <c r="I1455" t="s">
        <v>4842</v>
      </c>
    </row>
    <row r="1456" spans="1:9">
      <c r="A1456" t="str">
        <f>"0020898 "</f>
        <v xml:space="preserve">0020898 </v>
      </c>
      <c r="B1456" t="s">
        <v>4787</v>
      </c>
      <c r="C1456" t="s">
        <v>4846</v>
      </c>
      <c r="D1456" t="s">
        <v>4847</v>
      </c>
      <c r="E1456" t="s">
        <v>16</v>
      </c>
      <c r="F1456" t="s">
        <v>4848</v>
      </c>
      <c r="G1456" t="s">
        <v>4787</v>
      </c>
      <c r="H1456" t="s">
        <v>4846</v>
      </c>
      <c r="I1456" t="s">
        <v>4842</v>
      </c>
    </row>
    <row r="1457" spans="1:9">
      <c r="A1457" t="str">
        <f>"0204441 "</f>
        <v xml:space="preserve">0204441 </v>
      </c>
      <c r="B1457" t="s">
        <v>4787</v>
      </c>
      <c r="C1457" t="s">
        <v>4849</v>
      </c>
      <c r="D1457" t="s">
        <v>4850</v>
      </c>
      <c r="E1457">
        <v>1</v>
      </c>
      <c r="F1457" t="s">
        <v>4851</v>
      </c>
      <c r="G1457" t="s">
        <v>4787</v>
      </c>
      <c r="H1457" t="s">
        <v>4849</v>
      </c>
      <c r="I1457" t="s">
        <v>4852</v>
      </c>
    </row>
    <row r="1458" spans="1:9">
      <c r="A1458" t="str">
        <f>"0033909 "</f>
        <v xml:space="preserve">0033909 </v>
      </c>
      <c r="B1458" t="s">
        <v>4787</v>
      </c>
      <c r="C1458" t="s">
        <v>4853</v>
      </c>
      <c r="D1458" t="s">
        <v>4854</v>
      </c>
      <c r="E1458" t="s">
        <v>16</v>
      </c>
      <c r="F1458" t="s">
        <v>4855</v>
      </c>
      <c r="G1458" t="s">
        <v>4787</v>
      </c>
      <c r="H1458" t="s">
        <v>4853</v>
      </c>
      <c r="I1458" t="s">
        <v>4852</v>
      </c>
    </row>
    <row r="1459" spans="1:9">
      <c r="A1459" t="str">
        <f>"0159307 "</f>
        <v xml:space="preserve">0159307 </v>
      </c>
      <c r="B1459" t="s">
        <v>4787</v>
      </c>
      <c r="C1459" t="s">
        <v>4856</v>
      </c>
      <c r="D1459" t="s">
        <v>4857</v>
      </c>
      <c r="E1459">
        <v>1</v>
      </c>
      <c r="F1459" t="s">
        <v>4858</v>
      </c>
      <c r="G1459" t="s">
        <v>4787</v>
      </c>
      <c r="H1459" t="s">
        <v>4856</v>
      </c>
      <c r="I1459" t="s">
        <v>4852</v>
      </c>
    </row>
    <row r="1460" spans="1:9">
      <c r="A1460" t="str">
        <f>"0203920 "</f>
        <v xml:space="preserve">0203920 </v>
      </c>
      <c r="B1460" t="s">
        <v>4787</v>
      </c>
      <c r="C1460" t="s">
        <v>4859</v>
      </c>
      <c r="D1460" t="s">
        <v>4860</v>
      </c>
      <c r="E1460">
        <v>4</v>
      </c>
      <c r="F1460" t="s">
        <v>4861</v>
      </c>
      <c r="G1460" t="s">
        <v>4787</v>
      </c>
      <c r="H1460" t="s">
        <v>4859</v>
      </c>
      <c r="I1460" t="s">
        <v>4862</v>
      </c>
    </row>
    <row r="1461" spans="1:9">
      <c r="A1461" t="str">
        <f>"0020886 "</f>
        <v xml:space="preserve">0020886 </v>
      </c>
      <c r="B1461" t="s">
        <v>4787</v>
      </c>
      <c r="C1461" t="s">
        <v>4863</v>
      </c>
      <c r="D1461" t="s">
        <v>4864</v>
      </c>
      <c r="E1461" t="s">
        <v>16</v>
      </c>
      <c r="F1461" t="s">
        <v>4865</v>
      </c>
      <c r="G1461" t="s">
        <v>4787</v>
      </c>
      <c r="H1461" t="s">
        <v>4863</v>
      </c>
      <c r="I1461" t="s">
        <v>4862</v>
      </c>
    </row>
    <row r="1462" spans="1:9">
      <c r="A1462" t="str">
        <f>"0158701 "</f>
        <v xml:space="preserve">0158701 </v>
      </c>
      <c r="B1462" t="s">
        <v>4787</v>
      </c>
      <c r="C1462" t="s">
        <v>4866</v>
      </c>
      <c r="D1462" t="s">
        <v>4867</v>
      </c>
      <c r="E1462">
        <v>2</v>
      </c>
      <c r="F1462" t="s">
        <v>4868</v>
      </c>
      <c r="G1462" t="s">
        <v>4787</v>
      </c>
      <c r="H1462" t="s">
        <v>4866</v>
      </c>
      <c r="I1462" t="s">
        <v>4862</v>
      </c>
    </row>
    <row r="1463" spans="1:9">
      <c r="A1463" t="str">
        <f>"0020337 "</f>
        <v xml:space="preserve">0020337 </v>
      </c>
      <c r="B1463" t="s">
        <v>4787</v>
      </c>
      <c r="C1463" t="s">
        <v>4869</v>
      </c>
      <c r="D1463" t="s">
        <v>4870</v>
      </c>
      <c r="E1463" t="s">
        <v>16</v>
      </c>
      <c r="F1463" t="s">
        <v>4871</v>
      </c>
      <c r="G1463" t="s">
        <v>4787</v>
      </c>
      <c r="H1463" t="s">
        <v>4869</v>
      </c>
      <c r="I1463" t="s">
        <v>4862</v>
      </c>
    </row>
    <row r="1464" spans="1:9">
      <c r="A1464" t="str">
        <f>"0020887 "</f>
        <v xml:space="preserve">0020887 </v>
      </c>
      <c r="B1464" t="s">
        <v>4787</v>
      </c>
      <c r="C1464" t="s">
        <v>4872</v>
      </c>
      <c r="D1464" t="s">
        <v>4873</v>
      </c>
      <c r="E1464" t="s">
        <v>16</v>
      </c>
      <c r="F1464" t="s">
        <v>4874</v>
      </c>
      <c r="G1464" t="s">
        <v>4787</v>
      </c>
      <c r="H1464" t="s">
        <v>4872</v>
      </c>
      <c r="I1464" t="s">
        <v>4875</v>
      </c>
    </row>
    <row r="1465" spans="1:9">
      <c r="A1465" t="str">
        <f>"0020894 "</f>
        <v xml:space="preserve">0020894 </v>
      </c>
      <c r="B1465" t="s">
        <v>4787</v>
      </c>
      <c r="C1465" t="s">
        <v>4876</v>
      </c>
      <c r="D1465" t="s">
        <v>4877</v>
      </c>
      <c r="E1465" t="s">
        <v>16</v>
      </c>
      <c r="F1465" t="s">
        <v>4878</v>
      </c>
      <c r="G1465" t="s">
        <v>4787</v>
      </c>
      <c r="H1465" t="s">
        <v>4876</v>
      </c>
      <c r="I1465" t="s">
        <v>4875</v>
      </c>
    </row>
    <row r="1466" spans="1:9">
      <c r="A1466" t="str">
        <f>"0020888 "</f>
        <v xml:space="preserve">0020888 </v>
      </c>
      <c r="B1466" t="s">
        <v>4787</v>
      </c>
      <c r="C1466" t="s">
        <v>4879</v>
      </c>
      <c r="D1466" t="s">
        <v>4880</v>
      </c>
      <c r="E1466" t="s">
        <v>16</v>
      </c>
      <c r="F1466" t="s">
        <v>4881</v>
      </c>
      <c r="G1466" t="s">
        <v>4787</v>
      </c>
      <c r="H1466" t="s">
        <v>4879</v>
      </c>
      <c r="I1466" t="s">
        <v>4882</v>
      </c>
    </row>
    <row r="1467" spans="1:9">
      <c r="A1467" t="str">
        <f>"0020893 "</f>
        <v xml:space="preserve">0020893 </v>
      </c>
      <c r="B1467" t="s">
        <v>4787</v>
      </c>
      <c r="C1467" t="s">
        <v>4883</v>
      </c>
      <c r="D1467" t="s">
        <v>4884</v>
      </c>
      <c r="E1467" t="s">
        <v>16</v>
      </c>
      <c r="F1467" t="s">
        <v>4885</v>
      </c>
      <c r="G1467" t="s">
        <v>4787</v>
      </c>
      <c r="H1467" t="s">
        <v>4883</v>
      </c>
      <c r="I1467" t="s">
        <v>4882</v>
      </c>
    </row>
    <row r="1468" spans="1:9">
      <c r="A1468" t="str">
        <f>"0269114 "</f>
        <v xml:space="preserve">0269114 </v>
      </c>
      <c r="B1468" t="s">
        <v>4787</v>
      </c>
      <c r="C1468" t="s">
        <v>4886</v>
      </c>
      <c r="D1468" t="s">
        <v>4887</v>
      </c>
      <c r="E1468" t="s">
        <v>16</v>
      </c>
      <c r="F1468" t="s">
        <v>4888</v>
      </c>
      <c r="G1468" t="s">
        <v>4787</v>
      </c>
      <c r="H1468" t="s">
        <v>4886</v>
      </c>
    </row>
    <row r="1469" spans="1:9">
      <c r="A1469" t="str">
        <f>"0038499 "</f>
        <v xml:space="preserve">0038499 </v>
      </c>
      <c r="B1469" t="s">
        <v>4787</v>
      </c>
      <c r="C1469" t="s">
        <v>4889</v>
      </c>
      <c r="D1469" t="s">
        <v>4890</v>
      </c>
      <c r="E1469" t="s">
        <v>16</v>
      </c>
      <c r="F1469" t="s">
        <v>4891</v>
      </c>
      <c r="G1469" t="s">
        <v>4787</v>
      </c>
      <c r="H1469" t="s">
        <v>4889</v>
      </c>
    </row>
    <row r="1470" spans="1:9">
      <c r="A1470" t="str">
        <f>"0220100 "</f>
        <v xml:space="preserve">0220100 </v>
      </c>
      <c r="B1470" t="s">
        <v>4787</v>
      </c>
      <c r="C1470" t="s">
        <v>4892</v>
      </c>
      <c r="D1470" t="s">
        <v>4893</v>
      </c>
      <c r="E1470" t="s">
        <v>16</v>
      </c>
      <c r="F1470" t="s">
        <v>4894</v>
      </c>
      <c r="G1470" t="s">
        <v>4787</v>
      </c>
      <c r="H1470" t="s">
        <v>4892</v>
      </c>
      <c r="I1470" t="s">
        <v>4895</v>
      </c>
    </row>
    <row r="1471" spans="1:9">
      <c r="A1471" t="str">
        <f>"0220103 "</f>
        <v xml:space="preserve">0220103 </v>
      </c>
      <c r="B1471" t="s">
        <v>4787</v>
      </c>
      <c r="C1471" t="s">
        <v>4896</v>
      </c>
      <c r="D1471" t="s">
        <v>4897</v>
      </c>
      <c r="E1471" t="s">
        <v>16</v>
      </c>
      <c r="F1471" t="s">
        <v>4898</v>
      </c>
      <c r="G1471" t="s">
        <v>4787</v>
      </c>
      <c r="H1471" t="s">
        <v>4896</v>
      </c>
      <c r="I1471" t="s">
        <v>4899</v>
      </c>
    </row>
    <row r="1472" spans="1:9">
      <c r="A1472" t="str">
        <f>"0220104 "</f>
        <v xml:space="preserve">0220104 </v>
      </c>
      <c r="B1472" t="s">
        <v>4787</v>
      </c>
      <c r="C1472" t="s">
        <v>4900</v>
      </c>
      <c r="D1472" t="s">
        <v>4901</v>
      </c>
      <c r="E1472">
        <v>1</v>
      </c>
      <c r="F1472" t="s">
        <v>4902</v>
      </c>
      <c r="G1472" t="s">
        <v>4787</v>
      </c>
      <c r="H1472" t="s">
        <v>4900</v>
      </c>
      <c r="I1472" t="s">
        <v>4899</v>
      </c>
    </row>
    <row r="1473" spans="1:9">
      <c r="A1473" t="str">
        <f>"0033877 "</f>
        <v xml:space="preserve">0033877 </v>
      </c>
      <c r="B1473" t="s">
        <v>4787</v>
      </c>
      <c r="C1473" t="s">
        <v>4903</v>
      </c>
      <c r="D1473" t="s">
        <v>4904</v>
      </c>
      <c r="E1473" t="s">
        <v>16</v>
      </c>
      <c r="F1473" t="s">
        <v>4905</v>
      </c>
      <c r="G1473" t="s">
        <v>4787</v>
      </c>
      <c r="H1473" t="s">
        <v>4903</v>
      </c>
      <c r="I1473" t="s">
        <v>4906</v>
      </c>
    </row>
    <row r="1474" spans="1:9">
      <c r="A1474" t="str">
        <f>"0033908 "</f>
        <v xml:space="preserve">0033908 </v>
      </c>
      <c r="B1474" t="s">
        <v>4787</v>
      </c>
      <c r="C1474" t="s">
        <v>4907</v>
      </c>
      <c r="D1474" t="s">
        <v>4908</v>
      </c>
      <c r="E1474" t="s">
        <v>16</v>
      </c>
      <c r="F1474" t="s">
        <v>4909</v>
      </c>
      <c r="G1474" t="s">
        <v>4787</v>
      </c>
      <c r="H1474" t="s">
        <v>4907</v>
      </c>
      <c r="I1474" t="s">
        <v>4910</v>
      </c>
    </row>
    <row r="1475" spans="1:9">
      <c r="A1475" t="str">
        <f>"0035738 "</f>
        <v xml:space="preserve">0035738 </v>
      </c>
      <c r="B1475" t="s">
        <v>4787</v>
      </c>
      <c r="C1475" t="s">
        <v>4911</v>
      </c>
      <c r="D1475" t="s">
        <v>4912</v>
      </c>
      <c r="E1475" t="s">
        <v>16</v>
      </c>
      <c r="F1475" t="s">
        <v>4913</v>
      </c>
      <c r="G1475" t="s">
        <v>4787</v>
      </c>
      <c r="H1475" t="s">
        <v>4911</v>
      </c>
      <c r="I1475" t="s">
        <v>4914</v>
      </c>
    </row>
    <row r="1476" spans="1:9">
      <c r="A1476" t="str">
        <f>"0038955 "</f>
        <v xml:space="preserve">0038955 </v>
      </c>
      <c r="B1476" t="s">
        <v>4787</v>
      </c>
      <c r="C1476" t="s">
        <v>4915</v>
      </c>
      <c r="D1476" t="s">
        <v>4916</v>
      </c>
      <c r="E1476">
        <v>1</v>
      </c>
      <c r="F1476" t="s">
        <v>4917</v>
      </c>
      <c r="G1476" t="s">
        <v>4787</v>
      </c>
      <c r="H1476" t="s">
        <v>4915</v>
      </c>
      <c r="I1476" t="s">
        <v>4914</v>
      </c>
    </row>
    <row r="1477" spans="1:9">
      <c r="A1477" t="str">
        <f>"0241250 "</f>
        <v xml:space="preserve">0241250 </v>
      </c>
      <c r="B1477" t="s">
        <v>4787</v>
      </c>
      <c r="C1477" t="s">
        <v>4918</v>
      </c>
      <c r="D1477" t="s">
        <v>4919</v>
      </c>
      <c r="E1477">
        <v>1</v>
      </c>
      <c r="F1477" t="s">
        <v>4920</v>
      </c>
      <c r="G1477" t="s">
        <v>4787</v>
      </c>
      <c r="H1477" t="s">
        <v>4918</v>
      </c>
      <c r="I1477" s="2" t="s">
        <v>4921</v>
      </c>
    </row>
    <row r="1478" spans="1:9">
      <c r="A1478" t="str">
        <f>"0269115 "</f>
        <v xml:space="preserve">0269115 </v>
      </c>
      <c r="B1478" t="s">
        <v>4787</v>
      </c>
      <c r="C1478" t="s">
        <v>4922</v>
      </c>
      <c r="D1478" t="s">
        <v>4923</v>
      </c>
      <c r="E1478" t="s">
        <v>16</v>
      </c>
      <c r="F1478" t="s">
        <v>4924</v>
      </c>
      <c r="G1478" t="s">
        <v>4787</v>
      </c>
      <c r="H1478" t="s">
        <v>4922</v>
      </c>
    </row>
    <row r="1479" spans="1:9">
      <c r="A1479" t="str">
        <f>"0269120 "</f>
        <v xml:space="preserve">0269120 </v>
      </c>
      <c r="B1479" t="s">
        <v>4787</v>
      </c>
      <c r="C1479" t="s">
        <v>4925</v>
      </c>
      <c r="D1479" t="s">
        <v>4926</v>
      </c>
      <c r="E1479" t="s">
        <v>16</v>
      </c>
      <c r="F1479" t="s">
        <v>4927</v>
      </c>
      <c r="G1479" t="s">
        <v>4787</v>
      </c>
      <c r="H1479" t="s">
        <v>4925</v>
      </c>
    </row>
    <row r="1480" spans="1:9">
      <c r="A1480" t="str">
        <f>"0269117 "</f>
        <v xml:space="preserve">0269117 </v>
      </c>
      <c r="B1480" t="s">
        <v>4787</v>
      </c>
      <c r="C1480" t="s">
        <v>4928</v>
      </c>
      <c r="D1480" t="s">
        <v>4929</v>
      </c>
      <c r="E1480" t="s">
        <v>16</v>
      </c>
      <c r="F1480" t="s">
        <v>4930</v>
      </c>
      <c r="G1480" t="s">
        <v>4787</v>
      </c>
      <c r="H1480" t="s">
        <v>4928</v>
      </c>
    </row>
    <row r="1481" spans="1:9">
      <c r="A1481" t="str">
        <f>"0269116 "</f>
        <v xml:space="preserve">0269116 </v>
      </c>
      <c r="B1481" t="s">
        <v>4787</v>
      </c>
      <c r="C1481" t="s">
        <v>4931</v>
      </c>
      <c r="D1481" t="s">
        <v>4932</v>
      </c>
      <c r="E1481" t="s">
        <v>16</v>
      </c>
      <c r="F1481" t="s">
        <v>4933</v>
      </c>
      <c r="G1481" t="s">
        <v>4787</v>
      </c>
      <c r="H1481" t="s">
        <v>4931</v>
      </c>
    </row>
    <row r="1482" spans="1:9">
      <c r="A1482" t="str">
        <f>"0033835 "</f>
        <v xml:space="preserve">0033835 </v>
      </c>
      <c r="B1482" t="s">
        <v>4787</v>
      </c>
      <c r="C1482" t="s">
        <v>4934</v>
      </c>
      <c r="D1482" t="s">
        <v>4935</v>
      </c>
      <c r="E1482">
        <v>2</v>
      </c>
      <c r="F1482" t="s">
        <v>4936</v>
      </c>
      <c r="G1482" t="s">
        <v>4787</v>
      </c>
      <c r="H1482" t="s">
        <v>4934</v>
      </c>
      <c r="I1482" t="s">
        <v>4937</v>
      </c>
    </row>
    <row r="1483" spans="1:9">
      <c r="A1483" t="str">
        <f>"0158708 "</f>
        <v xml:space="preserve">0158708 </v>
      </c>
      <c r="B1483" t="s">
        <v>4787</v>
      </c>
      <c r="C1483" t="s">
        <v>4938</v>
      </c>
      <c r="D1483" t="s">
        <v>4939</v>
      </c>
      <c r="E1483">
        <v>1</v>
      </c>
      <c r="F1483" t="s">
        <v>4940</v>
      </c>
      <c r="G1483" t="s">
        <v>4787</v>
      </c>
      <c r="H1483" t="s">
        <v>4938</v>
      </c>
      <c r="I1483" t="s">
        <v>4937</v>
      </c>
    </row>
    <row r="1484" spans="1:9">
      <c r="A1484" t="str">
        <f>"0158731 "</f>
        <v xml:space="preserve">0158731 </v>
      </c>
      <c r="B1484" t="s">
        <v>4787</v>
      </c>
      <c r="C1484" t="s">
        <v>4941</v>
      </c>
      <c r="D1484" t="s">
        <v>4942</v>
      </c>
      <c r="E1484">
        <v>4</v>
      </c>
      <c r="F1484" t="s">
        <v>4943</v>
      </c>
      <c r="G1484" t="s">
        <v>4787</v>
      </c>
      <c r="H1484" t="s">
        <v>4941</v>
      </c>
      <c r="I1484" s="2" t="s">
        <v>4944</v>
      </c>
    </row>
    <row r="1485" spans="1:9">
      <c r="A1485" t="str">
        <f>"0158730 "</f>
        <v xml:space="preserve">0158730 </v>
      </c>
      <c r="B1485" t="s">
        <v>4787</v>
      </c>
      <c r="C1485" t="s">
        <v>4945</v>
      </c>
      <c r="D1485" t="s">
        <v>4946</v>
      </c>
      <c r="E1485">
        <v>3</v>
      </c>
      <c r="F1485" t="s">
        <v>4947</v>
      </c>
      <c r="G1485" t="s">
        <v>4787</v>
      </c>
      <c r="H1485" t="s">
        <v>4945</v>
      </c>
      <c r="I1485" s="2" t="s">
        <v>4944</v>
      </c>
    </row>
    <row r="1486" spans="1:9">
      <c r="A1486" t="str">
        <f>"0160958 "</f>
        <v xml:space="preserve">0160958 </v>
      </c>
      <c r="B1486" t="s">
        <v>4787</v>
      </c>
      <c r="C1486" t="s">
        <v>4948</v>
      </c>
      <c r="D1486" t="s">
        <v>4949</v>
      </c>
      <c r="E1486">
        <v>5</v>
      </c>
      <c r="F1486" t="s">
        <v>4881</v>
      </c>
      <c r="G1486" t="s">
        <v>4787</v>
      </c>
      <c r="H1486" t="s">
        <v>4948</v>
      </c>
      <c r="I1486" t="s">
        <v>4950</v>
      </c>
    </row>
    <row r="1487" spans="1:9">
      <c r="A1487" t="str">
        <f>"0160960 "</f>
        <v xml:space="preserve">0160960 </v>
      </c>
      <c r="B1487" t="s">
        <v>4787</v>
      </c>
      <c r="C1487" t="s">
        <v>4951</v>
      </c>
      <c r="D1487" t="s">
        <v>4952</v>
      </c>
      <c r="E1487" t="s">
        <v>16</v>
      </c>
      <c r="F1487" t="s">
        <v>4953</v>
      </c>
      <c r="G1487" t="s">
        <v>4787</v>
      </c>
      <c r="H1487" t="s">
        <v>4951</v>
      </c>
      <c r="I1487" t="s">
        <v>4954</v>
      </c>
    </row>
    <row r="1488" spans="1:9">
      <c r="A1488" t="str">
        <f>"0160961 "</f>
        <v xml:space="preserve">0160961 </v>
      </c>
      <c r="B1488" t="s">
        <v>4787</v>
      </c>
      <c r="C1488" t="s">
        <v>4955</v>
      </c>
      <c r="D1488" t="s">
        <v>4956</v>
      </c>
      <c r="E1488" t="s">
        <v>16</v>
      </c>
      <c r="F1488" t="s">
        <v>4957</v>
      </c>
      <c r="G1488" t="s">
        <v>4787</v>
      </c>
      <c r="H1488" t="s">
        <v>4955</v>
      </c>
      <c r="I1488" t="s">
        <v>4954</v>
      </c>
    </row>
    <row r="1489" spans="1:9">
      <c r="A1489" t="str">
        <f>"0160956 "</f>
        <v xml:space="preserve">0160956 </v>
      </c>
      <c r="B1489" t="s">
        <v>4787</v>
      </c>
      <c r="C1489" t="s">
        <v>4958</v>
      </c>
      <c r="D1489" t="s">
        <v>4959</v>
      </c>
      <c r="E1489" t="s">
        <v>16</v>
      </c>
      <c r="F1489" t="s">
        <v>4960</v>
      </c>
      <c r="G1489" t="s">
        <v>4787</v>
      </c>
      <c r="H1489" t="s">
        <v>4958</v>
      </c>
      <c r="I1489" t="s">
        <v>4961</v>
      </c>
    </row>
    <row r="1490" spans="1:9">
      <c r="A1490" t="str">
        <f>"0160957 "</f>
        <v xml:space="preserve">0160957 </v>
      </c>
      <c r="B1490" t="s">
        <v>4787</v>
      </c>
      <c r="C1490" t="s">
        <v>4962</v>
      </c>
      <c r="D1490" t="s">
        <v>4963</v>
      </c>
      <c r="E1490" t="s">
        <v>16</v>
      </c>
      <c r="F1490" t="s">
        <v>4964</v>
      </c>
      <c r="G1490" t="s">
        <v>4787</v>
      </c>
      <c r="H1490" t="s">
        <v>4962</v>
      </c>
      <c r="I1490" t="s">
        <v>4961</v>
      </c>
    </row>
    <row r="1491" spans="1:9">
      <c r="A1491" t="str">
        <f>"0160962 "</f>
        <v xml:space="preserve">0160962 </v>
      </c>
      <c r="B1491" t="s">
        <v>4787</v>
      </c>
      <c r="C1491" t="s">
        <v>4965</v>
      </c>
      <c r="D1491" t="s">
        <v>4966</v>
      </c>
      <c r="E1491" t="s">
        <v>16</v>
      </c>
      <c r="F1491" t="s">
        <v>4967</v>
      </c>
      <c r="G1491" t="s">
        <v>4787</v>
      </c>
      <c r="H1491" t="s">
        <v>4965</v>
      </c>
      <c r="I1491" t="s">
        <v>4968</v>
      </c>
    </row>
    <row r="1492" spans="1:9">
      <c r="A1492" t="str">
        <f>"0160963 "</f>
        <v xml:space="preserve">0160963 </v>
      </c>
      <c r="B1492" t="s">
        <v>4787</v>
      </c>
      <c r="C1492" t="s">
        <v>4969</v>
      </c>
      <c r="D1492" t="s">
        <v>4970</v>
      </c>
      <c r="E1492" t="s">
        <v>16</v>
      </c>
      <c r="F1492" t="s">
        <v>4971</v>
      </c>
      <c r="G1492" t="s">
        <v>4787</v>
      </c>
      <c r="H1492" t="s">
        <v>4969</v>
      </c>
      <c r="I1492" t="s">
        <v>4968</v>
      </c>
    </row>
    <row r="1493" spans="1:9">
      <c r="A1493" t="str">
        <f>"0160964 "</f>
        <v xml:space="preserve">0160964 </v>
      </c>
      <c r="B1493" t="s">
        <v>4787</v>
      </c>
      <c r="C1493" t="s">
        <v>4972</v>
      </c>
      <c r="D1493" t="s">
        <v>4973</v>
      </c>
      <c r="E1493" t="s">
        <v>16</v>
      </c>
      <c r="F1493" t="s">
        <v>4974</v>
      </c>
      <c r="G1493" t="s">
        <v>4787</v>
      </c>
      <c r="H1493" t="s">
        <v>4972</v>
      </c>
      <c r="I1493" t="s">
        <v>4975</v>
      </c>
    </row>
    <row r="1494" spans="1:9">
      <c r="A1494" t="str">
        <f>"0201438 "</f>
        <v xml:space="preserve">0201438 </v>
      </c>
      <c r="B1494" t="s">
        <v>4787</v>
      </c>
      <c r="C1494" t="s">
        <v>4976</v>
      </c>
      <c r="D1494" t="s">
        <v>4977</v>
      </c>
      <c r="E1494">
        <v>1</v>
      </c>
      <c r="F1494" t="s">
        <v>4978</v>
      </c>
      <c r="G1494" t="s">
        <v>4787</v>
      </c>
      <c r="H1494" t="s">
        <v>4976</v>
      </c>
      <c r="I1494" t="s">
        <v>4975</v>
      </c>
    </row>
    <row r="1495" spans="1:9">
      <c r="A1495" t="str">
        <f>"0160965 "</f>
        <v xml:space="preserve">0160965 </v>
      </c>
      <c r="B1495" t="s">
        <v>4787</v>
      </c>
      <c r="C1495" t="s">
        <v>4979</v>
      </c>
      <c r="D1495" t="s">
        <v>4980</v>
      </c>
      <c r="E1495" t="s">
        <v>16</v>
      </c>
      <c r="F1495" t="s">
        <v>4981</v>
      </c>
      <c r="G1495" t="s">
        <v>4787</v>
      </c>
      <c r="H1495" t="s">
        <v>4979</v>
      </c>
      <c r="I1495" t="s">
        <v>4975</v>
      </c>
    </row>
    <row r="1496" spans="1:9">
      <c r="A1496" t="str">
        <f>"0164244 "</f>
        <v xml:space="preserve">0164244 </v>
      </c>
      <c r="B1496" t="s">
        <v>4982</v>
      </c>
      <c r="C1496" t="str">
        <f>"01022FE"</f>
        <v>01022FE</v>
      </c>
      <c r="D1496" t="str">
        <f>"01022  FEBI - РЎР°Р№Р»РµРЅС‚Р±Р»РѕРє"</f>
        <v>01022  FEBI - РЎР°Р№Р»РµРЅС‚Р±Р»РѕРє</v>
      </c>
      <c r="E1496">
        <v>4</v>
      </c>
      <c r="F1496" t="s">
        <v>1862</v>
      </c>
      <c r="G1496" t="s">
        <v>4983</v>
      </c>
      <c r="H1496" t="str">
        <f>"01022"</f>
        <v>01022</v>
      </c>
      <c r="I1496" t="s">
        <v>4984</v>
      </c>
    </row>
    <row r="1497" spans="1:9">
      <c r="A1497" t="str">
        <f>"0164245 "</f>
        <v xml:space="preserve">0164245 </v>
      </c>
      <c r="B1497" t="s">
        <v>4982</v>
      </c>
      <c r="C1497" t="str">
        <f>"01023FE"</f>
        <v>01023FE</v>
      </c>
      <c r="D1497" t="str">
        <f>"01023  FEBI - РЎР°Р№Р»РµРЅС‚Р±Р»РѕРє"</f>
        <v>01023  FEBI - РЎР°Р№Р»РµРЅС‚Р±Р»РѕРє</v>
      </c>
      <c r="E1497">
        <v>3</v>
      </c>
      <c r="F1497" t="s">
        <v>1980</v>
      </c>
      <c r="G1497" t="s">
        <v>4983</v>
      </c>
      <c r="H1497" t="str">
        <f>"01023"</f>
        <v>01023</v>
      </c>
      <c r="I1497" t="s">
        <v>4985</v>
      </c>
    </row>
    <row r="1498" spans="1:9">
      <c r="A1498" t="str">
        <f>"0164261 "</f>
        <v xml:space="preserve">0164261 </v>
      </c>
      <c r="B1498" t="s">
        <v>4982</v>
      </c>
      <c r="C1498" t="str">
        <f>"01079FE"</f>
        <v>01079FE</v>
      </c>
      <c r="D1498" t="str">
        <f>"01079  FEBI - Р’С‚СѓР»РєР° СЃС‚Р°Р±С–Р»С–Р·Р°С‚РѕСЂР°"</f>
        <v>01079  FEBI - Р’С‚СѓР»РєР° СЃС‚Р°Р±С–Р»С–Р·Р°С‚РѕСЂР°</v>
      </c>
      <c r="E1498">
        <v>4</v>
      </c>
      <c r="F1498" s="1">
        <v>42781</v>
      </c>
      <c r="G1498" t="s">
        <v>4983</v>
      </c>
      <c r="H1498" t="str">
        <f>"01079"</f>
        <v>01079</v>
      </c>
      <c r="I1498" t="s">
        <v>4986</v>
      </c>
    </row>
    <row r="1499" spans="1:9">
      <c r="A1499" t="str">
        <f>"0164275 "</f>
        <v xml:space="preserve">0164275 </v>
      </c>
      <c r="B1499" t="s">
        <v>4982</v>
      </c>
      <c r="C1499" t="str">
        <f>"01107FE"</f>
        <v>01107FE</v>
      </c>
      <c r="D1499" t="str">
        <f>"01107  FEBI - РћРїРѕСЂР° РљРџРџ"</f>
        <v>01107  FEBI - РћРїРѕСЂР° РљРџРџ</v>
      </c>
      <c r="E1499">
        <v>1</v>
      </c>
      <c r="F1499" t="s">
        <v>4987</v>
      </c>
      <c r="G1499" t="s">
        <v>4983</v>
      </c>
      <c r="H1499" t="str">
        <f>"01107"</f>
        <v>01107</v>
      </c>
      <c r="I1499" t="s">
        <v>4988</v>
      </c>
    </row>
    <row r="1500" spans="1:9">
      <c r="A1500" t="str">
        <f>"0164278 "</f>
        <v xml:space="preserve">0164278 </v>
      </c>
      <c r="B1500" t="s">
        <v>4982</v>
      </c>
      <c r="C1500" t="str">
        <f>"01111FE"</f>
        <v>01111FE</v>
      </c>
      <c r="D1500" t="str">
        <f>"01111  FEBI - РџС–РґС€РёРїРЅРёРє РѕРїРѕСЂРё СЃС‚С–Р№РєРё Р°РјРѕСЂС‚РёР·Р°С‚РѕСЂР°"</f>
        <v>01111  FEBI - РџС–РґС€РёРїРЅРёРє РѕРїРѕСЂРё СЃС‚С–Р№РєРё Р°РјРѕСЂС‚РёР·Р°С‚РѕСЂР°</v>
      </c>
      <c r="E1500" t="s">
        <v>16</v>
      </c>
      <c r="F1500" t="s">
        <v>4656</v>
      </c>
      <c r="G1500" t="s">
        <v>4983</v>
      </c>
      <c r="H1500" t="str">
        <f>"01111"</f>
        <v>01111</v>
      </c>
      <c r="I1500" t="s">
        <v>4989</v>
      </c>
    </row>
    <row r="1501" spans="1:9">
      <c r="A1501" t="str">
        <f>"0164282 "</f>
        <v xml:space="preserve">0164282 </v>
      </c>
      <c r="B1501" t="s">
        <v>4982</v>
      </c>
      <c r="C1501" t="str">
        <f>"01117FE"</f>
        <v>01117FE</v>
      </c>
      <c r="D1501" t="str">
        <f>"01117  FEBI - РљРѕРјРїР»РµРєС‚ РѕРїРѕСЂРё Р°РјРѕСЂС‚РёР·Р°С‚РѕСЂР°"</f>
        <v>01117  FEBI - РљРѕРјРїР»РµРєС‚ РѕРїРѕСЂРё Р°РјРѕСЂС‚РёР·Р°С‚РѕСЂР°</v>
      </c>
      <c r="E1501">
        <v>4</v>
      </c>
      <c r="F1501" t="s">
        <v>4990</v>
      </c>
      <c r="G1501" t="s">
        <v>4983</v>
      </c>
      <c r="H1501" t="str">
        <f>"01117"</f>
        <v>01117</v>
      </c>
      <c r="I1501" t="s">
        <v>4991</v>
      </c>
    </row>
    <row r="1502" spans="1:9">
      <c r="A1502" t="str">
        <f>"0164293 "</f>
        <v xml:space="preserve">0164293 </v>
      </c>
      <c r="B1502" t="s">
        <v>4982</v>
      </c>
      <c r="C1502" t="str">
        <f>"01138FE"</f>
        <v>01138FE</v>
      </c>
      <c r="D1502" t="str">
        <f>"01138  FEBI - РџРёР»СЊРѕРІРёРє РєРµСЂРјРѕРІРѕС— С‚СЏРіРё"</f>
        <v>01138  FEBI - РџРёР»СЊРѕРІРёРє РєРµСЂРјРѕРІРѕС— С‚СЏРіРё</v>
      </c>
      <c r="E1502">
        <v>2</v>
      </c>
      <c r="F1502" t="s">
        <v>4992</v>
      </c>
      <c r="G1502" t="s">
        <v>4983</v>
      </c>
      <c r="H1502" t="str">
        <f>"01138"</f>
        <v>01138</v>
      </c>
      <c r="I1502" t="s">
        <v>4993</v>
      </c>
    </row>
    <row r="1503" spans="1:9">
      <c r="A1503" t="str">
        <f>"0164306 "</f>
        <v xml:space="preserve">0164306 </v>
      </c>
      <c r="B1503" t="s">
        <v>4982</v>
      </c>
      <c r="C1503" t="str">
        <f>"01166FE"</f>
        <v>01166FE</v>
      </c>
      <c r="D1503" t="str">
        <f>"01166  FEBI - РЁС‚РѕРє РїРµСЂРµРјРёРєР°РЅРЅСЏ РїРµСЂРµРґР°С‡"</f>
        <v>01166  FEBI - РЁС‚РѕРє РїРµСЂРµРјРёРєР°РЅРЅСЏ РїРµСЂРµРґР°С‡</v>
      </c>
      <c r="E1503">
        <v>2</v>
      </c>
      <c r="F1503" s="3">
        <v>42552</v>
      </c>
      <c r="G1503" t="s">
        <v>4983</v>
      </c>
      <c r="H1503" t="str">
        <f>"01166"</f>
        <v>01166</v>
      </c>
      <c r="I1503" t="s">
        <v>4994</v>
      </c>
    </row>
    <row r="1504" spans="1:9">
      <c r="A1504" t="str">
        <f>"0164311 "</f>
        <v xml:space="preserve">0164311 </v>
      </c>
      <c r="B1504" t="s">
        <v>4982</v>
      </c>
      <c r="C1504" t="str">
        <f>"01172FE"</f>
        <v>01172FE</v>
      </c>
      <c r="D1504" t="str">
        <f>"01172  FEBI - РЎР°Р№Р»РµРЅС‚Р±Р»РѕРє Р±Р°Р»РєРё"</f>
        <v>01172  FEBI - РЎР°Р№Р»РµРЅС‚Р±Р»РѕРє Р±Р°Р»РєРё</v>
      </c>
      <c r="E1504">
        <v>4</v>
      </c>
      <c r="F1504" t="s">
        <v>4995</v>
      </c>
      <c r="G1504" t="s">
        <v>4983</v>
      </c>
      <c r="H1504" t="str">
        <f>"01172"</f>
        <v>01172</v>
      </c>
      <c r="I1504" t="s">
        <v>4996</v>
      </c>
    </row>
    <row r="1505" spans="1:9">
      <c r="A1505" t="str">
        <f>"0164326 "</f>
        <v xml:space="preserve">0164326 </v>
      </c>
      <c r="B1505" t="s">
        <v>4982</v>
      </c>
      <c r="C1505" t="str">
        <f>"01188FE"</f>
        <v>01188FE</v>
      </c>
      <c r="D1505" t="str">
        <f>"01188  FEBI - Р“Р°Р·РѕРІР° РїСЂСѓР¶РёРЅР°"</f>
        <v>01188  FEBI - Р“Р°Р·РѕРІР° РїСЂСѓР¶РёРЅР°</v>
      </c>
      <c r="E1505">
        <v>3</v>
      </c>
      <c r="F1505" t="s">
        <v>4997</v>
      </c>
      <c r="G1505" t="s">
        <v>4983</v>
      </c>
      <c r="H1505" t="str">
        <f>"01188"</f>
        <v>01188</v>
      </c>
      <c r="I1505" t="s">
        <v>4998</v>
      </c>
    </row>
    <row r="1506" spans="1:9">
      <c r="A1506" t="str">
        <f>"0164340 "</f>
        <v xml:space="preserve">0164340 </v>
      </c>
      <c r="B1506" t="s">
        <v>4982</v>
      </c>
      <c r="C1506" t="str">
        <f>"01213FE"</f>
        <v>01213FE</v>
      </c>
      <c r="D1506" t="str">
        <f>"01213  FEBI - РљСЂРёС€РєР° РјР°СЃР»РѕР·Р°Р»РёРІРЅРѕС— РіРѕСЂР»РѕРІРёРЅРё"</f>
        <v>01213  FEBI - РљСЂРёС€РєР° РјР°СЃР»РѕР·Р°Р»РёРІРЅРѕС— РіРѕСЂР»РѕРІРёРЅРё</v>
      </c>
      <c r="E1506">
        <v>1</v>
      </c>
      <c r="F1506" t="s">
        <v>4999</v>
      </c>
      <c r="G1506" t="s">
        <v>4983</v>
      </c>
      <c r="H1506" t="str">
        <f>"01213"</f>
        <v>01213</v>
      </c>
      <c r="I1506" t="s">
        <v>5000</v>
      </c>
    </row>
    <row r="1507" spans="1:9">
      <c r="A1507" t="str">
        <f>"0164342 "</f>
        <v xml:space="preserve">0164342 </v>
      </c>
      <c r="B1507" t="s">
        <v>4982</v>
      </c>
      <c r="C1507" t="str">
        <f>"01218FE"</f>
        <v>01218FE</v>
      </c>
      <c r="D1507" t="str">
        <f>"01218  FEBI - РџСЂРѕРєР»Р°РґРєР°"</f>
        <v>01218  FEBI - РџСЂРѕРєР»Р°РґРєР°</v>
      </c>
      <c r="E1507">
        <v>5</v>
      </c>
      <c r="F1507" s="3">
        <v>42552</v>
      </c>
      <c r="G1507" t="s">
        <v>4983</v>
      </c>
      <c r="H1507" t="str">
        <f>"01218"</f>
        <v>01218</v>
      </c>
      <c r="I1507" t="s">
        <v>5001</v>
      </c>
    </row>
    <row r="1508" spans="1:9">
      <c r="A1508" t="str">
        <f>"0164351 "</f>
        <v xml:space="preserve">0164351 </v>
      </c>
      <c r="B1508" t="s">
        <v>4982</v>
      </c>
      <c r="C1508" t="str">
        <f>"01238FE"</f>
        <v>01238FE</v>
      </c>
      <c r="D1508" t="str">
        <f>"01238  FEBI - РљСЂРѕРЅС€С‚РµР№РЅ РіР»СѓС€РЅРёРєР°"</f>
        <v>01238  FEBI - РљСЂРѕРЅС€С‚РµР№РЅ РіР»СѓС€РЅРёРєР°</v>
      </c>
      <c r="E1508">
        <v>2</v>
      </c>
      <c r="F1508" t="s">
        <v>62</v>
      </c>
      <c r="G1508" t="s">
        <v>4983</v>
      </c>
      <c r="H1508" t="str">
        <f>"01238"</f>
        <v>01238</v>
      </c>
      <c r="I1508" t="s">
        <v>5002</v>
      </c>
    </row>
    <row r="1509" spans="1:9">
      <c r="A1509" t="str">
        <f>"0164352 "</f>
        <v xml:space="preserve">0164352 </v>
      </c>
      <c r="B1509" t="s">
        <v>4982</v>
      </c>
      <c r="C1509" t="str">
        <f>"01239FE"</f>
        <v>01239FE</v>
      </c>
      <c r="D1509" t="str">
        <f>"01239  FEBI - РљСЂРѕРЅС€С‚РµР№РЅ РіР»СѓС€РЅРёРєР°"</f>
        <v>01239  FEBI - РљСЂРѕРЅС€С‚РµР№РЅ РіР»СѓС€РЅРёРєР°</v>
      </c>
      <c r="E1509">
        <v>2</v>
      </c>
      <c r="F1509" t="s">
        <v>5003</v>
      </c>
      <c r="G1509" t="s">
        <v>4983</v>
      </c>
      <c r="H1509" t="str">
        <f>"01239"</f>
        <v>01239</v>
      </c>
      <c r="I1509" t="s">
        <v>5004</v>
      </c>
    </row>
    <row r="1510" spans="1:9">
      <c r="A1510" t="str">
        <f>"0194048 "</f>
        <v xml:space="preserve">0194048 </v>
      </c>
      <c r="B1510" t="s">
        <v>4982</v>
      </c>
      <c r="C1510" t="str">
        <f>"01241FE"</f>
        <v>01241FE</v>
      </c>
      <c r="D1510" t="str">
        <f>"01241  FEBI - Р•Р»РµРјРµРЅС‚ РєСЂС–РїР»РµРЅРЅСЏ"</f>
        <v>01241  FEBI - Р•Р»РµРјРµРЅС‚ РєСЂС–РїР»РµРЅРЅСЏ</v>
      </c>
      <c r="E1510">
        <v>2</v>
      </c>
      <c r="F1510" s="3">
        <v>24532</v>
      </c>
      <c r="G1510" t="s">
        <v>4983</v>
      </c>
      <c r="H1510" t="str">
        <f>"01241"</f>
        <v>01241</v>
      </c>
      <c r="I1510" t="s">
        <v>5005</v>
      </c>
    </row>
    <row r="1511" spans="1:9">
      <c r="A1511" t="str">
        <f>"0194050 "</f>
        <v xml:space="preserve">0194050 </v>
      </c>
      <c r="B1511" t="s">
        <v>4982</v>
      </c>
      <c r="C1511" t="str">
        <f>"01243FE"</f>
        <v>01243FE</v>
      </c>
      <c r="D1511" t="str">
        <f>"01243  FEBI - Р•Р»РµРјРµРЅС‚ РєСЂС–РїР»РµРЅРЅСЏ"</f>
        <v>01243  FEBI - Р•Р»РµРјРµРЅС‚ РєСЂС–РїР»РµРЅРЅСЏ</v>
      </c>
      <c r="E1511">
        <v>2</v>
      </c>
      <c r="F1511" s="1">
        <v>42770</v>
      </c>
      <c r="G1511" t="s">
        <v>4983</v>
      </c>
      <c r="H1511" t="str">
        <f>"01243"</f>
        <v>01243</v>
      </c>
      <c r="I1511" t="s">
        <v>5005</v>
      </c>
    </row>
    <row r="1512" spans="1:9">
      <c r="A1512" t="str">
        <f>"0164362 "</f>
        <v xml:space="preserve">0164362 </v>
      </c>
      <c r="B1512" t="s">
        <v>4982</v>
      </c>
      <c r="C1512" t="str">
        <f>"01261FE"</f>
        <v>01261FE</v>
      </c>
      <c r="D1512" t="str">
        <f>"01261  FEBI - РђРјРѕСЂС‚РёР·Р°С‚РѕСЂ СЃРёСЃС‚РµРјРё РєРµСЂРјСѓРІР°РЅРЅСЏ"</f>
        <v>01261  FEBI - РђРјРѕСЂС‚РёР·Р°С‚РѕСЂ СЃРёСЃС‚РµРјРё РєРµСЂРјСѓРІР°РЅРЅСЏ</v>
      </c>
      <c r="E1512" t="s">
        <v>16</v>
      </c>
      <c r="F1512" t="s">
        <v>5006</v>
      </c>
      <c r="G1512" t="s">
        <v>4983</v>
      </c>
      <c r="H1512" t="str">
        <f>"01261"</f>
        <v>01261</v>
      </c>
      <c r="I1512" t="s">
        <v>5007</v>
      </c>
    </row>
    <row r="1513" spans="1:9">
      <c r="A1513" t="str">
        <f>"0164372 "</f>
        <v xml:space="preserve">0164372 </v>
      </c>
      <c r="B1513" t="s">
        <v>4982</v>
      </c>
      <c r="C1513" t="str">
        <f>"01286FE"</f>
        <v>01286FE</v>
      </c>
      <c r="D1513" t="str">
        <f>"01286  FEBI - РќР°СЃРѕСЃ РѕС…РѕР»РѕРґР¶СѓСЋС‡РѕС— СЂС–РґРёРЅРё"</f>
        <v>01286  FEBI - РќР°СЃРѕСЃ РѕС…РѕР»РѕРґР¶СѓСЋС‡РѕС— СЂС–РґРёРЅРё</v>
      </c>
      <c r="E1513">
        <v>2</v>
      </c>
      <c r="F1513" t="s">
        <v>5008</v>
      </c>
      <c r="G1513" t="s">
        <v>4983</v>
      </c>
      <c r="H1513" t="str">
        <f>"01286"</f>
        <v>01286</v>
      </c>
      <c r="I1513" t="s">
        <v>5009</v>
      </c>
    </row>
    <row r="1514" spans="1:9">
      <c r="A1514" t="str">
        <f>"0164384 "</f>
        <v xml:space="preserve">0164384 </v>
      </c>
      <c r="B1514" t="s">
        <v>4982</v>
      </c>
      <c r="C1514" t="str">
        <f>"01303FE"</f>
        <v>01303FE</v>
      </c>
      <c r="D1514" t="str">
        <f>"01303  FEBI - РЎР°Р№Р»РµРЅС‚Р±Р»РѕРє"</f>
        <v>01303  FEBI - РЎР°Р№Р»РµРЅС‚Р±Р»РѕРє</v>
      </c>
      <c r="E1514">
        <v>2</v>
      </c>
      <c r="F1514" t="s">
        <v>5010</v>
      </c>
      <c r="G1514" t="s">
        <v>4983</v>
      </c>
      <c r="H1514" t="str">
        <f>"01303"</f>
        <v>01303</v>
      </c>
      <c r="I1514" t="s">
        <v>5011</v>
      </c>
    </row>
    <row r="1515" spans="1:9">
      <c r="A1515" t="str">
        <f>"0164386 "</f>
        <v xml:space="preserve">0164386 </v>
      </c>
      <c r="B1515" t="s">
        <v>4982</v>
      </c>
      <c r="C1515" t="str">
        <f>"01305FE"</f>
        <v>01305FE</v>
      </c>
      <c r="D1515" t="str">
        <f>"01305  FEBI - РЎР°Р№Р»РµРЅС‚Р±Р»РѕРє"</f>
        <v>01305  FEBI - РЎР°Р№Р»РµРЅС‚Р±Р»РѕРє</v>
      </c>
      <c r="E1515">
        <v>4</v>
      </c>
      <c r="F1515" t="s">
        <v>5012</v>
      </c>
      <c r="G1515" t="s">
        <v>4983</v>
      </c>
      <c r="H1515" t="str">
        <f>"01305"</f>
        <v>01305</v>
      </c>
      <c r="I1515" t="s">
        <v>5013</v>
      </c>
    </row>
    <row r="1516" spans="1:9">
      <c r="A1516" t="str">
        <f>"0164393 "</f>
        <v xml:space="preserve">0164393 </v>
      </c>
      <c r="B1516" t="s">
        <v>4982</v>
      </c>
      <c r="C1516" t="str">
        <f>"01312FE"</f>
        <v>01312FE</v>
      </c>
      <c r="D1516" t="str">
        <f>"01312  FEBI - РЎР°Р№Р»РµРЅС‚Р±Р»РѕРє"</f>
        <v>01312  FEBI - РЎР°Р№Р»РµРЅС‚Р±Р»РѕРє</v>
      </c>
      <c r="E1516">
        <v>2</v>
      </c>
      <c r="F1516" t="s">
        <v>5014</v>
      </c>
      <c r="G1516" t="s">
        <v>4983</v>
      </c>
      <c r="H1516" t="str">
        <f>"01312"</f>
        <v>01312</v>
      </c>
      <c r="I1516" t="s">
        <v>5015</v>
      </c>
    </row>
    <row r="1517" spans="1:9">
      <c r="A1517" t="str">
        <f>"0164406 "</f>
        <v xml:space="preserve">0164406 </v>
      </c>
      <c r="B1517" t="s">
        <v>4982</v>
      </c>
      <c r="C1517" t="str">
        <f>"01365FE"</f>
        <v>01365FE</v>
      </c>
      <c r="D1517" t="str">
        <f>"01365  FEBI - РџС–РґС€РёРїРЅРёРє РѕРїРѕСЂРё СЃС‚С–Р№РєРё Р°РјРѕСЂС‚РёР·Р°С‚РѕСЂР°"</f>
        <v>01365  FEBI - РџС–РґС€РёРїРЅРёРє РѕРїРѕСЂРё СЃС‚С–Р№РєРё Р°РјРѕСЂС‚РёР·Р°С‚РѕСЂР°</v>
      </c>
      <c r="E1517">
        <v>2</v>
      </c>
      <c r="F1517" t="s">
        <v>5016</v>
      </c>
      <c r="G1517" t="s">
        <v>4983</v>
      </c>
      <c r="H1517" t="str">
        <f>"01365"</f>
        <v>01365</v>
      </c>
      <c r="I1517" t="s">
        <v>5017</v>
      </c>
    </row>
    <row r="1518" spans="1:9">
      <c r="A1518" t="str">
        <f>"0164408 "</f>
        <v xml:space="preserve">0164408 </v>
      </c>
      <c r="B1518" t="s">
        <v>4982</v>
      </c>
      <c r="C1518" t="str">
        <f>"01367FE"</f>
        <v>01367FE</v>
      </c>
      <c r="D1518" t="str">
        <f>"01367  FEBI - РџРёР»СЊРѕРІРёРє Р°РјРѕСЂС‚РёР·Р°С‚РѕСЂР°"</f>
        <v>01367  FEBI - РџРёР»СЊРѕРІРёРє Р°РјРѕСЂС‚РёР·Р°С‚РѕСЂР°</v>
      </c>
      <c r="E1518">
        <v>1</v>
      </c>
      <c r="F1518" t="s">
        <v>5018</v>
      </c>
      <c r="G1518" t="s">
        <v>4983</v>
      </c>
      <c r="H1518" t="str">
        <f>"01367"</f>
        <v>01367</v>
      </c>
      <c r="I1518" t="s">
        <v>5019</v>
      </c>
    </row>
    <row r="1519" spans="1:9">
      <c r="A1519" t="str">
        <f>"0164414 "</f>
        <v xml:space="preserve">0164414 </v>
      </c>
      <c r="B1519" t="s">
        <v>4982</v>
      </c>
      <c r="C1519" t="str">
        <f>"01384FE"</f>
        <v>01384FE</v>
      </c>
      <c r="D1519" t="str">
        <f>"01384  FEBI - Р РµРіСѓР»СЏС‚РѕСЂ Р·С‡РµРїР»РµРЅРЅСЏ"</f>
        <v>01384  FEBI - Р РµРіСѓР»СЏС‚РѕСЂ Р·С‡РµРїР»РµРЅРЅСЏ</v>
      </c>
      <c r="E1519">
        <v>2</v>
      </c>
      <c r="F1519" t="s">
        <v>5020</v>
      </c>
      <c r="G1519" t="s">
        <v>4983</v>
      </c>
      <c r="H1519" t="str">
        <f>"01384"</f>
        <v>01384</v>
      </c>
      <c r="I1519" t="s">
        <v>5021</v>
      </c>
    </row>
    <row r="1520" spans="1:9">
      <c r="A1520" t="str">
        <f>"0164415 "</f>
        <v xml:space="preserve">0164415 </v>
      </c>
      <c r="B1520" t="s">
        <v>4982</v>
      </c>
      <c r="C1520" t="str">
        <f>"01385FE"</f>
        <v>01385FE</v>
      </c>
      <c r="D1520" t="str">
        <f>"01385  FEBI - Р РµРіСѓР»СЏС‚РѕСЂ Р·С‡РµРїР»РµРЅРЅСЏ"</f>
        <v>01385  FEBI - Р РµРіСѓР»СЏС‚РѕСЂ Р·С‡РµРїР»РµРЅРЅСЏ</v>
      </c>
      <c r="E1520">
        <v>1</v>
      </c>
      <c r="F1520" t="s">
        <v>5022</v>
      </c>
      <c r="G1520" t="s">
        <v>4983</v>
      </c>
      <c r="H1520" t="str">
        <f>"01385"</f>
        <v>01385</v>
      </c>
      <c r="I1520" t="s">
        <v>5023</v>
      </c>
    </row>
    <row r="1521" spans="1:9">
      <c r="A1521" t="str">
        <f>"0164416 "</f>
        <v xml:space="preserve">0164416 </v>
      </c>
      <c r="B1521" t="s">
        <v>4982</v>
      </c>
      <c r="C1521" t="str">
        <f>"01386FE"</f>
        <v>01386FE</v>
      </c>
      <c r="D1521" t="str">
        <f>"01386  FEBI - Р РµРіСѓР»СЏС‚РѕСЂ Р·С‡РµРїР»РµРЅРЅСЏ"</f>
        <v>01386  FEBI - Р РµРіСѓР»СЏС‚РѕСЂ Р·С‡РµРїР»РµРЅРЅСЏ</v>
      </c>
      <c r="E1521">
        <v>2</v>
      </c>
      <c r="F1521" t="s">
        <v>5024</v>
      </c>
      <c r="G1521" t="s">
        <v>4983</v>
      </c>
      <c r="H1521" t="str">
        <f>"01386"</f>
        <v>01386</v>
      </c>
      <c r="I1521" t="s">
        <v>5025</v>
      </c>
    </row>
    <row r="1522" spans="1:9">
      <c r="A1522" t="str">
        <f>"0164417 "</f>
        <v xml:space="preserve">0164417 </v>
      </c>
      <c r="B1522" t="s">
        <v>4982</v>
      </c>
      <c r="C1522" t="str">
        <f>"01387FE"</f>
        <v>01387FE</v>
      </c>
      <c r="D1522" t="str">
        <f>"01387  FEBI - Р РµРіСѓР»СЏС‚РѕСЂ Р·С‡РµРїР»РµРЅРЅСЏ"</f>
        <v>01387  FEBI - Р РµРіСѓР»СЏС‚РѕСЂ Р·С‡РµРїР»РµРЅРЅСЏ</v>
      </c>
      <c r="E1522">
        <v>1</v>
      </c>
      <c r="F1522" t="s">
        <v>5026</v>
      </c>
      <c r="G1522" t="s">
        <v>4983</v>
      </c>
      <c r="H1522" t="str">
        <f>"01387"</f>
        <v>01387</v>
      </c>
      <c r="I1522" t="s">
        <v>5027</v>
      </c>
    </row>
    <row r="1523" spans="1:9">
      <c r="A1523" t="str">
        <f>"0164418 "</f>
        <v xml:space="preserve">0164418 </v>
      </c>
      <c r="B1523" t="s">
        <v>4982</v>
      </c>
      <c r="C1523" t="str">
        <f>"01388FE"</f>
        <v>01388FE</v>
      </c>
      <c r="D1523" t="str">
        <f>"01388  FEBI - Р РµРіСѓР»СЏС‚РѕСЂ Р·С‡РµРїР»РµРЅРЅСЏ"</f>
        <v>01388  FEBI - Р РµРіСѓР»СЏС‚РѕСЂ Р·С‡РµРїР»РµРЅРЅСЏ</v>
      </c>
      <c r="E1523">
        <v>4</v>
      </c>
      <c r="F1523" t="s">
        <v>2661</v>
      </c>
      <c r="G1523" t="s">
        <v>4983</v>
      </c>
      <c r="H1523" t="str">
        <f>"01388"</f>
        <v>01388</v>
      </c>
      <c r="I1523" t="s">
        <v>5028</v>
      </c>
    </row>
    <row r="1524" spans="1:9">
      <c r="A1524" t="str">
        <f>"0164432 "</f>
        <v xml:space="preserve">0164432 </v>
      </c>
      <c r="B1524" t="s">
        <v>4982</v>
      </c>
      <c r="C1524" t="str">
        <f>"01433FE"</f>
        <v>01433FE</v>
      </c>
      <c r="D1524" t="str">
        <f>"01433  FEBI - РљСѓР»СЊРѕРІР° РѕРїРѕСЂР°"</f>
        <v>01433  FEBI - РљСѓР»СЊРѕРІР° РѕРїРѕСЂР°</v>
      </c>
      <c r="E1524">
        <v>4</v>
      </c>
      <c r="F1524" t="s">
        <v>5029</v>
      </c>
      <c r="G1524" t="s">
        <v>4983</v>
      </c>
      <c r="H1524" t="str">
        <f>"01433"</f>
        <v>01433</v>
      </c>
      <c r="I1524" t="s">
        <v>5030</v>
      </c>
    </row>
    <row r="1525" spans="1:9">
      <c r="A1525" t="str">
        <f>"0164433 "</f>
        <v xml:space="preserve">0164433 </v>
      </c>
      <c r="B1525" t="s">
        <v>4982</v>
      </c>
      <c r="C1525" t="str">
        <f>"01438FE"</f>
        <v>01438FE</v>
      </c>
      <c r="D1525" t="str">
        <f>"01438  FEBI - РџРёР»СЊРѕРІРёРє РїСЂРёРІС–РґРЅРѕРіРѕ РІР°Р»Р°"</f>
        <v>01438  FEBI - РџРёР»СЊРѕРІРёРє РїСЂРёРІС–РґРЅРѕРіРѕ РІР°Р»Р°</v>
      </c>
      <c r="E1525">
        <v>3</v>
      </c>
      <c r="F1525" t="s">
        <v>5031</v>
      </c>
      <c r="G1525" t="s">
        <v>4983</v>
      </c>
      <c r="H1525" t="str">
        <f>"01438"</f>
        <v>01438</v>
      </c>
      <c r="I1525" t="s">
        <v>5032</v>
      </c>
    </row>
    <row r="1526" spans="1:9">
      <c r="A1526" t="str">
        <f>"0164439 "</f>
        <v xml:space="preserve">0164439 </v>
      </c>
      <c r="B1526" t="s">
        <v>4982</v>
      </c>
      <c r="C1526" t="str">
        <f>"01471FE"</f>
        <v>01471FE</v>
      </c>
      <c r="D1526" t="str">
        <f>"01471  FEBI - Р‘РѕР»С‚ РєРѕР»С–СЃРЅРёР№"</f>
        <v>01471  FEBI - Р‘РѕР»С‚ РєРѕР»С–СЃРЅРёР№</v>
      </c>
      <c r="E1526">
        <v>5</v>
      </c>
      <c r="F1526" t="s">
        <v>5033</v>
      </c>
      <c r="G1526" t="s">
        <v>4983</v>
      </c>
      <c r="H1526" t="str">
        <f>"01471"</f>
        <v>01471</v>
      </c>
      <c r="I1526" t="s">
        <v>5034</v>
      </c>
    </row>
    <row r="1527" spans="1:9">
      <c r="A1527" t="str">
        <f>"0164446 "</f>
        <v xml:space="preserve">0164446 </v>
      </c>
      <c r="B1527" t="s">
        <v>4982</v>
      </c>
      <c r="C1527" t="str">
        <f>"01498FE"</f>
        <v>01498FE</v>
      </c>
      <c r="D1527" t="str">
        <f>"01498  FEBI - Р”Р°С‚С‡РёРє Р·РЅРѕСЃСѓ РіР°Р»СЊРјС–РІРЅРёС… РєРѕР»РѕРґРѕРє"</f>
        <v>01498  FEBI - Р”Р°С‚С‡РёРє Р·РЅРѕСЃСѓ РіР°Р»СЊРјС–РІРЅРёС… РєРѕР»РѕРґРѕРє</v>
      </c>
      <c r="E1527">
        <v>4</v>
      </c>
      <c r="F1527" t="s">
        <v>5035</v>
      </c>
      <c r="G1527" t="s">
        <v>4983</v>
      </c>
      <c r="H1527" t="str">
        <f>"01498"</f>
        <v>01498</v>
      </c>
      <c r="I1527" t="s">
        <v>5036</v>
      </c>
    </row>
    <row r="1528" spans="1:9">
      <c r="A1528" t="str">
        <f>"0164449 "</f>
        <v xml:space="preserve">0164449 </v>
      </c>
      <c r="B1528" t="s">
        <v>4982</v>
      </c>
      <c r="C1528" t="str">
        <f>"01505FE"</f>
        <v>01505FE</v>
      </c>
      <c r="D1528" t="str">
        <f>"01505  FEBI - Р’С‚СѓР»РєР° СЂРµСЃРѕСЂРё"</f>
        <v>01505  FEBI - Р’С‚СѓР»РєР° СЂРµСЃРѕСЂРё</v>
      </c>
      <c r="E1528">
        <v>4</v>
      </c>
      <c r="F1528" t="s">
        <v>5037</v>
      </c>
      <c r="G1528" t="s">
        <v>4983</v>
      </c>
      <c r="H1528" t="str">
        <f>"01505"</f>
        <v>01505</v>
      </c>
      <c r="I1528" t="s">
        <v>5038</v>
      </c>
    </row>
    <row r="1529" spans="1:9">
      <c r="A1529" t="str">
        <f>"0164462 "</f>
        <v xml:space="preserve">0164462 </v>
      </c>
      <c r="B1529" t="s">
        <v>4982</v>
      </c>
      <c r="C1529" t="str">
        <f>"01519FE"</f>
        <v>01519FE</v>
      </c>
      <c r="D1529" t="str">
        <f>"01519  FEBI - РЎР°Р»СЊРЅРёРє"</f>
        <v>01519  FEBI - РЎР°Р»СЊРЅРёРє</v>
      </c>
      <c r="E1529">
        <v>2</v>
      </c>
      <c r="F1529" t="s">
        <v>5039</v>
      </c>
      <c r="G1529" t="s">
        <v>4983</v>
      </c>
      <c r="H1529" t="str">
        <f>"01519"</f>
        <v>01519</v>
      </c>
      <c r="I1529" t="s">
        <v>5040</v>
      </c>
    </row>
    <row r="1530" spans="1:9">
      <c r="A1530" t="str">
        <f>"0164483 "</f>
        <v xml:space="preserve">0164483 </v>
      </c>
      <c r="B1530" t="s">
        <v>4982</v>
      </c>
      <c r="C1530" t="str">
        <f>"01569FE"</f>
        <v>01569FE</v>
      </c>
      <c r="D1530" t="str">
        <f>"01569  FEBI - Р”Р°С‚С‡РёРє СЂС–РІРЅСЏ РѕС…РѕР»РѕРґР¶СѓСЋС‡РѕС— СЂС–РґРёРЅРё"</f>
        <v>01569  FEBI - Р”Р°С‚С‡РёРє СЂС–РІРЅСЏ РѕС…РѕР»РѕРґР¶СѓСЋС‡РѕС— СЂС–РґРёРЅРё</v>
      </c>
      <c r="E1530">
        <v>1</v>
      </c>
      <c r="F1530" t="s">
        <v>5041</v>
      </c>
      <c r="G1530" t="s">
        <v>4983</v>
      </c>
      <c r="H1530" t="str">
        <f>"01569"</f>
        <v>01569</v>
      </c>
      <c r="I1530" t="s">
        <v>5042</v>
      </c>
    </row>
    <row r="1531" spans="1:9">
      <c r="A1531" t="str">
        <f>"0196027 "</f>
        <v xml:space="preserve">0196027 </v>
      </c>
      <c r="B1531" t="s">
        <v>4982</v>
      </c>
      <c r="C1531" t="str">
        <f>"01656FE"</f>
        <v>01656FE</v>
      </c>
      <c r="D1531" t="str">
        <f>"01656  FEBI - РЁР°Р№Р±Р° РїСЂСѓР¶РёРЅРЅР°"</f>
        <v>01656  FEBI - РЁР°Р№Р±Р° РїСЂСѓР¶РёРЅРЅР°</v>
      </c>
      <c r="E1531" t="s">
        <v>16</v>
      </c>
      <c r="F1531" s="3">
        <v>19815</v>
      </c>
      <c r="G1531" t="s">
        <v>4983</v>
      </c>
      <c r="H1531" t="str">
        <f>"01656"</f>
        <v>01656</v>
      </c>
      <c r="I1531" t="s">
        <v>5043</v>
      </c>
    </row>
    <row r="1532" spans="1:9">
      <c r="A1532" t="str">
        <f>"0164536 "</f>
        <v xml:space="preserve">0164536 </v>
      </c>
      <c r="B1532" t="s">
        <v>4982</v>
      </c>
      <c r="C1532" t="str">
        <f>"01673FE"</f>
        <v>01673FE</v>
      </c>
      <c r="D1532" t="str">
        <f>"01673  FEBI - Р’С‚СѓР»РєР° СЃС‚Р°Р±С–Р»С–Р·Р°С‚РѕСЂР°"</f>
        <v>01673  FEBI - Р’С‚СѓР»РєР° СЃС‚Р°Р±С–Р»С–Р·Р°С‚РѕСЂР°</v>
      </c>
      <c r="E1532">
        <v>4</v>
      </c>
      <c r="F1532" t="s">
        <v>5044</v>
      </c>
      <c r="G1532" t="s">
        <v>4983</v>
      </c>
      <c r="H1532" t="str">
        <f>"01673"</f>
        <v>01673</v>
      </c>
      <c r="I1532" t="s">
        <v>5045</v>
      </c>
    </row>
    <row r="1533" spans="1:9">
      <c r="A1533" t="str">
        <f>"0164537 "</f>
        <v xml:space="preserve">0164537 </v>
      </c>
      <c r="B1533" t="s">
        <v>4982</v>
      </c>
      <c r="C1533" t="str">
        <f>"01674FE"</f>
        <v>01674FE</v>
      </c>
      <c r="D1533" t="str">
        <f>"01674  FEBI - Р’С‚СѓР»РєР° СЃС‚Р°Р±С–Р»С–Р·Р°С‚РѕСЂР°"</f>
        <v>01674  FEBI - Р’С‚СѓР»РєР° СЃС‚Р°Р±С–Р»С–Р·Р°С‚РѕСЂР°</v>
      </c>
      <c r="E1533">
        <v>4</v>
      </c>
      <c r="F1533" t="s">
        <v>5046</v>
      </c>
      <c r="G1533" t="s">
        <v>4983</v>
      </c>
      <c r="H1533" t="str">
        <f>"01674"</f>
        <v>01674</v>
      </c>
      <c r="I1533" t="s">
        <v>5047</v>
      </c>
    </row>
    <row r="1534" spans="1:9">
      <c r="A1534" t="str">
        <f>"0164548 "</f>
        <v xml:space="preserve">0164548 </v>
      </c>
      <c r="B1534" t="s">
        <v>4982</v>
      </c>
      <c r="C1534" t="str">
        <f>"01706FE"</f>
        <v>01706FE</v>
      </c>
      <c r="D1534" t="str">
        <f>"01706  FEBI - Р’С‚СѓР»РєР° СЃС‚Р°Р±С–Р»С–Р·Р°С‚РѕСЂР°"</f>
        <v>01706  FEBI - Р’С‚СѓР»РєР° СЃС‚Р°Р±С–Р»С–Р·Р°С‚РѕСЂР°</v>
      </c>
      <c r="E1534">
        <v>4</v>
      </c>
      <c r="F1534" t="s">
        <v>5048</v>
      </c>
      <c r="G1534" t="s">
        <v>4983</v>
      </c>
      <c r="H1534" t="str">
        <f>"01706"</f>
        <v>01706</v>
      </c>
      <c r="I1534" t="s">
        <v>5049</v>
      </c>
    </row>
    <row r="1535" spans="1:9">
      <c r="A1535" t="str">
        <f>"0164596 "</f>
        <v xml:space="preserve">0164596 </v>
      </c>
      <c r="B1535" t="s">
        <v>4982</v>
      </c>
      <c r="C1535" t="str">
        <f>"01796FE"</f>
        <v>01796FE</v>
      </c>
      <c r="D1535" t="str">
        <f>"01796  FEBI - РџС–РґС€РёРїРЅРёРє РѕРїРѕСЂРё РєР°СЂРґР°РЅРЅРѕРіРѕ РІР°Р»Р°"</f>
        <v>01796  FEBI - РџС–РґС€РёРїРЅРёРє РѕРїРѕСЂРё РєР°СЂРґР°РЅРЅРѕРіРѕ РІР°Р»Р°</v>
      </c>
      <c r="E1535">
        <v>3</v>
      </c>
      <c r="F1535" t="s">
        <v>5050</v>
      </c>
      <c r="G1535" t="s">
        <v>4983</v>
      </c>
      <c r="H1535" t="str">
        <f>"01796"</f>
        <v>01796</v>
      </c>
      <c r="I1535" t="s">
        <v>5051</v>
      </c>
    </row>
    <row r="1536" spans="1:9">
      <c r="A1536" t="str">
        <f>"0164601 "</f>
        <v xml:space="preserve">0164601 </v>
      </c>
      <c r="B1536" t="s">
        <v>4982</v>
      </c>
      <c r="C1536" t="str">
        <f>"01805FE"</f>
        <v>01805FE</v>
      </c>
      <c r="D1536" t="str">
        <f>"01805  FEBI - Р”Р°С‚С‡РёРє С‚РµРјРїРµСЂР°С‚СѓСЂРё"</f>
        <v>01805  FEBI - Р”Р°С‚С‡РёРє С‚РµРјРїРµСЂР°С‚СѓСЂРё</v>
      </c>
      <c r="E1536">
        <v>1</v>
      </c>
      <c r="F1536" t="s">
        <v>2674</v>
      </c>
      <c r="G1536" t="s">
        <v>4983</v>
      </c>
      <c r="H1536" t="str">
        <f>"01805"</f>
        <v>01805</v>
      </c>
      <c r="I1536" t="s">
        <v>5052</v>
      </c>
    </row>
    <row r="1537" spans="1:9">
      <c r="A1537" t="str">
        <f>"0164610 "</f>
        <v xml:space="preserve">0164610 </v>
      </c>
      <c r="B1537" t="s">
        <v>4982</v>
      </c>
      <c r="C1537" t="str">
        <f>"01828FE"</f>
        <v>01828FE</v>
      </c>
      <c r="D1537" t="str">
        <f>"01828  FEBI - Р’С–РґР±С–Р№РЅРёРє Р°РјРѕСЂС‚РёР·Р°С‚РѕСЂР°"</f>
        <v>01828  FEBI - Р’С–РґР±С–Р№РЅРёРє Р°РјРѕСЂС‚РёР·Р°С‚РѕСЂР°</v>
      </c>
      <c r="E1537">
        <v>4</v>
      </c>
      <c r="F1537" t="s">
        <v>5053</v>
      </c>
      <c r="G1537" t="s">
        <v>4983</v>
      </c>
      <c r="H1537" t="str">
        <f>"01828"</f>
        <v>01828</v>
      </c>
      <c r="I1537" t="s">
        <v>5054</v>
      </c>
    </row>
    <row r="1538" spans="1:9">
      <c r="A1538" t="str">
        <f>"0164613 "</f>
        <v xml:space="preserve">0164613 </v>
      </c>
      <c r="B1538" t="s">
        <v>4982</v>
      </c>
      <c r="C1538" t="str">
        <f>"01837FE"</f>
        <v>01837FE</v>
      </c>
      <c r="D1538" t="str">
        <f>"01837  FEBI - РЎР°Р№Р»РµРЅС‚Р±Р»РѕРє"</f>
        <v>01837  FEBI - РЎР°Р№Р»РµРЅС‚Р±Р»РѕРє</v>
      </c>
      <c r="E1538" t="s">
        <v>16</v>
      </c>
      <c r="F1538" t="s">
        <v>5055</v>
      </c>
      <c r="G1538" t="s">
        <v>4983</v>
      </c>
      <c r="H1538" t="str">
        <f>"01837"</f>
        <v>01837</v>
      </c>
      <c r="I1538" t="s">
        <v>5056</v>
      </c>
    </row>
    <row r="1539" spans="1:9">
      <c r="A1539" t="str">
        <f>"0164614 "</f>
        <v xml:space="preserve">0164614 </v>
      </c>
      <c r="B1539" t="s">
        <v>4982</v>
      </c>
      <c r="C1539" t="str">
        <f>"01838FE"</f>
        <v>01838FE</v>
      </c>
      <c r="D1539" t="str">
        <f>"01838  FEBI - РЎР°Р№Р»РµРЅС‚Р±Р»РѕРє"</f>
        <v>01838  FEBI - РЎР°Р№Р»РµРЅС‚Р±Р»РѕРє</v>
      </c>
      <c r="E1539" t="s">
        <v>16</v>
      </c>
      <c r="F1539" t="s">
        <v>5057</v>
      </c>
      <c r="G1539" t="s">
        <v>4983</v>
      </c>
      <c r="H1539" t="str">
        <f>"01838"</f>
        <v>01838</v>
      </c>
      <c r="I1539" t="s">
        <v>5058</v>
      </c>
    </row>
    <row r="1540" spans="1:9">
      <c r="A1540" t="str">
        <f>"0164624 "</f>
        <v xml:space="preserve">0164624 </v>
      </c>
      <c r="B1540" t="s">
        <v>4982</v>
      </c>
      <c r="C1540" t="str">
        <f>"01854FE"</f>
        <v>01854FE</v>
      </c>
      <c r="D1540" t="str">
        <f>"01854  FEBI - РќР°РєС–РЅРµС‡РЅРёРє РєРµСЂРјРѕРІРѕС— С‚СЏРіРё"</f>
        <v>01854  FEBI - РќР°РєС–РЅРµС‡РЅРёРє РєРµСЂРјРѕРІРѕС— С‚СЏРіРё</v>
      </c>
      <c r="E1540">
        <v>1</v>
      </c>
      <c r="F1540" t="s">
        <v>176</v>
      </c>
      <c r="G1540" t="s">
        <v>4983</v>
      </c>
      <c r="H1540" t="str">
        <f>"01854"</f>
        <v>01854</v>
      </c>
      <c r="I1540" t="s">
        <v>5059</v>
      </c>
    </row>
    <row r="1541" spans="1:9">
      <c r="A1541" t="str">
        <f>"0164625 "</f>
        <v xml:space="preserve">0164625 </v>
      </c>
      <c r="B1541" t="s">
        <v>4982</v>
      </c>
      <c r="C1541" t="str">
        <f>"01855FE"</f>
        <v>01855FE</v>
      </c>
      <c r="D1541" t="str">
        <f>"01855  FEBI - РќР°РєС–РЅРµС‡РЅРёРє РєРµСЂРјРѕРІРѕС— С‚СЏРіРё"</f>
        <v>01855  FEBI - РќР°РєС–РЅРµС‡РЅРёРє РєРµСЂРјРѕРІРѕС— С‚СЏРіРё</v>
      </c>
      <c r="E1541">
        <v>1</v>
      </c>
      <c r="F1541" t="s">
        <v>2276</v>
      </c>
      <c r="G1541" t="s">
        <v>4983</v>
      </c>
      <c r="H1541" t="str">
        <f>"01855"</f>
        <v>01855</v>
      </c>
      <c r="I1541" t="s">
        <v>5060</v>
      </c>
    </row>
    <row r="1542" spans="1:9">
      <c r="A1542" t="str">
        <f>"0164626 "</f>
        <v xml:space="preserve">0164626 </v>
      </c>
      <c r="B1542" t="s">
        <v>4982</v>
      </c>
      <c r="C1542" t="str">
        <f>"01857FE"</f>
        <v>01857FE</v>
      </c>
      <c r="D1542" t="str">
        <f>"01857  FEBI - РћРїРѕСЂР° РєР°СЂРґР°РЅРЅРѕРіРѕ РІР°Р»Р°"</f>
        <v>01857  FEBI - РћРїРѕСЂР° РєР°СЂРґР°РЅРЅРѕРіРѕ РІР°Р»Р°</v>
      </c>
      <c r="E1542">
        <v>1</v>
      </c>
      <c r="F1542" t="s">
        <v>3759</v>
      </c>
      <c r="G1542" t="s">
        <v>4983</v>
      </c>
      <c r="H1542" t="str">
        <f>"01857"</f>
        <v>01857</v>
      </c>
      <c r="I1542" t="s">
        <v>5061</v>
      </c>
    </row>
    <row r="1543" spans="1:9">
      <c r="A1543" t="str">
        <f>"0164627 "</f>
        <v xml:space="preserve">0164627 </v>
      </c>
      <c r="B1543" t="s">
        <v>4982</v>
      </c>
      <c r="C1543" t="str">
        <f>"01860FE"</f>
        <v>01860FE</v>
      </c>
      <c r="D1543" t="str">
        <f>"01860  FEBI - РЎР°Р№Р»РµРЅС‚Р±Р»РѕРє"</f>
        <v>01860  FEBI - РЎР°Р№Р»РµРЅС‚Р±Р»РѕРє</v>
      </c>
      <c r="E1543">
        <v>4</v>
      </c>
      <c r="F1543" t="s">
        <v>5062</v>
      </c>
      <c r="G1543" t="s">
        <v>4983</v>
      </c>
      <c r="H1543" t="str">
        <f>"01860"</f>
        <v>01860</v>
      </c>
      <c r="I1543" t="s">
        <v>5063</v>
      </c>
    </row>
    <row r="1544" spans="1:9">
      <c r="A1544" t="str">
        <f>"0164633 "</f>
        <v xml:space="preserve">0164633 </v>
      </c>
      <c r="B1544" t="s">
        <v>4982</v>
      </c>
      <c r="C1544" t="str">
        <f>"01874FE"</f>
        <v>01874FE</v>
      </c>
      <c r="D1544" t="str">
        <f>"01874  FEBI - РџС–РґС€РёРїРЅРёРє РѕРїРѕСЂРё СЃС‚С–Р№РєРё Р°РјРѕСЂС‚РёР·Р°С‚РѕСЂР°"</f>
        <v>01874  FEBI - РџС–РґС€РёРїРЅРёРє РѕРїРѕСЂРё СЃС‚С–Р№РєРё Р°РјРѕСЂС‚РёР·Р°С‚РѕСЂР°</v>
      </c>
      <c r="E1544">
        <v>1</v>
      </c>
      <c r="F1544" t="s">
        <v>5003</v>
      </c>
      <c r="G1544" t="s">
        <v>4983</v>
      </c>
      <c r="H1544" t="str">
        <f>"01874"</f>
        <v>01874</v>
      </c>
      <c r="I1544" t="s">
        <v>5064</v>
      </c>
    </row>
    <row r="1545" spans="1:9">
      <c r="A1545" t="str">
        <f>"0164635 "</f>
        <v xml:space="preserve">0164635 </v>
      </c>
      <c r="B1545" t="s">
        <v>4982</v>
      </c>
      <c r="C1545" t="str">
        <f>"01876FE"</f>
        <v>01876FE</v>
      </c>
      <c r="D1545" t="str">
        <f>"01876  FEBI - РћРїРѕСЂР° Р°РјРѕСЂС‚РёР·Р°С‚РѕСЂР°"</f>
        <v>01876  FEBI - РћРїРѕСЂР° Р°РјРѕСЂС‚РёР·Р°С‚РѕСЂР°</v>
      </c>
      <c r="E1545">
        <v>4</v>
      </c>
      <c r="F1545" t="s">
        <v>5065</v>
      </c>
      <c r="G1545" t="s">
        <v>4983</v>
      </c>
      <c r="H1545" t="str">
        <f>"01876"</f>
        <v>01876</v>
      </c>
      <c r="I1545" t="s">
        <v>5066</v>
      </c>
    </row>
    <row r="1546" spans="1:9">
      <c r="A1546" t="str">
        <f>"0164656 "</f>
        <v xml:space="preserve">0164656 </v>
      </c>
      <c r="B1546" t="s">
        <v>4982</v>
      </c>
      <c r="C1546" t="str">
        <f>"01925FE"</f>
        <v>01925FE</v>
      </c>
      <c r="D1546" t="str">
        <f>"01925  FEBI - Р’С‚СѓР»РєР° СЃС‚Р°Р±С–Р»С–Р·Р°С‚РѕСЂР°"</f>
        <v>01925  FEBI - Р’С‚СѓР»РєР° СЃС‚Р°Р±С–Р»С–Р·Р°С‚РѕСЂР°</v>
      </c>
      <c r="E1546">
        <v>2</v>
      </c>
      <c r="F1546" t="s">
        <v>5067</v>
      </c>
      <c r="G1546" t="s">
        <v>4983</v>
      </c>
      <c r="H1546" t="str">
        <f>"01925"</f>
        <v>01925</v>
      </c>
      <c r="I1546" t="s">
        <v>5068</v>
      </c>
    </row>
    <row r="1547" spans="1:9">
      <c r="A1547" t="str">
        <f>"0164657 "</f>
        <v xml:space="preserve">0164657 </v>
      </c>
      <c r="B1547" t="s">
        <v>4982</v>
      </c>
      <c r="C1547" t="str">
        <f>"01926FE"</f>
        <v>01926FE</v>
      </c>
      <c r="D1547" t="str">
        <f>"01926  FEBI - РЎР°Р№Р»РµРЅС‚Р±Р»РѕРє"</f>
        <v>01926  FEBI - РЎР°Р№Р»РµРЅС‚Р±Р»РѕРє</v>
      </c>
      <c r="E1547">
        <v>4</v>
      </c>
      <c r="F1547" t="s">
        <v>5069</v>
      </c>
      <c r="G1547" t="s">
        <v>4983</v>
      </c>
      <c r="H1547" t="str">
        <f>"01926"</f>
        <v>01926</v>
      </c>
      <c r="I1547" t="s">
        <v>5070</v>
      </c>
    </row>
    <row r="1548" spans="1:9">
      <c r="A1548" t="str">
        <f>"0164659 "</f>
        <v xml:space="preserve">0164659 </v>
      </c>
      <c r="B1548" t="s">
        <v>4982</v>
      </c>
      <c r="C1548" t="str">
        <f>"01928FE"</f>
        <v>01928FE</v>
      </c>
      <c r="D1548" t="str">
        <f>"01928  FEBI - РЎР°Р№Р»РµРЅС‚Р±Р»РѕРє Р±Р°Р»РєРё"</f>
        <v>01928  FEBI - РЎР°Р№Р»РµРЅС‚Р±Р»РѕРє Р±Р°Р»РєРё</v>
      </c>
      <c r="E1548">
        <v>1</v>
      </c>
      <c r="F1548" t="s">
        <v>227</v>
      </c>
      <c r="G1548" t="s">
        <v>4983</v>
      </c>
      <c r="H1548" t="str">
        <f>"01928"</f>
        <v>01928</v>
      </c>
      <c r="I1548" t="s">
        <v>5071</v>
      </c>
    </row>
    <row r="1549" spans="1:9">
      <c r="A1549" t="str">
        <f>"0164660 "</f>
        <v xml:space="preserve">0164660 </v>
      </c>
      <c r="B1549" t="s">
        <v>4982</v>
      </c>
      <c r="C1549" t="str">
        <f>"01929FE"</f>
        <v>01929FE</v>
      </c>
      <c r="D1549" t="str">
        <f>"01929  FEBI - РћРїРѕСЂР° РґРІРёРіСѓРЅР°"</f>
        <v>01929  FEBI - РћРїРѕСЂР° РґРІРёРіСѓРЅР°</v>
      </c>
      <c r="E1549">
        <v>1</v>
      </c>
      <c r="F1549" t="s">
        <v>5072</v>
      </c>
      <c r="G1549" t="s">
        <v>4983</v>
      </c>
      <c r="H1549" t="str">
        <f>"01929"</f>
        <v>01929</v>
      </c>
      <c r="I1549" t="s">
        <v>5073</v>
      </c>
    </row>
    <row r="1550" spans="1:9">
      <c r="A1550" t="str">
        <f>"0164665 "</f>
        <v xml:space="preserve">0164665 </v>
      </c>
      <c r="B1550" t="s">
        <v>4982</v>
      </c>
      <c r="C1550" t="str">
        <f>"01934FE"</f>
        <v>01934FE</v>
      </c>
      <c r="D1550" t="str">
        <f>"01934  FEBI - Р’С‚СѓР»РєР° СЃС‚Р°Р±С–Р»С–Р·Р°С‚РѕСЂР°"</f>
        <v>01934  FEBI - Р’С‚СѓР»РєР° СЃС‚Р°Р±С–Р»С–Р·Р°С‚РѕСЂР°</v>
      </c>
      <c r="E1550">
        <v>2</v>
      </c>
      <c r="F1550" t="s">
        <v>5074</v>
      </c>
      <c r="G1550" t="s">
        <v>4983</v>
      </c>
      <c r="H1550" t="str">
        <f>"01934"</f>
        <v>01934</v>
      </c>
      <c r="I1550" t="s">
        <v>5075</v>
      </c>
    </row>
    <row r="1551" spans="1:9">
      <c r="A1551" t="str">
        <f>"0164666 "</f>
        <v xml:space="preserve">0164666 </v>
      </c>
      <c r="B1551" t="s">
        <v>4982</v>
      </c>
      <c r="C1551" t="str">
        <f>"01935FE"</f>
        <v>01935FE</v>
      </c>
      <c r="D1551" t="str">
        <f>"01935  FEBI - РџРёР»СЊРѕРІРёРє РєРµСЂРјРѕРІРѕС— С‚СЏРіРё"</f>
        <v>01935  FEBI - РџРёР»СЊРѕРІРёРє РєРµСЂРјРѕРІРѕС— С‚СЏРіРё</v>
      </c>
      <c r="E1551">
        <v>2</v>
      </c>
      <c r="F1551" t="s">
        <v>5076</v>
      </c>
      <c r="G1551" t="s">
        <v>4983</v>
      </c>
      <c r="H1551" t="str">
        <f>"01935"</f>
        <v>01935</v>
      </c>
      <c r="I1551" t="s">
        <v>5077</v>
      </c>
    </row>
    <row r="1552" spans="1:9">
      <c r="A1552" t="str">
        <f>"0164667 "</f>
        <v xml:space="preserve">0164667 </v>
      </c>
      <c r="B1552" t="s">
        <v>4982</v>
      </c>
      <c r="C1552" t="str">
        <f>"01939FE"</f>
        <v>01939FE</v>
      </c>
      <c r="D1552" t="str">
        <f>"01939  FEBI - Р”Р°С‚С‡РёРє С‚РµРјРїРµСЂР°С‚СѓСЂРё"</f>
        <v>01939  FEBI - Р”Р°С‚С‡РёРє С‚РµРјРїРµСЂР°С‚СѓСЂРё</v>
      </c>
      <c r="E1552">
        <v>2</v>
      </c>
      <c r="F1552" t="s">
        <v>62</v>
      </c>
      <c r="G1552" t="s">
        <v>4983</v>
      </c>
      <c r="H1552" t="str">
        <f>"01939"</f>
        <v>01939</v>
      </c>
      <c r="I1552" t="s">
        <v>5078</v>
      </c>
    </row>
    <row r="1553" spans="1:9">
      <c r="A1553" t="str">
        <f>"0164692 "</f>
        <v xml:space="preserve">0164692 </v>
      </c>
      <c r="B1553" t="s">
        <v>4982</v>
      </c>
      <c r="C1553" t="str">
        <f>"01989FE"</f>
        <v>01989FE</v>
      </c>
      <c r="D1553" t="str">
        <f>"01989  FEBI - Р РµРјРєРѕРјРїР»РµРєС‚ РјР°СЏС‚РЅРёРєР°"</f>
        <v>01989  FEBI - Р РµРјРєРѕРјРїР»РµРєС‚ РјР°СЏС‚РЅРёРєР°</v>
      </c>
      <c r="E1553">
        <v>2</v>
      </c>
      <c r="F1553" t="s">
        <v>5079</v>
      </c>
      <c r="G1553" t="s">
        <v>4983</v>
      </c>
      <c r="H1553" t="str">
        <f>"01989"</f>
        <v>01989</v>
      </c>
      <c r="I1553" t="s">
        <v>5080</v>
      </c>
    </row>
    <row r="1554" spans="1:9">
      <c r="A1554" t="str">
        <f>"0164699 "</f>
        <v xml:space="preserve">0164699 </v>
      </c>
      <c r="B1554" t="s">
        <v>4982</v>
      </c>
      <c r="C1554" t="str">
        <f>"02009FE"</f>
        <v>02009FE</v>
      </c>
      <c r="D1554" t="str">
        <f>"02009  FEBI - РћРїРѕСЂР° Р°РјРѕСЂС‚РёР·Р°С‚РѕСЂР°"</f>
        <v>02009  FEBI - РћРїРѕСЂР° Р°РјРѕСЂС‚РёР·Р°С‚РѕСЂР°</v>
      </c>
      <c r="E1554">
        <v>4</v>
      </c>
      <c r="F1554" t="s">
        <v>5081</v>
      </c>
      <c r="G1554" t="s">
        <v>4983</v>
      </c>
      <c r="H1554" t="str">
        <f>"02009"</f>
        <v>02009</v>
      </c>
      <c r="I1554" t="s">
        <v>5082</v>
      </c>
    </row>
    <row r="1555" spans="1:9">
      <c r="A1555" t="str">
        <f>"0164702 "</f>
        <v xml:space="preserve">0164702 </v>
      </c>
      <c r="B1555" t="s">
        <v>4982</v>
      </c>
      <c r="C1555" t="str">
        <f>"02015FE"</f>
        <v>02015FE</v>
      </c>
      <c r="D1555" t="str">
        <f>"02015  FEBI - РЎР°Р№Р»РµРЅС‚Р±Р»РѕРє"</f>
        <v>02015  FEBI - РЎР°Р№Р»РµРЅС‚Р±Р»РѕРє</v>
      </c>
      <c r="E1555">
        <v>5</v>
      </c>
      <c r="F1555" t="s">
        <v>1862</v>
      </c>
      <c r="G1555" t="s">
        <v>4983</v>
      </c>
      <c r="H1555" t="str">
        <f>"02015"</f>
        <v>02015</v>
      </c>
      <c r="I1555" t="s">
        <v>5083</v>
      </c>
    </row>
    <row r="1556" spans="1:9">
      <c r="A1556" t="str">
        <f>"0164707 "</f>
        <v xml:space="preserve">0164707 </v>
      </c>
      <c r="B1556" t="s">
        <v>4982</v>
      </c>
      <c r="C1556" t="str">
        <f>"02025FE"</f>
        <v>02025FE</v>
      </c>
      <c r="D1556" t="str">
        <f>"02025  FEBI - РћРїРѕСЂР° РґРІРёРіСѓРЅР°"</f>
        <v>02025  FEBI - РћРїРѕСЂР° РґРІРёРіСѓРЅР°</v>
      </c>
      <c r="E1556">
        <v>1</v>
      </c>
      <c r="F1556" t="s">
        <v>5084</v>
      </c>
      <c r="G1556" t="s">
        <v>4983</v>
      </c>
      <c r="H1556" t="str">
        <f>"02025"</f>
        <v>02025</v>
      </c>
      <c r="I1556" t="s">
        <v>5085</v>
      </c>
    </row>
    <row r="1557" spans="1:9">
      <c r="A1557" t="str">
        <f>"0164725 "</f>
        <v xml:space="preserve">0164725 </v>
      </c>
      <c r="B1557" t="s">
        <v>4982</v>
      </c>
      <c r="C1557" t="str">
        <f>"02044FE"</f>
        <v>02044FE</v>
      </c>
      <c r="D1557" t="str">
        <f>"02044  FEBI - РћРїРѕСЂР° Р°РјРѕСЂС‚РёР·Р°С‚РѕСЂР°"</f>
        <v>02044  FEBI - РћРїРѕСЂР° Р°РјРѕСЂС‚РёР·Р°С‚РѕСЂР°</v>
      </c>
      <c r="E1557">
        <v>1</v>
      </c>
      <c r="F1557" t="s">
        <v>5086</v>
      </c>
      <c r="G1557" t="s">
        <v>4983</v>
      </c>
      <c r="H1557" t="str">
        <f>"02044"</f>
        <v>02044</v>
      </c>
      <c r="I1557" t="s">
        <v>5087</v>
      </c>
    </row>
    <row r="1558" spans="1:9">
      <c r="A1558" t="str">
        <f>"0164731 "</f>
        <v xml:space="preserve">0164731 </v>
      </c>
      <c r="B1558" t="s">
        <v>4982</v>
      </c>
      <c r="C1558" t="str">
        <f>"02051FE"</f>
        <v>02051FE</v>
      </c>
      <c r="D1558" t="str">
        <f>"02051  FEBI - РљСѓР»СЊРѕРІР° РѕРїРѕСЂР°"</f>
        <v>02051  FEBI - РљСѓР»СЊРѕРІР° РѕРїРѕСЂР°</v>
      </c>
      <c r="E1558">
        <v>1</v>
      </c>
      <c r="F1558" t="s">
        <v>4997</v>
      </c>
      <c r="G1558" t="s">
        <v>4983</v>
      </c>
      <c r="H1558" t="str">
        <f>"02051"</f>
        <v>02051</v>
      </c>
      <c r="I1558" t="s">
        <v>5088</v>
      </c>
    </row>
    <row r="1559" spans="1:9">
      <c r="A1559" t="str">
        <f>"0164735 "</f>
        <v xml:space="preserve">0164735 </v>
      </c>
      <c r="B1559" t="s">
        <v>4982</v>
      </c>
      <c r="C1559" t="str">
        <f>"02057FE"</f>
        <v>02057FE</v>
      </c>
      <c r="D1559" t="str">
        <f>"02057  FEBI - РљСѓР»СЊРѕРІР° РѕРїРѕСЂР°"</f>
        <v>02057  FEBI - РљСѓР»СЊРѕРІР° РѕРїРѕСЂР°</v>
      </c>
      <c r="E1559">
        <v>1</v>
      </c>
      <c r="F1559" t="s">
        <v>5089</v>
      </c>
      <c r="G1559" t="s">
        <v>4983</v>
      </c>
      <c r="H1559" t="str">
        <f>"02057"</f>
        <v>02057</v>
      </c>
      <c r="I1559" t="s">
        <v>5090</v>
      </c>
    </row>
    <row r="1560" spans="1:9">
      <c r="A1560" t="str">
        <f>"0164736 "</f>
        <v xml:space="preserve">0164736 </v>
      </c>
      <c r="B1560" t="s">
        <v>4982</v>
      </c>
      <c r="C1560" t="str">
        <f>"02058FE"</f>
        <v>02058FE</v>
      </c>
      <c r="D1560" t="str">
        <f>"02058  FEBI - РљСѓР»СЊРѕРІР° РѕРїРѕСЂР°"</f>
        <v>02058  FEBI - РљСѓР»СЊРѕРІР° РѕРїРѕСЂР°</v>
      </c>
      <c r="E1560">
        <v>1</v>
      </c>
      <c r="F1560" t="s">
        <v>5089</v>
      </c>
      <c r="G1560" t="s">
        <v>4983</v>
      </c>
      <c r="H1560" t="str">
        <f>"02058"</f>
        <v>02058</v>
      </c>
      <c r="I1560" t="s">
        <v>5091</v>
      </c>
    </row>
    <row r="1561" spans="1:9">
      <c r="A1561" t="str">
        <f>"0164738 "</f>
        <v xml:space="preserve">0164738 </v>
      </c>
      <c r="B1561" t="s">
        <v>4982</v>
      </c>
      <c r="C1561" t="str">
        <f>"02062FE"</f>
        <v>02062FE</v>
      </c>
      <c r="D1561" t="str">
        <f>"02062  FEBI - Р‘РѕР»С‚ РєРѕР»С–СЃРЅРёР№"</f>
        <v>02062  FEBI - Р‘РѕР»С‚ РєРѕР»С–СЃРЅРёР№</v>
      </c>
      <c r="E1561">
        <v>2</v>
      </c>
      <c r="F1561" t="s">
        <v>5092</v>
      </c>
      <c r="G1561" t="s">
        <v>4983</v>
      </c>
      <c r="H1561" t="str">
        <f>"02062"</f>
        <v>02062</v>
      </c>
      <c r="I1561" t="s">
        <v>5093</v>
      </c>
    </row>
    <row r="1562" spans="1:9">
      <c r="A1562" t="str">
        <f>"0164739 "</f>
        <v xml:space="preserve">0164739 </v>
      </c>
      <c r="B1562" t="s">
        <v>4982</v>
      </c>
      <c r="C1562" t="str">
        <f>"02063FE"</f>
        <v>02063FE</v>
      </c>
      <c r="D1562" t="str">
        <f>"02063  FEBI - Р’С–РґР±С–Р№РЅРёРє Р°РјРѕСЂС‚РёР·Р°С‚РѕСЂР°"</f>
        <v>02063  FEBI - Р’С–РґР±С–Р№РЅРёРє Р°РјРѕСЂС‚РёР·Р°С‚РѕСЂР°</v>
      </c>
      <c r="E1562">
        <v>2</v>
      </c>
      <c r="F1562" t="s">
        <v>2657</v>
      </c>
      <c r="G1562" t="s">
        <v>4983</v>
      </c>
      <c r="H1562" t="str">
        <f>"02063"</f>
        <v>02063</v>
      </c>
      <c r="I1562" t="s">
        <v>5094</v>
      </c>
    </row>
    <row r="1563" spans="1:9">
      <c r="A1563" t="str">
        <f>"0164744 "</f>
        <v xml:space="preserve">0164744 </v>
      </c>
      <c r="B1563" t="s">
        <v>4982</v>
      </c>
      <c r="C1563" t="str">
        <f>"02070FE"</f>
        <v>02070FE</v>
      </c>
      <c r="D1563" t="str">
        <f>"02070  FEBI - РЎР°Р№Р»РµРЅС‚Р±Р»РѕРє"</f>
        <v>02070  FEBI - РЎР°Р№Р»РµРЅС‚Р±Р»РѕРє</v>
      </c>
      <c r="E1563">
        <v>4</v>
      </c>
      <c r="F1563" t="s">
        <v>5095</v>
      </c>
      <c r="G1563" t="s">
        <v>4983</v>
      </c>
      <c r="H1563" t="str">
        <f>"02070"</f>
        <v>02070</v>
      </c>
      <c r="I1563" t="s">
        <v>5096</v>
      </c>
    </row>
    <row r="1564" spans="1:9">
      <c r="A1564" t="str">
        <f>"0164754 "</f>
        <v xml:space="preserve">0164754 </v>
      </c>
      <c r="B1564" t="s">
        <v>4982</v>
      </c>
      <c r="C1564" t="str">
        <f>"02087FE"</f>
        <v>02087FE</v>
      </c>
      <c r="D1564" t="str">
        <f>"02087  FEBI - РљР»Р°РїР°РЅ РїР°Р»РёРІРЅРѕС— СЃРёСЃС‚РµРјРё"</f>
        <v>02087  FEBI - РљР»Р°РїР°РЅ РїР°Р»РёРІРЅРѕС— СЃРёСЃС‚РµРјРё</v>
      </c>
      <c r="E1564">
        <v>2</v>
      </c>
      <c r="F1564" t="s">
        <v>5097</v>
      </c>
      <c r="G1564" t="s">
        <v>4983</v>
      </c>
      <c r="H1564" t="str">
        <f>"02087"</f>
        <v>02087</v>
      </c>
      <c r="I1564" t="s">
        <v>5098</v>
      </c>
    </row>
    <row r="1565" spans="1:9">
      <c r="A1565" t="str">
        <f>"0164762 "</f>
        <v xml:space="preserve">0164762 </v>
      </c>
      <c r="B1565" t="s">
        <v>4982</v>
      </c>
      <c r="C1565" t="str">
        <f>"02103FE"</f>
        <v>02103FE</v>
      </c>
      <c r="D1565" t="str">
        <f>"02103  FEBI - РџСЂСѓР¶РёРЅР° РіР°Р»СЊРјС–РІРЅРёС… РєРѕР»РѕРґРѕРє РґРѕ Р±Р°СЂР°Р±Р°РЅС–РІ"</f>
        <v>02103  FEBI - РџСЂСѓР¶РёРЅР° РіР°Р»СЊРјС–РІРЅРёС… РєРѕР»РѕРґРѕРє РґРѕ Р±Р°СЂР°Р±Р°РЅС–РІ</v>
      </c>
      <c r="E1565">
        <v>2</v>
      </c>
      <c r="F1565" s="3">
        <v>29738</v>
      </c>
      <c r="G1565" t="s">
        <v>4983</v>
      </c>
      <c r="H1565" t="str">
        <f>"02103"</f>
        <v>02103</v>
      </c>
      <c r="I1565" t="s">
        <v>5099</v>
      </c>
    </row>
    <row r="1566" spans="1:9">
      <c r="A1566" t="str">
        <f>"0164765 "</f>
        <v xml:space="preserve">0164765 </v>
      </c>
      <c r="B1566" t="s">
        <v>4982</v>
      </c>
      <c r="C1566" t="str">
        <f>"02106FE"</f>
        <v>02106FE</v>
      </c>
      <c r="D1566" t="str">
        <f>"02106  FEBI - РљСѓР»СЊРѕРІР° РѕРїРѕСЂР°"</f>
        <v>02106  FEBI - РљСѓР»СЊРѕРІР° РѕРїРѕСЂР°</v>
      </c>
      <c r="E1566">
        <v>2</v>
      </c>
      <c r="F1566" t="s">
        <v>5100</v>
      </c>
      <c r="G1566" t="s">
        <v>4983</v>
      </c>
      <c r="H1566" t="str">
        <f>"02106"</f>
        <v>02106</v>
      </c>
      <c r="I1566" t="s">
        <v>5101</v>
      </c>
    </row>
    <row r="1567" spans="1:9">
      <c r="A1567" t="str">
        <f>"0164769 "</f>
        <v xml:space="preserve">0164769 </v>
      </c>
      <c r="B1567" t="s">
        <v>4982</v>
      </c>
      <c r="C1567" t="str">
        <f>"02111FE"</f>
        <v>02111FE</v>
      </c>
      <c r="D1567" t="str">
        <f>"02111  FEBI - РљСЂРёС€РєР° СЂРѕР·С€РёСЂСЋРІР°Р»СЊРЅРѕРіРѕ Р±Р°С‡РєР° СЃРёСЃС‚РµРјРё РѕС…РѕР»РѕРґР¶РµРЅРЅСЏ"</f>
        <v>02111  FEBI - РљСЂРёС€РєР° СЂРѕР·С€РёСЂСЋРІР°Р»СЊРЅРѕРіРѕ Р±Р°С‡РєР° СЃРёСЃС‚РµРјРё РѕС…РѕР»РѕРґР¶РµРЅРЅСЏ</v>
      </c>
      <c r="E1567" t="s">
        <v>16</v>
      </c>
      <c r="F1567" t="s">
        <v>5102</v>
      </c>
      <c r="G1567" t="s">
        <v>4983</v>
      </c>
      <c r="H1567" t="str">
        <f>"02111"</f>
        <v>02111</v>
      </c>
      <c r="I1567" t="s">
        <v>5078</v>
      </c>
    </row>
    <row r="1568" spans="1:9">
      <c r="A1568" t="str">
        <f>"0164770 "</f>
        <v xml:space="preserve">0164770 </v>
      </c>
      <c r="B1568" t="s">
        <v>4982</v>
      </c>
      <c r="C1568" t="str">
        <f>"02113FE"</f>
        <v>02113FE</v>
      </c>
      <c r="D1568" t="str">
        <f>"02113  FEBI - РљСЂРёС€РєР° РјР°СЃР»РѕР·Р°Р»РёРІРЅРѕС— РіРѕСЂР»РѕРІРёРЅРё"</f>
        <v>02113  FEBI - РљСЂРёС€РєР° РјР°СЃР»РѕР·Р°Р»РёРІРЅРѕС— РіРѕСЂР»РѕРІРёРЅРё</v>
      </c>
      <c r="E1568">
        <v>1</v>
      </c>
      <c r="F1568" t="s">
        <v>5103</v>
      </c>
      <c r="G1568" t="s">
        <v>4983</v>
      </c>
      <c r="H1568" t="str">
        <f>"02113"</f>
        <v>02113</v>
      </c>
      <c r="I1568" t="s">
        <v>5104</v>
      </c>
    </row>
    <row r="1569" spans="1:9">
      <c r="A1569" t="str">
        <f>"0164771 "</f>
        <v xml:space="preserve">0164771 </v>
      </c>
      <c r="B1569" t="s">
        <v>4982</v>
      </c>
      <c r="C1569" t="str">
        <f>"02116FE"</f>
        <v>02116FE</v>
      </c>
      <c r="D1569" t="str">
        <f>"02116  FEBI - Р‘РѕР»С‚ Р“Р‘Р¦"</f>
        <v>02116  FEBI - Р‘РѕР»С‚ Р“Р‘Р¦</v>
      </c>
      <c r="E1569" t="s">
        <v>16</v>
      </c>
      <c r="F1569" s="1">
        <v>42909</v>
      </c>
      <c r="G1569" t="s">
        <v>4983</v>
      </c>
      <c r="H1569" t="str">
        <f>"02116"</f>
        <v>02116</v>
      </c>
      <c r="I1569" t="s">
        <v>5105</v>
      </c>
    </row>
    <row r="1570" spans="1:9">
      <c r="A1570" t="str">
        <f>"0164778 "</f>
        <v xml:space="preserve">0164778 </v>
      </c>
      <c r="B1570" t="s">
        <v>4982</v>
      </c>
      <c r="C1570" t="str">
        <f>"02127FE"</f>
        <v>02127FE</v>
      </c>
      <c r="D1570" t="str">
        <f>"02127  FEBI - Р“Р°Р№РєР°"</f>
        <v>02127  FEBI - Р“Р°Р№РєР°</v>
      </c>
      <c r="E1570" t="s">
        <v>16</v>
      </c>
      <c r="F1570" s="3">
        <v>20668</v>
      </c>
      <c r="G1570" t="s">
        <v>4983</v>
      </c>
      <c r="H1570" t="str">
        <f>"02127"</f>
        <v>02127</v>
      </c>
      <c r="I1570" t="s">
        <v>5106</v>
      </c>
    </row>
    <row r="1571" spans="1:9">
      <c r="A1571" t="str">
        <f>"0164798 "</f>
        <v xml:space="preserve">0164798 </v>
      </c>
      <c r="B1571" t="s">
        <v>4982</v>
      </c>
      <c r="C1571" t="str">
        <f>"02183FE"</f>
        <v>02183FE</v>
      </c>
      <c r="D1571" t="str">
        <f>"02183  FEBI - РЎР°Р№Р»РµРЅС‚Р±Р»РѕРє"</f>
        <v>02183  FEBI - РЎР°Р№Р»РµРЅС‚Р±Р»РѕРє</v>
      </c>
      <c r="E1571">
        <v>2</v>
      </c>
      <c r="F1571" t="s">
        <v>5107</v>
      </c>
      <c r="G1571" t="s">
        <v>4983</v>
      </c>
      <c r="H1571" t="str">
        <f>"02183"</f>
        <v>02183</v>
      </c>
      <c r="I1571" t="s">
        <v>5108</v>
      </c>
    </row>
    <row r="1572" spans="1:9">
      <c r="A1572" t="str">
        <f>"0164813 "</f>
        <v xml:space="preserve">0164813 </v>
      </c>
      <c r="B1572" t="s">
        <v>4982</v>
      </c>
      <c r="C1572" t="str">
        <f>"02223FE"</f>
        <v>02223FE</v>
      </c>
      <c r="D1572" t="str">
        <f>"02223  FEBI - РЎР°Р№Р»РµРЅС‚Р±Р»РѕРє"</f>
        <v>02223  FEBI - РЎР°Р№Р»РµРЅС‚Р±Р»РѕРє</v>
      </c>
      <c r="E1572" t="s">
        <v>16</v>
      </c>
      <c r="F1572" t="s">
        <v>5109</v>
      </c>
      <c r="G1572" t="s">
        <v>4983</v>
      </c>
      <c r="H1572" t="str">
        <f>"02223"</f>
        <v>02223</v>
      </c>
      <c r="I1572" t="s">
        <v>5110</v>
      </c>
    </row>
    <row r="1573" spans="1:9">
      <c r="A1573" t="str">
        <f>"0164824 "</f>
        <v xml:space="preserve">0164824 </v>
      </c>
      <c r="B1573" t="s">
        <v>4982</v>
      </c>
      <c r="C1573" t="str">
        <f>"02238FE"</f>
        <v>02238FE</v>
      </c>
      <c r="D1573" t="str">
        <f>"02238  FEBI - РќР°РєС–РЅРµС‡РЅРёРє РєРµСЂРјРѕРІРѕС— С‚СЏРіРё"</f>
        <v>02238  FEBI - РќР°РєС–РЅРµС‡РЅРёРє РєРµСЂРјРѕРІРѕС— С‚СЏРіРё</v>
      </c>
      <c r="E1573" t="s">
        <v>16</v>
      </c>
      <c r="F1573" t="s">
        <v>3554</v>
      </c>
      <c r="G1573" t="s">
        <v>4983</v>
      </c>
      <c r="H1573" t="str">
        <f>"02238"</f>
        <v>02238</v>
      </c>
      <c r="I1573" t="s">
        <v>5111</v>
      </c>
    </row>
    <row r="1574" spans="1:9">
      <c r="A1574" t="str">
        <f>"0164828 "</f>
        <v xml:space="preserve">0164828 </v>
      </c>
      <c r="B1574" t="s">
        <v>4982</v>
      </c>
      <c r="C1574" t="str">
        <f>"02248FE"</f>
        <v>02248FE</v>
      </c>
      <c r="D1574" t="str">
        <f>"02248  FEBI - РћР±РІС–РґРЅРёР№ СЂРѕР»РёРє"</f>
        <v>02248  FEBI - РћР±РІС–РґРЅРёР№ СЂРѕР»РёРє</v>
      </c>
      <c r="E1574">
        <v>2</v>
      </c>
      <c r="F1574" t="s">
        <v>5112</v>
      </c>
      <c r="G1574" t="s">
        <v>4983</v>
      </c>
      <c r="H1574" t="str">
        <f>"02248"</f>
        <v>02248</v>
      </c>
      <c r="I1574" t="s">
        <v>5113</v>
      </c>
    </row>
    <row r="1575" spans="1:9">
      <c r="A1575" t="str">
        <f>"0164829 "</f>
        <v xml:space="preserve">0164829 </v>
      </c>
      <c r="B1575" t="s">
        <v>4982</v>
      </c>
      <c r="C1575" t="str">
        <f>"02249FE"</f>
        <v>02249FE</v>
      </c>
      <c r="D1575" t="str">
        <f>"02249  FEBI - РќР°С‚СЏР¶РЅРёР№ СЂРѕР»РёРє СЂРµРјРµРЅСЏ"</f>
        <v>02249  FEBI - РќР°С‚СЏР¶РЅРёР№ СЂРѕР»РёРє СЂРµРјРµРЅСЏ</v>
      </c>
      <c r="E1575">
        <v>1</v>
      </c>
      <c r="F1575" t="s">
        <v>5114</v>
      </c>
      <c r="G1575" t="s">
        <v>4983</v>
      </c>
      <c r="H1575" t="str">
        <f>"02249"</f>
        <v>02249</v>
      </c>
      <c r="I1575" t="s">
        <v>5115</v>
      </c>
    </row>
    <row r="1576" spans="1:9">
      <c r="A1576" t="str">
        <f>"0164830 "</f>
        <v xml:space="preserve">0164830 </v>
      </c>
      <c r="B1576" t="s">
        <v>4982</v>
      </c>
      <c r="C1576" t="str">
        <f>"02263FE"</f>
        <v>02263FE</v>
      </c>
      <c r="D1576" t="str">
        <f>"02263  FEBI - РЎР°Р№Р»РµРЅС‚Р±Р»РѕРє"</f>
        <v>02263  FEBI - РЎР°Р№Р»РµРЅС‚Р±Р»РѕРє</v>
      </c>
      <c r="E1576">
        <v>2</v>
      </c>
      <c r="F1576" t="s">
        <v>5116</v>
      </c>
      <c r="G1576" t="s">
        <v>4983</v>
      </c>
      <c r="H1576" t="str">
        <f>"02263"</f>
        <v>02263</v>
      </c>
      <c r="I1576" t="s">
        <v>5117</v>
      </c>
    </row>
    <row r="1577" spans="1:9">
      <c r="A1577" t="str">
        <f>"0164834 "</f>
        <v xml:space="preserve">0164834 </v>
      </c>
      <c r="B1577" t="s">
        <v>4982</v>
      </c>
      <c r="C1577" t="str">
        <f>"02268FE"</f>
        <v>02268FE</v>
      </c>
      <c r="D1577" t="str">
        <f>"02268  FEBI - РќР°РєС–РЅРµС‡РЅРёРє РєРµСЂРјРѕРІРѕС— С‚СЏРіРё"</f>
        <v>02268  FEBI - РќР°РєС–РЅРµС‡РЅРёРє РєРµСЂРјРѕРІРѕС— С‚СЏРіРё</v>
      </c>
      <c r="E1577">
        <v>4</v>
      </c>
      <c r="F1577" t="s">
        <v>3554</v>
      </c>
      <c r="G1577" t="s">
        <v>4983</v>
      </c>
      <c r="H1577" t="str">
        <f>"02268"</f>
        <v>02268</v>
      </c>
      <c r="I1577" t="s">
        <v>5118</v>
      </c>
    </row>
    <row r="1578" spans="1:9">
      <c r="A1578" t="str">
        <f>"0164835 "</f>
        <v xml:space="preserve">0164835 </v>
      </c>
      <c r="B1578" t="s">
        <v>4982</v>
      </c>
      <c r="C1578" t="str">
        <f>"02269FE"</f>
        <v>02269FE</v>
      </c>
      <c r="D1578" t="str">
        <f>"02269  FEBI - РљСЂРёС€РєР° СЂРѕР·С€РёСЂСЋРІР°Р»СЊРЅРѕРіРѕ Р±Р°С‡РєР° СЃРёСЃС‚РµРјРё РѕС…РѕР»РѕРґР¶РµРЅРЅСЏ"</f>
        <v>02269  FEBI - РљСЂРёС€РєР° СЂРѕР·С€РёСЂСЋРІР°Р»СЊРЅРѕРіРѕ Р±Р°С‡РєР° СЃРёСЃС‚РµРјРё РѕС…РѕР»РѕРґР¶РµРЅРЅСЏ</v>
      </c>
      <c r="E1578">
        <v>1</v>
      </c>
      <c r="F1578" t="s">
        <v>5119</v>
      </c>
      <c r="G1578" t="s">
        <v>4983</v>
      </c>
      <c r="H1578" t="str">
        <f>"02269"</f>
        <v>02269</v>
      </c>
      <c r="I1578" t="s">
        <v>5120</v>
      </c>
    </row>
    <row r="1579" spans="1:9">
      <c r="A1579" t="str">
        <f>"0164836 "</f>
        <v xml:space="preserve">0164836 </v>
      </c>
      <c r="B1579" t="s">
        <v>4982</v>
      </c>
      <c r="C1579" t="str">
        <f>"02271FE"</f>
        <v>02271FE</v>
      </c>
      <c r="D1579" t="str">
        <f>"02271  FEBI - РљСѓР»СЊРѕРІР° РѕРїРѕСЂР°"</f>
        <v>02271  FEBI - РљСѓР»СЊРѕРІР° РѕРїРѕСЂР°</v>
      </c>
      <c r="E1579">
        <v>2</v>
      </c>
      <c r="F1579" t="s">
        <v>5121</v>
      </c>
      <c r="G1579" t="s">
        <v>4983</v>
      </c>
      <c r="H1579" t="str">
        <f>"02271"</f>
        <v>02271</v>
      </c>
      <c r="I1579" t="s">
        <v>5122</v>
      </c>
    </row>
    <row r="1580" spans="1:9">
      <c r="A1580" t="str">
        <f>"0164852 "</f>
        <v xml:space="preserve">0164852 </v>
      </c>
      <c r="B1580" t="s">
        <v>4982</v>
      </c>
      <c r="C1580" t="str">
        <f>"02312FE"</f>
        <v>02312FE</v>
      </c>
      <c r="D1580" t="str">
        <f>"02312  FEBI - Р‘РѕР»С‚ Р“Р‘Р¦"</f>
        <v>02312  FEBI - Р‘РѕР»С‚ Р“Р‘Р¦</v>
      </c>
      <c r="E1580" t="s">
        <v>16</v>
      </c>
      <c r="F1580" t="s">
        <v>5123</v>
      </c>
      <c r="G1580" t="s">
        <v>4983</v>
      </c>
      <c r="H1580" t="str">
        <f>"02312"</f>
        <v>02312</v>
      </c>
      <c r="I1580" t="s">
        <v>5124</v>
      </c>
    </row>
    <row r="1581" spans="1:9">
      <c r="A1581" t="str">
        <f>"0164856 "</f>
        <v xml:space="preserve">0164856 </v>
      </c>
      <c r="B1581" t="s">
        <v>4982</v>
      </c>
      <c r="C1581" t="str">
        <f>"02317FE"</f>
        <v>02317FE</v>
      </c>
      <c r="D1581" t="str">
        <f>"02317  FEBI - РўСЏРіР° СЃС‚Р°Р±С–Р»С–Р·Р°С‚РѕСЂР°"</f>
        <v>02317  FEBI - РўСЏРіР° СЃС‚Р°Р±С–Р»С–Р·Р°С‚РѕСЂР°</v>
      </c>
      <c r="E1581">
        <v>2</v>
      </c>
      <c r="F1581" t="s">
        <v>5125</v>
      </c>
      <c r="G1581" t="s">
        <v>4983</v>
      </c>
      <c r="H1581" t="str">
        <f>"02317"</f>
        <v>02317</v>
      </c>
      <c r="I1581" t="s">
        <v>5126</v>
      </c>
    </row>
    <row r="1582" spans="1:9">
      <c r="A1582" t="str">
        <f>"0164857 "</f>
        <v xml:space="preserve">0164857 </v>
      </c>
      <c r="B1582" t="s">
        <v>4982</v>
      </c>
      <c r="C1582" t="str">
        <f>"02318FE"</f>
        <v>02318FE</v>
      </c>
      <c r="D1582" t="str">
        <f>"02318  FEBI - Р’С‚СѓР»РєР° РљРџРџ"</f>
        <v>02318  FEBI - Р’С‚СѓР»РєР° РљРџРџ</v>
      </c>
      <c r="E1582">
        <v>2</v>
      </c>
      <c r="F1582" s="3">
        <v>29738</v>
      </c>
      <c r="G1582" t="s">
        <v>4983</v>
      </c>
      <c r="H1582" t="str">
        <f>"02318"</f>
        <v>02318</v>
      </c>
      <c r="I1582" t="s">
        <v>5127</v>
      </c>
    </row>
    <row r="1583" spans="1:9">
      <c r="A1583" t="str">
        <f>"0164877 "</f>
        <v xml:space="preserve">0164877 </v>
      </c>
      <c r="B1583" t="s">
        <v>4982</v>
      </c>
      <c r="C1583" t="str">
        <f>"02380FE"</f>
        <v>02380FE</v>
      </c>
      <c r="D1583" t="str">
        <f>"02380  FEBI - РљСѓР»СЊРѕРІР° РѕРїРѕСЂР°"</f>
        <v>02380  FEBI - РљСѓР»СЊРѕРІР° РѕРїРѕСЂР°</v>
      </c>
      <c r="E1583">
        <v>4</v>
      </c>
      <c r="F1583" t="s">
        <v>3759</v>
      </c>
      <c r="G1583" t="s">
        <v>4983</v>
      </c>
      <c r="H1583" t="str">
        <f>"02380"</f>
        <v>02380</v>
      </c>
      <c r="I1583" t="s">
        <v>5128</v>
      </c>
    </row>
    <row r="1584" spans="1:9">
      <c r="A1584" t="str">
        <f>"0164880 "</f>
        <v xml:space="preserve">0164880 </v>
      </c>
      <c r="B1584" t="s">
        <v>4982</v>
      </c>
      <c r="C1584" t="str">
        <f>"02383FE"</f>
        <v>02383FE</v>
      </c>
      <c r="D1584" t="str">
        <f>"02383  FEBI - РќР°РєС–РЅРµС‡РЅРёРє РєРµСЂРјРѕРІРѕС— С‚СЏРіРё"</f>
        <v>02383  FEBI - РќР°РєС–РЅРµС‡РЅРёРє РєРµСЂРјРѕРІРѕС— С‚СЏРіРё</v>
      </c>
      <c r="E1584">
        <v>1</v>
      </c>
      <c r="F1584" t="s">
        <v>5129</v>
      </c>
      <c r="G1584" t="s">
        <v>4983</v>
      </c>
      <c r="H1584" t="str">
        <f>"02383"</f>
        <v>02383</v>
      </c>
      <c r="I1584" t="s">
        <v>5130</v>
      </c>
    </row>
    <row r="1585" spans="1:9">
      <c r="A1585" t="str">
        <f>"0164881 "</f>
        <v xml:space="preserve">0164881 </v>
      </c>
      <c r="B1585" t="s">
        <v>4982</v>
      </c>
      <c r="C1585" t="str">
        <f>"02384FE"</f>
        <v>02384FE</v>
      </c>
      <c r="D1585" t="str">
        <f>"02384  FEBI - РќР°РєС–РЅРµС‡РЅРёРє РєРµСЂРјРѕРІРѕС— С‚СЏРіРё"</f>
        <v>02384  FEBI - РќР°РєС–РЅРµС‡РЅРёРє РєРµСЂРјРѕРІРѕС— С‚СЏРіРё</v>
      </c>
      <c r="E1585">
        <v>3</v>
      </c>
      <c r="F1585" t="s">
        <v>5131</v>
      </c>
      <c r="G1585" t="s">
        <v>4983</v>
      </c>
      <c r="H1585" t="str">
        <f>"02384"</f>
        <v>02384</v>
      </c>
      <c r="I1585" t="s">
        <v>5132</v>
      </c>
    </row>
    <row r="1586" spans="1:9">
      <c r="A1586" t="str">
        <f>"0164888 "</f>
        <v xml:space="preserve">0164888 </v>
      </c>
      <c r="B1586" t="s">
        <v>4982</v>
      </c>
      <c r="C1586" t="str">
        <f>"02395FE"</f>
        <v>02395FE</v>
      </c>
      <c r="D1586" t="str">
        <f>"02395  FEBI - РЎР°Р№Р»РµРЅС‚Р±Р»РѕРє"</f>
        <v>02395  FEBI - РЎР°Р№Р»РµРЅС‚Р±Р»РѕРє</v>
      </c>
      <c r="E1586">
        <v>1</v>
      </c>
      <c r="F1586" t="s">
        <v>5133</v>
      </c>
      <c r="G1586" t="s">
        <v>4983</v>
      </c>
      <c r="H1586" t="str">
        <f>"02395"</f>
        <v>02395</v>
      </c>
      <c r="I1586" t="s">
        <v>5134</v>
      </c>
    </row>
    <row r="1587" spans="1:9">
      <c r="A1587" t="str">
        <f>"0164894 "</f>
        <v xml:space="preserve">0164894 </v>
      </c>
      <c r="B1587" t="s">
        <v>4982</v>
      </c>
      <c r="C1587" t="str">
        <f>"02417FE"</f>
        <v>02417FE</v>
      </c>
      <c r="D1587" t="str">
        <f>"02417  FEBI - РЎР°Р№Р»РµРЅС‚Р±Р»РѕРє"</f>
        <v>02417  FEBI - РЎР°Р№Р»РµРЅС‚Р±Р»РѕРє</v>
      </c>
      <c r="E1587">
        <v>1</v>
      </c>
      <c r="F1587" t="s">
        <v>5135</v>
      </c>
      <c r="G1587" t="s">
        <v>4983</v>
      </c>
      <c r="H1587" t="str">
        <f>"02417"</f>
        <v>02417</v>
      </c>
      <c r="I1587" t="s">
        <v>5136</v>
      </c>
    </row>
    <row r="1588" spans="1:9">
      <c r="A1588" t="str">
        <f>"0164897 "</f>
        <v xml:space="preserve">0164897 </v>
      </c>
      <c r="B1588" t="s">
        <v>4982</v>
      </c>
      <c r="C1588" t="str">
        <f>"02429FE"</f>
        <v>02429FE</v>
      </c>
      <c r="D1588" t="str">
        <f>"02429  FEBI - РћРїРѕСЂР° Р°РјРѕСЂС‚РёР·Р°С‚РѕСЂР°"</f>
        <v>02429  FEBI - РћРїРѕСЂР° Р°РјРѕСЂС‚РёР·Р°С‚РѕСЂР°</v>
      </c>
      <c r="E1588">
        <v>2</v>
      </c>
      <c r="F1588" t="s">
        <v>5137</v>
      </c>
      <c r="G1588" t="s">
        <v>4983</v>
      </c>
      <c r="H1588" t="str">
        <f>"02429"</f>
        <v>02429</v>
      </c>
      <c r="I1588" t="s">
        <v>5138</v>
      </c>
    </row>
    <row r="1589" spans="1:9">
      <c r="A1589" t="str">
        <f>"0164908 "</f>
        <v xml:space="preserve">0164908 </v>
      </c>
      <c r="B1589" t="s">
        <v>4982</v>
      </c>
      <c r="C1589" t="str">
        <f>"02481FE"</f>
        <v>02481FE</v>
      </c>
      <c r="D1589" t="str">
        <f>"02481  FEBI - РќР°С‚СЏРіСѓРІР°С‡ Р»Р°РЅС†СЋРіР° Р“Р Рњ"</f>
        <v>02481  FEBI - РќР°С‚СЏРіСѓРІР°С‡ Р»Р°РЅС†СЋРіР° Р“Р Рњ</v>
      </c>
      <c r="E1589">
        <v>3</v>
      </c>
      <c r="F1589" t="s">
        <v>5139</v>
      </c>
      <c r="G1589" t="s">
        <v>4983</v>
      </c>
      <c r="H1589" t="str">
        <f>"02481"</f>
        <v>02481</v>
      </c>
      <c r="I1589" t="s">
        <v>5140</v>
      </c>
    </row>
    <row r="1590" spans="1:9">
      <c r="A1590" t="str">
        <f>"0164919 "</f>
        <v xml:space="preserve">0164919 </v>
      </c>
      <c r="B1590" t="s">
        <v>4982</v>
      </c>
      <c r="C1590" t="str">
        <f>"02524FE"</f>
        <v>02524FE</v>
      </c>
      <c r="D1590" t="str">
        <f>"02524  FEBI - Р РµРјРєРѕРјРїР»РµРєС‚ СЃС‚Р°Р±С–Р»С–Р·Р°С‚РѕСЂР°"</f>
        <v>02524  FEBI - Р РµРјРєРѕРјРїР»РµРєС‚ СЃС‚Р°Р±С–Р»С–Р·Р°С‚РѕСЂР°</v>
      </c>
      <c r="E1590">
        <v>2</v>
      </c>
      <c r="F1590" t="s">
        <v>2725</v>
      </c>
      <c r="G1590" t="s">
        <v>4983</v>
      </c>
      <c r="H1590" t="str">
        <f>"02524"</f>
        <v>02524</v>
      </c>
      <c r="I1590" t="s">
        <v>4986</v>
      </c>
    </row>
    <row r="1591" spans="1:9">
      <c r="A1591" t="str">
        <f>"0164922 "</f>
        <v xml:space="preserve">0164922 </v>
      </c>
      <c r="B1591" t="s">
        <v>4982</v>
      </c>
      <c r="C1591" t="str">
        <f>"02537FE"</f>
        <v>02537FE</v>
      </c>
      <c r="D1591" t="str">
        <f>"02537  FEBI - РџРёР»СЊРѕРІРёРє РєРµСЂРјРѕРІРѕС— С‚СЏРіРё"</f>
        <v>02537  FEBI - РџРёР»СЊРѕРІРёРє РєРµСЂРјРѕРІРѕС— С‚СЏРіРё</v>
      </c>
      <c r="E1591">
        <v>2</v>
      </c>
      <c r="F1591" t="s">
        <v>5141</v>
      </c>
      <c r="G1591" t="s">
        <v>4983</v>
      </c>
      <c r="H1591" t="str">
        <f>"02537"</f>
        <v>02537</v>
      </c>
      <c r="I1591" t="s">
        <v>5142</v>
      </c>
    </row>
    <row r="1592" spans="1:9">
      <c r="A1592" t="str">
        <f>"0164924 "</f>
        <v xml:space="preserve">0164924 </v>
      </c>
      <c r="B1592" t="s">
        <v>4982</v>
      </c>
      <c r="C1592" t="str">
        <f>"02543FE"</f>
        <v>02543FE</v>
      </c>
      <c r="D1592" t="str">
        <f>"02543  FEBI - Р—Р°РіР»СѓС€РєР°"</f>
        <v>02543  FEBI - Р—Р°РіР»СѓС€РєР°</v>
      </c>
      <c r="E1592" t="s">
        <v>16</v>
      </c>
      <c r="F1592" s="3">
        <v>29738</v>
      </c>
      <c r="G1592" t="s">
        <v>4983</v>
      </c>
      <c r="H1592" t="str">
        <f>"02543"</f>
        <v>02543</v>
      </c>
      <c r="I1592" t="s">
        <v>5143</v>
      </c>
    </row>
    <row r="1593" spans="1:9">
      <c r="A1593" t="str">
        <f>"0164930 "</f>
        <v xml:space="preserve">0164930 </v>
      </c>
      <c r="B1593" t="s">
        <v>4982</v>
      </c>
      <c r="C1593" t="str">
        <f>"02558FE"</f>
        <v>02558FE</v>
      </c>
      <c r="D1593" t="str">
        <f>"02558  FEBI - РћР±РІС–РґРЅРёР№ СЂРѕР»РёРє Р“Р Рњ"</f>
        <v>02558  FEBI - РћР±РІС–РґРЅРёР№ СЂРѕР»РёРє Р“Р Рњ</v>
      </c>
      <c r="E1593">
        <v>2</v>
      </c>
      <c r="F1593" t="s">
        <v>5144</v>
      </c>
      <c r="G1593" t="s">
        <v>4983</v>
      </c>
      <c r="H1593" t="str">
        <f>"02558"</f>
        <v>02558</v>
      </c>
      <c r="I1593" t="s">
        <v>5145</v>
      </c>
    </row>
    <row r="1594" spans="1:9">
      <c r="A1594" t="str">
        <f>"0164934 "</f>
        <v xml:space="preserve">0164934 </v>
      </c>
      <c r="B1594" t="s">
        <v>4982</v>
      </c>
      <c r="C1594" t="str">
        <f>"02562FE"</f>
        <v>02562FE</v>
      </c>
      <c r="D1594" t="str">
        <f>"02562  FEBI - Р•Р»Р°СЃС‚РёС‡РЅР° РјСѓС„С‚Р°"</f>
        <v>02562  FEBI - Р•Р»Р°СЃС‚РёС‡РЅР° РјСѓС„С‚Р°</v>
      </c>
      <c r="E1594">
        <v>3</v>
      </c>
      <c r="F1594" t="s">
        <v>5146</v>
      </c>
      <c r="G1594" t="s">
        <v>4983</v>
      </c>
      <c r="H1594" t="str">
        <f>"02562"</f>
        <v>02562</v>
      </c>
      <c r="I1594" t="s">
        <v>5147</v>
      </c>
    </row>
    <row r="1595" spans="1:9">
      <c r="A1595" t="str">
        <f>"0164937 "</f>
        <v xml:space="preserve">0164937 </v>
      </c>
      <c r="B1595" t="s">
        <v>4982</v>
      </c>
      <c r="C1595" t="str">
        <f>"02581FE"</f>
        <v>02581FE</v>
      </c>
      <c r="D1595" t="str">
        <f>"02581  FEBI - РџРёР»СЊРѕРІРёРє РїСЂРёРІС–РґРЅРѕРіРѕ РІР°Р»Р°"</f>
        <v>02581  FEBI - РџРёР»СЊРѕРІРёРє РїСЂРёРІС–РґРЅРѕРіРѕ РІР°Р»Р°</v>
      </c>
      <c r="E1595">
        <v>4</v>
      </c>
      <c r="F1595" t="s">
        <v>1117</v>
      </c>
      <c r="G1595" t="s">
        <v>4983</v>
      </c>
      <c r="H1595" t="str">
        <f>"02581"</f>
        <v>02581</v>
      </c>
      <c r="I1595" t="s">
        <v>5148</v>
      </c>
    </row>
    <row r="1596" spans="1:9">
      <c r="A1596" t="str">
        <f>"0164948 "</f>
        <v xml:space="preserve">0164948 </v>
      </c>
      <c r="B1596" t="s">
        <v>4982</v>
      </c>
      <c r="C1596" t="str">
        <f>"02620FE"</f>
        <v>02620FE</v>
      </c>
      <c r="D1596" t="str">
        <f>"02620  FEBI - РљСѓР»СЊРѕРІР° РѕРїРѕСЂР°"</f>
        <v>02620  FEBI - РљСѓР»СЊРѕРІР° РѕРїРѕСЂР°</v>
      </c>
      <c r="E1596" t="s">
        <v>16</v>
      </c>
      <c r="F1596" t="s">
        <v>5149</v>
      </c>
      <c r="G1596" t="s">
        <v>4983</v>
      </c>
      <c r="H1596" t="str">
        <f>"02620"</f>
        <v>02620</v>
      </c>
      <c r="I1596" t="s">
        <v>5150</v>
      </c>
    </row>
    <row r="1597" spans="1:9">
      <c r="A1597" t="str">
        <f>"0164955 "</f>
        <v xml:space="preserve">0164955 </v>
      </c>
      <c r="B1597" t="s">
        <v>4982</v>
      </c>
      <c r="C1597" t="str">
        <f>"02635FE"</f>
        <v>02635FE</v>
      </c>
      <c r="D1597" t="str">
        <f>"02635  FEBI - РќР°РєС–РЅРµС‡РЅРёРє РєРµСЂРјРѕРІРѕС— С‚СЏРіРё"</f>
        <v>02635  FEBI - РќР°РєС–РЅРµС‡РЅРёРє РєРµСЂРјРѕРІРѕС— С‚СЏРіРё</v>
      </c>
      <c r="E1597" t="s">
        <v>16</v>
      </c>
      <c r="F1597" t="s">
        <v>3959</v>
      </c>
      <c r="G1597" t="s">
        <v>4983</v>
      </c>
      <c r="H1597" t="str">
        <f>"02635"</f>
        <v>02635</v>
      </c>
      <c r="I1597" t="s">
        <v>5151</v>
      </c>
    </row>
    <row r="1598" spans="1:9">
      <c r="A1598" t="str">
        <f>"0164956 "</f>
        <v xml:space="preserve">0164956 </v>
      </c>
      <c r="B1598" t="s">
        <v>4982</v>
      </c>
      <c r="C1598" t="str">
        <f>"02636FE"</f>
        <v>02636FE</v>
      </c>
      <c r="D1598" t="str">
        <f>"02636  FEBI - РќР°РєС–РЅРµС‡РЅРёРє РєРµСЂРјРѕРІРѕС— С‚СЏРіРё"</f>
        <v>02636  FEBI - РќР°РєС–РЅРµС‡РЅРёРє РєРµСЂРјРѕРІРѕС— С‚СЏРіРё</v>
      </c>
      <c r="E1598" t="s">
        <v>16</v>
      </c>
      <c r="F1598" t="s">
        <v>5152</v>
      </c>
      <c r="G1598" t="s">
        <v>4983</v>
      </c>
      <c r="H1598" t="str">
        <f>"02636"</f>
        <v>02636</v>
      </c>
      <c r="I1598" t="s">
        <v>5153</v>
      </c>
    </row>
    <row r="1599" spans="1:9">
      <c r="A1599" t="str">
        <f>"0164966 "</f>
        <v xml:space="preserve">0164966 </v>
      </c>
      <c r="B1599" t="s">
        <v>4982</v>
      </c>
      <c r="C1599" t="str">
        <f>"02682FE"</f>
        <v>02682FE</v>
      </c>
      <c r="D1599" t="str">
        <f>"02682  FEBI - РЎР°Р№Р»РµРЅС‚Р±Р»РѕРє"</f>
        <v>02682  FEBI - РЎР°Р№Р»РµРЅС‚Р±Р»РѕРє</v>
      </c>
      <c r="E1599">
        <v>3</v>
      </c>
      <c r="F1599" t="s">
        <v>5154</v>
      </c>
      <c r="G1599" t="s">
        <v>4983</v>
      </c>
      <c r="H1599" t="str">
        <f>"02682"</f>
        <v>02682</v>
      </c>
      <c r="I1599" t="s">
        <v>5155</v>
      </c>
    </row>
    <row r="1600" spans="1:9">
      <c r="A1600" t="str">
        <f>"0164969 "</f>
        <v xml:space="preserve">0164969 </v>
      </c>
      <c r="B1600" t="s">
        <v>4982</v>
      </c>
      <c r="C1600" t="str">
        <f>"02716FE"</f>
        <v>02716FE</v>
      </c>
      <c r="D1600" t="str">
        <f>"02716  FEBI - РџРёР»СЊРѕРІРёРє РїСЂРёРІС–РґРЅРѕРіРѕ РІР°Р»Р°"</f>
        <v>02716  FEBI - РџРёР»СЊРѕРІРёРє РїСЂРёРІС–РґРЅРѕРіРѕ РІР°Р»Р°</v>
      </c>
      <c r="E1600">
        <v>1</v>
      </c>
      <c r="F1600" t="s">
        <v>2823</v>
      </c>
      <c r="G1600" t="s">
        <v>4983</v>
      </c>
      <c r="H1600" t="str">
        <f>"02716"</f>
        <v>02716</v>
      </c>
      <c r="I1600" t="s">
        <v>5156</v>
      </c>
    </row>
    <row r="1601" spans="1:9">
      <c r="A1601" t="str">
        <f>"0164972 "</f>
        <v xml:space="preserve">0164972 </v>
      </c>
      <c r="B1601" t="s">
        <v>4982</v>
      </c>
      <c r="C1601" t="str">
        <f>"02720FE"</f>
        <v>02720FE</v>
      </c>
      <c r="D1601" t="str">
        <f>"02720  FEBI - РџРёР»СЊРѕРІРёРє РїСЂРёРІС–РґРЅРѕРіРѕ РІР°Р»Р°"</f>
        <v>02720  FEBI - РџРёР»СЊРѕРІРёРє РїСЂРёРІС–РґРЅРѕРіРѕ РІР°Р»Р°</v>
      </c>
      <c r="E1601">
        <v>2</v>
      </c>
      <c r="F1601" t="s">
        <v>227</v>
      </c>
      <c r="G1601" t="s">
        <v>4983</v>
      </c>
      <c r="H1601" t="str">
        <f>"02720"</f>
        <v>02720</v>
      </c>
      <c r="I1601" t="s">
        <v>5157</v>
      </c>
    </row>
    <row r="1602" spans="1:9">
      <c r="A1602" t="str">
        <f>"0164980 "</f>
        <v xml:space="preserve">0164980 </v>
      </c>
      <c r="B1602" t="s">
        <v>4982</v>
      </c>
      <c r="C1602" t="str">
        <f>"02741FE"</f>
        <v>02741FE</v>
      </c>
      <c r="D1602" t="str">
        <f>"02741  FEBI - РЎР°Р»СЊРЅРёРє РєР»Р°РїР°РЅР°"</f>
        <v>02741  FEBI - РЎР°Р»СЊРЅРёРє РєР»Р°РїР°РЅР°</v>
      </c>
      <c r="E1602" t="s">
        <v>16</v>
      </c>
      <c r="F1602" s="3">
        <v>20668</v>
      </c>
      <c r="G1602" t="s">
        <v>4983</v>
      </c>
      <c r="H1602" t="str">
        <f>"02741"</f>
        <v>02741</v>
      </c>
      <c r="I1602" t="s">
        <v>5158</v>
      </c>
    </row>
    <row r="1603" spans="1:9">
      <c r="A1603" t="str">
        <f>"0164985 "</f>
        <v xml:space="preserve">0164985 </v>
      </c>
      <c r="B1603" t="s">
        <v>4982</v>
      </c>
      <c r="C1603" t="str">
        <f>"02751FE"</f>
        <v>02751FE</v>
      </c>
      <c r="D1603" t="str">
        <f>"02751  FEBI - РћРїРѕСЂР° РґРІРёРіСѓРЅР°"</f>
        <v>02751  FEBI - РћРїРѕСЂР° РґРІРёРіСѓРЅР°</v>
      </c>
      <c r="E1603">
        <v>1</v>
      </c>
      <c r="F1603" t="s">
        <v>5159</v>
      </c>
      <c r="G1603" t="s">
        <v>4983</v>
      </c>
      <c r="H1603" t="str">
        <f>"02751"</f>
        <v>02751</v>
      </c>
      <c r="I1603" t="s">
        <v>5160</v>
      </c>
    </row>
    <row r="1604" spans="1:9">
      <c r="A1604" t="str">
        <f>"0164988 "</f>
        <v xml:space="preserve">0164988 </v>
      </c>
      <c r="B1604" t="s">
        <v>4982</v>
      </c>
      <c r="C1604" t="str">
        <f>"02754FE"</f>
        <v>02754FE</v>
      </c>
      <c r="D1604" t="str">
        <f>"02754  FEBI - РўРµСЂРјРѕРІРёРјРёРєР°С‡"</f>
        <v>02754  FEBI - РўРµСЂРјРѕРІРёРјРёРєР°С‡</v>
      </c>
      <c r="E1604">
        <v>1</v>
      </c>
      <c r="F1604" t="s">
        <v>5161</v>
      </c>
      <c r="G1604" t="s">
        <v>4983</v>
      </c>
      <c r="H1604" t="str">
        <f>"02754"</f>
        <v>02754</v>
      </c>
      <c r="I1604" t="s">
        <v>5162</v>
      </c>
    </row>
    <row r="1605" spans="1:9">
      <c r="A1605" t="str">
        <f>"0165003 "</f>
        <v xml:space="preserve">0165003 </v>
      </c>
      <c r="B1605" t="s">
        <v>4982</v>
      </c>
      <c r="C1605" t="str">
        <f>"02800FE"</f>
        <v>02800FE</v>
      </c>
      <c r="D1605" t="str">
        <f>"02800  FEBI - Р”Р°С‚С‡РёРє РІРєР»СЋС‡РµРЅСЏ СЃРІС–С‚Р»Р° Р·Р°РґРЅСЊРѕРіРѕ С…РѕРґСѓ"</f>
        <v>02800  FEBI - Р”Р°С‚С‡РёРє РІРєР»СЋС‡РµРЅСЏ СЃРІС–С‚Р»Р° Р·Р°РґРЅСЊРѕРіРѕ С…РѕРґСѓ</v>
      </c>
      <c r="E1605">
        <v>2</v>
      </c>
      <c r="F1605" t="s">
        <v>2665</v>
      </c>
      <c r="G1605" t="s">
        <v>4983</v>
      </c>
      <c r="H1605" t="str">
        <f>"02800"</f>
        <v>02800</v>
      </c>
      <c r="I1605" t="s">
        <v>5163</v>
      </c>
    </row>
    <row r="1606" spans="1:9">
      <c r="A1606" t="str">
        <f>"0165006 "</f>
        <v xml:space="preserve">0165006 </v>
      </c>
      <c r="B1606" t="s">
        <v>4982</v>
      </c>
      <c r="C1606" t="str">
        <f>"02806FE"</f>
        <v>02806FE</v>
      </c>
      <c r="D1606" t="str">
        <f>"02806  FEBI - Р”РёСЃРє РіР°Р»СЊРјС–РІРЅРёР№"</f>
        <v>02806  FEBI - Р”РёСЃРє РіР°Р»СЊРјС–РІРЅРёР№</v>
      </c>
      <c r="E1606">
        <v>2</v>
      </c>
      <c r="F1606" t="s">
        <v>5164</v>
      </c>
      <c r="G1606" t="s">
        <v>4983</v>
      </c>
      <c r="H1606" t="str">
        <f>"02806"</f>
        <v>02806</v>
      </c>
      <c r="I1606" t="s">
        <v>5165</v>
      </c>
    </row>
    <row r="1607" spans="1:9">
      <c r="A1607" t="str">
        <f>"0165028 "</f>
        <v xml:space="preserve">0165028 </v>
      </c>
      <c r="B1607" t="s">
        <v>4982</v>
      </c>
      <c r="C1607" t="str">
        <f>"02891FE"</f>
        <v>02891FE</v>
      </c>
      <c r="D1607" t="str">
        <f>"02891  FEBI - РўСЏРіР° СЃС‚Р°Р±С–Р»С–Р·Р°С‚РѕСЂР°"</f>
        <v>02891  FEBI - РўСЏРіР° СЃС‚Р°Р±С–Р»С–Р·Р°С‚РѕСЂР°</v>
      </c>
      <c r="E1607">
        <v>2</v>
      </c>
      <c r="F1607" t="s">
        <v>5166</v>
      </c>
      <c r="G1607" t="s">
        <v>4983</v>
      </c>
      <c r="H1607" t="str">
        <f>"02891"</f>
        <v>02891</v>
      </c>
      <c r="I1607" t="s">
        <v>5167</v>
      </c>
    </row>
    <row r="1608" spans="1:9">
      <c r="A1608" t="str">
        <f>"0165048 "</f>
        <v xml:space="preserve">0165048 </v>
      </c>
      <c r="B1608" t="s">
        <v>4982</v>
      </c>
      <c r="C1608" t="str">
        <f>"02942FE"</f>
        <v>02942FE</v>
      </c>
      <c r="D1608" t="str">
        <f>"02942  FEBI - РљСѓР»СЊРѕРІР° РѕРїРѕСЂР°"</f>
        <v>02942  FEBI - РљСѓР»СЊРѕРІР° РѕРїРѕСЂР°</v>
      </c>
      <c r="E1608" t="s">
        <v>16</v>
      </c>
      <c r="F1608" t="s">
        <v>5168</v>
      </c>
      <c r="G1608" t="s">
        <v>4983</v>
      </c>
      <c r="H1608" t="str">
        <f>"02942"</f>
        <v>02942</v>
      </c>
      <c r="I1608" t="s">
        <v>5169</v>
      </c>
    </row>
    <row r="1609" spans="1:9">
      <c r="A1609" t="str">
        <f>"0165102 "</f>
        <v xml:space="preserve">0165102 </v>
      </c>
      <c r="B1609" t="s">
        <v>4982</v>
      </c>
      <c r="C1609" t="str">
        <f>"03094FE"</f>
        <v>03094FE</v>
      </c>
      <c r="D1609" t="str">
        <f>"03094  FEBI - Р’С‚СѓР»РєР° СЃС‚Р°Р±С–Р»С–Р·Р°С‚РѕСЂР°"</f>
        <v>03094  FEBI - Р’С‚СѓР»РєР° СЃС‚Р°Р±С–Р»С–Р·Р°С‚РѕСЂР°</v>
      </c>
      <c r="E1609">
        <v>4</v>
      </c>
      <c r="F1609" t="s">
        <v>5170</v>
      </c>
      <c r="G1609" t="s">
        <v>4983</v>
      </c>
      <c r="H1609" t="str">
        <f>"03094"</f>
        <v>03094</v>
      </c>
      <c r="I1609" t="s">
        <v>5171</v>
      </c>
    </row>
    <row r="1610" spans="1:9">
      <c r="A1610" t="str">
        <f>"0165112 "</f>
        <v xml:space="preserve">0165112 </v>
      </c>
      <c r="B1610" t="s">
        <v>4982</v>
      </c>
      <c r="C1610" t="str">
        <f>"03115FE"</f>
        <v>03115FE</v>
      </c>
      <c r="D1610" t="str">
        <f>"03115  FEBI - РљРѕРјРїР»РµРєС‚ РїС–РґС€РёРїРЅРёРєР° СЃС‚СѓРїРёС†С–"</f>
        <v>03115  FEBI - РљРѕРјРїР»РµРєС‚ РїС–РґС€РёРїРЅРёРєР° СЃС‚СѓРїРёС†С–</v>
      </c>
      <c r="E1610">
        <v>4</v>
      </c>
      <c r="F1610" t="s">
        <v>5172</v>
      </c>
      <c r="G1610" t="s">
        <v>4983</v>
      </c>
      <c r="H1610" t="str">
        <f>"03115"</f>
        <v>03115</v>
      </c>
      <c r="I1610" t="s">
        <v>5173</v>
      </c>
    </row>
    <row r="1611" spans="1:9">
      <c r="A1611" t="str">
        <f>"0165122 "</f>
        <v xml:space="preserve">0165122 </v>
      </c>
      <c r="B1611" t="s">
        <v>4982</v>
      </c>
      <c r="C1611" t="str">
        <f>"03140FE"</f>
        <v>03140FE</v>
      </c>
      <c r="D1611" t="str">
        <f>"03140  FEBI - РЎР°Р№Р»РµРЅС‚Р±Р»РѕРє"</f>
        <v>03140  FEBI - РЎР°Р№Р»РµРЅС‚Р±Р»РѕРє</v>
      </c>
      <c r="E1611">
        <v>2</v>
      </c>
      <c r="F1611" t="s">
        <v>5174</v>
      </c>
      <c r="G1611" t="s">
        <v>4983</v>
      </c>
      <c r="H1611" t="str">
        <f>"03140"</f>
        <v>03140</v>
      </c>
      <c r="I1611" t="s">
        <v>5175</v>
      </c>
    </row>
    <row r="1612" spans="1:9">
      <c r="A1612" t="str">
        <f>"0165123 "</f>
        <v xml:space="preserve">0165123 </v>
      </c>
      <c r="B1612" t="s">
        <v>4982</v>
      </c>
      <c r="C1612" t="str">
        <f>"03141FE"</f>
        <v>03141FE</v>
      </c>
      <c r="D1612" t="str">
        <f>"03141  FEBI - РЎР°Р№Р»РµРЅС‚Р±Р»РѕРє"</f>
        <v>03141  FEBI - РЎР°Р№Р»РµРЅС‚Р±Р»РѕРє</v>
      </c>
      <c r="E1612" t="s">
        <v>16</v>
      </c>
      <c r="F1612" t="s">
        <v>5176</v>
      </c>
      <c r="G1612" t="s">
        <v>4983</v>
      </c>
      <c r="H1612" t="str">
        <f>"03141"</f>
        <v>03141</v>
      </c>
      <c r="I1612" t="s">
        <v>5177</v>
      </c>
    </row>
    <row r="1613" spans="1:9">
      <c r="A1613" t="str">
        <f>"0165124 "</f>
        <v xml:space="preserve">0165124 </v>
      </c>
      <c r="B1613" t="s">
        <v>4982</v>
      </c>
      <c r="C1613" t="str">
        <f>"03142FE"</f>
        <v>03142FE</v>
      </c>
      <c r="D1613" t="str">
        <f>"03142  FEBI - РЎР°Р№Р»РµРЅС‚Р±Р»РѕРє"</f>
        <v>03142  FEBI - РЎР°Р№Р»РµРЅС‚Р±Р»РѕРє</v>
      </c>
      <c r="E1613" t="s">
        <v>16</v>
      </c>
      <c r="F1613" t="s">
        <v>5178</v>
      </c>
      <c r="G1613" t="s">
        <v>4983</v>
      </c>
      <c r="H1613" t="str">
        <f>"03142"</f>
        <v>03142</v>
      </c>
      <c r="I1613" t="s">
        <v>5179</v>
      </c>
    </row>
    <row r="1614" spans="1:9">
      <c r="A1614" t="str">
        <f>"0165134 "</f>
        <v xml:space="preserve">0165134 </v>
      </c>
      <c r="B1614" t="s">
        <v>4982</v>
      </c>
      <c r="C1614" t="str">
        <f>"03171FE"</f>
        <v>03171FE</v>
      </c>
      <c r="D1614" t="str">
        <f>"03171  FEBI - РџРёР»СЊРѕРІРёРє РїСЂРёРІС–РґРЅРѕРіРѕ РІР°Р»Р°"</f>
        <v>03171  FEBI - РџРёР»СЊРѕРІРёРє РїСЂРёРІС–РґРЅРѕРіРѕ РІР°Р»Р°</v>
      </c>
      <c r="E1614">
        <v>2</v>
      </c>
      <c r="F1614" t="s">
        <v>5180</v>
      </c>
      <c r="G1614" t="s">
        <v>4983</v>
      </c>
      <c r="H1614" t="str">
        <f>"03171"</f>
        <v>03171</v>
      </c>
      <c r="I1614" t="s">
        <v>5156</v>
      </c>
    </row>
    <row r="1615" spans="1:9">
      <c r="A1615" t="str">
        <f>"0165138 "</f>
        <v xml:space="preserve">0165138 </v>
      </c>
      <c r="B1615" t="s">
        <v>4982</v>
      </c>
      <c r="C1615" t="str">
        <f>"03176FE"</f>
        <v>03176FE</v>
      </c>
      <c r="D1615" t="str">
        <f>"03176  FEBI - Р‘РѕР»С‚ РєРѕР»С–СЃРЅРёР№"</f>
        <v>03176  FEBI - Р‘РѕР»С‚ РєРѕР»С–СЃРЅРёР№</v>
      </c>
      <c r="E1615">
        <v>5</v>
      </c>
      <c r="F1615" t="s">
        <v>5181</v>
      </c>
      <c r="G1615" t="s">
        <v>4983</v>
      </c>
      <c r="H1615" t="str">
        <f>"03176"</f>
        <v>03176</v>
      </c>
      <c r="I1615" t="s">
        <v>5182</v>
      </c>
    </row>
    <row r="1616" spans="1:9">
      <c r="A1616" t="str">
        <f>"0165140 "</f>
        <v xml:space="preserve">0165140 </v>
      </c>
      <c r="B1616" t="s">
        <v>4982</v>
      </c>
      <c r="C1616" t="str">
        <f>"03180FE"</f>
        <v>03180FE</v>
      </c>
      <c r="D1616" t="str">
        <f>"03180  FEBI - РџРёР»СЊРѕРІРёРє РєРµСЂРјРѕРІРѕС— С‚СЏРіРё"</f>
        <v>03180  FEBI - РџРёР»СЊРѕРІРёРє РєРµСЂРјРѕРІРѕС— С‚СЏРіРё</v>
      </c>
      <c r="E1616">
        <v>2</v>
      </c>
      <c r="F1616" t="s">
        <v>5141</v>
      </c>
      <c r="G1616" t="s">
        <v>4983</v>
      </c>
      <c r="H1616" t="str">
        <f>"03180"</f>
        <v>03180</v>
      </c>
      <c r="I1616" t="s">
        <v>5183</v>
      </c>
    </row>
    <row r="1617" spans="1:9">
      <c r="A1617" t="str">
        <f>"0165141 "</f>
        <v xml:space="preserve">0165141 </v>
      </c>
      <c r="B1617" t="s">
        <v>4982</v>
      </c>
      <c r="C1617" t="str">
        <f>"03189FE"</f>
        <v>03189FE</v>
      </c>
      <c r="D1617" t="str">
        <f>"03189  FEBI - РљРѕРјРїР»РµРєС‚ РїС–РґС€РёРїРЅРёРєР° СЃС‚СѓРїРёС†С–"</f>
        <v>03189  FEBI - РљРѕРјРїР»РµРєС‚ РїС–РґС€РёРїРЅРёРєР° СЃС‚СѓРїРёС†С–</v>
      </c>
      <c r="E1617" t="s">
        <v>16</v>
      </c>
      <c r="F1617" t="s">
        <v>5184</v>
      </c>
      <c r="G1617" t="s">
        <v>4983</v>
      </c>
      <c r="H1617" t="str">
        <f>"03189"</f>
        <v>03189</v>
      </c>
      <c r="I1617" t="s">
        <v>5185</v>
      </c>
    </row>
    <row r="1618" spans="1:9">
      <c r="A1618" t="str">
        <f>"0165143 "</f>
        <v xml:space="preserve">0165143 </v>
      </c>
      <c r="B1618" t="s">
        <v>4982</v>
      </c>
      <c r="C1618" t="str">
        <f>"03194FE"</f>
        <v>03194FE</v>
      </c>
      <c r="D1618" t="str">
        <f>"03194  FEBI - РћРїРѕСЂР° Р°РјРѕСЂС‚РёР·Р°С‚РѕСЂР°"</f>
        <v>03194  FEBI - РћРїРѕСЂР° Р°РјРѕСЂС‚РёР·Р°С‚РѕСЂР°</v>
      </c>
      <c r="E1618">
        <v>4</v>
      </c>
      <c r="F1618" t="s">
        <v>5186</v>
      </c>
      <c r="G1618" t="s">
        <v>4983</v>
      </c>
      <c r="H1618" t="str">
        <f>"03194"</f>
        <v>03194</v>
      </c>
      <c r="I1618" t="s">
        <v>5187</v>
      </c>
    </row>
    <row r="1619" spans="1:9">
      <c r="A1619" t="str">
        <f>"0165145 "</f>
        <v xml:space="preserve">0165145 </v>
      </c>
      <c r="B1619" t="s">
        <v>4982</v>
      </c>
      <c r="C1619" t="str">
        <f>"03201FE"</f>
        <v>03201FE</v>
      </c>
      <c r="D1619" t="str">
        <f>"03201  FEBI - Р—Р°РіР»СѓС€РєР°"</f>
        <v>03201  FEBI - Р—Р°РіР»СѓС€РєР°</v>
      </c>
      <c r="E1619">
        <v>2</v>
      </c>
      <c r="F1619" s="3">
        <v>30590</v>
      </c>
      <c r="G1619" t="s">
        <v>4983</v>
      </c>
      <c r="H1619" t="str">
        <f>"03201"</f>
        <v>03201</v>
      </c>
      <c r="I1619" t="s">
        <v>5188</v>
      </c>
    </row>
    <row r="1620" spans="1:9">
      <c r="A1620" t="str">
        <f>"0165147 "</f>
        <v xml:space="preserve">0165147 </v>
      </c>
      <c r="B1620" t="s">
        <v>4982</v>
      </c>
      <c r="C1620" t="str">
        <f>"03203FE"</f>
        <v>03203FE</v>
      </c>
      <c r="D1620" t="str">
        <f>"03203  FEBI - Р—Р°РіР»СѓС€РєР°"</f>
        <v>03203  FEBI - Р—Р°РіР»СѓС€РєР°</v>
      </c>
      <c r="E1620">
        <v>2</v>
      </c>
      <c r="F1620" s="3">
        <v>27729</v>
      </c>
      <c r="G1620" t="s">
        <v>4983</v>
      </c>
      <c r="H1620" t="str">
        <f>"03203"</f>
        <v>03203</v>
      </c>
      <c r="I1620" t="s">
        <v>5189</v>
      </c>
    </row>
    <row r="1621" spans="1:9">
      <c r="A1621" t="str">
        <f>"0165149 "</f>
        <v xml:space="preserve">0165149 </v>
      </c>
      <c r="B1621" t="s">
        <v>4982</v>
      </c>
      <c r="C1621" t="str">
        <f>"03207FE"</f>
        <v>03207FE</v>
      </c>
      <c r="D1621" t="str">
        <f>"03207  FEBI - Р РµРјРєРѕРјРїР»РµРєС‚ С‚СЏРіРё СЃС‚Р°Р±С–Р»С–Р·Р°С‚РѕСЂР°"</f>
        <v>03207  FEBI - Р РµРјРєРѕРјРїР»РµРєС‚ С‚СЏРіРё СЃС‚Р°Р±С–Р»С–Р·Р°С‚РѕСЂР°</v>
      </c>
      <c r="E1621" t="s">
        <v>16</v>
      </c>
      <c r="F1621" t="s">
        <v>5190</v>
      </c>
      <c r="G1621" t="s">
        <v>4983</v>
      </c>
      <c r="H1621" t="str">
        <f>"03207"</f>
        <v>03207</v>
      </c>
      <c r="I1621" t="s">
        <v>5191</v>
      </c>
    </row>
    <row r="1622" spans="1:9">
      <c r="A1622" t="str">
        <f>"0165152 "</f>
        <v xml:space="preserve">0165152 </v>
      </c>
      <c r="B1622" t="s">
        <v>4982</v>
      </c>
      <c r="C1622" t="str">
        <f>"03212FE"</f>
        <v>03212FE</v>
      </c>
      <c r="D1622" t="str">
        <f>"03212  FEBI - Р’С‚СѓР»РєР° СЃС‚Р°Р±С–Р»С–Р·Р°С‚РѕСЂР°"</f>
        <v>03212  FEBI - Р’С‚СѓР»РєР° СЃС‚Р°Р±С–Р»С–Р·Р°С‚РѕСЂР°</v>
      </c>
      <c r="E1622" t="s">
        <v>16</v>
      </c>
      <c r="F1622" s="1">
        <v>42891</v>
      </c>
      <c r="G1622" t="s">
        <v>4983</v>
      </c>
      <c r="H1622" t="str">
        <f>"03212"</f>
        <v>03212</v>
      </c>
      <c r="I1622" t="s">
        <v>5192</v>
      </c>
    </row>
    <row r="1623" spans="1:9">
      <c r="A1623" t="str">
        <f>"0165156 "</f>
        <v xml:space="preserve">0165156 </v>
      </c>
      <c r="B1623" t="s">
        <v>4982</v>
      </c>
      <c r="C1623" t="str">
        <f>"03270FE"</f>
        <v>03270FE</v>
      </c>
      <c r="D1623" t="str">
        <f>"03270  FEBI - РљРѕРјРїР»РµРєС‚ РїС–РґС€РёРїРЅРёРєР° СЃС‚СѓРїРёС†С–"</f>
        <v>03270  FEBI - РљРѕРјРїР»РµРєС‚ РїС–РґС€РёРїРЅРёРєР° СЃС‚СѓРїРёС†С–</v>
      </c>
      <c r="E1623" t="s">
        <v>16</v>
      </c>
      <c r="F1623" t="s">
        <v>5121</v>
      </c>
      <c r="G1623" t="s">
        <v>4983</v>
      </c>
      <c r="H1623" t="str">
        <f>"03270"</f>
        <v>03270</v>
      </c>
      <c r="I1623" t="s">
        <v>5193</v>
      </c>
    </row>
    <row r="1624" spans="1:9">
      <c r="A1624" t="str">
        <f>"0165165 "</f>
        <v xml:space="preserve">0165165 </v>
      </c>
      <c r="B1624" t="s">
        <v>4982</v>
      </c>
      <c r="C1624" t="str">
        <f>"03281FE"</f>
        <v>03281FE</v>
      </c>
      <c r="D1624" t="str">
        <f>"03281  FEBI - РЎР°Р»СЊРЅРёРє РєР»Р°РїР°РЅР°"</f>
        <v>03281  FEBI - РЎР°Р»СЊРЅРёРє РєР»Р°РїР°РЅР°</v>
      </c>
      <c r="E1624" t="s">
        <v>16</v>
      </c>
      <c r="F1624" s="3">
        <v>29738</v>
      </c>
      <c r="G1624" t="s">
        <v>4983</v>
      </c>
      <c r="H1624" t="str">
        <f>"03281"</f>
        <v>03281</v>
      </c>
      <c r="I1624" t="s">
        <v>5194</v>
      </c>
    </row>
    <row r="1625" spans="1:9">
      <c r="A1625" t="str">
        <f>"0165176 "</f>
        <v xml:space="preserve">0165176 </v>
      </c>
      <c r="B1625" t="s">
        <v>4982</v>
      </c>
      <c r="C1625" t="str">
        <f>"03308FE"</f>
        <v>03308FE</v>
      </c>
      <c r="D1625" t="str">
        <f>"03308  FEBI - РџРёР»СЊРѕРІРёРє РєРµСЂРјРѕРІРѕС— С‚СЏРіРё"</f>
        <v>03308  FEBI - РџРёР»СЊРѕРІРёРє РєРµСЂРјРѕРІРѕС— С‚СЏРіРё</v>
      </c>
      <c r="E1625">
        <v>2</v>
      </c>
      <c r="F1625" t="s">
        <v>5195</v>
      </c>
      <c r="G1625" t="s">
        <v>4983</v>
      </c>
      <c r="H1625" t="str">
        <f>"03308"</f>
        <v>03308</v>
      </c>
      <c r="I1625" t="s">
        <v>5196</v>
      </c>
    </row>
    <row r="1626" spans="1:9">
      <c r="A1626" t="str">
        <f>"0165179 "</f>
        <v xml:space="preserve">0165179 </v>
      </c>
      <c r="B1626" t="s">
        <v>4982</v>
      </c>
      <c r="C1626" t="str">
        <f>"03311FE"</f>
        <v>03311FE</v>
      </c>
      <c r="D1626" t="str">
        <f>"03311  FEBI - РџРёР»СЊРѕРІРёРє РїСЂРёРІС–РґРЅРѕРіРѕ РІР°Р»Р°"</f>
        <v>03311  FEBI - РџРёР»СЊРѕРІРёРє РїСЂРёРІС–РґРЅРѕРіРѕ РІР°Р»Р°</v>
      </c>
      <c r="E1626">
        <v>4</v>
      </c>
      <c r="F1626" t="s">
        <v>5197</v>
      </c>
      <c r="G1626" t="s">
        <v>4983</v>
      </c>
      <c r="H1626" t="str">
        <f>"03311"</f>
        <v>03311</v>
      </c>
      <c r="I1626" t="s">
        <v>5198</v>
      </c>
    </row>
    <row r="1627" spans="1:9">
      <c r="A1627" t="str">
        <f>"0165180 "</f>
        <v xml:space="preserve">0165180 </v>
      </c>
      <c r="B1627" t="s">
        <v>4982</v>
      </c>
      <c r="C1627" t="str">
        <f>"03312FE"</f>
        <v>03312FE</v>
      </c>
      <c r="D1627" t="str">
        <f>"03312  FEBI - РџРёР»СЊРѕРІРёРє РїСЂРёРІС–РґРЅРѕРіРѕ РІР°Р»Р°"</f>
        <v>03312  FEBI - РџРёР»СЊРѕРІРёРє РїСЂРёРІС–РґРЅРѕРіРѕ РІР°Р»Р°</v>
      </c>
      <c r="E1627">
        <v>2</v>
      </c>
      <c r="F1627" t="s">
        <v>5180</v>
      </c>
      <c r="G1627" t="s">
        <v>4983</v>
      </c>
      <c r="H1627" t="str">
        <f>"03312"</f>
        <v>03312</v>
      </c>
      <c r="I1627" t="s">
        <v>5198</v>
      </c>
    </row>
    <row r="1628" spans="1:9">
      <c r="A1628" t="str">
        <f>"0165187 "</f>
        <v xml:space="preserve">0165187 </v>
      </c>
      <c r="B1628" t="s">
        <v>4982</v>
      </c>
      <c r="C1628" t="str">
        <f>"03328FE"</f>
        <v>03328FE</v>
      </c>
      <c r="D1628" t="str">
        <f>"03328  FEBI - РџРёР»СЊРѕРІРёРє РїСЂРёРІС–РґРЅРѕРіРѕ РІР°Р»Р°"</f>
        <v>03328  FEBI - РџРёР»СЊРѕРІРёРє РїСЂРёРІС–РґРЅРѕРіРѕ РІР°Р»Р°</v>
      </c>
      <c r="E1628">
        <v>2</v>
      </c>
      <c r="F1628" t="s">
        <v>5081</v>
      </c>
      <c r="G1628" t="s">
        <v>4983</v>
      </c>
      <c r="H1628" t="str">
        <f>"03328"</f>
        <v>03328</v>
      </c>
      <c r="I1628" t="s">
        <v>5199</v>
      </c>
    </row>
    <row r="1629" spans="1:9">
      <c r="A1629" t="str">
        <f>"0165188 "</f>
        <v xml:space="preserve">0165188 </v>
      </c>
      <c r="B1629" t="s">
        <v>4982</v>
      </c>
      <c r="C1629" t="str">
        <f>"03330FE"</f>
        <v>03330FE</v>
      </c>
      <c r="D1629" t="str">
        <f>"03330  FEBI - Р¤Р»Р°РЅРµС†СЊ РєР°СЂР±СЋСЂР°С‚РѕСЂР°"</f>
        <v>03330  FEBI - Р¤Р»Р°РЅРµС†СЊ РєР°СЂР±СЋСЂР°С‚РѕСЂР°</v>
      </c>
      <c r="E1629">
        <v>1</v>
      </c>
      <c r="F1629" t="s">
        <v>5200</v>
      </c>
      <c r="G1629" t="s">
        <v>4983</v>
      </c>
      <c r="H1629" t="str">
        <f>"03330"</f>
        <v>03330</v>
      </c>
      <c r="I1629" t="s">
        <v>5201</v>
      </c>
    </row>
    <row r="1630" spans="1:9">
      <c r="A1630" t="str">
        <f>"0165195 "</f>
        <v xml:space="preserve">0165195 </v>
      </c>
      <c r="B1630" t="s">
        <v>4982</v>
      </c>
      <c r="C1630" t="str">
        <f>"03345FE"</f>
        <v>03345FE</v>
      </c>
      <c r="D1630" t="str">
        <f>"03345  FEBI - РЎР°Р»СЊРЅРёРє РєР»Р°РїР°РЅР°"</f>
        <v>03345  FEBI - РЎР°Р»СЊРЅРёРє РєР»Р°РїР°РЅР°</v>
      </c>
      <c r="E1630" t="s">
        <v>16</v>
      </c>
      <c r="F1630" s="3">
        <v>29738</v>
      </c>
      <c r="G1630" t="s">
        <v>4983</v>
      </c>
      <c r="H1630" t="str">
        <f>"03345"</f>
        <v>03345</v>
      </c>
      <c r="I1630" t="s">
        <v>5202</v>
      </c>
    </row>
    <row r="1631" spans="1:9">
      <c r="A1631" t="str">
        <f>"0165202 "</f>
        <v xml:space="preserve">0165202 </v>
      </c>
      <c r="B1631" t="s">
        <v>4982</v>
      </c>
      <c r="C1631" t="str">
        <f>"03360FE"</f>
        <v>03360FE</v>
      </c>
      <c r="D1631" t="str">
        <f>"03360  FEBI - РЎР°Р»СЊРЅРёРє РєР»Р°РїР°РЅР°"</f>
        <v>03360  FEBI - РЎР°Р»СЊРЅРёРє РєР»Р°РїР°РЅР°</v>
      </c>
      <c r="E1631" t="s">
        <v>16</v>
      </c>
      <c r="F1631" s="3">
        <v>15523</v>
      </c>
      <c r="G1631" t="s">
        <v>4983</v>
      </c>
      <c r="H1631" t="str">
        <f>"03360"</f>
        <v>03360</v>
      </c>
      <c r="I1631" t="s">
        <v>5203</v>
      </c>
    </row>
    <row r="1632" spans="1:9">
      <c r="A1632" t="str">
        <f>"0165208 "</f>
        <v xml:space="preserve">0165208 </v>
      </c>
      <c r="B1632" t="s">
        <v>4982</v>
      </c>
      <c r="C1632" t="str">
        <f>"03373FE"</f>
        <v>03373FE</v>
      </c>
      <c r="D1632" t="str">
        <f>"03373  FEBI - РћРїРѕСЂР° Р°РјРѕСЂС‚РёР·Р°С‚РѕСЂР°"</f>
        <v>03373  FEBI - РћРїРѕСЂР° Р°РјРѕСЂС‚РёР·Р°С‚РѕСЂР°</v>
      </c>
      <c r="E1632">
        <v>2</v>
      </c>
      <c r="F1632" t="s">
        <v>5204</v>
      </c>
      <c r="G1632" t="s">
        <v>4983</v>
      </c>
      <c r="H1632" t="str">
        <f>"03373"</f>
        <v>03373</v>
      </c>
      <c r="I1632" t="s">
        <v>5205</v>
      </c>
    </row>
    <row r="1633" spans="1:9">
      <c r="A1633" t="str">
        <f>"0165226 "</f>
        <v xml:space="preserve">0165226 </v>
      </c>
      <c r="B1633" t="s">
        <v>4982</v>
      </c>
      <c r="C1633" t="str">
        <f>"03456FE"</f>
        <v>03456FE</v>
      </c>
      <c r="D1633" t="str">
        <f>"03456  FEBI - РћРїРѕСЂР° Р°РјРѕСЂС‚РёР·Р°С‚РѕСЂР°"</f>
        <v>03456  FEBI - РћРїРѕСЂР° Р°РјРѕСЂС‚РёР·Р°С‚РѕСЂР°</v>
      </c>
      <c r="E1633" t="s">
        <v>16</v>
      </c>
      <c r="F1633" t="s">
        <v>5206</v>
      </c>
      <c r="G1633" t="s">
        <v>4983</v>
      </c>
      <c r="H1633" t="str">
        <f>"03456"</f>
        <v>03456</v>
      </c>
      <c r="I1633" t="s">
        <v>5207</v>
      </c>
    </row>
    <row r="1634" spans="1:9">
      <c r="A1634" t="str">
        <f>"0165227 "</f>
        <v xml:space="preserve">0165227 </v>
      </c>
      <c r="B1634" t="s">
        <v>4982</v>
      </c>
      <c r="C1634" t="str">
        <f>"03461FE"</f>
        <v>03461FE</v>
      </c>
      <c r="D1634" t="str">
        <f>"03461  FEBI - Р’С‚СѓР»РєР° СЃС‚Р°Р±С–Р»С–Р·Р°С‚РѕСЂР°"</f>
        <v>03461  FEBI - Р’С‚СѓР»РєР° СЃС‚Р°Р±С–Р»С–Р·Р°С‚РѕСЂР°</v>
      </c>
      <c r="E1634">
        <v>4</v>
      </c>
      <c r="F1634" t="s">
        <v>5208</v>
      </c>
      <c r="G1634" t="s">
        <v>4983</v>
      </c>
      <c r="H1634" t="str">
        <f>"03461"</f>
        <v>03461</v>
      </c>
      <c r="I1634" t="s">
        <v>5209</v>
      </c>
    </row>
    <row r="1635" spans="1:9">
      <c r="A1635" t="str">
        <f>"0165230 "</f>
        <v xml:space="preserve">0165230 </v>
      </c>
      <c r="B1635" t="s">
        <v>4982</v>
      </c>
      <c r="C1635" t="str">
        <f>"03487FE"</f>
        <v>03487FE</v>
      </c>
      <c r="D1635" t="str">
        <f>"03487  FEBI - РћРїРѕСЂР° Р°РјРѕСЂС‚РёР·Р°С‚РѕСЂР°"</f>
        <v>03487  FEBI - РћРїРѕСЂР° Р°РјРѕСЂС‚РёР·Р°С‚РѕСЂР°</v>
      </c>
      <c r="E1635">
        <v>3</v>
      </c>
      <c r="F1635" t="s">
        <v>5210</v>
      </c>
      <c r="G1635" t="s">
        <v>4983</v>
      </c>
      <c r="H1635" t="str">
        <f>"03487"</f>
        <v>03487</v>
      </c>
      <c r="I1635" t="s">
        <v>5211</v>
      </c>
    </row>
    <row r="1636" spans="1:9">
      <c r="A1636" t="str">
        <f>"0165240 "</f>
        <v xml:space="preserve">0165240 </v>
      </c>
      <c r="B1636" t="s">
        <v>4982</v>
      </c>
      <c r="C1636" t="str">
        <f>"03544FE"</f>
        <v>03544FE</v>
      </c>
      <c r="D1636" t="str">
        <f>"03544  FEBI - Р“С–Р»СЊР·Р° СЃР°Р№Р»РµРЅС‚Р±Р»РѕРєР°"</f>
        <v>03544  FEBI - Р“С–Р»СЊР·Р° СЃР°Р№Р»РµРЅС‚Р±Р»РѕРєР°</v>
      </c>
      <c r="E1636" t="s">
        <v>16</v>
      </c>
      <c r="F1636" s="1">
        <v>42770</v>
      </c>
      <c r="G1636" t="s">
        <v>4983</v>
      </c>
      <c r="H1636" t="str">
        <f>"03544"</f>
        <v>03544</v>
      </c>
      <c r="I1636" t="s">
        <v>5212</v>
      </c>
    </row>
    <row r="1637" spans="1:9">
      <c r="A1637" t="str">
        <f>"0165242 "</f>
        <v xml:space="preserve">0165242 </v>
      </c>
      <c r="B1637" t="s">
        <v>4982</v>
      </c>
      <c r="C1637" t="str">
        <f>"03548FE"</f>
        <v>03548FE</v>
      </c>
      <c r="D1637" t="str">
        <f>"03548  FEBI - РљСѓР»СЊРѕРІР° РѕРїРѕСЂР°"</f>
        <v>03548  FEBI - РљСѓР»СЊРѕРІР° РѕРїРѕСЂР°</v>
      </c>
      <c r="E1637">
        <v>2</v>
      </c>
      <c r="F1637" t="s">
        <v>5213</v>
      </c>
      <c r="G1637" t="s">
        <v>4983</v>
      </c>
      <c r="H1637" t="str">
        <f>"03548"</f>
        <v>03548</v>
      </c>
      <c r="I1637" t="s">
        <v>5169</v>
      </c>
    </row>
    <row r="1638" spans="1:9">
      <c r="A1638" t="str">
        <f>"0197672 "</f>
        <v xml:space="preserve">0197672 </v>
      </c>
      <c r="B1638" t="s">
        <v>4982</v>
      </c>
      <c r="C1638" t="str">
        <f>"03556FE"</f>
        <v>03556FE</v>
      </c>
      <c r="D1638" t="str">
        <f>"03556  FEBI - Р“Р°Р№РєР° РєРѕР»С–СЃРЅР°"</f>
        <v>03556  FEBI - Р“Р°Р№РєР° РєРѕР»С–СЃРЅР°</v>
      </c>
      <c r="E1638">
        <v>5</v>
      </c>
      <c r="F1638" s="3">
        <v>30590</v>
      </c>
      <c r="G1638" t="s">
        <v>4983</v>
      </c>
      <c r="H1638" t="str">
        <f>"03556"</f>
        <v>03556</v>
      </c>
      <c r="I1638" t="s">
        <v>5005</v>
      </c>
    </row>
    <row r="1639" spans="1:9">
      <c r="A1639" t="str">
        <f>"0165251 "</f>
        <v xml:space="preserve">0165251 </v>
      </c>
      <c r="B1639" t="s">
        <v>4982</v>
      </c>
      <c r="C1639" t="str">
        <f>"03583FE"</f>
        <v>03583FE</v>
      </c>
      <c r="D1639" t="str">
        <f>"03583  FEBI - РќР°РєС–РЅРµС‡РЅРёРє РєРµСЂРјРѕРІРѕС— С‚СЏРіРё"</f>
        <v>03583  FEBI - РќР°РєС–РЅРµС‡РЅРёРє РєРµСЂРјРѕРІРѕС— С‚СЏРіРё</v>
      </c>
      <c r="E1639">
        <v>5</v>
      </c>
      <c r="F1639" t="s">
        <v>3554</v>
      </c>
      <c r="G1639" t="s">
        <v>4983</v>
      </c>
      <c r="H1639" t="str">
        <f>"03583"</f>
        <v>03583</v>
      </c>
      <c r="I1639" t="s">
        <v>5214</v>
      </c>
    </row>
    <row r="1640" spans="1:9">
      <c r="A1640" t="str">
        <f>"0165253 "</f>
        <v xml:space="preserve">0165253 </v>
      </c>
      <c r="B1640" t="s">
        <v>4982</v>
      </c>
      <c r="C1640" t="str">
        <f>"03595FE"</f>
        <v>03595FE</v>
      </c>
      <c r="D1640" t="str">
        <f>"03595  FEBI - РџРёР»СЊРѕРІРёРє РїСЂРёРІС–РґРЅРѕРіРѕ РІР°Р»Р°"</f>
        <v>03595  FEBI - РџРёР»СЊРѕРІРёРє РїСЂРёРІС–РґРЅРѕРіРѕ РІР°Р»Р°</v>
      </c>
      <c r="E1640">
        <v>4</v>
      </c>
      <c r="F1640" t="s">
        <v>5215</v>
      </c>
      <c r="G1640" t="s">
        <v>4983</v>
      </c>
      <c r="H1640" t="str">
        <f>"03595"</f>
        <v>03595</v>
      </c>
      <c r="I1640" t="s">
        <v>5216</v>
      </c>
    </row>
    <row r="1641" spans="1:9">
      <c r="A1641" t="str">
        <f>"0165254 "</f>
        <v xml:space="preserve">0165254 </v>
      </c>
      <c r="B1641" t="s">
        <v>4982</v>
      </c>
      <c r="C1641" t="str">
        <f>"03598FE"</f>
        <v>03598FE</v>
      </c>
      <c r="D1641" t="str">
        <f>"03598  FEBI - РЎР°Р»СЊРЅРёРє"</f>
        <v>03598  FEBI - РЎР°Р»СЊРЅРёРє</v>
      </c>
      <c r="E1641">
        <v>2</v>
      </c>
      <c r="F1641" t="s">
        <v>5217</v>
      </c>
      <c r="G1641" t="s">
        <v>4983</v>
      </c>
      <c r="H1641" t="str">
        <f>"03598"</f>
        <v>03598</v>
      </c>
      <c r="I1641" t="s">
        <v>5218</v>
      </c>
    </row>
    <row r="1642" spans="1:9">
      <c r="A1642" t="str">
        <f>"0165259 "</f>
        <v xml:space="preserve">0165259 </v>
      </c>
      <c r="B1642" t="s">
        <v>4982</v>
      </c>
      <c r="C1642" t="str">
        <f>"03604FE"</f>
        <v>03604FE</v>
      </c>
      <c r="D1642" t="str">
        <f>"03604  FEBI - Р¤Р»Р°РЅРµС†СЊ РєР°СЂР±СЋСЂР°С‚РѕСЂР°"</f>
        <v>03604  FEBI - Р¤Р»Р°РЅРµС†СЊ РєР°СЂР±СЋСЂР°С‚РѕСЂР°</v>
      </c>
      <c r="E1642">
        <v>2</v>
      </c>
      <c r="F1642" t="s">
        <v>5219</v>
      </c>
      <c r="G1642" t="s">
        <v>4983</v>
      </c>
      <c r="H1642" t="str">
        <f>"03604"</f>
        <v>03604</v>
      </c>
      <c r="I1642" t="s">
        <v>5220</v>
      </c>
    </row>
    <row r="1643" spans="1:9">
      <c r="A1643" t="str">
        <f>"0165301 "</f>
        <v xml:space="preserve">0165301 </v>
      </c>
      <c r="B1643" t="s">
        <v>4982</v>
      </c>
      <c r="C1643" t="str">
        <f>"03671FE"</f>
        <v>03671FE</v>
      </c>
      <c r="D1643" t="str">
        <f>"03671  FEBI - РЎР°Р№Р»РµРЅС‚Р±Р»РѕРє Р±Р°Р»РєРё"</f>
        <v>03671  FEBI - РЎР°Р№Р»РµРЅС‚Р±Р»РѕРє Р±Р°Р»РєРё</v>
      </c>
      <c r="E1643">
        <v>4</v>
      </c>
      <c r="F1643" t="s">
        <v>4995</v>
      </c>
      <c r="G1643" t="s">
        <v>4983</v>
      </c>
      <c r="H1643" t="str">
        <f>"03671"</f>
        <v>03671</v>
      </c>
      <c r="I1643" t="s">
        <v>5221</v>
      </c>
    </row>
    <row r="1644" spans="1:9">
      <c r="A1644" t="str">
        <f>"0165305 "</f>
        <v xml:space="preserve">0165305 </v>
      </c>
      <c r="B1644" t="s">
        <v>4982</v>
      </c>
      <c r="C1644" t="str">
        <f>"03687FE"</f>
        <v>03687FE</v>
      </c>
      <c r="D1644" t="str">
        <f>"03687  FEBI - Р“Р°Р№РєР°"</f>
        <v>03687  FEBI - Р“Р°Р№РєР°</v>
      </c>
      <c r="E1644" t="s">
        <v>16</v>
      </c>
      <c r="F1644" s="3">
        <v>19815</v>
      </c>
      <c r="G1644" t="s">
        <v>4983</v>
      </c>
      <c r="H1644" t="str">
        <f>"03687"</f>
        <v>03687</v>
      </c>
      <c r="I1644" t="s">
        <v>5222</v>
      </c>
    </row>
    <row r="1645" spans="1:9">
      <c r="A1645" t="str">
        <f>"0165323 "</f>
        <v xml:space="preserve">0165323 </v>
      </c>
      <c r="B1645" t="s">
        <v>4982</v>
      </c>
      <c r="C1645" t="str">
        <f>"03822FE"</f>
        <v>03822FE</v>
      </c>
      <c r="D1645" t="str">
        <f>"03822  FEBI - РљСѓР»СЊРѕРІР° РѕРїРѕСЂР°"</f>
        <v>03822  FEBI - РљСѓР»СЊРѕРІР° РѕРїРѕСЂР°</v>
      </c>
      <c r="E1645">
        <v>4</v>
      </c>
      <c r="F1645" t="s">
        <v>908</v>
      </c>
      <c r="G1645" t="s">
        <v>4983</v>
      </c>
      <c r="H1645" t="str">
        <f>"03822"</f>
        <v>03822</v>
      </c>
      <c r="I1645" t="s">
        <v>5223</v>
      </c>
    </row>
    <row r="1646" spans="1:9">
      <c r="A1646" t="str">
        <f>"0165340 "</f>
        <v xml:space="preserve">0165340 </v>
      </c>
      <c r="B1646" t="s">
        <v>4982</v>
      </c>
      <c r="C1646" t="str">
        <f>"03885FE"</f>
        <v>03885FE</v>
      </c>
      <c r="D1646" t="str">
        <f>"03885  FEBI - Р’С‚СѓР»РєР° СЃС‚Р°Р±С–Р»С–Р·Р°С‚РѕСЂР°"</f>
        <v>03885  FEBI - Р’С‚СѓР»РєР° СЃС‚Р°Р±С–Р»С–Р·Р°С‚РѕСЂР°</v>
      </c>
      <c r="E1646" t="s">
        <v>16</v>
      </c>
      <c r="F1646" t="s">
        <v>5224</v>
      </c>
      <c r="G1646" t="s">
        <v>4983</v>
      </c>
      <c r="H1646" t="str">
        <f>"03885"</f>
        <v>03885</v>
      </c>
      <c r="I1646" t="s">
        <v>5225</v>
      </c>
    </row>
    <row r="1647" spans="1:9">
      <c r="A1647" t="str">
        <f>"0165354 "</f>
        <v xml:space="preserve">0165354 </v>
      </c>
      <c r="B1647" t="s">
        <v>4982</v>
      </c>
      <c r="C1647" t="str">
        <f>"03909FE"</f>
        <v>03909FE</v>
      </c>
      <c r="D1647" t="str">
        <f>"03909  FEBI - Р•Р»Р°СЃС‚РёС‡РЅР° РјСѓС„С‚Р° (Рє-РєС‚)"</f>
        <v>03909  FEBI - Р•Р»Р°СЃС‚РёС‡РЅР° РјСѓС„С‚Р° (Рє-РєС‚)</v>
      </c>
      <c r="E1647">
        <v>2</v>
      </c>
      <c r="F1647" t="s">
        <v>5226</v>
      </c>
      <c r="G1647" t="s">
        <v>4983</v>
      </c>
      <c r="H1647" t="str">
        <f>"03909"</f>
        <v>03909</v>
      </c>
      <c r="I1647" t="s">
        <v>5227</v>
      </c>
    </row>
    <row r="1648" spans="1:9">
      <c r="A1648" t="str">
        <f>"0165358 "</f>
        <v xml:space="preserve">0165358 </v>
      </c>
      <c r="B1648" t="s">
        <v>4982</v>
      </c>
      <c r="C1648" t="str">
        <f>"03914FE"</f>
        <v>03914FE</v>
      </c>
      <c r="D1648" t="str">
        <f>"03914  FEBI - РџСЂРѕРєР»Р°РґРєР° РїС–РґРґРѕРЅСѓ"</f>
        <v>03914  FEBI - РџСЂРѕРєР»Р°РґРєР° РїС–РґРґРѕРЅСѓ</v>
      </c>
      <c r="E1648">
        <v>2</v>
      </c>
      <c r="F1648" t="s">
        <v>5228</v>
      </c>
      <c r="G1648" t="s">
        <v>4983</v>
      </c>
      <c r="H1648" t="str">
        <f>"03914"</f>
        <v>03914</v>
      </c>
      <c r="I1648" t="s">
        <v>5229</v>
      </c>
    </row>
    <row r="1649" spans="1:9">
      <c r="A1649" t="str">
        <f>"0165359 "</f>
        <v xml:space="preserve">0165359 </v>
      </c>
      <c r="B1649" t="s">
        <v>4982</v>
      </c>
      <c r="C1649" t="str">
        <f>"03918FE"</f>
        <v>03918FE</v>
      </c>
      <c r="D1649" t="str">
        <f>"03918  FEBI - Р•Р»Р°СЃС‚РёС‡РЅР° РјСѓС„С‚Р°"</f>
        <v>03918  FEBI - Р•Р»Р°СЃС‚РёС‡РЅР° РјСѓС„С‚Р°</v>
      </c>
      <c r="E1649">
        <v>2</v>
      </c>
      <c r="F1649" t="s">
        <v>5230</v>
      </c>
      <c r="G1649" t="s">
        <v>4983</v>
      </c>
      <c r="H1649" t="str">
        <f>"03918"</f>
        <v>03918</v>
      </c>
      <c r="I1649" t="s">
        <v>5231</v>
      </c>
    </row>
    <row r="1650" spans="1:9">
      <c r="A1650" t="str">
        <f>"0197684 "</f>
        <v xml:space="preserve">0197684 </v>
      </c>
      <c r="B1650" t="s">
        <v>4982</v>
      </c>
      <c r="C1650" t="str">
        <f>"03966FE"</f>
        <v>03966FE</v>
      </c>
      <c r="D1650" t="str">
        <f>"03966  FEBI - Р“Р°Р№РєР° РєРѕР»С–СЃРЅР°"</f>
        <v>03966  FEBI - Р“Р°Р№РєР° РєРѕР»С–СЃРЅР°</v>
      </c>
      <c r="E1650" t="s">
        <v>16</v>
      </c>
      <c r="F1650" s="3">
        <v>17807</v>
      </c>
      <c r="G1650" t="s">
        <v>4983</v>
      </c>
      <c r="H1650" t="str">
        <f>"03966"</f>
        <v>03966</v>
      </c>
      <c r="I1650" t="s">
        <v>5005</v>
      </c>
    </row>
    <row r="1651" spans="1:9">
      <c r="A1651" t="str">
        <f>"0165374 "</f>
        <v xml:space="preserve">0165374 </v>
      </c>
      <c r="B1651" t="s">
        <v>4982</v>
      </c>
      <c r="C1651" t="str">
        <f>"04001FE"</f>
        <v>04001FE</v>
      </c>
      <c r="D1651" t="str">
        <f>"04001  FEBI - РњРµС…Р°РЅС–Р·Рј РЅР°С‚СЏРіСѓ СЂРµРјРµРЅСЏ"</f>
        <v>04001  FEBI - РњРµС…Р°РЅС–Р·Рј РЅР°С‚СЏРіСѓ СЂРµРјРµРЅСЏ</v>
      </c>
      <c r="E1651">
        <v>1</v>
      </c>
      <c r="F1651" t="s">
        <v>5232</v>
      </c>
      <c r="G1651" t="s">
        <v>4983</v>
      </c>
      <c r="H1651" t="str">
        <f>"04001"</f>
        <v>04001</v>
      </c>
      <c r="I1651" t="s">
        <v>5233</v>
      </c>
    </row>
    <row r="1652" spans="1:9">
      <c r="A1652" t="str">
        <f>"0165434 "</f>
        <v xml:space="preserve">0165434 </v>
      </c>
      <c r="B1652" t="s">
        <v>4982</v>
      </c>
      <c r="C1652" t="str">
        <f>"04197FE"</f>
        <v>04197FE</v>
      </c>
      <c r="D1652" t="str">
        <f>"04197  FEBI - РўСЂРѕСЃ Р·С‡РµРїР»РµРЅРЅСЏ"</f>
        <v>04197  FEBI - РўСЂРѕСЃ Р·С‡РµРїР»РµРЅРЅСЏ</v>
      </c>
      <c r="E1652">
        <v>1</v>
      </c>
      <c r="F1652" t="s">
        <v>5234</v>
      </c>
      <c r="G1652" t="s">
        <v>4983</v>
      </c>
      <c r="H1652" t="str">
        <f>"04197"</f>
        <v>04197</v>
      </c>
      <c r="I1652" t="s">
        <v>5235</v>
      </c>
    </row>
    <row r="1653" spans="1:9">
      <c r="A1653" t="str">
        <f>"0165435 "</f>
        <v xml:space="preserve">0165435 </v>
      </c>
      <c r="B1653" t="s">
        <v>4982</v>
      </c>
      <c r="C1653" t="str">
        <f>"04199FE"</f>
        <v>04199FE</v>
      </c>
      <c r="D1653" t="str">
        <f>"04199  FEBI - РќР°С‚СЏР¶РЅРёР№ СЂРѕР»РёРє СЂРµРјРµРЅСЏ Р“Р Рњ"</f>
        <v>04199  FEBI - РќР°С‚СЏР¶РЅРёР№ СЂРѕР»РёРє СЂРµРјРµРЅСЏ Р“Р Рњ</v>
      </c>
      <c r="E1653">
        <v>2</v>
      </c>
      <c r="F1653" t="s">
        <v>5236</v>
      </c>
      <c r="G1653" t="s">
        <v>4983</v>
      </c>
      <c r="H1653" t="str">
        <f>"04199"</f>
        <v>04199</v>
      </c>
      <c r="I1653" t="s">
        <v>5237</v>
      </c>
    </row>
    <row r="1654" spans="1:9">
      <c r="A1654" t="str">
        <f>"0165436 "</f>
        <v xml:space="preserve">0165436 </v>
      </c>
      <c r="B1654" t="s">
        <v>4982</v>
      </c>
      <c r="C1654" t="str">
        <f>"04205FE"</f>
        <v>04205FE</v>
      </c>
      <c r="D1654" t="str">
        <f>"04205  FEBI - РўСЂРѕСЃ Р·С‡РµРїР»РµРЅРЅСЏ"</f>
        <v>04205  FEBI - РўСЂРѕСЃ Р·С‡РµРїР»РµРЅРЅСЏ</v>
      </c>
      <c r="E1654">
        <v>1</v>
      </c>
      <c r="F1654" t="s">
        <v>5238</v>
      </c>
      <c r="G1654" t="s">
        <v>4983</v>
      </c>
      <c r="H1654" t="str">
        <f>"04205"</f>
        <v>04205</v>
      </c>
      <c r="I1654" t="s">
        <v>5239</v>
      </c>
    </row>
    <row r="1655" spans="1:9">
      <c r="A1655" t="str">
        <f>"0165447 "</f>
        <v xml:space="preserve">0165447 </v>
      </c>
      <c r="B1655" t="s">
        <v>4982</v>
      </c>
      <c r="C1655" t="str">
        <f>"04250FE"</f>
        <v>04250FE</v>
      </c>
      <c r="D1655" t="str">
        <f>"04250  FEBI - Р’С‚СѓР»РєР° СЃС‚Р°Р±С–Р»С–Р·Р°С‚РѕСЂР°"</f>
        <v>04250  FEBI - Р’С‚СѓР»РєР° СЃС‚Р°Р±С–Р»С–Р·Р°С‚РѕСЂР°</v>
      </c>
      <c r="E1655">
        <v>4</v>
      </c>
      <c r="F1655" t="s">
        <v>5240</v>
      </c>
      <c r="G1655" t="s">
        <v>4983</v>
      </c>
      <c r="H1655" t="str">
        <f>"04250"</f>
        <v>04250</v>
      </c>
      <c r="I1655" t="s">
        <v>5241</v>
      </c>
    </row>
    <row r="1656" spans="1:9">
      <c r="A1656" t="str">
        <f>"0165453 "</f>
        <v xml:space="preserve">0165453 </v>
      </c>
      <c r="B1656" t="s">
        <v>4982</v>
      </c>
      <c r="C1656" t="str">
        <f>"04306FE"</f>
        <v>04306FE</v>
      </c>
      <c r="D1656" t="str">
        <f>"04306  FEBI - РЎР°Р№Р»РµРЅС‚Р±Р»РѕРє Р±Р°Р»РєРё"</f>
        <v>04306  FEBI - РЎР°Р№Р»РµРЅС‚Р±Р»РѕРє Р±Р°Р»РєРё</v>
      </c>
      <c r="E1656" t="s">
        <v>16</v>
      </c>
      <c r="F1656" t="s">
        <v>5242</v>
      </c>
      <c r="G1656" t="s">
        <v>4983</v>
      </c>
      <c r="H1656" t="str">
        <f>"04306"</f>
        <v>04306</v>
      </c>
      <c r="I1656" t="s">
        <v>5243</v>
      </c>
    </row>
    <row r="1657" spans="1:9">
      <c r="A1657" t="str">
        <f>"0165461 "</f>
        <v xml:space="preserve">0165461 </v>
      </c>
      <c r="B1657" t="s">
        <v>4982</v>
      </c>
      <c r="C1657" t="str">
        <f>"04421FE"</f>
        <v>04421FE</v>
      </c>
      <c r="D1657" t="str">
        <f>"04421  FEBI - РќР°РєС–РЅРµС‡РЅРёРє РєРµСЂРјРѕРІРѕС— С‚СЏРіРё"</f>
        <v>04421  FEBI - РќР°РєС–РЅРµС‡РЅРёРє РєРµСЂРјРѕРІРѕС— С‚СЏРіРё</v>
      </c>
      <c r="E1657">
        <v>4</v>
      </c>
      <c r="F1657" t="s">
        <v>5244</v>
      </c>
      <c r="G1657" t="s">
        <v>4983</v>
      </c>
      <c r="H1657" t="str">
        <f>"04421"</f>
        <v>04421</v>
      </c>
      <c r="I1657" t="s">
        <v>5245</v>
      </c>
    </row>
    <row r="1658" spans="1:9">
      <c r="A1658" t="str">
        <f>"0165462 "</f>
        <v xml:space="preserve">0165462 </v>
      </c>
      <c r="B1658" t="s">
        <v>4982</v>
      </c>
      <c r="C1658" t="str">
        <f>"04422FE"</f>
        <v>04422FE</v>
      </c>
      <c r="D1658" t="str">
        <f>"04422  FEBI - РќР°РєС–РЅРµС‡РЅРёРє РєРµСЂРјРѕРІРѕС— С‚СЏРіРё"</f>
        <v>04422  FEBI - РќР°РєС–РЅРµС‡РЅРёРє РєРµСЂРјРѕРІРѕС— С‚СЏРіРё</v>
      </c>
      <c r="E1658">
        <v>4</v>
      </c>
      <c r="F1658" t="s">
        <v>5246</v>
      </c>
      <c r="G1658" t="s">
        <v>4983</v>
      </c>
      <c r="H1658" t="str">
        <f>"04422"</f>
        <v>04422</v>
      </c>
      <c r="I1658" t="s">
        <v>5247</v>
      </c>
    </row>
    <row r="1659" spans="1:9">
      <c r="A1659" t="str">
        <f>"0165465 "</f>
        <v xml:space="preserve">0165465 </v>
      </c>
      <c r="B1659" t="s">
        <v>4982</v>
      </c>
      <c r="C1659" t="str">
        <f>"04428FE"</f>
        <v>04428FE</v>
      </c>
      <c r="D1659" t="str">
        <f>"04428  FEBI - Р”Р°С‚С‡РёРє С‚РёСЃРєСѓ РјР°СЃР»Р°"</f>
        <v>04428  FEBI - Р”Р°С‚С‡РёРє С‚РёСЃРєСѓ РјР°СЃР»Р°</v>
      </c>
      <c r="E1659">
        <v>2</v>
      </c>
      <c r="F1659" t="s">
        <v>5248</v>
      </c>
      <c r="G1659" t="s">
        <v>4983</v>
      </c>
      <c r="H1659" t="str">
        <f>"04428"</f>
        <v>04428</v>
      </c>
      <c r="I1659" t="s">
        <v>5249</v>
      </c>
    </row>
    <row r="1660" spans="1:9">
      <c r="A1660" t="str">
        <f>"0165475 "</f>
        <v xml:space="preserve">0165475 </v>
      </c>
      <c r="B1660" t="s">
        <v>4982</v>
      </c>
      <c r="C1660" t="str">
        <f>"04443FE"</f>
        <v>04443FE</v>
      </c>
      <c r="D1660" t="str">
        <f>"04443  FEBI - Р’С‚СѓР»РєР° СЃС‚Р°Р±С–Р»С–Р·Р°С‚РѕСЂР°"</f>
        <v>04443  FEBI - Р’С‚СѓР»РєР° СЃС‚Р°Р±С–Р»С–Р·Р°С‚РѕСЂР°</v>
      </c>
      <c r="E1660">
        <v>2</v>
      </c>
      <c r="F1660" t="s">
        <v>5250</v>
      </c>
      <c r="G1660" t="s">
        <v>4983</v>
      </c>
      <c r="H1660" t="str">
        <f>"04443"</f>
        <v>04443</v>
      </c>
      <c r="I1660" t="s">
        <v>5251</v>
      </c>
    </row>
    <row r="1661" spans="1:9">
      <c r="A1661" t="str">
        <f>"0165491 "</f>
        <v xml:space="preserve">0165491 </v>
      </c>
      <c r="B1661" t="s">
        <v>4982</v>
      </c>
      <c r="C1661" t="str">
        <f>"04526FE"</f>
        <v>04526FE</v>
      </c>
      <c r="D1661" t="str">
        <f>"04526  FEBI - РљРѕРјРїР»РµРєС‚ РїС–РґС€РёРїРЅРёРєР° СЃС‚СѓРїРёС†С–"</f>
        <v>04526  FEBI - РљРѕРјРїР»РµРєС‚ РїС–РґС€РёРїРЅРёРєР° СЃС‚СѓРїРёС†С–</v>
      </c>
      <c r="E1661">
        <v>1</v>
      </c>
      <c r="F1661" t="s">
        <v>5252</v>
      </c>
      <c r="G1661" t="s">
        <v>4983</v>
      </c>
      <c r="H1661" t="str">
        <f>"04526"</f>
        <v>04526</v>
      </c>
      <c r="I1661" t="s">
        <v>5253</v>
      </c>
    </row>
    <row r="1662" spans="1:9">
      <c r="A1662" t="str">
        <f>"0165496 "</f>
        <v xml:space="preserve">0165496 </v>
      </c>
      <c r="B1662" t="s">
        <v>4982</v>
      </c>
      <c r="C1662" t="str">
        <f>"04570FE"</f>
        <v>04570FE</v>
      </c>
      <c r="D1662" t="str">
        <f>"04570  FEBI - РџСЂРѕРєР»Р°РґРєР° РєСЂРёС€РєРё РіРѕР»РѕРІРєРё Р±Р»РѕРєСѓ"</f>
        <v>04570  FEBI - РџСЂРѕРєР»Р°РґРєР° РєСЂРёС€РєРё РіРѕР»РѕРІРєРё Р±Р»РѕРєСѓ</v>
      </c>
      <c r="E1662">
        <v>2</v>
      </c>
      <c r="F1662" t="s">
        <v>5254</v>
      </c>
      <c r="G1662" t="s">
        <v>4983</v>
      </c>
      <c r="H1662" t="str">
        <f>"04570"</f>
        <v>04570</v>
      </c>
      <c r="I1662" t="s">
        <v>5255</v>
      </c>
    </row>
    <row r="1663" spans="1:9">
      <c r="A1663" t="str">
        <f>"0165499 "</f>
        <v xml:space="preserve">0165499 </v>
      </c>
      <c r="B1663" t="s">
        <v>4982</v>
      </c>
      <c r="C1663" t="str">
        <f>"04581FE"</f>
        <v>04581FE</v>
      </c>
      <c r="D1663" t="str">
        <f>"04581  FEBI - Р РµРјРєРѕРјРїР»РµРєС‚ С€РєРІРѕСЂРµРЅСЏ"</f>
        <v>04581  FEBI - Р РµРјРєРѕРјРїР»РµРєС‚ С€РєРІРѕСЂРµРЅСЏ</v>
      </c>
      <c r="E1663">
        <v>1</v>
      </c>
      <c r="F1663" t="s">
        <v>5256</v>
      </c>
      <c r="G1663" t="s">
        <v>4983</v>
      </c>
      <c r="H1663" t="str">
        <f>"04581"</f>
        <v>04581</v>
      </c>
      <c r="I1663" t="s">
        <v>5257</v>
      </c>
    </row>
    <row r="1664" spans="1:9">
      <c r="A1664" t="str">
        <f>"0165502 "</f>
        <v xml:space="preserve">0165502 </v>
      </c>
      <c r="B1664" t="s">
        <v>4982</v>
      </c>
      <c r="C1664" t="str">
        <f>"04585FE"</f>
        <v>04585FE</v>
      </c>
      <c r="D1664" t="str">
        <f>"04585  FEBI - РўСЏРіР° СЃС‚Р°Р±С–Р»С–Р·Р°С‚РѕСЂР°"</f>
        <v>04585  FEBI - РўСЏРіР° СЃС‚Р°Р±С–Р»С–Р·Р°С‚РѕСЂР°</v>
      </c>
      <c r="E1664">
        <v>2</v>
      </c>
      <c r="F1664" t="s">
        <v>5258</v>
      </c>
      <c r="G1664" t="s">
        <v>4983</v>
      </c>
      <c r="H1664" t="str">
        <f>"04585"</f>
        <v>04585</v>
      </c>
      <c r="I1664" t="s">
        <v>5259</v>
      </c>
    </row>
    <row r="1665" spans="1:9">
      <c r="A1665" t="str">
        <f>"0165535 "</f>
        <v xml:space="preserve">0165535 </v>
      </c>
      <c r="B1665" t="s">
        <v>4982</v>
      </c>
      <c r="C1665" t="str">
        <f>"04706FE"</f>
        <v>04706FE</v>
      </c>
      <c r="D1665" t="str">
        <f>"04706  FEBI - РљСЂРѕРЅС€С‚РµР№РЅ РіР»СѓС€РЅРёРєР°"</f>
        <v>04706  FEBI - РљСЂРѕРЅС€С‚РµР№РЅ РіР»СѓС€РЅРёРєР°</v>
      </c>
      <c r="E1665">
        <v>4</v>
      </c>
      <c r="F1665" t="s">
        <v>5250</v>
      </c>
      <c r="G1665" t="s">
        <v>4983</v>
      </c>
      <c r="H1665" t="str">
        <f>"04706"</f>
        <v>04706</v>
      </c>
      <c r="I1665" t="s">
        <v>5260</v>
      </c>
    </row>
    <row r="1666" spans="1:9">
      <c r="A1666" t="str">
        <f>"0165536 "</f>
        <v xml:space="preserve">0165536 </v>
      </c>
      <c r="B1666" t="s">
        <v>4982</v>
      </c>
      <c r="C1666" t="str">
        <f>"04707FE"</f>
        <v>04707FE</v>
      </c>
      <c r="D1666" t="str">
        <f>"04707  FEBI - РљСЂС–РїР»РµРЅРЅСЏ РіР»СѓС€РЅРёРєР°"</f>
        <v>04707  FEBI - РљСЂС–РїР»РµРЅРЅСЏ РіР»СѓС€РЅРёРєР°</v>
      </c>
      <c r="E1666" t="s">
        <v>16</v>
      </c>
      <c r="F1666" s="3">
        <v>17807</v>
      </c>
      <c r="G1666" t="s">
        <v>4983</v>
      </c>
      <c r="H1666" t="str">
        <f>"04707"</f>
        <v>04707</v>
      </c>
      <c r="I1666" t="s">
        <v>5261</v>
      </c>
    </row>
    <row r="1667" spans="1:9">
      <c r="A1667" t="str">
        <f>"0165550 "</f>
        <v xml:space="preserve">0165550 </v>
      </c>
      <c r="B1667" t="s">
        <v>4982</v>
      </c>
      <c r="C1667" t="str">
        <f>"04734FE"</f>
        <v>04734FE</v>
      </c>
      <c r="D1667" t="str">
        <f>"04734  FEBI - РџСЂРѕРєР»Р°РґРєР°"</f>
        <v>04734  FEBI - РџСЂРѕРєР»Р°РґРєР°</v>
      </c>
      <c r="E1667">
        <v>3</v>
      </c>
      <c r="F1667" s="3">
        <v>47270</v>
      </c>
      <c r="G1667" t="s">
        <v>4983</v>
      </c>
      <c r="H1667" t="str">
        <f>"04734"</f>
        <v>04734</v>
      </c>
      <c r="I1667" t="s">
        <v>5262</v>
      </c>
    </row>
    <row r="1668" spans="1:9">
      <c r="A1668" t="str">
        <f>"0165552 "</f>
        <v xml:space="preserve">0165552 </v>
      </c>
      <c r="B1668" t="s">
        <v>4982</v>
      </c>
      <c r="C1668" t="str">
        <f>"04745FE"</f>
        <v>04745FE</v>
      </c>
      <c r="D1668" t="str">
        <f>"04745  FEBI - РџСЂРѕРєР»Р°РґРєР°"</f>
        <v>04745  FEBI - РџСЂРѕРєР»Р°РґРєР°</v>
      </c>
      <c r="E1668">
        <v>1</v>
      </c>
      <c r="F1668" s="3">
        <v>47270</v>
      </c>
      <c r="G1668" t="s">
        <v>4983</v>
      </c>
      <c r="H1668" t="str">
        <f>"04745"</f>
        <v>04745</v>
      </c>
      <c r="I1668" t="s">
        <v>5263</v>
      </c>
    </row>
    <row r="1669" spans="1:9">
      <c r="A1669" t="str">
        <f>"0165586 "</f>
        <v xml:space="preserve">0165586 </v>
      </c>
      <c r="B1669" t="s">
        <v>4982</v>
      </c>
      <c r="C1669" t="str">
        <f>"04888FE"</f>
        <v>04888FE</v>
      </c>
      <c r="D1669" t="str">
        <f>"04888  FEBI - РЎР°Р№Р»РµРЅС‚Р±Р»РѕРє Р±Р°Р»РєРё"</f>
        <v>04888  FEBI - РЎР°Р№Р»РµРЅС‚Р±Р»РѕРє Р±Р°Р»РєРё</v>
      </c>
      <c r="E1669">
        <v>2</v>
      </c>
      <c r="F1669" t="s">
        <v>5264</v>
      </c>
      <c r="G1669" t="s">
        <v>4983</v>
      </c>
      <c r="H1669" t="str">
        <f>"04888"</f>
        <v>04888</v>
      </c>
      <c r="I1669" t="s">
        <v>5265</v>
      </c>
    </row>
    <row r="1670" spans="1:9">
      <c r="A1670" t="str">
        <f>"0165588 "</f>
        <v xml:space="preserve">0165588 </v>
      </c>
      <c r="B1670" t="s">
        <v>4982</v>
      </c>
      <c r="C1670" t="str">
        <f>"04912FE"</f>
        <v>04912FE</v>
      </c>
      <c r="D1670" t="str">
        <f>"04912  FEBI - Р‘РѕР»С‚ РєРѕР»С–СЃРЅРёР№"</f>
        <v>04912  FEBI - Р‘РѕР»С‚ РєРѕР»С–СЃРЅРёР№</v>
      </c>
      <c r="E1670" t="s">
        <v>16</v>
      </c>
      <c r="F1670" t="s">
        <v>5224</v>
      </c>
      <c r="G1670" t="s">
        <v>4983</v>
      </c>
      <c r="H1670" t="str">
        <f>"04912"</f>
        <v>04912</v>
      </c>
      <c r="I1670" t="s">
        <v>5266</v>
      </c>
    </row>
    <row r="1671" spans="1:9">
      <c r="A1671" t="str">
        <f>"0165589 "</f>
        <v xml:space="preserve">0165589 </v>
      </c>
      <c r="B1671" t="s">
        <v>4982</v>
      </c>
      <c r="C1671" t="str">
        <f>"04913FE"</f>
        <v>04913FE</v>
      </c>
      <c r="D1671" t="str">
        <f>"04913  FEBI - РЎР°Р№Р»РµРЅС‚Р±Р»РѕРє"</f>
        <v>04913  FEBI - РЎР°Р№Р»РµРЅС‚Р±Р»РѕРє</v>
      </c>
      <c r="E1671">
        <v>4</v>
      </c>
      <c r="F1671" t="s">
        <v>5267</v>
      </c>
      <c r="G1671" t="s">
        <v>4983</v>
      </c>
      <c r="H1671" t="str">
        <f>"04913"</f>
        <v>04913</v>
      </c>
      <c r="I1671" t="s">
        <v>5268</v>
      </c>
    </row>
    <row r="1672" spans="1:9">
      <c r="A1672" t="str">
        <f>"0165611 "</f>
        <v xml:space="preserve">0165611 </v>
      </c>
      <c r="B1672" t="s">
        <v>4982</v>
      </c>
      <c r="C1672" t="str">
        <f>"04990FE"</f>
        <v>04990FE</v>
      </c>
      <c r="D1672" t="str">
        <f>"04990  FEBI - РЎР°Р№Р»РµРЅС‚Р±Р»РѕРє Р±Р°Р»РєРё"</f>
        <v>04990  FEBI - РЎР°Р№Р»РµРЅС‚Р±Р»РѕРє Р±Р°Р»РєРё</v>
      </c>
      <c r="E1672">
        <v>4</v>
      </c>
      <c r="F1672" t="s">
        <v>2692</v>
      </c>
      <c r="G1672" t="s">
        <v>4983</v>
      </c>
      <c r="H1672" t="str">
        <f>"04990"</f>
        <v>04990</v>
      </c>
      <c r="I1672" t="s">
        <v>5269</v>
      </c>
    </row>
    <row r="1673" spans="1:9">
      <c r="A1673" t="str">
        <f>"0165626 "</f>
        <v xml:space="preserve">0165626 </v>
      </c>
      <c r="B1673" t="s">
        <v>4982</v>
      </c>
      <c r="C1673" t="str">
        <f>"05039FE"</f>
        <v>05039FE</v>
      </c>
      <c r="D1673" t="str">
        <f>"05039  FEBI - Р‘РѕР»С‚ РєРѕР»С–СЃРЅРёР№"</f>
        <v>05039  FEBI - Р‘РѕР»С‚ РєРѕР»С–СЃРЅРёР№</v>
      </c>
      <c r="E1673">
        <v>5</v>
      </c>
      <c r="F1673" t="s">
        <v>5123</v>
      </c>
      <c r="G1673" t="s">
        <v>4983</v>
      </c>
      <c r="H1673" t="str">
        <f>"05039"</f>
        <v>05039</v>
      </c>
      <c r="I1673" t="s">
        <v>5270</v>
      </c>
    </row>
    <row r="1674" spans="1:9">
      <c r="A1674" t="str">
        <f>"0165628 "</f>
        <v xml:space="preserve">0165628 </v>
      </c>
      <c r="B1674" t="s">
        <v>4982</v>
      </c>
      <c r="C1674" t="str">
        <f>"05046FE"</f>
        <v>05046FE</v>
      </c>
      <c r="D1674" t="str">
        <f>"05046  FEBI - РџРёР»СЊРѕРІРёРє Р°РјРѕСЂС‚РёР·Р°С‚РѕСЂР°"</f>
        <v>05046  FEBI - РџРёР»СЊРѕРІРёРє Р°РјРѕСЂС‚РёР·Р°С‚РѕСЂР°</v>
      </c>
      <c r="E1674">
        <v>2</v>
      </c>
      <c r="F1674" t="s">
        <v>5271</v>
      </c>
      <c r="G1674" t="s">
        <v>4983</v>
      </c>
      <c r="H1674" t="str">
        <f>"05046"</f>
        <v>05046</v>
      </c>
      <c r="I1674" t="s">
        <v>5272</v>
      </c>
    </row>
    <row r="1675" spans="1:9">
      <c r="A1675" t="str">
        <f>"0165629 "</f>
        <v xml:space="preserve">0165629 </v>
      </c>
      <c r="B1675" t="s">
        <v>4982</v>
      </c>
      <c r="C1675" t="str">
        <f>"05052FE"</f>
        <v>05052FE</v>
      </c>
      <c r="D1675" t="str">
        <f>"05052  FEBI - РћРїРѕСЂР° РґРёС„РµСЂРµРЅС†С–Р°Р»Р°"</f>
        <v>05052  FEBI - РћРїРѕСЂР° РґРёС„РµСЂРµРЅС†С–Р°Р»Р°</v>
      </c>
      <c r="E1675">
        <v>2</v>
      </c>
      <c r="F1675" t="s">
        <v>5053</v>
      </c>
      <c r="G1675" t="s">
        <v>4983</v>
      </c>
      <c r="H1675" t="str">
        <f>"05052"</f>
        <v>05052</v>
      </c>
      <c r="I1675" t="s">
        <v>5273</v>
      </c>
    </row>
    <row r="1676" spans="1:9">
      <c r="A1676" t="str">
        <f>"0165631 "</f>
        <v xml:space="preserve">0165631 </v>
      </c>
      <c r="B1676" t="s">
        <v>4982</v>
      </c>
      <c r="C1676" t="str">
        <f>"05059FE"</f>
        <v>05059FE</v>
      </c>
      <c r="D1676" t="str">
        <f>"05059  FEBI - РЎР°Р№Р»РµРЅС‚Р±Р»РѕРє"</f>
        <v>05059  FEBI - РЎР°Р№Р»РµРЅС‚Р±Р»РѕРє</v>
      </c>
      <c r="E1676">
        <v>2</v>
      </c>
      <c r="F1676" t="s">
        <v>5274</v>
      </c>
      <c r="G1676" t="s">
        <v>4983</v>
      </c>
      <c r="H1676" t="str">
        <f>"05059"</f>
        <v>05059</v>
      </c>
      <c r="I1676" t="s">
        <v>5275</v>
      </c>
    </row>
    <row r="1677" spans="1:9">
      <c r="A1677" t="str">
        <f>"0165632 "</f>
        <v xml:space="preserve">0165632 </v>
      </c>
      <c r="B1677" t="s">
        <v>4982</v>
      </c>
      <c r="C1677" t="str">
        <f>"05067FE"</f>
        <v>05067FE</v>
      </c>
      <c r="D1677" t="str">
        <f>"05067  FEBI - РџРёР»СЊРѕРІРёРє РєРµСЂРјРѕРІРѕС— С‚СЏРіРё"</f>
        <v>05067  FEBI - РџРёР»СЊРѕРІРёРє РєРµСЂРјРѕРІРѕС— С‚СЏРіРё</v>
      </c>
      <c r="E1677" t="s">
        <v>16</v>
      </c>
      <c r="F1677" t="s">
        <v>5276</v>
      </c>
      <c r="G1677" t="s">
        <v>4983</v>
      </c>
      <c r="H1677" t="str">
        <f>"05067"</f>
        <v>05067</v>
      </c>
      <c r="I1677" t="s">
        <v>5277</v>
      </c>
    </row>
    <row r="1678" spans="1:9">
      <c r="A1678" t="str">
        <f>"0165642 "</f>
        <v xml:space="preserve">0165642 </v>
      </c>
      <c r="B1678" t="s">
        <v>4982</v>
      </c>
      <c r="C1678" t="str">
        <f>"05099FE"</f>
        <v>05099FE</v>
      </c>
      <c r="D1678" t="str">
        <f>"05099  FEBI - РЎР°Р»СЊРЅРёРє РєРѕР»С–РЅС‡Р°СЃС‚РѕРіРѕ РІР°Р»Р°"</f>
        <v>05099  FEBI - РЎР°Р»СЊРЅРёРє РєРѕР»С–РЅС‡Р°СЃС‚РѕРіРѕ РІР°Р»Р°</v>
      </c>
      <c r="E1678">
        <v>1</v>
      </c>
      <c r="F1678" t="s">
        <v>5278</v>
      </c>
      <c r="G1678" t="s">
        <v>4983</v>
      </c>
      <c r="H1678" t="str">
        <f>"05099"</f>
        <v>05099</v>
      </c>
      <c r="I1678" t="s">
        <v>5279</v>
      </c>
    </row>
    <row r="1679" spans="1:9">
      <c r="A1679" t="str">
        <f>"0165645 "</f>
        <v xml:space="preserve">0165645 </v>
      </c>
      <c r="B1679" t="s">
        <v>4982</v>
      </c>
      <c r="C1679" t="str">
        <f>"05102FE"</f>
        <v>05102FE</v>
      </c>
      <c r="D1679" t="str">
        <f>"05102  FEBI - РЎР°Р»СЊРЅРёРє СЂРѕР·РїРѕРґС–Р»СЊРЅРѕРіРѕ РІР°Р»Р°"</f>
        <v>05102  FEBI - РЎР°Р»СЊРЅРёРє СЂРѕР·РїРѕРґС–Р»СЊРЅРѕРіРѕ РІР°Р»Р°</v>
      </c>
      <c r="E1679" t="s">
        <v>16</v>
      </c>
      <c r="F1679" t="s">
        <v>5123</v>
      </c>
      <c r="G1679" t="s">
        <v>4983</v>
      </c>
      <c r="H1679" t="str">
        <f>"05102"</f>
        <v>05102</v>
      </c>
      <c r="I1679" t="s">
        <v>5280</v>
      </c>
    </row>
    <row r="1680" spans="1:9">
      <c r="A1680" t="str">
        <f>"0165646 "</f>
        <v xml:space="preserve">0165646 </v>
      </c>
      <c r="B1680" t="s">
        <v>4982</v>
      </c>
      <c r="C1680" t="str">
        <f>"05106FE"</f>
        <v>05106FE</v>
      </c>
      <c r="D1680" t="str">
        <f>"05106  FEBI - Р•Р»РµРјРµРЅС‚ РєСЂС–РїР»РµРЅРЅСЏ"</f>
        <v>05106  FEBI - Р•Р»РµРјРµРЅС‚ РєСЂС–РїР»РµРЅРЅСЏ</v>
      </c>
      <c r="E1680" t="s">
        <v>16</v>
      </c>
      <c r="F1680" s="3">
        <v>20668</v>
      </c>
      <c r="G1680" t="s">
        <v>4983</v>
      </c>
      <c r="H1680" t="str">
        <f>"05106"</f>
        <v>05106</v>
      </c>
      <c r="I1680" t="s">
        <v>5281</v>
      </c>
    </row>
    <row r="1681" spans="1:9">
      <c r="A1681" t="str">
        <f>"0165657 "</f>
        <v xml:space="preserve">0165657 </v>
      </c>
      <c r="B1681" t="s">
        <v>4982</v>
      </c>
      <c r="C1681" t="str">
        <f>"05131FE"</f>
        <v>05131FE</v>
      </c>
      <c r="D1681" t="str">
        <f>"05131  FEBI - РћРїРѕСЂР° РґРІРёРіСѓРЅР°"</f>
        <v>05131  FEBI - РћРїРѕСЂР° РґРІРёРіСѓРЅР°</v>
      </c>
      <c r="E1681">
        <v>1</v>
      </c>
      <c r="F1681" t="s">
        <v>5282</v>
      </c>
      <c r="G1681" t="s">
        <v>4983</v>
      </c>
      <c r="H1681" t="str">
        <f>"05131"</f>
        <v>05131</v>
      </c>
      <c r="I1681" t="s">
        <v>5283</v>
      </c>
    </row>
    <row r="1682" spans="1:9">
      <c r="A1682" t="str">
        <f>"0165659 "</f>
        <v xml:space="preserve">0165659 </v>
      </c>
      <c r="B1682" t="s">
        <v>4982</v>
      </c>
      <c r="C1682" t="str">
        <f>"05136FE"</f>
        <v>05136FE</v>
      </c>
      <c r="D1682" t="str">
        <f>"05136  FEBI - РџСЂРѕРєР»Р°РґРєР°"</f>
        <v>05136  FEBI - РџСЂРѕРєР»Р°РґРєР°</v>
      </c>
      <c r="E1682">
        <v>4</v>
      </c>
      <c r="F1682" s="3">
        <v>34455</v>
      </c>
      <c r="G1682" t="s">
        <v>4983</v>
      </c>
      <c r="H1682" t="str">
        <f>"05136"</f>
        <v>05136</v>
      </c>
      <c r="I1682" t="s">
        <v>5284</v>
      </c>
    </row>
    <row r="1683" spans="1:9">
      <c r="A1683" t="str">
        <f>"0165679 "</f>
        <v xml:space="preserve">0165679 </v>
      </c>
      <c r="B1683" t="s">
        <v>4982</v>
      </c>
      <c r="C1683" t="str">
        <f>"05170FE"</f>
        <v>05170FE</v>
      </c>
      <c r="D1683" t="str">
        <f>"05170  FEBI - РљСѓР»СЊРѕРІР° РѕРїРѕСЂР°"</f>
        <v>05170  FEBI - РљСѓР»СЊРѕРІР° РѕРїРѕСЂР°</v>
      </c>
      <c r="E1683">
        <v>5</v>
      </c>
      <c r="F1683" t="s">
        <v>5285</v>
      </c>
      <c r="G1683" t="s">
        <v>4983</v>
      </c>
      <c r="H1683" t="str">
        <f>"05170"</f>
        <v>05170</v>
      </c>
      <c r="I1683" t="s">
        <v>5286</v>
      </c>
    </row>
    <row r="1684" spans="1:9">
      <c r="A1684" t="str">
        <f>"0165688 "</f>
        <v xml:space="preserve">0165688 </v>
      </c>
      <c r="B1684" t="s">
        <v>4982</v>
      </c>
      <c r="C1684" t="str">
        <f>"05194FE"</f>
        <v>05194FE</v>
      </c>
      <c r="D1684" t="str">
        <f>"05194  FEBI - РљСѓР»СЊРѕРІР° РѕРїРѕСЂР°"</f>
        <v>05194  FEBI - РљСѓР»СЊРѕРІР° РѕРїРѕСЂР°</v>
      </c>
      <c r="E1684">
        <v>1</v>
      </c>
      <c r="F1684" t="s">
        <v>5089</v>
      </c>
      <c r="G1684" t="s">
        <v>4983</v>
      </c>
      <c r="H1684" t="str">
        <f>"05194"</f>
        <v>05194</v>
      </c>
      <c r="I1684" t="s">
        <v>5287</v>
      </c>
    </row>
    <row r="1685" spans="1:9">
      <c r="A1685" t="str">
        <f>"0165689 "</f>
        <v xml:space="preserve">0165689 </v>
      </c>
      <c r="B1685" t="s">
        <v>4982</v>
      </c>
      <c r="C1685" t="str">
        <f>"05195FE"</f>
        <v>05195FE</v>
      </c>
      <c r="D1685" t="str">
        <f>"05195  FEBI - РљСѓР»СЊРѕРІР° РѕРїРѕСЂР°"</f>
        <v>05195  FEBI - РљСѓР»СЊРѕРІР° РѕРїРѕСЂР°</v>
      </c>
      <c r="E1685">
        <v>1</v>
      </c>
      <c r="F1685" t="s">
        <v>5288</v>
      </c>
      <c r="G1685" t="s">
        <v>4983</v>
      </c>
      <c r="H1685" t="str">
        <f>"05195"</f>
        <v>05195</v>
      </c>
      <c r="I1685" t="s">
        <v>5289</v>
      </c>
    </row>
    <row r="1686" spans="1:9">
      <c r="A1686" t="str">
        <f>"0165693 "</f>
        <v xml:space="preserve">0165693 </v>
      </c>
      <c r="B1686" t="s">
        <v>4982</v>
      </c>
      <c r="C1686" t="str">
        <f>"05200FE"</f>
        <v>05200FE</v>
      </c>
      <c r="D1686" t="str">
        <f>"05200  FEBI - РќР°РєС–РЅРµС‡РЅРёРє РєРµСЂРјРѕРІРѕС— С‚СЏРіРё"</f>
        <v>05200  FEBI - РќР°РєС–РЅРµС‡РЅРёРє РєРµСЂРјРѕРІРѕС— С‚СЏРіРё</v>
      </c>
      <c r="E1686">
        <v>2</v>
      </c>
      <c r="F1686" t="s">
        <v>5290</v>
      </c>
      <c r="G1686" t="s">
        <v>4983</v>
      </c>
      <c r="H1686" t="str">
        <f>"05200"</f>
        <v>05200</v>
      </c>
      <c r="I1686" t="s">
        <v>5291</v>
      </c>
    </row>
    <row r="1687" spans="1:9">
      <c r="A1687" t="str">
        <f>"0165698 "</f>
        <v xml:space="preserve">0165698 </v>
      </c>
      <c r="B1687" t="s">
        <v>4982</v>
      </c>
      <c r="C1687" t="str">
        <f>"05215FE"</f>
        <v>05215FE</v>
      </c>
      <c r="D1687" t="str">
        <f>"05215  FEBI - РЎР°Р№Р»РµРЅС‚Р±Р»РѕРє"</f>
        <v>05215  FEBI - РЎР°Р№Р»РµРЅС‚Р±Р»РѕРє</v>
      </c>
      <c r="E1687">
        <v>1</v>
      </c>
      <c r="F1687" t="s">
        <v>5292</v>
      </c>
      <c r="G1687" t="s">
        <v>4983</v>
      </c>
      <c r="H1687" t="str">
        <f>"05215"</f>
        <v>05215</v>
      </c>
      <c r="I1687" t="s">
        <v>5293</v>
      </c>
    </row>
    <row r="1688" spans="1:9">
      <c r="A1688" t="str">
        <f>"0165700 "</f>
        <v xml:space="preserve">0165700 </v>
      </c>
      <c r="B1688" t="s">
        <v>4982</v>
      </c>
      <c r="C1688" t="str">
        <f>"05217FE"</f>
        <v>05217FE</v>
      </c>
      <c r="D1688" t="str">
        <f>"05217  FEBI - РЎР°Р№Р»РµРЅС‚Р±Р»РѕРє"</f>
        <v>05217  FEBI - РЎР°Р№Р»РµРЅС‚Р±Р»РѕРє</v>
      </c>
      <c r="E1688">
        <v>1</v>
      </c>
      <c r="F1688" t="s">
        <v>5294</v>
      </c>
      <c r="G1688" t="s">
        <v>4983</v>
      </c>
      <c r="H1688" t="str">
        <f>"05217"</f>
        <v>05217</v>
      </c>
      <c r="I1688" t="s">
        <v>5295</v>
      </c>
    </row>
    <row r="1689" spans="1:9">
      <c r="A1689" t="str">
        <f>"0165701 "</f>
        <v xml:space="preserve">0165701 </v>
      </c>
      <c r="B1689" t="s">
        <v>4982</v>
      </c>
      <c r="C1689" t="str">
        <f>"05218FE"</f>
        <v>05218FE</v>
      </c>
      <c r="D1689" t="str">
        <f>"05218  FEBI - Р’Р°Р¶С–Р»СЊ РїС–РґРІС–СЃРєРё"</f>
        <v>05218  FEBI - Р’Р°Р¶С–Р»СЊ РїС–РґРІС–СЃРєРё</v>
      </c>
      <c r="E1689">
        <v>2</v>
      </c>
      <c r="F1689" t="s">
        <v>5296</v>
      </c>
      <c r="G1689" t="s">
        <v>4983</v>
      </c>
      <c r="H1689" t="str">
        <f>"05218"</f>
        <v>05218</v>
      </c>
      <c r="I1689" t="s">
        <v>5297</v>
      </c>
    </row>
    <row r="1690" spans="1:9">
      <c r="A1690" t="str">
        <f>"0165704 "</f>
        <v xml:space="preserve">0165704 </v>
      </c>
      <c r="B1690" t="s">
        <v>4982</v>
      </c>
      <c r="C1690" t="str">
        <f>"05222FE"</f>
        <v>05222FE</v>
      </c>
      <c r="D1690" t="str">
        <f>"05222  FEBI - РљРѕРјРїР»РµРєС‚ РїС–РґС€РёРїРЅРёРєР° СЃС‚СѓРїРёС†С–"</f>
        <v>05222  FEBI - РљРѕРјРїР»РµРєС‚ РїС–РґС€РёРїРЅРёРєР° СЃС‚СѓРїРёС†С–</v>
      </c>
      <c r="E1690">
        <v>1</v>
      </c>
      <c r="F1690" t="s">
        <v>5298</v>
      </c>
      <c r="G1690" t="s">
        <v>4983</v>
      </c>
      <c r="H1690" t="str">
        <f>"05222"</f>
        <v>05222</v>
      </c>
      <c r="I1690" t="s">
        <v>5299</v>
      </c>
    </row>
    <row r="1691" spans="1:9">
      <c r="A1691" t="str">
        <f>"0165741 "</f>
        <v xml:space="preserve">0165741 </v>
      </c>
      <c r="B1691" t="s">
        <v>4982</v>
      </c>
      <c r="C1691" t="str">
        <f>"05388FE"</f>
        <v>05388FE</v>
      </c>
      <c r="D1691" t="str">
        <f>"05388  FEBI - Р РµРјРєРѕРјРїР»РµРєС‚ РІР°Р¶РµР»СЏ РїС–РґРІС–СЃРєРё"</f>
        <v>05388  FEBI - Р РµРјРєРѕРјРїР»РµРєС‚ РІР°Р¶РµР»СЏ РїС–РґРІС–СЃРєРё</v>
      </c>
      <c r="E1691">
        <v>1</v>
      </c>
      <c r="F1691" t="s">
        <v>5300</v>
      </c>
      <c r="G1691" t="s">
        <v>4983</v>
      </c>
      <c r="H1691" t="str">
        <f>"05388"</f>
        <v>05388</v>
      </c>
      <c r="I1691" t="s">
        <v>5301</v>
      </c>
    </row>
    <row r="1692" spans="1:9">
      <c r="A1692" t="str">
        <f>"0165746 "</f>
        <v xml:space="preserve">0165746 </v>
      </c>
      <c r="B1692" t="s">
        <v>4982</v>
      </c>
      <c r="C1692" t="str">
        <f>"05400FE"</f>
        <v>05400FE</v>
      </c>
      <c r="D1692" t="str">
        <f>"05400  FEBI - РљРѕРјРїР»РµРєС‚ РїС–РґС€РёРїРЅРёРєР° СЃС‚СѓРїРёС†С–"</f>
        <v>05400  FEBI - РљРѕРјРїР»РµРєС‚ РїС–РґС€РёРїРЅРёРєР° СЃС‚СѓРїРёС†С–</v>
      </c>
      <c r="E1692">
        <v>1</v>
      </c>
      <c r="F1692" t="s">
        <v>5302</v>
      </c>
      <c r="G1692" t="s">
        <v>4983</v>
      </c>
      <c r="H1692" t="str">
        <f>"05400"</f>
        <v>05400</v>
      </c>
      <c r="I1692" t="s">
        <v>5303</v>
      </c>
    </row>
    <row r="1693" spans="1:9">
      <c r="A1693" t="str">
        <f>"0165779 "</f>
        <v xml:space="preserve">0165779 </v>
      </c>
      <c r="B1693" t="s">
        <v>4982</v>
      </c>
      <c r="C1693" t="str">
        <f>"05526FE"</f>
        <v>05526FE</v>
      </c>
      <c r="D1693" t="str">
        <f>"05526  FEBI - РљРѕРјРїР»РµРєС‚ РїС–РґС€РёРїРЅРёРєР° СЃС‚СѓРїРёС†С–"</f>
        <v>05526  FEBI - РљРѕРјРїР»РµРєС‚ РїС–РґС€РёРїРЅРёРєР° СЃС‚СѓРїРёС†С–</v>
      </c>
      <c r="E1693">
        <v>1</v>
      </c>
      <c r="F1693" t="s">
        <v>5304</v>
      </c>
      <c r="G1693" t="s">
        <v>4983</v>
      </c>
      <c r="H1693" t="str">
        <f>"05526"</f>
        <v>05526</v>
      </c>
      <c r="I1693" t="s">
        <v>5305</v>
      </c>
    </row>
    <row r="1694" spans="1:9">
      <c r="A1694" t="str">
        <f>"0165780 "</f>
        <v xml:space="preserve">0165780 </v>
      </c>
      <c r="B1694" t="s">
        <v>4982</v>
      </c>
      <c r="C1694" t="str">
        <f>"05528FE"</f>
        <v>05528FE</v>
      </c>
      <c r="D1694" t="str">
        <f>"05528  FEBI - РљРѕРјРїР»РµРєС‚ РїС–РґС€РёРїРЅРёРєР° СЃС‚СѓРїРёС†С–"</f>
        <v>05528  FEBI - РљРѕРјРїР»РµРєС‚ РїС–РґС€РёРїРЅРёРєР° СЃС‚СѓРїРёС†С–</v>
      </c>
      <c r="E1694">
        <v>2</v>
      </c>
      <c r="F1694" t="s">
        <v>5306</v>
      </c>
      <c r="G1694" t="s">
        <v>4983</v>
      </c>
      <c r="H1694" t="str">
        <f>"05528"</f>
        <v>05528</v>
      </c>
      <c r="I1694" t="s">
        <v>5307</v>
      </c>
    </row>
    <row r="1695" spans="1:9">
      <c r="A1695" t="str">
        <f>"0165785 "</f>
        <v xml:space="preserve">0165785 </v>
      </c>
      <c r="B1695" t="s">
        <v>4982</v>
      </c>
      <c r="C1695" t="str">
        <f>"05542FE"</f>
        <v>05542FE</v>
      </c>
      <c r="D1695" t="str">
        <f>"05542  FEBI - РљРѕРјРїР»РµРєС‚ РїС–РґС€РёРїРЅРёРєР° СЃС‚СѓРїРёС†С–"</f>
        <v>05542  FEBI - РљРѕРјРїР»РµРєС‚ РїС–РґС€РёРїРЅРёРєР° СЃС‚СѓРїРёС†С–</v>
      </c>
      <c r="E1695">
        <v>1</v>
      </c>
      <c r="F1695" t="s">
        <v>5308</v>
      </c>
      <c r="G1695" t="s">
        <v>4983</v>
      </c>
      <c r="H1695" t="str">
        <f>"05542"</f>
        <v>05542</v>
      </c>
      <c r="I1695" t="s">
        <v>5309</v>
      </c>
    </row>
    <row r="1696" spans="1:9">
      <c r="A1696" t="str">
        <f>"0165793 "</f>
        <v xml:space="preserve">0165793 </v>
      </c>
      <c r="B1696" t="s">
        <v>4982</v>
      </c>
      <c r="C1696" t="str">
        <f>"05578FE"</f>
        <v>05578FE</v>
      </c>
      <c r="D1696" t="str">
        <f>"05578  FEBI - РљРѕРјРїР»РµРєС‚ РїС–РґС€РёРїРЅРёРєР° СЃС‚СѓРїРёС†С–"</f>
        <v>05578  FEBI - РљРѕРјРїР»РµРєС‚ РїС–РґС€РёРїРЅРёРєР° СЃС‚СѓРїРёС†С–</v>
      </c>
      <c r="E1696">
        <v>1</v>
      </c>
      <c r="F1696" t="s">
        <v>5310</v>
      </c>
      <c r="G1696" t="s">
        <v>4983</v>
      </c>
      <c r="H1696" t="str">
        <f>"05578"</f>
        <v>05578</v>
      </c>
      <c r="I1696" t="s">
        <v>5311</v>
      </c>
    </row>
    <row r="1697" spans="1:9">
      <c r="A1697" t="str">
        <f>"0165816 "</f>
        <v xml:space="preserve">0165816 </v>
      </c>
      <c r="B1697" t="s">
        <v>4982</v>
      </c>
      <c r="C1697" t="str">
        <f>"05620FE"</f>
        <v>05620FE</v>
      </c>
      <c r="D1697" t="str">
        <f>"05620  FEBI - РљРѕРјРїР»РµРєС‚ РЅР°РїСЂР°РІР»СЏСЋС‡РёС… РіР°Р»СЊРјС–РІРЅРѕРіРѕ СЃСѓРїРѕСЂС‚Р°"</f>
        <v>05620  FEBI - РљРѕРјРїР»РµРєС‚ РЅР°РїСЂР°РІР»СЏСЋС‡РёС… РіР°Р»СЊРјС–РІРЅРѕРіРѕ СЃСѓРїРѕСЂС‚Р°</v>
      </c>
      <c r="E1697">
        <v>1</v>
      </c>
      <c r="F1697" t="s">
        <v>5312</v>
      </c>
      <c r="G1697" t="s">
        <v>4983</v>
      </c>
      <c r="H1697" t="str">
        <f>"05620"</f>
        <v>05620</v>
      </c>
      <c r="I1697" t="s">
        <v>5313</v>
      </c>
    </row>
    <row r="1698" spans="1:9">
      <c r="A1698" t="str">
        <f>"0165817 "</f>
        <v xml:space="preserve">0165817 </v>
      </c>
      <c r="B1698" t="s">
        <v>4982</v>
      </c>
      <c r="C1698" t="str">
        <f>"05621FE"</f>
        <v>05621FE</v>
      </c>
      <c r="D1698" t="str">
        <f>"05621  FEBI - РџРёР»СЊРѕРІРёРє РєРµСЂРјРѕРІРѕС— С‚СЏРіРё"</f>
        <v>05621  FEBI - РџРёР»СЊРѕРІРёРє РєРµСЂРјРѕРІРѕС— С‚СЏРіРё</v>
      </c>
      <c r="E1698">
        <v>2</v>
      </c>
      <c r="F1698" t="s">
        <v>1846</v>
      </c>
      <c r="G1698" t="s">
        <v>4983</v>
      </c>
      <c r="H1698" t="str">
        <f>"05621"</f>
        <v>05621</v>
      </c>
      <c r="I1698" t="s">
        <v>5314</v>
      </c>
    </row>
    <row r="1699" spans="1:9">
      <c r="A1699" t="str">
        <f>"0165818 "</f>
        <v xml:space="preserve">0165818 </v>
      </c>
      <c r="B1699" t="s">
        <v>4982</v>
      </c>
      <c r="C1699" t="str">
        <f>"05622FE"</f>
        <v>05622FE</v>
      </c>
      <c r="D1699" t="str">
        <f>"05622  FEBI - РЎР°Р№Р»РµРЅС‚Р±Р»РѕРє Р±Р°Р»РєРё"</f>
        <v>05622  FEBI - РЎР°Р№Р»РµРЅС‚Р±Р»РѕРє Р±Р°Р»РєРё</v>
      </c>
      <c r="E1699">
        <v>4</v>
      </c>
      <c r="F1699" t="s">
        <v>5315</v>
      </c>
      <c r="G1699" t="s">
        <v>4983</v>
      </c>
      <c r="H1699" t="str">
        <f>"05622"</f>
        <v>05622</v>
      </c>
      <c r="I1699" t="s">
        <v>5316</v>
      </c>
    </row>
    <row r="1700" spans="1:9">
      <c r="A1700" t="str">
        <f>"0165843 "</f>
        <v xml:space="preserve">0165843 </v>
      </c>
      <c r="B1700" t="s">
        <v>4982</v>
      </c>
      <c r="C1700" t="str">
        <f>"05657FE"</f>
        <v>05657FE</v>
      </c>
      <c r="D1700" t="str">
        <f>"05657  FEBI - Р’С‚СѓР»РєР° СЃС‚Р°Р±С–Р»С–Р·Р°С‚РѕСЂР°"</f>
        <v>05657  FEBI - Р’С‚СѓР»РєР° СЃС‚Р°Р±С–Р»С–Р·Р°С‚РѕСЂР°</v>
      </c>
      <c r="E1700">
        <v>2</v>
      </c>
      <c r="F1700" t="s">
        <v>5317</v>
      </c>
      <c r="G1700" t="s">
        <v>4983</v>
      </c>
      <c r="H1700" t="str">
        <f>"05657"</f>
        <v>05657</v>
      </c>
      <c r="I1700" t="s">
        <v>5318</v>
      </c>
    </row>
    <row r="1701" spans="1:9">
      <c r="A1701" t="str">
        <f>"0165851 "</f>
        <v xml:space="preserve">0165851 </v>
      </c>
      <c r="B1701" t="s">
        <v>4982</v>
      </c>
      <c r="C1701" t="str">
        <f>"05683FE"</f>
        <v>05683FE</v>
      </c>
      <c r="D1701" t="str">
        <f>"05683  FEBI - Р‘РѕР»С‚ РєРѕР»С–СЃРЅРёР№"</f>
        <v>05683  FEBI - Р‘РѕР»С‚ РєРѕР»С–СЃРЅРёР№</v>
      </c>
      <c r="E1701">
        <v>5</v>
      </c>
      <c r="F1701" t="s">
        <v>5319</v>
      </c>
      <c r="G1701" t="s">
        <v>4983</v>
      </c>
      <c r="H1701" t="str">
        <f>"05683"</f>
        <v>05683</v>
      </c>
      <c r="I1701" t="s">
        <v>5320</v>
      </c>
    </row>
    <row r="1702" spans="1:9">
      <c r="A1702" t="str">
        <f>"0165934 "</f>
        <v xml:space="preserve">0165934 </v>
      </c>
      <c r="B1702" t="s">
        <v>4982</v>
      </c>
      <c r="C1702" t="str">
        <f>"05979FE"</f>
        <v>05979FE</v>
      </c>
      <c r="D1702" t="str">
        <f>"05979  FEBI - Р‘РѕР»С‚ Р“Р‘Р¦"</f>
        <v>05979  FEBI - Р‘РѕР»С‚ Р“Р‘Р¦</v>
      </c>
      <c r="E1702">
        <v>1</v>
      </c>
      <c r="F1702" t="s">
        <v>4999</v>
      </c>
      <c r="G1702" t="s">
        <v>4983</v>
      </c>
      <c r="H1702" t="str">
        <f>"05979"</f>
        <v>05979</v>
      </c>
      <c r="I1702" t="s">
        <v>5321</v>
      </c>
    </row>
    <row r="1703" spans="1:9">
      <c r="A1703" t="str">
        <f>"0165945 "</f>
        <v xml:space="preserve">0165945 </v>
      </c>
      <c r="B1703" t="s">
        <v>4982</v>
      </c>
      <c r="C1703" t="str">
        <f>"06033FE"</f>
        <v>06033FE</v>
      </c>
      <c r="D1703" t="str">
        <f>"06033  FEBI - Р”Р°С‚С‡РёРє С‚РёСЃРєСѓ РјР°СЃР»Р°"</f>
        <v>06033  FEBI - Р”Р°С‚С‡РёРє С‚РёСЃРєСѓ РјР°СЃР»Р°</v>
      </c>
      <c r="E1703">
        <v>1</v>
      </c>
      <c r="F1703" t="s">
        <v>5322</v>
      </c>
      <c r="G1703" t="s">
        <v>4983</v>
      </c>
      <c r="H1703" t="str">
        <f>"06033"</f>
        <v>06033</v>
      </c>
      <c r="I1703" t="s">
        <v>5323</v>
      </c>
    </row>
    <row r="1704" spans="1:9">
      <c r="A1704" t="str">
        <f>"0165962 "</f>
        <v xml:space="preserve">0165962 </v>
      </c>
      <c r="B1704" t="s">
        <v>4982</v>
      </c>
      <c r="C1704" t="str">
        <f>"06085FE"</f>
        <v>06085FE</v>
      </c>
      <c r="D1704" t="str">
        <f>"06085  FEBI - РћРїРѕСЂР° Р°РјРѕСЂС‚РёР·Р°С‚РѕСЂР°"</f>
        <v>06085  FEBI - РћРїРѕСЂР° Р°РјРѕСЂС‚РёР·Р°С‚РѕСЂР°</v>
      </c>
      <c r="E1704">
        <v>1</v>
      </c>
      <c r="F1704" t="s">
        <v>5324</v>
      </c>
      <c r="G1704" t="s">
        <v>4983</v>
      </c>
      <c r="H1704" t="str">
        <f>"06085"</f>
        <v>06085</v>
      </c>
      <c r="I1704" t="s">
        <v>5325</v>
      </c>
    </row>
    <row r="1705" spans="1:9">
      <c r="A1705" t="str">
        <f>"0165967 "</f>
        <v xml:space="preserve">0165967 </v>
      </c>
      <c r="B1705" t="s">
        <v>4982</v>
      </c>
      <c r="C1705" t="str">
        <f>"06129FE"</f>
        <v>06129FE</v>
      </c>
      <c r="D1705" t="str">
        <f>"06129  FEBI - РџРёР»СЊРѕРІРёРє РїСЂРёРІС–РґРЅРѕРіРѕ РІР°Р»Р°"</f>
        <v>06129  FEBI - РџРёР»СЊРѕРІРёРє РїСЂРёРІС–РґРЅРѕРіРѕ РІР°Р»Р°</v>
      </c>
      <c r="E1705">
        <v>2</v>
      </c>
      <c r="F1705" t="s">
        <v>5326</v>
      </c>
      <c r="G1705" t="s">
        <v>4983</v>
      </c>
      <c r="H1705" t="str">
        <f>"06129"</f>
        <v>06129</v>
      </c>
      <c r="I1705" t="s">
        <v>5327</v>
      </c>
    </row>
    <row r="1706" spans="1:9">
      <c r="A1706" t="str">
        <f>"0165984 "</f>
        <v xml:space="preserve">0165984 </v>
      </c>
      <c r="B1706" t="s">
        <v>4982</v>
      </c>
      <c r="C1706" t="str">
        <f>"06172FE"</f>
        <v>06172FE</v>
      </c>
      <c r="D1706" t="str">
        <f>"06172  FEBI - РЎР°Р№Р»РµРЅС‚Р±Р»РѕРє"</f>
        <v>06172  FEBI - РЎР°Р№Р»РµРЅС‚Р±Р»РѕРє</v>
      </c>
      <c r="E1706">
        <v>2</v>
      </c>
      <c r="F1706" t="s">
        <v>5328</v>
      </c>
      <c r="G1706" t="s">
        <v>4983</v>
      </c>
      <c r="H1706" t="str">
        <f>"06172"</f>
        <v>06172</v>
      </c>
      <c r="I1706" t="s">
        <v>5329</v>
      </c>
    </row>
    <row r="1707" spans="1:9">
      <c r="A1707" t="str">
        <f>"0165992 "</f>
        <v xml:space="preserve">0165992 </v>
      </c>
      <c r="B1707" t="s">
        <v>4982</v>
      </c>
      <c r="C1707" t="str">
        <f>"06191FE"</f>
        <v>06191FE</v>
      </c>
      <c r="D1707" t="str">
        <f>"06191  FEBI - РќР°РєС–РЅРµС‡РЅРёРє РєРµСЂРјРѕРІРѕС— С‚СЏРіРё"</f>
        <v>06191  FEBI - РќР°РєС–РЅРµС‡РЅРёРє РєРµСЂРјРѕРІРѕС— С‚СЏРіРё</v>
      </c>
      <c r="E1707">
        <v>1</v>
      </c>
      <c r="F1707" t="s">
        <v>5330</v>
      </c>
      <c r="G1707" t="s">
        <v>4983</v>
      </c>
      <c r="H1707" t="str">
        <f>"06191"</f>
        <v>06191</v>
      </c>
      <c r="I1707" t="s">
        <v>5331</v>
      </c>
    </row>
    <row r="1708" spans="1:9">
      <c r="A1708" t="str">
        <f>"0165993 "</f>
        <v xml:space="preserve">0165993 </v>
      </c>
      <c r="B1708" t="s">
        <v>4982</v>
      </c>
      <c r="C1708" t="str">
        <f>"06192FE"</f>
        <v>06192FE</v>
      </c>
      <c r="D1708" t="str">
        <f>"06192  FEBI - РќР°РєС–РЅРµС‡РЅРёРє РєРµСЂРјРѕРІРѕС— С‚СЏРіРё"</f>
        <v>06192  FEBI - РќР°РєС–РЅРµС‡РЅРёРє РєРµСЂРјРѕРІРѕС— С‚СЏРіРё</v>
      </c>
      <c r="E1708">
        <v>1</v>
      </c>
      <c r="F1708" t="s">
        <v>5332</v>
      </c>
      <c r="G1708" t="s">
        <v>4983</v>
      </c>
      <c r="H1708" t="str">
        <f>"06192"</f>
        <v>06192</v>
      </c>
      <c r="I1708" t="s">
        <v>5333</v>
      </c>
    </row>
    <row r="1709" spans="1:9">
      <c r="A1709" t="str">
        <f>"0165994 "</f>
        <v xml:space="preserve">0165994 </v>
      </c>
      <c r="B1709" t="s">
        <v>4982</v>
      </c>
      <c r="C1709" t="str">
        <f>"06193FE"</f>
        <v>06193FE</v>
      </c>
      <c r="D1709" t="str">
        <f>"06193  FEBI - РќР°РєС–РЅРµС‡РЅРёРє РєРµСЂРјРѕРІРѕС— С‚СЏРіРё"</f>
        <v>06193  FEBI - РќР°РєС–РЅРµС‡РЅРёРє РєРµСЂРјРѕРІРѕС— С‚СЏРіРё</v>
      </c>
      <c r="E1709">
        <v>1</v>
      </c>
      <c r="F1709" t="s">
        <v>5332</v>
      </c>
      <c r="G1709" t="s">
        <v>4983</v>
      </c>
      <c r="H1709" t="str">
        <f>"06193"</f>
        <v>06193</v>
      </c>
      <c r="I1709" t="s">
        <v>5334</v>
      </c>
    </row>
    <row r="1710" spans="1:9">
      <c r="A1710" t="str">
        <f>"0197547 "</f>
        <v xml:space="preserve">0197547 </v>
      </c>
      <c r="B1710" t="s">
        <v>4982</v>
      </c>
      <c r="C1710" t="str">
        <f>"06270FE"</f>
        <v>06270FE</v>
      </c>
      <c r="D1710" t="str">
        <f>"06270  FEBI - Р‘РѕР»С‚ РєРѕР»С–СЃРЅРёР№"</f>
        <v>06270  FEBI - Р‘РѕР»С‚ РєРѕР»С–СЃРЅРёР№</v>
      </c>
      <c r="E1710">
        <v>5</v>
      </c>
      <c r="F1710" t="s">
        <v>5335</v>
      </c>
      <c r="G1710" t="s">
        <v>4983</v>
      </c>
      <c r="H1710" t="str">
        <f>"06270"</f>
        <v>06270</v>
      </c>
      <c r="I1710" t="s">
        <v>5043</v>
      </c>
    </row>
    <row r="1711" spans="1:9">
      <c r="A1711" t="str">
        <f>"0197548 "</f>
        <v xml:space="preserve">0197548 </v>
      </c>
      <c r="B1711" t="s">
        <v>4982</v>
      </c>
      <c r="C1711" t="str">
        <f>"06271FE"</f>
        <v>06271FE</v>
      </c>
      <c r="D1711" t="str">
        <f>"06271  FEBI - Р‘РѕР»С‚ РєРѕР»С–СЃРЅРёР№"</f>
        <v>06271  FEBI - Р‘РѕР»С‚ РєРѕР»С–СЃРЅРёР№</v>
      </c>
      <c r="E1711" t="s">
        <v>16</v>
      </c>
      <c r="F1711" t="s">
        <v>105</v>
      </c>
      <c r="G1711" t="s">
        <v>4983</v>
      </c>
      <c r="H1711" t="str">
        <f>"06271"</f>
        <v>06271</v>
      </c>
      <c r="I1711" t="s">
        <v>5043</v>
      </c>
    </row>
    <row r="1712" spans="1:9">
      <c r="A1712" t="str">
        <f>"0197551 "</f>
        <v xml:space="preserve">0197551 </v>
      </c>
      <c r="B1712" t="s">
        <v>4982</v>
      </c>
      <c r="C1712" t="str">
        <f>"06274FE"</f>
        <v>06274FE</v>
      </c>
      <c r="D1712" t="str">
        <f>"06274  FEBI - Р‘РѕР»С‚ РєРѕР»С–СЃРЅРёР№"</f>
        <v>06274  FEBI - Р‘РѕР»С‚ РєРѕР»С–СЃРЅРёР№</v>
      </c>
      <c r="E1712">
        <v>5</v>
      </c>
      <c r="F1712" t="s">
        <v>5336</v>
      </c>
      <c r="G1712" t="s">
        <v>4983</v>
      </c>
      <c r="H1712" t="str">
        <f>"06274"</f>
        <v>06274</v>
      </c>
      <c r="I1712" t="s">
        <v>5043</v>
      </c>
    </row>
    <row r="1713" spans="1:9">
      <c r="A1713" t="str">
        <f>"0166039 "</f>
        <v xml:space="preserve">0166039 </v>
      </c>
      <c r="B1713" t="s">
        <v>4982</v>
      </c>
      <c r="C1713" t="str">
        <f>"06385FE"</f>
        <v>06385FE</v>
      </c>
      <c r="D1713" t="str">
        <f>"06385  FEBI - РњРµС…Р°РЅС–Р·Рј РЅР°С‚СЏРіСѓ СЂРµРјРµРЅСЏ"</f>
        <v>06385  FEBI - РњРµС…Р°РЅС–Р·Рј РЅР°С‚СЏРіСѓ СЂРµРјРµРЅСЏ</v>
      </c>
      <c r="E1713">
        <v>1</v>
      </c>
      <c r="F1713" t="s">
        <v>5337</v>
      </c>
      <c r="G1713" t="s">
        <v>4983</v>
      </c>
      <c r="H1713" t="str">
        <f>"06385"</f>
        <v>06385</v>
      </c>
      <c r="I1713" t="s">
        <v>5338</v>
      </c>
    </row>
    <row r="1714" spans="1:9">
      <c r="A1714" t="str">
        <f>"0166041 "</f>
        <v xml:space="preserve">0166041 </v>
      </c>
      <c r="B1714" t="s">
        <v>4982</v>
      </c>
      <c r="C1714" t="str">
        <f>"06404FE"</f>
        <v>06404FE</v>
      </c>
      <c r="D1714" t="str">
        <f>"06404  FEBI - РћРїРѕСЂР° РєР°СЂРґР°РЅРЅРѕРіРѕ РІР°Р»Р°"</f>
        <v>06404  FEBI - РћРїРѕСЂР° РєР°СЂРґР°РЅРЅРѕРіРѕ РІР°Р»Р°</v>
      </c>
      <c r="E1714">
        <v>1</v>
      </c>
      <c r="F1714" t="s">
        <v>5339</v>
      </c>
      <c r="G1714" t="s">
        <v>4983</v>
      </c>
      <c r="H1714" t="str">
        <f>"06404"</f>
        <v>06404</v>
      </c>
      <c r="I1714" t="s">
        <v>5340</v>
      </c>
    </row>
    <row r="1715" spans="1:9">
      <c r="A1715" t="str">
        <f>"0166051 "</f>
        <v xml:space="preserve">0166051 </v>
      </c>
      <c r="B1715" t="s">
        <v>4982</v>
      </c>
      <c r="C1715" t="str">
        <f>"06446FE"</f>
        <v>06446FE</v>
      </c>
      <c r="D1715" t="str">
        <f>"06446  FEBI - РЎР°Р»СЊРЅРёРє РєР»Р°РїР°РЅР°"</f>
        <v>06446  FEBI - РЎР°Р»СЊРЅРёРє РєР»Р°РїР°РЅР°</v>
      </c>
      <c r="E1715" t="s">
        <v>16</v>
      </c>
      <c r="F1715" t="s">
        <v>5035</v>
      </c>
      <c r="G1715" t="s">
        <v>4983</v>
      </c>
      <c r="H1715" t="str">
        <f>"06446"</f>
        <v>06446</v>
      </c>
      <c r="I1715" t="s">
        <v>5341</v>
      </c>
    </row>
    <row r="1716" spans="1:9">
      <c r="A1716" t="str">
        <f>"0166059 "</f>
        <v xml:space="preserve">0166059 </v>
      </c>
      <c r="B1716" t="s">
        <v>4982</v>
      </c>
      <c r="C1716" t="str">
        <f>"06507FE"</f>
        <v>06507FE</v>
      </c>
      <c r="D1716" t="str">
        <f>"06507  FEBI - РљРѕРјРїР»РµРєС‚ РїС–РґС€РёРїРЅРёРєР° СЃС‚СѓРїРёС†С–"</f>
        <v>06507  FEBI - РљРѕРјРїР»РµРєС‚ РїС–РґС€РёРїРЅРёРєР° СЃС‚СѓРїРёС†С–</v>
      </c>
      <c r="E1716" t="s">
        <v>16</v>
      </c>
      <c r="F1716" t="s">
        <v>5342</v>
      </c>
      <c r="G1716" t="s">
        <v>4983</v>
      </c>
      <c r="H1716" t="str">
        <f>"06507"</f>
        <v>06507</v>
      </c>
      <c r="I1716" t="s">
        <v>5173</v>
      </c>
    </row>
    <row r="1717" spans="1:9">
      <c r="A1717" t="str">
        <f>"0166060 "</f>
        <v xml:space="preserve">0166060 </v>
      </c>
      <c r="B1717" t="s">
        <v>4982</v>
      </c>
      <c r="C1717" t="str">
        <f>"06512FE"</f>
        <v>06512FE</v>
      </c>
      <c r="D1717" t="str">
        <f>"06512  FEBI - Р”РёСЃРє РіР°Р»СЊРјС–РІРЅРёР№"</f>
        <v>06512  FEBI - Р”РёСЃРє РіР°Р»СЊРјС–РІРЅРёР№</v>
      </c>
      <c r="E1717">
        <v>2</v>
      </c>
      <c r="F1717" t="s">
        <v>5343</v>
      </c>
      <c r="G1717" t="s">
        <v>4983</v>
      </c>
      <c r="H1717" t="str">
        <f>"06512"</f>
        <v>06512</v>
      </c>
      <c r="I1717" t="s">
        <v>5344</v>
      </c>
    </row>
    <row r="1718" spans="1:9">
      <c r="A1718" t="str">
        <f>"0166076 "</f>
        <v xml:space="preserve">0166076 </v>
      </c>
      <c r="B1718" t="s">
        <v>4982</v>
      </c>
      <c r="C1718" t="str">
        <f>"06569FE"</f>
        <v>06569FE</v>
      </c>
      <c r="D1718" t="str">
        <f>"06569  FEBI - РђРјРѕСЂС‚РёР·Р°С‚РѕСЂ РјРµС…Р°РЅС–Р·РјР° РЅР°С‚СЏРіСѓ"</f>
        <v>06569  FEBI - РђРјРѕСЂС‚РёР·Р°С‚РѕСЂ РјРµС…Р°РЅС–Р·РјР° РЅР°С‚СЏРіСѓ</v>
      </c>
      <c r="E1718">
        <v>1</v>
      </c>
      <c r="F1718" t="s">
        <v>5345</v>
      </c>
      <c r="G1718" t="s">
        <v>4983</v>
      </c>
      <c r="H1718" t="str">
        <f>"06569"</f>
        <v>06569</v>
      </c>
      <c r="I1718" t="s">
        <v>5346</v>
      </c>
    </row>
    <row r="1719" spans="1:9">
      <c r="A1719" t="str">
        <f>"0166079 "</f>
        <v xml:space="preserve">0166079 </v>
      </c>
      <c r="B1719" t="s">
        <v>4982</v>
      </c>
      <c r="C1719" t="str">
        <f>"06595FE"</f>
        <v>06595FE</v>
      </c>
      <c r="D1719" t="str">
        <f>"06595  FEBI - РўСЏРіР° РєРµСЂРјРѕРІР° Р· РЅР°РєС–РЅРµС‡РЅРёРєРѕРј"</f>
        <v>06595  FEBI - РўСЏРіР° РєРµСЂРјРѕРІР° Р· РЅР°РєС–РЅРµС‡РЅРёРєРѕРј</v>
      </c>
      <c r="E1719">
        <v>1</v>
      </c>
      <c r="F1719" t="s">
        <v>5347</v>
      </c>
      <c r="G1719" t="s">
        <v>4983</v>
      </c>
      <c r="H1719" t="str">
        <f>"06595"</f>
        <v>06595</v>
      </c>
      <c r="I1719" t="s">
        <v>5348</v>
      </c>
    </row>
    <row r="1720" spans="1:9">
      <c r="A1720" t="str">
        <f>"0166135 "</f>
        <v xml:space="preserve">0166135 </v>
      </c>
      <c r="B1720" t="s">
        <v>4982</v>
      </c>
      <c r="C1720" t="str">
        <f>"06798FE"</f>
        <v>06798FE</v>
      </c>
      <c r="D1720" t="str">
        <f>"06798  FEBI - РљСЂРѕРЅС€С‚РµР№РЅ С„РѕСЂСЃСѓРЅРєРё"</f>
        <v>06798  FEBI - РљСЂРѕРЅС€С‚РµР№РЅ С„РѕСЂСЃСѓРЅРєРё</v>
      </c>
      <c r="E1720" t="s">
        <v>16</v>
      </c>
      <c r="F1720" t="s">
        <v>5349</v>
      </c>
      <c r="G1720" t="s">
        <v>4983</v>
      </c>
      <c r="H1720" t="str">
        <f>"06798"</f>
        <v>06798</v>
      </c>
      <c r="I1720" t="s">
        <v>5350</v>
      </c>
    </row>
    <row r="1721" spans="1:9">
      <c r="A1721" t="str">
        <f>"0166139 "</f>
        <v xml:space="preserve">0166139 </v>
      </c>
      <c r="B1721" t="s">
        <v>4982</v>
      </c>
      <c r="C1721" t="str">
        <f>"06844FE"</f>
        <v>06844FE</v>
      </c>
      <c r="D1721" t="str">
        <f>"06844  FEBI - Р’С‚СѓР»РєР° СЃС‚Р°Р±С–Р»С–Р·Р°С‚РѕСЂР°"</f>
        <v>06844  FEBI - Р’С‚СѓР»РєР° СЃС‚Р°Р±С–Р»С–Р·Р°С‚РѕСЂР°</v>
      </c>
      <c r="E1721">
        <v>2</v>
      </c>
      <c r="F1721" t="s">
        <v>5351</v>
      </c>
      <c r="G1721" t="s">
        <v>4983</v>
      </c>
      <c r="H1721" t="str">
        <f>"06844"</f>
        <v>06844</v>
      </c>
      <c r="I1721" t="s">
        <v>5352</v>
      </c>
    </row>
    <row r="1722" spans="1:9">
      <c r="A1722" t="str">
        <f>"0166156 "</f>
        <v xml:space="preserve">0166156 </v>
      </c>
      <c r="B1722" t="s">
        <v>4982</v>
      </c>
      <c r="C1722" t="str">
        <f>"06952FE"</f>
        <v>06952FE</v>
      </c>
      <c r="D1722" t="str">
        <f>"06952  FEBI - РљСѓР»СЊРѕРІР° РѕРїРѕСЂР°"</f>
        <v>06952  FEBI - РљСѓР»СЊРѕРІР° РѕРїРѕСЂР°</v>
      </c>
      <c r="E1722">
        <v>3</v>
      </c>
      <c r="F1722" t="s">
        <v>5353</v>
      </c>
      <c r="G1722" t="s">
        <v>4983</v>
      </c>
      <c r="H1722" t="str">
        <f>"06952"</f>
        <v>06952</v>
      </c>
      <c r="I1722" t="s">
        <v>5354</v>
      </c>
    </row>
    <row r="1723" spans="1:9">
      <c r="A1723" t="str">
        <f>"0166161 "</f>
        <v xml:space="preserve">0166161 </v>
      </c>
      <c r="B1723" t="s">
        <v>4982</v>
      </c>
      <c r="C1723" t="str">
        <f>"06963FE"</f>
        <v>06963FE</v>
      </c>
      <c r="D1723" t="str">
        <f>"06963  FEBI - Р‘РѕР»С‚ РєРѕР»С–СЃРЅРёР№"</f>
        <v>06963  FEBI - Р‘РѕР»С‚ РєРѕР»С–СЃРЅРёР№</v>
      </c>
      <c r="E1723" t="s">
        <v>16</v>
      </c>
      <c r="F1723" s="1">
        <v>43021</v>
      </c>
      <c r="G1723" t="s">
        <v>4983</v>
      </c>
      <c r="H1723" t="str">
        <f>"06963"</f>
        <v>06963</v>
      </c>
      <c r="I1723" t="s">
        <v>5355</v>
      </c>
    </row>
    <row r="1724" spans="1:9">
      <c r="A1724" t="str">
        <f>"0166165 "</f>
        <v xml:space="preserve">0166165 </v>
      </c>
      <c r="B1724" t="s">
        <v>4982</v>
      </c>
      <c r="C1724" t="str">
        <f>"06971FE"</f>
        <v>06971FE</v>
      </c>
      <c r="D1724" t="str">
        <f>"06971  FEBI - РќР°С‚СЏР¶РЅРёР№ СЂРѕР»РёРє СЂРµРјРµРЅСЏ Р“Р Рњ"</f>
        <v>06971  FEBI - РќР°С‚СЏР¶РЅРёР№ СЂРѕР»РёРє СЂРµРјРµРЅСЏ Р“Р Рњ</v>
      </c>
      <c r="E1724">
        <v>1</v>
      </c>
      <c r="F1724" t="s">
        <v>5356</v>
      </c>
      <c r="G1724" t="s">
        <v>4983</v>
      </c>
      <c r="H1724" t="str">
        <f>"06971"</f>
        <v>06971</v>
      </c>
      <c r="I1724" t="s">
        <v>5357</v>
      </c>
    </row>
    <row r="1725" spans="1:9">
      <c r="A1725" t="str">
        <f>"0166166 "</f>
        <v xml:space="preserve">0166166 </v>
      </c>
      <c r="B1725" t="s">
        <v>4982</v>
      </c>
      <c r="C1725" t="str">
        <f>"06972FE"</f>
        <v>06972FE</v>
      </c>
      <c r="D1725" t="str">
        <f>"06972  FEBI - Р”Р°С‚С‡РёРє С‚РёСЃРєСѓ РјР°СЃР»Р°"</f>
        <v>06972  FEBI - Р”Р°С‚С‡РёРє С‚РёСЃРєСѓ РјР°СЃР»Р°</v>
      </c>
      <c r="E1725" t="s">
        <v>16</v>
      </c>
      <c r="F1725" t="s">
        <v>5351</v>
      </c>
      <c r="G1725" t="s">
        <v>4983</v>
      </c>
      <c r="H1725" t="str">
        <f>"06972"</f>
        <v>06972</v>
      </c>
      <c r="I1725" t="s">
        <v>5358</v>
      </c>
    </row>
    <row r="1726" spans="1:9">
      <c r="A1726" t="str">
        <f>"0166200 "</f>
        <v xml:space="preserve">0166200 </v>
      </c>
      <c r="B1726" t="s">
        <v>4982</v>
      </c>
      <c r="C1726" t="str">
        <f>"07059FE"</f>
        <v>07059FE</v>
      </c>
      <c r="D1726" t="str">
        <f>"07059  FEBI - РЎР°Р№Р»РµРЅС‚Р±Р»РѕРє"</f>
        <v>07059  FEBI - РЎР°Р№Р»РµРЅС‚Р±Р»РѕРє</v>
      </c>
      <c r="E1726">
        <v>2</v>
      </c>
      <c r="F1726" t="s">
        <v>5024</v>
      </c>
      <c r="G1726" t="s">
        <v>4983</v>
      </c>
      <c r="H1726" t="str">
        <f>"07059"</f>
        <v>07059</v>
      </c>
      <c r="I1726" t="s">
        <v>5359</v>
      </c>
    </row>
    <row r="1727" spans="1:9">
      <c r="A1727" t="str">
        <f>"0166203 "</f>
        <v xml:space="preserve">0166203 </v>
      </c>
      <c r="B1727" t="s">
        <v>4982</v>
      </c>
      <c r="C1727" t="str">
        <f>"07065FE"</f>
        <v>07065FE</v>
      </c>
      <c r="D1727" t="str">
        <f>"07065  FEBI - Р‘РѕР»С‚ РєРѕР»С–СЃРЅРёР№"</f>
        <v>07065  FEBI - Р‘РѕР»С‚ РєРѕР»С–СЃРЅРёР№</v>
      </c>
      <c r="E1727">
        <v>5</v>
      </c>
      <c r="F1727" s="3">
        <v>27729</v>
      </c>
      <c r="G1727" t="s">
        <v>4983</v>
      </c>
      <c r="H1727" t="str">
        <f>"07065"</f>
        <v>07065</v>
      </c>
      <c r="I1727" t="s">
        <v>5360</v>
      </c>
    </row>
    <row r="1728" spans="1:9">
      <c r="A1728" t="str">
        <f>"0166237 "</f>
        <v xml:space="preserve">0166237 </v>
      </c>
      <c r="B1728" t="s">
        <v>4982</v>
      </c>
      <c r="C1728" t="str">
        <f>"07180FE"</f>
        <v>07180FE</v>
      </c>
      <c r="D1728" t="str">
        <f>"07180  FEBI - РЎР°Р№Р»РµРЅС‚Р±Р»РѕРє Р±Р°Р»РєРё"</f>
        <v>07180  FEBI - РЎР°Р№Р»РµРЅС‚Р±Р»РѕРє Р±Р°Р»РєРё</v>
      </c>
      <c r="E1728">
        <v>2</v>
      </c>
      <c r="F1728" t="s">
        <v>5067</v>
      </c>
      <c r="G1728" t="s">
        <v>4983</v>
      </c>
      <c r="H1728" t="str">
        <f>"07180"</f>
        <v>07180</v>
      </c>
      <c r="I1728" t="s">
        <v>5361</v>
      </c>
    </row>
    <row r="1729" spans="1:9">
      <c r="A1729" t="str">
        <f>"0166251 "</f>
        <v xml:space="preserve">0166251 </v>
      </c>
      <c r="B1729" t="s">
        <v>4982</v>
      </c>
      <c r="C1729" t="str">
        <f>"07200FE"</f>
        <v>07200FE</v>
      </c>
      <c r="D1729" t="str">
        <f>"07200  FEBI - Р’С‚СѓР»РєР° СЃС‚Р°Р±С–Р»С–Р·Р°С‚РѕСЂР°"</f>
        <v>07200  FEBI - Р’С‚СѓР»РєР° СЃС‚Р°Р±С–Р»С–Р·Р°С‚РѕСЂР°</v>
      </c>
      <c r="E1729">
        <v>2</v>
      </c>
      <c r="F1729" s="1">
        <v>42969</v>
      </c>
      <c r="G1729" t="s">
        <v>4983</v>
      </c>
      <c r="H1729" t="str">
        <f>"07200"</f>
        <v>07200</v>
      </c>
      <c r="I1729" t="s">
        <v>5362</v>
      </c>
    </row>
    <row r="1730" spans="1:9">
      <c r="A1730" t="str">
        <f>"0166258 "</f>
        <v xml:space="preserve">0166258 </v>
      </c>
      <c r="B1730" t="s">
        <v>4982</v>
      </c>
      <c r="C1730" t="str">
        <f>"07215FE"</f>
        <v>07215FE</v>
      </c>
      <c r="D1730" t="str">
        <f>"07215  FEBI - РЈС‰С–Р»СЊРЅСЋСЋС‡Рµ РєС–Р»СЊС†Рµ"</f>
        <v>07215  FEBI - РЈС‰С–Р»СЊРЅСЋСЋС‡Рµ РєС–Р»СЊС†Рµ</v>
      </c>
      <c r="E1730">
        <v>2</v>
      </c>
      <c r="F1730" s="3">
        <v>29252</v>
      </c>
      <c r="G1730" t="s">
        <v>4983</v>
      </c>
      <c r="H1730" t="str">
        <f>"07215"</f>
        <v>07215</v>
      </c>
      <c r="I1730" t="s">
        <v>5363</v>
      </c>
    </row>
    <row r="1731" spans="1:9">
      <c r="A1731" t="str">
        <f>"0166271 "</f>
        <v xml:space="preserve">0166271 </v>
      </c>
      <c r="B1731" t="s">
        <v>4982</v>
      </c>
      <c r="C1731" t="str">
        <f>"07284FE"</f>
        <v>07284FE</v>
      </c>
      <c r="D1731" t="str">
        <f>"07284  FEBI - Р—Р°РіР»СѓС€РєР°"</f>
        <v>07284  FEBI - Р—Р°РіР»СѓС€РєР°</v>
      </c>
      <c r="E1731">
        <v>1</v>
      </c>
      <c r="F1731" s="3">
        <v>26238</v>
      </c>
      <c r="G1731" t="s">
        <v>4983</v>
      </c>
      <c r="H1731" t="str">
        <f>"07284"</f>
        <v>07284</v>
      </c>
      <c r="I1731" t="s">
        <v>5364</v>
      </c>
    </row>
    <row r="1732" spans="1:9">
      <c r="A1732" t="str">
        <f>"0166274 "</f>
        <v xml:space="preserve">0166274 </v>
      </c>
      <c r="B1732" t="s">
        <v>4982</v>
      </c>
      <c r="C1732" t="str">
        <f>"07295FE"</f>
        <v>07295FE</v>
      </c>
      <c r="D1732" t="str">
        <f>"07295  FEBI - Р—Р°РіР»СѓС€РєР°"</f>
        <v>07295  FEBI - Р—Р°РіР»СѓС€РєР°</v>
      </c>
      <c r="E1732">
        <v>2</v>
      </c>
      <c r="F1732" s="3">
        <v>45261</v>
      </c>
      <c r="G1732" t="s">
        <v>4983</v>
      </c>
      <c r="H1732" t="str">
        <f>"07295"</f>
        <v>07295</v>
      </c>
      <c r="I1732" t="s">
        <v>5365</v>
      </c>
    </row>
    <row r="1733" spans="1:9">
      <c r="A1733" t="str">
        <f>"0166309 "</f>
        <v xml:space="preserve">0166309 </v>
      </c>
      <c r="B1733" t="s">
        <v>4982</v>
      </c>
      <c r="C1733" t="str">
        <f>"07517FE"</f>
        <v>07517FE</v>
      </c>
      <c r="D1733" t="str">
        <f>"07517  FEBI - Р”РёСЃРє РіР°Р»СЊРјС–РІРЅРёР№"</f>
        <v>07517  FEBI - Р”РёСЃРє РіР°Р»СЊРјС–РІРЅРёР№</v>
      </c>
      <c r="E1733" t="s">
        <v>16</v>
      </c>
      <c r="F1733" t="s">
        <v>5366</v>
      </c>
      <c r="G1733" t="s">
        <v>4983</v>
      </c>
      <c r="H1733" t="str">
        <f>"07517"</f>
        <v>07517</v>
      </c>
      <c r="I1733" t="s">
        <v>5367</v>
      </c>
    </row>
    <row r="1734" spans="1:9">
      <c r="A1734" t="str">
        <f>"0166313 "</f>
        <v xml:space="preserve">0166313 </v>
      </c>
      <c r="B1734" t="s">
        <v>4982</v>
      </c>
      <c r="C1734" t="str">
        <f>"07532FE"</f>
        <v>07532FE</v>
      </c>
      <c r="D1734" t="str">
        <f>"07532  FEBI - РќР°РєР»Р°РґРєР° РЅР° РїРµРґР°Р»СЊ"</f>
        <v>07532  FEBI - РќР°РєР»Р°РґРєР° РЅР° РїРµРґР°Р»СЊ</v>
      </c>
      <c r="E1734">
        <v>1</v>
      </c>
      <c r="F1734" t="s">
        <v>5368</v>
      </c>
      <c r="G1734" t="s">
        <v>4983</v>
      </c>
      <c r="H1734" t="str">
        <f>"07532"</f>
        <v>07532</v>
      </c>
      <c r="I1734" t="s">
        <v>5369</v>
      </c>
    </row>
    <row r="1735" spans="1:9">
      <c r="A1735" t="str">
        <f>"0166315 "</f>
        <v xml:space="preserve">0166315 </v>
      </c>
      <c r="B1735" t="s">
        <v>4982</v>
      </c>
      <c r="C1735" t="str">
        <f>"07537FE"</f>
        <v>07537FE</v>
      </c>
      <c r="D1735" t="str">
        <f>"07537  FEBI - Р—Р°РіР»СѓС€РєР°"</f>
        <v>07537  FEBI - Р—Р°РіР»СѓС€РєР°</v>
      </c>
      <c r="E1735" t="s">
        <v>16</v>
      </c>
      <c r="F1735" s="3">
        <v>45413</v>
      </c>
      <c r="G1735" t="s">
        <v>4983</v>
      </c>
      <c r="H1735" t="str">
        <f>"07537"</f>
        <v>07537</v>
      </c>
      <c r="I1735" t="s">
        <v>5370</v>
      </c>
    </row>
    <row r="1736" spans="1:9">
      <c r="A1736" t="str">
        <f>"0166318 "</f>
        <v xml:space="preserve">0166318 </v>
      </c>
      <c r="B1736" t="s">
        <v>4982</v>
      </c>
      <c r="C1736" t="str">
        <f>"07541FE"</f>
        <v>07541FE</v>
      </c>
      <c r="D1736" t="str">
        <f>"07541  FEBI - Р•Р»Р°СЃС‚РёС‡РЅР° РјСѓС„С‚Р° (Рє-РєС‚)"</f>
        <v>07541  FEBI - Р•Р»Р°СЃС‚РёС‡РЅР° РјСѓС„С‚Р° (Рє-РєС‚)</v>
      </c>
      <c r="E1736">
        <v>1</v>
      </c>
      <c r="F1736" t="s">
        <v>5371</v>
      </c>
      <c r="G1736" t="s">
        <v>4983</v>
      </c>
      <c r="H1736" t="str">
        <f>"07541"</f>
        <v>07541</v>
      </c>
      <c r="I1736" t="s">
        <v>5372</v>
      </c>
    </row>
    <row r="1737" spans="1:9">
      <c r="A1737" t="str">
        <f>"0166329 "</f>
        <v xml:space="preserve">0166329 </v>
      </c>
      <c r="B1737" t="s">
        <v>4982</v>
      </c>
      <c r="C1737" t="str">
        <f>"07556FE"</f>
        <v>07556FE</v>
      </c>
      <c r="D1737" t="str">
        <f>"07556  FEBI - РџСЂРѕРєР»Р°РґРєР° РїС–РґРґРѕРЅСѓ"</f>
        <v>07556  FEBI - РџСЂРѕРєР»Р°РґРєР° РїС–РґРґРѕРЅСѓ</v>
      </c>
      <c r="E1737">
        <v>1</v>
      </c>
      <c r="F1737" t="s">
        <v>5373</v>
      </c>
      <c r="G1737" t="s">
        <v>4983</v>
      </c>
      <c r="H1737" t="str">
        <f>"07556"</f>
        <v>07556</v>
      </c>
      <c r="I1737" t="s">
        <v>5374</v>
      </c>
    </row>
    <row r="1738" spans="1:9">
      <c r="A1738" t="str">
        <f>"0166330 "</f>
        <v xml:space="preserve">0166330 </v>
      </c>
      <c r="B1738" t="s">
        <v>4982</v>
      </c>
      <c r="C1738" t="str">
        <f>"07557FE"</f>
        <v>07557FE</v>
      </c>
      <c r="D1738" t="str">
        <f>"07557  FEBI - РЎР°Р№Р»РµРЅС‚Р±Р»РѕРє"</f>
        <v>07557  FEBI - РЎР°Р№Р»РµРЅС‚Р±Р»РѕРє</v>
      </c>
      <c r="E1738">
        <v>4</v>
      </c>
      <c r="F1738" t="s">
        <v>5375</v>
      </c>
      <c r="G1738" t="s">
        <v>4983</v>
      </c>
      <c r="H1738" t="str">
        <f>"07557"</f>
        <v>07557</v>
      </c>
      <c r="I1738" t="s">
        <v>5376</v>
      </c>
    </row>
    <row r="1739" spans="1:9">
      <c r="A1739" t="str">
        <f>"0166331 "</f>
        <v xml:space="preserve">0166331 </v>
      </c>
      <c r="B1739" t="s">
        <v>4982</v>
      </c>
      <c r="C1739" t="str">
        <f>"07558FE"</f>
        <v>07558FE</v>
      </c>
      <c r="D1739" t="str">
        <f>"07558  FEBI - РЎР°Р№Р»РµРЅС‚Р±Р»РѕРє"</f>
        <v>07558  FEBI - РЎР°Р№Р»РµРЅС‚Р±Р»РѕРє</v>
      </c>
      <c r="E1739" t="s">
        <v>16</v>
      </c>
      <c r="F1739" t="s">
        <v>5377</v>
      </c>
      <c r="G1739" t="s">
        <v>4983</v>
      </c>
      <c r="H1739" t="str">
        <f>"07558"</f>
        <v>07558</v>
      </c>
      <c r="I1739" t="s">
        <v>5378</v>
      </c>
    </row>
    <row r="1740" spans="1:9">
      <c r="A1740" t="str">
        <f>"0166343 "</f>
        <v xml:space="preserve">0166343 </v>
      </c>
      <c r="B1740" t="s">
        <v>4982</v>
      </c>
      <c r="C1740" t="str">
        <f>"07590FE"</f>
        <v>07590FE</v>
      </c>
      <c r="D1740" t="str">
        <f>"07590  FEBI - РЎР°Р№Р»РµРЅС‚Р±Р»РѕРє"</f>
        <v>07590  FEBI - РЎР°Р№Р»РµРЅС‚Р±Р»РѕРє</v>
      </c>
      <c r="E1740" t="s">
        <v>16</v>
      </c>
      <c r="F1740" t="s">
        <v>4055</v>
      </c>
      <c r="G1740" t="s">
        <v>4983</v>
      </c>
      <c r="H1740" t="str">
        <f>"07590"</f>
        <v>07590</v>
      </c>
      <c r="I1740" t="s">
        <v>5379</v>
      </c>
    </row>
    <row r="1741" spans="1:9">
      <c r="A1741" t="str">
        <f>"0166355 "</f>
        <v xml:space="preserve">0166355 </v>
      </c>
      <c r="B1741" t="s">
        <v>4982</v>
      </c>
      <c r="C1741" t="str">
        <f>"07620FE"</f>
        <v>07620FE</v>
      </c>
      <c r="D1741" t="str">
        <f>"07620  FEBI - РЎР°Р№Р»РµРЅС‚Р±Р»РѕРє Р±Р°Р»РєРё"</f>
        <v>07620  FEBI - РЎР°Р№Р»РµРЅС‚Р±Р»РѕРє Р±Р°Р»РєРё</v>
      </c>
      <c r="E1741">
        <v>4</v>
      </c>
      <c r="F1741" t="s">
        <v>3332</v>
      </c>
      <c r="G1741" t="s">
        <v>4983</v>
      </c>
      <c r="H1741" t="str">
        <f>"07620"</f>
        <v>07620</v>
      </c>
      <c r="I1741" t="s">
        <v>5380</v>
      </c>
    </row>
    <row r="1742" spans="1:9">
      <c r="A1742" t="str">
        <f>"0166357 "</f>
        <v xml:space="preserve">0166357 </v>
      </c>
      <c r="B1742" t="s">
        <v>4982</v>
      </c>
      <c r="C1742" t="str">
        <f>"07622FE"</f>
        <v>07622FE</v>
      </c>
      <c r="D1742" t="str">
        <f>"07622  FEBI - РЎР°Р№Р»РµРЅС‚Р±Р»РѕРє Р±Р°Р»РєРё"</f>
        <v>07622  FEBI - РЎР°Р№Р»РµРЅС‚Р±Р»РѕРє Р±Р°Р»РєРё</v>
      </c>
      <c r="E1742">
        <v>2</v>
      </c>
      <c r="F1742" t="s">
        <v>2872</v>
      </c>
      <c r="G1742" t="s">
        <v>4983</v>
      </c>
      <c r="H1742" t="str">
        <f>"07622"</f>
        <v>07622</v>
      </c>
      <c r="I1742" t="s">
        <v>5381</v>
      </c>
    </row>
    <row r="1743" spans="1:9">
      <c r="A1743" t="str">
        <f>"0166361 "</f>
        <v xml:space="preserve">0166361 </v>
      </c>
      <c r="B1743" t="s">
        <v>4982</v>
      </c>
      <c r="C1743" t="str">
        <f>"07629FE"</f>
        <v>07629FE</v>
      </c>
      <c r="D1743" t="str">
        <f>"07629  FEBI - РЎР°Р№Р»РµРЅС‚Р±Р»РѕРє"</f>
        <v>07629  FEBI - РЎР°Р№Р»РµРЅС‚Р±Р»РѕРє</v>
      </c>
      <c r="E1743" t="s">
        <v>16</v>
      </c>
      <c r="F1743" t="s">
        <v>5382</v>
      </c>
      <c r="G1743" t="s">
        <v>4983</v>
      </c>
      <c r="H1743" t="str">
        <f>"07629"</f>
        <v>07629</v>
      </c>
      <c r="I1743" t="s">
        <v>5383</v>
      </c>
    </row>
    <row r="1744" spans="1:9">
      <c r="A1744" t="str">
        <f>"0166364 "</f>
        <v xml:space="preserve">0166364 </v>
      </c>
      <c r="B1744" t="s">
        <v>4982</v>
      </c>
      <c r="C1744" t="str">
        <f>"07642FE"</f>
        <v>07642FE</v>
      </c>
      <c r="D1744" t="str">
        <f>"07642  FEBI - РћРїРѕСЂР° РљРџРџ"</f>
        <v>07642  FEBI - РћРїРѕСЂР° РљРџРџ</v>
      </c>
      <c r="E1744">
        <v>1</v>
      </c>
      <c r="F1744" t="s">
        <v>5384</v>
      </c>
      <c r="G1744" t="s">
        <v>4983</v>
      </c>
      <c r="H1744" t="str">
        <f>"07642"</f>
        <v>07642</v>
      </c>
      <c r="I1744" t="s">
        <v>5385</v>
      </c>
    </row>
    <row r="1745" spans="1:9">
      <c r="A1745" t="str">
        <f>"0166369 "</f>
        <v xml:space="preserve">0166369 </v>
      </c>
      <c r="B1745" t="s">
        <v>4982</v>
      </c>
      <c r="C1745" t="str">
        <f>"07661FE"</f>
        <v>07661FE</v>
      </c>
      <c r="D1745" t="str">
        <f>"07661  FEBI - Р‘РѕР»С‚ Р“Р‘Р¦"</f>
        <v>07661  FEBI - Р‘РѕР»С‚ Р“Р‘Р¦</v>
      </c>
      <c r="E1745" t="s">
        <v>16</v>
      </c>
      <c r="F1745" t="s">
        <v>5386</v>
      </c>
      <c r="G1745" t="s">
        <v>4983</v>
      </c>
      <c r="H1745" t="str">
        <f>"07661"</f>
        <v>07661</v>
      </c>
      <c r="I1745" t="s">
        <v>5387</v>
      </c>
    </row>
    <row r="1746" spans="1:9">
      <c r="A1746" t="str">
        <f>"0166393 "</f>
        <v xml:space="preserve">0166393 </v>
      </c>
      <c r="B1746" t="s">
        <v>4982</v>
      </c>
      <c r="C1746" t="str">
        <f>"07730FE"</f>
        <v>07730FE</v>
      </c>
      <c r="D1746" t="str">
        <f>"07730  FEBI - РџС–РґСЃС‚Р°РІРєР° РїС–Рґ РїСЂСѓР¶РёРЅСѓ"</f>
        <v>07730  FEBI - РџС–РґСЃС‚Р°РІРєР° РїС–Рґ РїСЂСѓР¶РёРЅСѓ</v>
      </c>
      <c r="E1746">
        <v>2</v>
      </c>
      <c r="F1746" t="s">
        <v>5388</v>
      </c>
      <c r="G1746" t="s">
        <v>4983</v>
      </c>
      <c r="H1746" t="str">
        <f>"07730"</f>
        <v>07730</v>
      </c>
      <c r="I1746" t="s">
        <v>5389</v>
      </c>
    </row>
    <row r="1747" spans="1:9">
      <c r="A1747" t="str">
        <f>"0166419 "</f>
        <v xml:space="preserve">0166419 </v>
      </c>
      <c r="B1747" t="s">
        <v>4982</v>
      </c>
      <c r="C1747" t="str">
        <f>"07837FE"</f>
        <v>07837FE</v>
      </c>
      <c r="D1747" t="str">
        <f>"07837  FEBI - РЎР°Р№Р»РµРЅС‚Р±Р»РѕРє Р±Р°Р»РєРё"</f>
        <v>07837  FEBI - РЎР°Р№Р»РµРЅС‚Р±Р»РѕРє Р±Р°Р»РєРё</v>
      </c>
      <c r="E1747">
        <v>2</v>
      </c>
      <c r="F1747" t="s">
        <v>5390</v>
      </c>
      <c r="G1747" t="s">
        <v>4983</v>
      </c>
      <c r="H1747" t="str">
        <f>"07837"</f>
        <v>07837</v>
      </c>
      <c r="I1747" t="s">
        <v>5391</v>
      </c>
    </row>
    <row r="1748" spans="1:9">
      <c r="A1748" t="str">
        <f>"0166427 "</f>
        <v xml:space="preserve">0166427 </v>
      </c>
      <c r="B1748" t="s">
        <v>4982</v>
      </c>
      <c r="C1748" t="str">
        <f>"07847FE"</f>
        <v>07847FE</v>
      </c>
      <c r="D1748" t="str">
        <f>"07847  FEBI - РЎР°Р№Р»РµРЅС‚Р±Р»РѕРє"</f>
        <v>07847  FEBI - РЎР°Р№Р»РµРЅС‚Р±Р»РѕРє</v>
      </c>
      <c r="E1748">
        <v>4</v>
      </c>
      <c r="F1748" t="s">
        <v>3345</v>
      </c>
      <c r="G1748" t="s">
        <v>4983</v>
      </c>
      <c r="H1748" t="str">
        <f>"07847"</f>
        <v>07847</v>
      </c>
      <c r="I1748" t="s">
        <v>5392</v>
      </c>
    </row>
    <row r="1749" spans="1:9">
      <c r="A1749" t="str">
        <f>"0166431 "</f>
        <v xml:space="preserve">0166431 </v>
      </c>
      <c r="B1749" t="s">
        <v>4982</v>
      </c>
      <c r="C1749" t="str">
        <f>"07856FE"</f>
        <v>07856FE</v>
      </c>
      <c r="D1749" t="str">
        <f>"07856  FEBI - РЎР°Р№Р»РµРЅС‚Р±Р»РѕРє"</f>
        <v>07856  FEBI - РЎР°Р№Р»РµРЅС‚Р±Р»РѕРє</v>
      </c>
      <c r="E1749" t="s">
        <v>16</v>
      </c>
      <c r="F1749" t="s">
        <v>4514</v>
      </c>
      <c r="G1749" t="s">
        <v>4983</v>
      </c>
      <c r="H1749" t="str">
        <f>"07856"</f>
        <v>07856</v>
      </c>
      <c r="I1749" t="s">
        <v>5393</v>
      </c>
    </row>
    <row r="1750" spans="1:9">
      <c r="A1750" t="str">
        <f>"0166437 "</f>
        <v xml:space="preserve">0166437 </v>
      </c>
      <c r="B1750" t="s">
        <v>4982</v>
      </c>
      <c r="C1750" t="str">
        <f>"07863FE"</f>
        <v>07863FE</v>
      </c>
      <c r="D1750" t="str">
        <f>"07863  FEBI - РўСЏРіР° СЃС‚Р°Р±С–Р»С–Р·Р°С‚РѕСЂР°"</f>
        <v>07863  FEBI - РўСЏРіР° СЃС‚Р°Р±С–Р»С–Р·Р°С‚РѕСЂР°</v>
      </c>
      <c r="E1750">
        <v>1</v>
      </c>
      <c r="F1750" t="s">
        <v>5394</v>
      </c>
      <c r="G1750" t="s">
        <v>4983</v>
      </c>
      <c r="H1750" t="str">
        <f>"07863"</f>
        <v>07863</v>
      </c>
      <c r="I1750" t="s">
        <v>5395</v>
      </c>
    </row>
    <row r="1751" spans="1:9">
      <c r="A1751" t="str">
        <f>"0166476 "</f>
        <v xml:space="preserve">0166476 </v>
      </c>
      <c r="B1751" t="s">
        <v>4982</v>
      </c>
      <c r="C1751" t="str">
        <f>"07989FE"</f>
        <v>07989FE</v>
      </c>
      <c r="D1751" t="str">
        <f>"07989  FEBI - РўСЏРіР° СЃС‚Р°Р±С–Р»С–Р·Р°С‚РѕСЂР°"</f>
        <v>07989  FEBI - РўСЏРіР° СЃС‚Р°Р±С–Р»С–Р·Р°С‚РѕСЂР°</v>
      </c>
      <c r="E1751">
        <v>4</v>
      </c>
      <c r="F1751" t="s">
        <v>5396</v>
      </c>
      <c r="G1751" t="s">
        <v>4983</v>
      </c>
      <c r="H1751" t="str">
        <f>"07989"</f>
        <v>07989</v>
      </c>
      <c r="I1751" t="s">
        <v>5397</v>
      </c>
    </row>
    <row r="1752" spans="1:9">
      <c r="A1752" t="str">
        <f>"0166488 "</f>
        <v xml:space="preserve">0166488 </v>
      </c>
      <c r="B1752" t="s">
        <v>4982</v>
      </c>
      <c r="C1752" t="str">
        <f>"08018FE"</f>
        <v>08018FE</v>
      </c>
      <c r="D1752" t="str">
        <f>"08018  FEBI - РџРёР»СЊРѕРІРёРє РїСЂРёРІС–РґРЅРѕРіРѕ РІР°Р»Р°"</f>
        <v>08018  FEBI - РџРёР»СЊРѕРІРёРє РїСЂРёРІС–РґРЅРѕРіРѕ РІР°Р»Р°</v>
      </c>
      <c r="E1752">
        <v>2</v>
      </c>
      <c r="F1752" t="s">
        <v>5398</v>
      </c>
      <c r="G1752" t="s">
        <v>4983</v>
      </c>
      <c r="H1752" t="str">
        <f>"08018"</f>
        <v>08018</v>
      </c>
      <c r="I1752" t="s">
        <v>5399</v>
      </c>
    </row>
    <row r="1753" spans="1:9">
      <c r="A1753" t="str">
        <f>"0166493 "</f>
        <v xml:space="preserve">0166493 </v>
      </c>
      <c r="B1753" t="s">
        <v>4982</v>
      </c>
      <c r="C1753" t="str">
        <f>"08029FE"</f>
        <v>08029FE</v>
      </c>
      <c r="D1753" t="str">
        <f>"08029  FEBI - РџРёР»СЊРѕРІРёРє РєРµСЂРјРѕРІРѕС— С‚СЏРіРё"</f>
        <v>08029  FEBI - РџРёР»СЊРѕРІРёРє РєРµСЂРјРѕРІРѕС— С‚СЏРіРё</v>
      </c>
      <c r="E1753">
        <v>1</v>
      </c>
      <c r="F1753" t="s">
        <v>5400</v>
      </c>
      <c r="G1753" t="s">
        <v>4983</v>
      </c>
      <c r="H1753" t="str">
        <f>"08029"</f>
        <v>08029</v>
      </c>
      <c r="I1753" t="s">
        <v>5401</v>
      </c>
    </row>
    <row r="1754" spans="1:9">
      <c r="A1754" t="str">
        <f>"0166512 "</f>
        <v xml:space="preserve">0166512 </v>
      </c>
      <c r="B1754" t="s">
        <v>4982</v>
      </c>
      <c r="C1754" t="str">
        <f>"08078FE"</f>
        <v>08078FE</v>
      </c>
      <c r="D1754" t="str">
        <f>"08078  FEBI - РљСѓР»СЊРѕРІР° РѕРїРѕСЂР°"</f>
        <v>08078  FEBI - РљСѓР»СЊРѕРІР° РѕРїРѕСЂР°</v>
      </c>
      <c r="E1754">
        <v>1</v>
      </c>
      <c r="F1754" t="s">
        <v>5402</v>
      </c>
      <c r="G1754" t="s">
        <v>4983</v>
      </c>
      <c r="H1754" t="str">
        <f>"08078"</f>
        <v>08078</v>
      </c>
      <c r="I1754" t="s">
        <v>5403</v>
      </c>
    </row>
    <row r="1755" spans="1:9">
      <c r="A1755" t="str">
        <f>"0166536 "</f>
        <v xml:space="preserve">0166536 </v>
      </c>
      <c r="B1755" t="s">
        <v>4982</v>
      </c>
      <c r="C1755" t="str">
        <f>"08146FE"</f>
        <v>08146FE</v>
      </c>
      <c r="D1755" t="str">
        <f>"08146  FEBI - РљРѕРјРїР»РµРєС‚ РїС–РґС€РёРїРЅРёРєР° СЃС‚СѓРїРёС†С–"</f>
        <v>08146  FEBI - РљРѕРјРїР»РµРєС‚ РїС–РґС€РёРїРЅРёРєР° СЃС‚СѓРїРёС†С–</v>
      </c>
      <c r="E1755">
        <v>1</v>
      </c>
      <c r="F1755" t="s">
        <v>5404</v>
      </c>
      <c r="G1755" t="s">
        <v>4983</v>
      </c>
      <c r="H1755" t="str">
        <f>"08146"</f>
        <v>08146</v>
      </c>
      <c r="I1755" t="s">
        <v>5405</v>
      </c>
    </row>
    <row r="1756" spans="1:9">
      <c r="A1756" t="str">
        <f>"0166539 "</f>
        <v xml:space="preserve">0166539 </v>
      </c>
      <c r="B1756" t="s">
        <v>4982</v>
      </c>
      <c r="C1756" t="str">
        <f>"08157FE"</f>
        <v>08157FE</v>
      </c>
      <c r="D1756" t="str">
        <f>"08157  FEBI - РћРїРѕСЂР° Р°РјРѕСЂС‚РёР·Р°С‚РѕСЂР°"</f>
        <v>08157  FEBI - РћРїРѕСЂР° Р°РјРѕСЂС‚РёР·Р°С‚РѕСЂР°</v>
      </c>
      <c r="E1756">
        <v>2</v>
      </c>
      <c r="F1756" t="s">
        <v>3597</v>
      </c>
      <c r="G1756" t="s">
        <v>4983</v>
      </c>
      <c r="H1756" t="str">
        <f>"08157"</f>
        <v>08157</v>
      </c>
      <c r="I1756" t="s">
        <v>5205</v>
      </c>
    </row>
    <row r="1757" spans="1:9">
      <c r="A1757" t="str">
        <f>"0166542 "</f>
        <v xml:space="preserve">0166542 </v>
      </c>
      <c r="B1757" t="s">
        <v>4982</v>
      </c>
      <c r="C1757" t="str">
        <f>"08173FE"</f>
        <v>08173FE</v>
      </c>
      <c r="D1757" t="str">
        <f>"08173  FEBI - РћРїРѕСЂР° РєР°СЂРґР°РЅРЅРѕРіРѕ РІР°Р»Р°"</f>
        <v>08173  FEBI - РћРїРѕСЂР° РєР°СЂРґР°РЅРЅРѕРіРѕ РІР°Р»Р°</v>
      </c>
      <c r="E1757">
        <v>1</v>
      </c>
      <c r="F1757" t="s">
        <v>5406</v>
      </c>
      <c r="G1757" t="s">
        <v>4983</v>
      </c>
      <c r="H1757" t="str">
        <f>"08173"</f>
        <v>08173</v>
      </c>
      <c r="I1757" t="s">
        <v>5407</v>
      </c>
    </row>
    <row r="1758" spans="1:9">
      <c r="A1758" t="str">
        <f>"0166573 "</f>
        <v xml:space="preserve">0166573 </v>
      </c>
      <c r="B1758" t="s">
        <v>4982</v>
      </c>
      <c r="C1758" t="str">
        <f>"08277FE"</f>
        <v>08277FE</v>
      </c>
      <c r="D1758" t="str">
        <f>"08277  FEBI - РљРѕСЂРѕРє РјР°СЃР»СЏРЅРѕРіРѕ РїС–РґРґРѕРЅР°"</f>
        <v>08277  FEBI - РљРѕСЂРѕРє РјР°СЃР»СЏРЅРѕРіРѕ РїС–РґРґРѕРЅР°</v>
      </c>
      <c r="E1758">
        <v>2</v>
      </c>
      <c r="F1758" t="s">
        <v>5250</v>
      </c>
      <c r="G1758" t="s">
        <v>4983</v>
      </c>
      <c r="H1758" t="str">
        <f>"08277"</f>
        <v>08277</v>
      </c>
      <c r="I1758" t="s">
        <v>5408</v>
      </c>
    </row>
    <row r="1759" spans="1:9">
      <c r="A1759" t="str">
        <f>"0166610 "</f>
        <v xml:space="preserve">0166610 </v>
      </c>
      <c r="B1759" t="s">
        <v>4982</v>
      </c>
      <c r="C1759" t="str">
        <f>"08352FE"</f>
        <v>08352FE</v>
      </c>
      <c r="D1759" t="str">
        <f>"08352  FEBI - Р”РёСЃРє РіР°Р»СЊРјС–РІРЅРёР№"</f>
        <v>08352  FEBI - Р”РёСЃРє РіР°Р»СЊРјС–РІРЅРёР№</v>
      </c>
      <c r="E1759">
        <v>2</v>
      </c>
      <c r="F1759" t="s">
        <v>5409</v>
      </c>
      <c r="G1759" t="s">
        <v>4983</v>
      </c>
      <c r="H1759" t="str">
        <f>"08352"</f>
        <v>08352</v>
      </c>
      <c r="I1759" t="s">
        <v>5410</v>
      </c>
    </row>
    <row r="1760" spans="1:9">
      <c r="A1760" t="str">
        <f>"0166622 "</f>
        <v xml:space="preserve">0166622 </v>
      </c>
      <c r="B1760" t="s">
        <v>4982</v>
      </c>
      <c r="C1760" t="str">
        <f>"08390FE"</f>
        <v>08390FE</v>
      </c>
      <c r="D1760" t="str">
        <f>"08390  FEBI - Р—Р°РіР»СѓС€РєР°"</f>
        <v>08390  FEBI - Р—Р°РіР»СѓС€РєР°</v>
      </c>
      <c r="E1760">
        <v>2</v>
      </c>
      <c r="F1760" s="1">
        <v>42770</v>
      </c>
      <c r="G1760" t="s">
        <v>4983</v>
      </c>
      <c r="H1760" t="str">
        <f>"08390"</f>
        <v>08390</v>
      </c>
      <c r="I1760" t="s">
        <v>5411</v>
      </c>
    </row>
    <row r="1761" spans="1:9">
      <c r="A1761" t="str">
        <f>"0166627 "</f>
        <v xml:space="preserve">0166627 </v>
      </c>
      <c r="B1761" t="s">
        <v>4982</v>
      </c>
      <c r="C1761" t="str">
        <f>"08400FE"</f>
        <v>08400FE</v>
      </c>
      <c r="D1761" t="str">
        <f>"08400  FEBI - РљРѕСЂРѕРјРёСЃР»Рѕ РєР»Р°РїР°РЅiРІ"</f>
        <v>08400  FEBI - РљРѕСЂРѕРјРёСЃР»Рѕ РєР»Р°РїР°РЅiРІ</v>
      </c>
      <c r="E1761" t="s">
        <v>16</v>
      </c>
      <c r="F1761" t="s">
        <v>4426</v>
      </c>
      <c r="G1761" t="s">
        <v>4983</v>
      </c>
      <c r="H1761" t="str">
        <f>"08400"</f>
        <v>08400</v>
      </c>
      <c r="I1761" t="s">
        <v>5412</v>
      </c>
    </row>
    <row r="1762" spans="1:9">
      <c r="A1762" t="str">
        <f>"0166628 "</f>
        <v xml:space="preserve">0166628 </v>
      </c>
      <c r="B1762" t="s">
        <v>4982</v>
      </c>
      <c r="C1762" t="str">
        <f>"08403FE"</f>
        <v>08403FE</v>
      </c>
      <c r="D1762" t="str">
        <f>"08403  FEBI - РЎР°Р№Р»РµРЅС‚Р±Р»РѕРє"</f>
        <v>08403  FEBI - РЎР°Р№Р»РµРЅС‚Р±Р»РѕРє</v>
      </c>
      <c r="E1762">
        <v>2</v>
      </c>
      <c r="F1762" t="s">
        <v>5035</v>
      </c>
      <c r="G1762" t="s">
        <v>4983</v>
      </c>
      <c r="H1762" t="str">
        <f>"08403"</f>
        <v>08403</v>
      </c>
      <c r="I1762" t="s">
        <v>5413</v>
      </c>
    </row>
    <row r="1763" spans="1:9">
      <c r="A1763" t="str">
        <f>"0166641 "</f>
        <v xml:space="preserve">0166641 </v>
      </c>
      <c r="B1763" t="s">
        <v>4982</v>
      </c>
      <c r="C1763" t="str">
        <f>"08444FE"</f>
        <v>08444FE</v>
      </c>
      <c r="D1763" t="str">
        <f>"08444  FEBI - Р”Р°С‚С‡РёРє С‚РёСЃРєСѓ РјР°СЃР»Р°"</f>
        <v>08444  FEBI - Р”Р°С‚С‡РёРє С‚РёСЃРєСѓ РјР°СЃР»Р°</v>
      </c>
      <c r="E1763">
        <v>2</v>
      </c>
      <c r="F1763" t="s">
        <v>62</v>
      </c>
      <c r="G1763" t="s">
        <v>4983</v>
      </c>
      <c r="H1763" t="str">
        <f>"08444"</f>
        <v>08444</v>
      </c>
      <c r="I1763" t="s">
        <v>5414</v>
      </c>
    </row>
    <row r="1764" spans="1:9">
      <c r="A1764" t="str">
        <f>"0166649 "</f>
        <v xml:space="preserve">0166649 </v>
      </c>
      <c r="B1764" t="s">
        <v>4982</v>
      </c>
      <c r="C1764" t="str">
        <f>"08466FE"</f>
        <v>08466FE</v>
      </c>
      <c r="D1764" t="str">
        <f>"08466  FEBI - Р”Р°С‚С‡РёРє С‚РёСЃРєСѓ РјР°СЃР»Р°"</f>
        <v>08466  FEBI - Р”Р°С‚С‡РёРє С‚РёСЃРєСѓ РјР°СЃР»Р°</v>
      </c>
      <c r="E1764">
        <v>1</v>
      </c>
      <c r="F1764" t="s">
        <v>2736</v>
      </c>
      <c r="G1764" t="s">
        <v>4983</v>
      </c>
      <c r="H1764" t="str">
        <f>"08466"</f>
        <v>08466</v>
      </c>
      <c r="I1764" t="s">
        <v>5415</v>
      </c>
    </row>
    <row r="1765" spans="1:9">
      <c r="A1765" t="str">
        <f>"0166656 "</f>
        <v xml:space="preserve">0166656 </v>
      </c>
      <c r="B1765" t="s">
        <v>4982</v>
      </c>
      <c r="C1765" t="str">
        <f>"08476FE"</f>
        <v>08476FE</v>
      </c>
      <c r="D1765" t="str">
        <f>"08476  FEBI - Р‘РѕР»С‚ РєРѕР»С–СЃРЅРёР№"</f>
        <v>08476  FEBI - Р‘РѕР»С‚ РєРѕР»С–СЃРЅРёР№</v>
      </c>
      <c r="E1765" t="s">
        <v>16</v>
      </c>
      <c r="F1765" s="3">
        <v>27729</v>
      </c>
      <c r="G1765" t="s">
        <v>4983</v>
      </c>
      <c r="H1765" t="str">
        <f>"08476"</f>
        <v>08476</v>
      </c>
      <c r="I1765" t="s">
        <v>5416</v>
      </c>
    </row>
    <row r="1766" spans="1:9">
      <c r="A1766" t="str">
        <f>"0166660 "</f>
        <v xml:space="preserve">0166660 </v>
      </c>
      <c r="B1766" t="s">
        <v>4982</v>
      </c>
      <c r="C1766" t="str">
        <f>"08484FE"</f>
        <v>08484FE</v>
      </c>
      <c r="D1766" t="str">
        <f>"08484  FEBI - Р”Р°С‚С‡РёРє С‚РёСЃРєСѓ РјР°СЃР»Р°"</f>
        <v>08484  FEBI - Р”Р°С‚С‡РёРє С‚РёСЃРєСѓ РјР°СЃР»Р°</v>
      </c>
      <c r="E1766">
        <v>1</v>
      </c>
      <c r="F1766" t="s">
        <v>5102</v>
      </c>
      <c r="G1766" t="s">
        <v>4983</v>
      </c>
      <c r="H1766" t="str">
        <f>"08484"</f>
        <v>08484</v>
      </c>
      <c r="I1766" t="s">
        <v>5417</v>
      </c>
    </row>
    <row r="1767" spans="1:9">
      <c r="A1767" t="str">
        <f>"0166661 "</f>
        <v xml:space="preserve">0166661 </v>
      </c>
      <c r="B1767" t="s">
        <v>4982</v>
      </c>
      <c r="C1767" t="str">
        <f>"08485FE"</f>
        <v>08485FE</v>
      </c>
      <c r="D1767" t="str">
        <f>"08485  FEBI - Р”Р°С‚С‡РёРє С‚РёСЃРєСѓ РјР°СЃР»Р°"</f>
        <v>08485  FEBI - Р”Р°С‚С‡РёРє С‚РёСЃРєСѓ РјР°СЃР»Р°</v>
      </c>
      <c r="E1767">
        <v>2</v>
      </c>
      <c r="F1767" t="s">
        <v>2813</v>
      </c>
      <c r="G1767" t="s">
        <v>4983</v>
      </c>
      <c r="H1767" t="str">
        <f>"08485"</f>
        <v>08485</v>
      </c>
      <c r="I1767" t="s">
        <v>5418</v>
      </c>
    </row>
    <row r="1768" spans="1:9">
      <c r="A1768" t="str">
        <f>"0166677 "</f>
        <v xml:space="preserve">0166677 </v>
      </c>
      <c r="B1768" t="s">
        <v>4982</v>
      </c>
      <c r="C1768" t="str">
        <f>"08538FE"</f>
        <v>08538FE</v>
      </c>
      <c r="D1768" t="str">
        <f>"08538  FEBI - РћРїРѕСЂР° РєР°СЂРґР°РЅРЅРѕРіРѕ РІР°Р»Р°"</f>
        <v>08538  FEBI - РћРїРѕСЂР° РєР°СЂРґР°РЅРЅРѕРіРѕ РІР°Р»Р°</v>
      </c>
      <c r="E1768">
        <v>2</v>
      </c>
      <c r="F1768" t="s">
        <v>5419</v>
      </c>
      <c r="G1768" t="s">
        <v>4983</v>
      </c>
      <c r="H1768" t="str">
        <f>"08538"</f>
        <v>08538</v>
      </c>
      <c r="I1768" t="s">
        <v>5420</v>
      </c>
    </row>
    <row r="1769" spans="1:9">
      <c r="A1769" t="str">
        <f>"0166747 "</f>
        <v xml:space="preserve">0166747 </v>
      </c>
      <c r="B1769" t="s">
        <v>4982</v>
      </c>
      <c r="C1769" t="str">
        <f>"08669FE"</f>
        <v>08669FE</v>
      </c>
      <c r="D1769" t="str">
        <f>"08669  FEBI - РћРїРѕСЂР° Р°РјРѕСЂС‚РёР·Р°С‚РѕСЂР°"</f>
        <v>08669  FEBI - РћРїРѕСЂР° Р°РјРѕСЂС‚РёР·Р°С‚РѕСЂР°</v>
      </c>
      <c r="E1769">
        <v>2</v>
      </c>
      <c r="F1769" t="s">
        <v>5421</v>
      </c>
      <c r="G1769" t="s">
        <v>4983</v>
      </c>
      <c r="H1769" t="str">
        <f>"08669"</f>
        <v>08669</v>
      </c>
      <c r="I1769" t="s">
        <v>5422</v>
      </c>
    </row>
    <row r="1770" spans="1:9">
      <c r="A1770" t="str">
        <f>"0166779 "</f>
        <v xml:space="preserve">0166779 </v>
      </c>
      <c r="B1770" t="s">
        <v>4982</v>
      </c>
      <c r="C1770" t="str">
        <f>"08719FE"</f>
        <v>08719FE</v>
      </c>
      <c r="D1770" t="str">
        <f>"08719  FEBI - РџСЂРѕРєР»Р°РґРєР° РђРљРџРџ"</f>
        <v>08719  FEBI - РџСЂРѕРєР»Р°РґРєР° РђРљРџРџ</v>
      </c>
      <c r="E1770">
        <v>2</v>
      </c>
      <c r="F1770" t="s">
        <v>5039</v>
      </c>
      <c r="G1770" t="s">
        <v>4983</v>
      </c>
      <c r="H1770" t="str">
        <f>"08719"</f>
        <v>08719</v>
      </c>
      <c r="I1770" t="s">
        <v>5423</v>
      </c>
    </row>
    <row r="1771" spans="1:9">
      <c r="A1771" t="str">
        <f>"0166811 "</f>
        <v xml:space="preserve">0166811 </v>
      </c>
      <c r="B1771" t="s">
        <v>4982</v>
      </c>
      <c r="C1771" t="str">
        <f>"08818FE"</f>
        <v>08818FE</v>
      </c>
      <c r="D1771" t="str">
        <f>"08818  FEBI - РЎР°Р№Р»РµРЅС‚Р±Р»РѕРє"</f>
        <v>08818  FEBI - РЎР°Р№Р»РµРЅС‚Р±Р»РѕРє</v>
      </c>
      <c r="E1771">
        <v>4</v>
      </c>
      <c r="F1771" t="s">
        <v>2661</v>
      </c>
      <c r="G1771" t="s">
        <v>4983</v>
      </c>
      <c r="H1771" t="str">
        <f>"08818"</f>
        <v>08818</v>
      </c>
      <c r="I1771" t="s">
        <v>5424</v>
      </c>
    </row>
    <row r="1772" spans="1:9">
      <c r="A1772" t="str">
        <f>"0166821 "</f>
        <v xml:space="preserve">0166821 </v>
      </c>
      <c r="B1772" t="s">
        <v>4982</v>
      </c>
      <c r="C1772" t="str">
        <f>"08841FE"</f>
        <v>08841FE</v>
      </c>
      <c r="D1772" t="str">
        <f>"08841  FEBI - РљРѕРјРїР»РµРєС‚ РїС–РґС€РёРїРЅРёРєР° СЃС‚СѓРїРёС†С–"</f>
        <v>08841  FEBI - РљРѕРјРїР»РµРєС‚ РїС–РґС€РёРїРЅРёРєР° СЃС‚СѓРїРёС†С–</v>
      </c>
      <c r="E1772">
        <v>1</v>
      </c>
      <c r="F1772" t="s">
        <v>5425</v>
      </c>
      <c r="G1772" t="s">
        <v>4983</v>
      </c>
      <c r="H1772" t="str">
        <f>"08841"</f>
        <v>08841</v>
      </c>
      <c r="I1772" t="s">
        <v>5426</v>
      </c>
    </row>
    <row r="1773" spans="1:9">
      <c r="A1773" t="str">
        <f>"0166846 "</f>
        <v xml:space="preserve">0166846 </v>
      </c>
      <c r="B1773" t="s">
        <v>4982</v>
      </c>
      <c r="C1773" t="str">
        <f>"08888FE"</f>
        <v>08888FE</v>
      </c>
      <c r="D1773" t="str">
        <f>"08888  FEBI - РљРѕРјРїР»РµРєС‚ С„РёР»СЊС‚СЂР° РђРљРџРџ"</f>
        <v>08888  FEBI - РљРѕРјРїР»РµРєС‚ С„РёР»СЊС‚СЂР° РђРљРџРџ</v>
      </c>
      <c r="E1773">
        <v>1</v>
      </c>
      <c r="F1773" t="s">
        <v>5081</v>
      </c>
      <c r="G1773" t="s">
        <v>4983</v>
      </c>
      <c r="H1773" t="str">
        <f>"08888"</f>
        <v>08888</v>
      </c>
      <c r="I1773" t="s">
        <v>5427</v>
      </c>
    </row>
    <row r="1774" spans="1:9">
      <c r="A1774" t="str">
        <f>"0166852 "</f>
        <v xml:space="preserve">0166852 </v>
      </c>
      <c r="B1774" t="s">
        <v>4982</v>
      </c>
      <c r="C1774" t="str">
        <f>"08900FE"</f>
        <v>08900FE</v>
      </c>
      <c r="D1774" t="str">
        <f>"08900  FEBI - РљРѕРјРїР»РµРєС‚ С„РёР»СЊС‚СЂР° РђРљРџРџ"</f>
        <v>08900  FEBI - РљРѕРјРїР»РµРєС‚ С„РёР»СЊС‚СЂР° РђРљРџРџ</v>
      </c>
      <c r="E1774">
        <v>1</v>
      </c>
      <c r="F1774" t="s">
        <v>5428</v>
      </c>
      <c r="G1774" t="s">
        <v>4983</v>
      </c>
      <c r="H1774" t="str">
        <f>"08900"</f>
        <v>08900</v>
      </c>
      <c r="I1774" t="s">
        <v>5427</v>
      </c>
    </row>
    <row r="1775" spans="1:9">
      <c r="A1775" t="str">
        <f>"0166924 "</f>
        <v xml:space="preserve">0166924 </v>
      </c>
      <c r="B1775" t="s">
        <v>4982</v>
      </c>
      <c r="C1775" t="str">
        <f>"09054FE"</f>
        <v>09054FE</v>
      </c>
      <c r="D1775" t="str">
        <f>"09054  FEBI - РЎР°Р№Р»РµРЅС‚Р±Р»РѕРє Р±Р°Р»РєРё"</f>
        <v>09054  FEBI - РЎР°Р№Р»РµРЅС‚Р±Р»РѕРє Р±Р°Р»РєРё</v>
      </c>
      <c r="E1775" t="s">
        <v>16</v>
      </c>
      <c r="F1775" t="s">
        <v>5396</v>
      </c>
      <c r="G1775" t="s">
        <v>4983</v>
      </c>
      <c r="H1775" t="str">
        <f>"09054"</f>
        <v>09054</v>
      </c>
      <c r="I1775" t="s">
        <v>5429</v>
      </c>
    </row>
    <row r="1776" spans="1:9">
      <c r="A1776" t="str">
        <f>"0166946 "</f>
        <v xml:space="preserve">0166946 </v>
      </c>
      <c r="B1776" t="s">
        <v>4982</v>
      </c>
      <c r="C1776" t="str">
        <f>"09095FE"</f>
        <v>09095FE</v>
      </c>
      <c r="D1776" t="str">
        <f>"09095  FEBI - Р’С‚СѓР»РєР° СЃС‚Р°Р±С–Р»С–Р·Р°С‚РѕСЂР°"</f>
        <v>09095  FEBI - Р’С‚СѓР»РєР° СЃС‚Р°Р±С–Р»С–Р·Р°С‚РѕСЂР°</v>
      </c>
      <c r="E1776">
        <v>2</v>
      </c>
      <c r="F1776" s="3">
        <v>26238</v>
      </c>
      <c r="G1776" t="s">
        <v>4983</v>
      </c>
      <c r="H1776" t="str">
        <f>"09095"</f>
        <v>09095</v>
      </c>
      <c r="I1776" t="s">
        <v>5430</v>
      </c>
    </row>
    <row r="1777" spans="1:9">
      <c r="A1777" t="str">
        <f>"0166947 "</f>
        <v xml:space="preserve">0166947 </v>
      </c>
      <c r="B1777" t="s">
        <v>4982</v>
      </c>
      <c r="C1777" t="str">
        <f>"09101FE"</f>
        <v>09101FE</v>
      </c>
      <c r="D1777" t="str">
        <f>"09101  FEBI - Р”РёСЃРє РіР°Р»СЊРјС–РІРЅРёР№"</f>
        <v>09101  FEBI - Р”РёСЃРє РіР°Р»СЊРјС–РІРЅРёР№</v>
      </c>
      <c r="E1777">
        <v>4</v>
      </c>
      <c r="F1777" t="s">
        <v>5431</v>
      </c>
      <c r="G1777" t="s">
        <v>4983</v>
      </c>
      <c r="H1777" t="str">
        <f>"09101"</f>
        <v>09101</v>
      </c>
      <c r="I1777" t="s">
        <v>5432</v>
      </c>
    </row>
    <row r="1778" spans="1:9">
      <c r="A1778" t="str">
        <f>"0166956 "</f>
        <v xml:space="preserve">0166956 </v>
      </c>
      <c r="B1778" t="s">
        <v>4982</v>
      </c>
      <c r="C1778" t="str">
        <f>"09118FE"</f>
        <v>09118FE</v>
      </c>
      <c r="D1778" t="str">
        <f>"09118  FEBI - РЎР°Р№Р»РµРЅС‚Р±Р»РѕРє"</f>
        <v>09118  FEBI - РЎР°Р№Р»РµРЅС‚Р±Р»РѕРє</v>
      </c>
      <c r="E1778">
        <v>2</v>
      </c>
      <c r="F1778" t="s">
        <v>3370</v>
      </c>
      <c r="G1778" t="s">
        <v>4983</v>
      </c>
      <c r="H1778" t="str">
        <f>"09118"</f>
        <v>09118</v>
      </c>
      <c r="I1778" t="s">
        <v>5433</v>
      </c>
    </row>
    <row r="1779" spans="1:9">
      <c r="A1779" t="str">
        <f>"0166957 "</f>
        <v xml:space="preserve">0166957 </v>
      </c>
      <c r="B1779" t="s">
        <v>4982</v>
      </c>
      <c r="C1779" t="str">
        <f>"09119FE"</f>
        <v>09119FE</v>
      </c>
      <c r="D1779" t="str">
        <f>"09119  FEBI - РЎР°Р№Р»РµРЅС‚Р±Р»РѕРє"</f>
        <v>09119  FEBI - РЎР°Р№Р»РµРЅС‚Р±Р»РѕРє</v>
      </c>
      <c r="E1779">
        <v>2</v>
      </c>
      <c r="F1779" t="s">
        <v>5434</v>
      </c>
      <c r="G1779" t="s">
        <v>4983</v>
      </c>
      <c r="H1779" t="str">
        <f>"09119"</f>
        <v>09119</v>
      </c>
      <c r="I1779" t="s">
        <v>5435</v>
      </c>
    </row>
    <row r="1780" spans="1:9">
      <c r="A1780" t="str">
        <f>"0166969 "</f>
        <v xml:space="preserve">0166969 </v>
      </c>
      <c r="B1780" t="s">
        <v>4982</v>
      </c>
      <c r="C1780" t="str">
        <f>"09145FE"</f>
        <v>09145FE</v>
      </c>
      <c r="D1780" t="str">
        <f>"09145  FEBI - РЎР°Р№Р»РµРЅС‚Р±Р»РѕРє"</f>
        <v>09145  FEBI - РЎР°Р№Р»РµРЅС‚Р±Р»РѕРє</v>
      </c>
      <c r="E1780">
        <v>4</v>
      </c>
      <c r="F1780" t="s">
        <v>62</v>
      </c>
      <c r="G1780" t="s">
        <v>4983</v>
      </c>
      <c r="H1780" t="str">
        <f>"09145"</f>
        <v>09145</v>
      </c>
      <c r="I1780" t="s">
        <v>5436</v>
      </c>
    </row>
    <row r="1781" spans="1:9">
      <c r="A1781" t="str">
        <f>"0167005 "</f>
        <v xml:space="preserve">0167005 </v>
      </c>
      <c r="B1781" t="s">
        <v>4982</v>
      </c>
      <c r="C1781" t="str">
        <f>"09227FE"</f>
        <v>09227FE</v>
      </c>
      <c r="D1781" t="str">
        <f>"09227  FEBI - РћРїРѕСЂР° Р°РјРѕСЂС‚РёР·Р°С‚РѕСЂР°"</f>
        <v>09227  FEBI - РћРїРѕСЂР° Р°РјРѕСЂС‚РёР·Р°С‚РѕСЂР°</v>
      </c>
      <c r="E1781">
        <v>2</v>
      </c>
      <c r="F1781" t="s">
        <v>5437</v>
      </c>
      <c r="G1781" t="s">
        <v>4983</v>
      </c>
      <c r="H1781" t="str">
        <f>"09227"</f>
        <v>09227</v>
      </c>
      <c r="I1781" t="s">
        <v>5438</v>
      </c>
    </row>
    <row r="1782" spans="1:9">
      <c r="A1782" t="str">
        <f>"0167057 "</f>
        <v xml:space="preserve">0167057 </v>
      </c>
      <c r="B1782" t="s">
        <v>4982</v>
      </c>
      <c r="C1782" t="str">
        <f>"09317FE"</f>
        <v>09317FE</v>
      </c>
      <c r="D1782" t="str">
        <f>"09317  FEBI - РќР°РєС–РЅРµС‡РЅРёРє РєРµСЂРјРѕРІРѕС— С‚СЏРіРё"</f>
        <v>09317  FEBI - РќР°РєС–РЅРµС‡РЅРёРє РєРµСЂРјРѕРІРѕС— С‚СЏРіРё</v>
      </c>
      <c r="E1782">
        <v>2</v>
      </c>
      <c r="F1782" t="s">
        <v>5439</v>
      </c>
      <c r="G1782" t="s">
        <v>4983</v>
      </c>
      <c r="H1782" t="str">
        <f>"09317"</f>
        <v>09317</v>
      </c>
      <c r="I1782" t="s">
        <v>5440</v>
      </c>
    </row>
    <row r="1783" spans="1:9">
      <c r="A1783" t="str">
        <f>"0167082 "</f>
        <v xml:space="preserve">0167082 </v>
      </c>
      <c r="B1783" t="s">
        <v>4982</v>
      </c>
      <c r="C1783" t="str">
        <f>"09373FE"</f>
        <v>09373FE</v>
      </c>
      <c r="D1783" t="str">
        <f>"09373  FEBI - РЎР°Р№Р»РµРЅС‚Р±Р»РѕРє"</f>
        <v>09373  FEBI - РЎР°Р№Р»РµРЅС‚Р±Р»РѕРє</v>
      </c>
      <c r="E1783">
        <v>3</v>
      </c>
      <c r="F1783" t="s">
        <v>5441</v>
      </c>
      <c r="G1783" t="s">
        <v>4983</v>
      </c>
      <c r="H1783" t="str">
        <f>"09373"</f>
        <v>09373</v>
      </c>
      <c r="I1783" t="s">
        <v>5442</v>
      </c>
    </row>
    <row r="1784" spans="1:9">
      <c r="A1784" t="str">
        <f>"0167154 "</f>
        <v xml:space="preserve">0167154 </v>
      </c>
      <c r="B1784" t="s">
        <v>4982</v>
      </c>
      <c r="C1784" t="str">
        <f>"09487FE"</f>
        <v>09487FE</v>
      </c>
      <c r="D1784" t="str">
        <f>"09487  FEBI - РЁР»Р°РЅРі РїР°Р»РёРІРЅРёР№ 3.2mm"</f>
        <v>09487  FEBI - РЁР»Р°РЅРі РїР°Р»РёРІРЅРёР№ 3.2mm</v>
      </c>
      <c r="E1784" t="s">
        <v>16</v>
      </c>
      <c r="F1784" t="s">
        <v>4626</v>
      </c>
      <c r="G1784" t="s">
        <v>4983</v>
      </c>
      <c r="H1784" t="str">
        <f>"09487"</f>
        <v>09487</v>
      </c>
      <c r="I1784" t="s">
        <v>5443</v>
      </c>
    </row>
    <row r="1785" spans="1:9">
      <c r="A1785" t="str">
        <f>"0167172 "</f>
        <v xml:space="preserve">0167172 </v>
      </c>
      <c r="B1785" t="s">
        <v>4982</v>
      </c>
      <c r="C1785" t="str">
        <f>"09519FE"</f>
        <v>09519FE</v>
      </c>
      <c r="D1785" t="str">
        <f>"09519  FEBI - Р’С‚СѓР»РєР° СЃС‚Р°Р±С–Р»С–Р·Р°С‚РѕСЂР°"</f>
        <v>09519  FEBI - Р’С‚СѓР»РєР° СЃС‚Р°Р±С–Р»С–Р·Р°С‚РѕСЂР°</v>
      </c>
      <c r="E1785">
        <v>2</v>
      </c>
      <c r="F1785" s="3">
        <v>45261</v>
      </c>
      <c r="G1785" t="s">
        <v>4983</v>
      </c>
      <c r="H1785" t="str">
        <f>"09519"</f>
        <v>09519</v>
      </c>
      <c r="I1785" t="s">
        <v>5444</v>
      </c>
    </row>
    <row r="1786" spans="1:9">
      <c r="A1786" t="str">
        <f>"0167175 "</f>
        <v xml:space="preserve">0167175 </v>
      </c>
      <c r="B1786" t="s">
        <v>4982</v>
      </c>
      <c r="C1786" t="str">
        <f>"09522FE"</f>
        <v>09522FE</v>
      </c>
      <c r="D1786" t="str">
        <f>"09522  FEBI - РћРїРѕСЂР° Р°РјРѕСЂС‚РёР·Р°С‚РѕСЂР°"</f>
        <v>09522  FEBI - РћРїРѕСЂР° Р°РјРѕСЂС‚РёР·Р°С‚РѕСЂР°</v>
      </c>
      <c r="E1786">
        <v>4</v>
      </c>
      <c r="F1786" t="s">
        <v>5445</v>
      </c>
      <c r="G1786" t="s">
        <v>4983</v>
      </c>
      <c r="H1786" t="str">
        <f>"09522"</f>
        <v>09522</v>
      </c>
      <c r="I1786" t="s">
        <v>5446</v>
      </c>
    </row>
    <row r="1787" spans="1:9">
      <c r="A1787" t="str">
        <f>"0167229 "</f>
        <v xml:space="preserve">0167229 </v>
      </c>
      <c r="B1787" t="s">
        <v>4982</v>
      </c>
      <c r="C1787" t="str">
        <f>"09741FE"</f>
        <v>09741FE</v>
      </c>
      <c r="D1787" t="str">
        <f>"09741  FEBI - РЎР°Р№Р»РµРЅС‚Р±Р»РѕРє"</f>
        <v>09741  FEBI - РЎР°Р№Р»РµРЅС‚Р±Р»РѕРє</v>
      </c>
      <c r="E1787">
        <v>4</v>
      </c>
      <c r="F1787" t="s">
        <v>5447</v>
      </c>
      <c r="G1787" t="s">
        <v>4983</v>
      </c>
      <c r="H1787" t="str">
        <f>"09741"</f>
        <v>09741</v>
      </c>
      <c r="I1787" t="s">
        <v>5448</v>
      </c>
    </row>
    <row r="1788" spans="1:9">
      <c r="A1788" t="str">
        <f>"0167241 "</f>
        <v xml:space="preserve">0167241 </v>
      </c>
      <c r="B1788" t="s">
        <v>4982</v>
      </c>
      <c r="C1788" t="str">
        <f>"09766FE"</f>
        <v>09766FE</v>
      </c>
      <c r="D1788" t="str">
        <f>"09766  FEBI - РџСЂРѕРєР»Р°РґРєР° РєСЂРёС€РєРё РіРѕР»РѕРІРєРё Р±Р»РѕРєСѓ"</f>
        <v>09766  FEBI - РџСЂРѕРєР»Р°РґРєР° РєСЂРёС€РєРё РіРѕР»РѕРІРєРё Р±Р»РѕРєСѓ</v>
      </c>
      <c r="E1788">
        <v>2</v>
      </c>
      <c r="F1788" t="s">
        <v>5449</v>
      </c>
      <c r="G1788" t="s">
        <v>4983</v>
      </c>
      <c r="H1788" t="str">
        <f>"09766"</f>
        <v>09766</v>
      </c>
      <c r="I1788" t="s">
        <v>5450</v>
      </c>
    </row>
    <row r="1789" spans="1:9">
      <c r="A1789" t="str">
        <f>"0167243 "</f>
        <v xml:space="preserve">0167243 </v>
      </c>
      <c r="B1789" t="s">
        <v>4982</v>
      </c>
      <c r="C1789" t="str">
        <f>"09768FE"</f>
        <v>09768FE</v>
      </c>
      <c r="D1789" t="str">
        <f>"09768  FEBI - РљРѕРјРїР»РµРєС‚ РїСЂРѕРєР»Р°РґРѕРє РєСЂРёС€РєРё Р“Р‘Р¦"</f>
        <v>09768  FEBI - РљРѕРјРїР»РµРєС‚ РїСЂРѕРєР»Р°РґРѕРє РєСЂРёС€РєРё Р“Р‘Р¦</v>
      </c>
      <c r="E1789">
        <v>1</v>
      </c>
      <c r="F1789" t="s">
        <v>5451</v>
      </c>
      <c r="G1789" t="s">
        <v>4983</v>
      </c>
      <c r="H1789" t="str">
        <f>"09768"</f>
        <v>09768</v>
      </c>
      <c r="I1789" t="s">
        <v>5452</v>
      </c>
    </row>
    <row r="1790" spans="1:9">
      <c r="A1790" t="str">
        <f>"0167259 "</f>
        <v xml:space="preserve">0167259 </v>
      </c>
      <c r="B1790" t="s">
        <v>4982</v>
      </c>
      <c r="C1790" t="str">
        <f>"09801FE"</f>
        <v>09801FE</v>
      </c>
      <c r="D1790" t="str">
        <f>"09801  FEBI - Р‘РѕР»С‚ РєРѕР»С–СЃРЅРёР№"</f>
        <v>09801  FEBI - Р‘РѕР»С‚ РєРѕР»С–СЃРЅРёР№</v>
      </c>
      <c r="E1790" t="s">
        <v>16</v>
      </c>
      <c r="F1790" t="s">
        <v>5033</v>
      </c>
      <c r="G1790" t="s">
        <v>4983</v>
      </c>
      <c r="H1790" t="str">
        <f>"09801"</f>
        <v>09801</v>
      </c>
      <c r="I1790" t="s">
        <v>5453</v>
      </c>
    </row>
    <row r="1791" spans="1:9">
      <c r="A1791" t="str">
        <f>"0167261 "</f>
        <v xml:space="preserve">0167261 </v>
      </c>
      <c r="B1791" t="s">
        <v>4982</v>
      </c>
      <c r="C1791" t="str">
        <f>"09805FE"</f>
        <v>09805FE</v>
      </c>
      <c r="D1791" t="str">
        <f>"09805  FEBI - Р‘РѕР»С‚ РєРѕР»С–СЃРЅРёР№"</f>
        <v>09805  FEBI - Р‘РѕР»С‚ РєРѕР»С–СЃРЅРёР№</v>
      </c>
      <c r="E1791" t="s">
        <v>16</v>
      </c>
      <c r="F1791" t="s">
        <v>5454</v>
      </c>
      <c r="G1791" t="s">
        <v>4983</v>
      </c>
      <c r="H1791" t="str">
        <f>"09805"</f>
        <v>09805</v>
      </c>
      <c r="I1791" t="s">
        <v>5455</v>
      </c>
    </row>
    <row r="1792" spans="1:9">
      <c r="A1792" t="str">
        <f>"0167281 "</f>
        <v xml:space="preserve">0167281 </v>
      </c>
      <c r="B1792" t="s">
        <v>4982</v>
      </c>
      <c r="C1792" t="s">
        <v>5456</v>
      </c>
      <c r="D1792" t="s">
        <v>5457</v>
      </c>
      <c r="E1792">
        <v>1</v>
      </c>
      <c r="F1792" t="s">
        <v>5219</v>
      </c>
      <c r="G1792" t="s">
        <v>4983</v>
      </c>
      <c r="H1792">
        <v>10016</v>
      </c>
      <c r="I1792" t="s">
        <v>5458</v>
      </c>
    </row>
    <row r="1793" spans="1:9">
      <c r="A1793" t="str">
        <f>"0167282 "</f>
        <v xml:space="preserve">0167282 </v>
      </c>
      <c r="B1793" t="s">
        <v>4982</v>
      </c>
      <c r="C1793" t="s">
        <v>5459</v>
      </c>
      <c r="D1793" t="s">
        <v>5460</v>
      </c>
      <c r="E1793">
        <v>2</v>
      </c>
      <c r="F1793" t="s">
        <v>5461</v>
      </c>
      <c r="G1793" t="s">
        <v>4983</v>
      </c>
      <c r="H1793">
        <v>10017</v>
      </c>
      <c r="I1793" t="s">
        <v>5462</v>
      </c>
    </row>
    <row r="1794" spans="1:9">
      <c r="A1794" t="str">
        <f>"0167286 "</f>
        <v xml:space="preserve">0167286 </v>
      </c>
      <c r="B1794" t="s">
        <v>4982</v>
      </c>
      <c r="C1794" t="s">
        <v>5463</v>
      </c>
      <c r="D1794" t="s">
        <v>5464</v>
      </c>
      <c r="E1794">
        <v>2</v>
      </c>
      <c r="F1794" t="s">
        <v>5197</v>
      </c>
      <c r="G1794" t="s">
        <v>4983</v>
      </c>
      <c r="H1794">
        <v>10021</v>
      </c>
      <c r="I1794" t="s">
        <v>5465</v>
      </c>
    </row>
    <row r="1795" spans="1:9">
      <c r="A1795" t="str">
        <f>"0167287 "</f>
        <v xml:space="preserve">0167287 </v>
      </c>
      <c r="B1795" t="s">
        <v>4982</v>
      </c>
      <c r="C1795" t="s">
        <v>5466</v>
      </c>
      <c r="D1795" t="s">
        <v>5467</v>
      </c>
      <c r="E1795">
        <v>2</v>
      </c>
      <c r="F1795" t="s">
        <v>5328</v>
      </c>
      <c r="G1795" t="s">
        <v>4983</v>
      </c>
      <c r="H1795">
        <v>10022</v>
      </c>
      <c r="I1795" t="s">
        <v>5468</v>
      </c>
    </row>
    <row r="1796" spans="1:9">
      <c r="A1796" t="str">
        <f>"0167288 "</f>
        <v xml:space="preserve">0167288 </v>
      </c>
      <c r="B1796" t="s">
        <v>4982</v>
      </c>
      <c r="C1796" t="s">
        <v>5469</v>
      </c>
      <c r="D1796" t="s">
        <v>5470</v>
      </c>
      <c r="E1796">
        <v>1</v>
      </c>
      <c r="F1796" t="s">
        <v>5471</v>
      </c>
      <c r="G1796" t="s">
        <v>4983</v>
      </c>
      <c r="H1796">
        <v>10023</v>
      </c>
      <c r="I1796" t="s">
        <v>5472</v>
      </c>
    </row>
    <row r="1797" spans="1:9">
      <c r="A1797" t="str">
        <f>"0167297 "</f>
        <v xml:space="preserve">0167297 </v>
      </c>
      <c r="B1797" t="s">
        <v>4982</v>
      </c>
      <c r="C1797" t="s">
        <v>5473</v>
      </c>
      <c r="D1797" t="s">
        <v>5474</v>
      </c>
      <c r="E1797">
        <v>1</v>
      </c>
      <c r="F1797" t="s">
        <v>4997</v>
      </c>
      <c r="G1797" t="s">
        <v>4983</v>
      </c>
      <c r="H1797">
        <v>10035</v>
      </c>
      <c r="I1797" t="s">
        <v>5475</v>
      </c>
    </row>
    <row r="1798" spans="1:9">
      <c r="A1798" t="str">
        <f>"0167298 "</f>
        <v xml:space="preserve">0167298 </v>
      </c>
      <c r="B1798" t="s">
        <v>4982</v>
      </c>
      <c r="C1798" t="s">
        <v>5476</v>
      </c>
      <c r="D1798" t="s">
        <v>5477</v>
      </c>
      <c r="E1798">
        <v>1</v>
      </c>
      <c r="F1798" t="s">
        <v>5478</v>
      </c>
      <c r="G1798" t="s">
        <v>4983</v>
      </c>
      <c r="H1798">
        <v>10036</v>
      </c>
      <c r="I1798" t="s">
        <v>5479</v>
      </c>
    </row>
    <row r="1799" spans="1:9">
      <c r="A1799" t="str">
        <f>"0167300 "</f>
        <v xml:space="preserve">0167300 </v>
      </c>
      <c r="B1799" t="s">
        <v>4982</v>
      </c>
      <c r="C1799" t="s">
        <v>5480</v>
      </c>
      <c r="D1799" t="s">
        <v>5481</v>
      </c>
      <c r="E1799">
        <v>2</v>
      </c>
      <c r="F1799" t="s">
        <v>3726</v>
      </c>
      <c r="G1799" t="s">
        <v>4983</v>
      </c>
      <c r="H1799">
        <v>10038</v>
      </c>
      <c r="I1799" t="s">
        <v>5482</v>
      </c>
    </row>
    <row r="1800" spans="1:9">
      <c r="A1800" t="str">
        <f>"0167301 "</f>
        <v xml:space="preserve">0167301 </v>
      </c>
      <c r="B1800" t="s">
        <v>4982</v>
      </c>
      <c r="C1800" t="s">
        <v>5483</v>
      </c>
      <c r="D1800" t="s">
        <v>5484</v>
      </c>
      <c r="E1800">
        <v>1</v>
      </c>
      <c r="F1800" t="s">
        <v>5485</v>
      </c>
      <c r="G1800" t="s">
        <v>4983</v>
      </c>
      <c r="H1800">
        <v>10039</v>
      </c>
      <c r="I1800" t="s">
        <v>5486</v>
      </c>
    </row>
    <row r="1801" spans="1:9">
      <c r="A1801" t="str">
        <f>"0167303 "</f>
        <v xml:space="preserve">0167303 </v>
      </c>
      <c r="B1801" t="s">
        <v>4982</v>
      </c>
      <c r="C1801" t="s">
        <v>5487</v>
      </c>
      <c r="D1801" t="s">
        <v>5488</v>
      </c>
      <c r="E1801">
        <v>2</v>
      </c>
      <c r="F1801" t="s">
        <v>5328</v>
      </c>
      <c r="G1801" t="s">
        <v>4983</v>
      </c>
      <c r="H1801">
        <v>10041</v>
      </c>
      <c r="I1801" t="s">
        <v>5489</v>
      </c>
    </row>
    <row r="1802" spans="1:9">
      <c r="A1802" t="str">
        <f>"0167305 "</f>
        <v xml:space="preserve">0167305 </v>
      </c>
      <c r="B1802" t="s">
        <v>4982</v>
      </c>
      <c r="C1802" t="s">
        <v>5490</v>
      </c>
      <c r="D1802" t="s">
        <v>5491</v>
      </c>
      <c r="E1802">
        <v>1</v>
      </c>
      <c r="F1802" t="s">
        <v>5492</v>
      </c>
      <c r="G1802" t="s">
        <v>4983</v>
      </c>
      <c r="H1802">
        <v>10044</v>
      </c>
      <c r="I1802" t="s">
        <v>5493</v>
      </c>
    </row>
    <row r="1803" spans="1:9">
      <c r="A1803" t="str">
        <f>"0167310 "</f>
        <v xml:space="preserve">0167310 </v>
      </c>
      <c r="B1803" t="s">
        <v>4982</v>
      </c>
      <c r="C1803" t="s">
        <v>5494</v>
      </c>
      <c r="D1803" t="s">
        <v>5495</v>
      </c>
      <c r="E1803">
        <v>2</v>
      </c>
      <c r="F1803" t="s">
        <v>5496</v>
      </c>
      <c r="G1803" t="s">
        <v>4983</v>
      </c>
      <c r="H1803">
        <v>10072</v>
      </c>
      <c r="I1803" t="s">
        <v>5497</v>
      </c>
    </row>
    <row r="1804" spans="1:9">
      <c r="A1804" t="str">
        <f>"0167312 "</f>
        <v xml:space="preserve">0167312 </v>
      </c>
      <c r="B1804" t="s">
        <v>4982</v>
      </c>
      <c r="C1804" t="s">
        <v>5498</v>
      </c>
      <c r="D1804" t="s">
        <v>5499</v>
      </c>
      <c r="E1804">
        <v>2</v>
      </c>
      <c r="F1804" t="s">
        <v>5500</v>
      </c>
      <c r="G1804" t="s">
        <v>4983</v>
      </c>
      <c r="H1804">
        <v>10087</v>
      </c>
      <c r="I1804" t="s">
        <v>5501</v>
      </c>
    </row>
    <row r="1805" spans="1:9">
      <c r="A1805" t="str">
        <f>"0167318 "</f>
        <v xml:space="preserve">0167318 </v>
      </c>
      <c r="B1805" t="s">
        <v>4982</v>
      </c>
      <c r="C1805" t="s">
        <v>5502</v>
      </c>
      <c r="D1805" t="s">
        <v>5503</v>
      </c>
      <c r="E1805">
        <v>1</v>
      </c>
      <c r="F1805" t="s">
        <v>5504</v>
      </c>
      <c r="G1805" t="s">
        <v>4983</v>
      </c>
      <c r="H1805">
        <v>10098</v>
      </c>
      <c r="I1805" t="s">
        <v>5505</v>
      </c>
    </row>
    <row r="1806" spans="1:9">
      <c r="A1806" t="str">
        <f>"0167357 "</f>
        <v xml:space="preserve">0167357 </v>
      </c>
      <c r="B1806" t="s">
        <v>4982</v>
      </c>
      <c r="C1806" t="s">
        <v>5506</v>
      </c>
      <c r="D1806" t="s">
        <v>5507</v>
      </c>
      <c r="E1806">
        <v>1</v>
      </c>
      <c r="F1806" t="s">
        <v>5508</v>
      </c>
      <c r="G1806" t="s">
        <v>4983</v>
      </c>
      <c r="H1806">
        <v>10159</v>
      </c>
      <c r="I1806" t="s">
        <v>5509</v>
      </c>
    </row>
    <row r="1807" spans="1:9">
      <c r="A1807" t="str">
        <f>"0167360 "</f>
        <v xml:space="preserve">0167360 </v>
      </c>
      <c r="B1807" t="s">
        <v>4982</v>
      </c>
      <c r="C1807" t="s">
        <v>5510</v>
      </c>
      <c r="D1807" t="s">
        <v>5511</v>
      </c>
      <c r="E1807">
        <v>2</v>
      </c>
      <c r="F1807" t="s">
        <v>5016</v>
      </c>
      <c r="G1807" t="s">
        <v>4983</v>
      </c>
      <c r="H1807">
        <v>10162</v>
      </c>
      <c r="I1807" t="s">
        <v>5509</v>
      </c>
    </row>
    <row r="1808" spans="1:9">
      <c r="A1808" t="str">
        <f>"0167410 "</f>
        <v xml:space="preserve">0167410 </v>
      </c>
      <c r="B1808" t="s">
        <v>4982</v>
      </c>
      <c r="C1808" t="s">
        <v>5512</v>
      </c>
      <c r="D1808" t="s">
        <v>5513</v>
      </c>
      <c r="E1808">
        <v>2</v>
      </c>
      <c r="F1808" t="s">
        <v>5514</v>
      </c>
      <c r="G1808" t="s">
        <v>4983</v>
      </c>
      <c r="H1808">
        <v>10248</v>
      </c>
      <c r="I1808" t="s">
        <v>5515</v>
      </c>
    </row>
    <row r="1809" spans="1:9">
      <c r="A1809" t="str">
        <f>"0167411 "</f>
        <v xml:space="preserve">0167411 </v>
      </c>
      <c r="B1809" t="s">
        <v>4982</v>
      </c>
      <c r="C1809" t="s">
        <v>5516</v>
      </c>
      <c r="D1809" t="s">
        <v>5517</v>
      </c>
      <c r="E1809">
        <v>2</v>
      </c>
      <c r="F1809" t="s">
        <v>5518</v>
      </c>
      <c r="G1809" t="s">
        <v>4983</v>
      </c>
      <c r="H1809">
        <v>10251</v>
      </c>
      <c r="I1809" t="s">
        <v>5519</v>
      </c>
    </row>
    <row r="1810" spans="1:9">
      <c r="A1810" t="str">
        <f>"0167451 "</f>
        <v xml:space="preserve">0167451 </v>
      </c>
      <c r="B1810" t="s">
        <v>4982</v>
      </c>
      <c r="C1810" t="s">
        <v>5520</v>
      </c>
      <c r="D1810" t="s">
        <v>5521</v>
      </c>
      <c r="E1810">
        <v>2</v>
      </c>
      <c r="F1810" t="s">
        <v>5522</v>
      </c>
      <c r="G1810" t="s">
        <v>4983</v>
      </c>
      <c r="H1810">
        <v>10300</v>
      </c>
      <c r="I1810" t="s">
        <v>5523</v>
      </c>
    </row>
    <row r="1811" spans="1:9">
      <c r="A1811" t="str">
        <f>"0167452 "</f>
        <v xml:space="preserve">0167452 </v>
      </c>
      <c r="B1811" t="s">
        <v>4982</v>
      </c>
      <c r="C1811" t="s">
        <v>5524</v>
      </c>
      <c r="D1811" t="s">
        <v>5525</v>
      </c>
      <c r="E1811">
        <v>2</v>
      </c>
      <c r="F1811" t="s">
        <v>5526</v>
      </c>
      <c r="G1811" t="s">
        <v>4983</v>
      </c>
      <c r="H1811">
        <v>10301</v>
      </c>
      <c r="I1811" t="s">
        <v>5527</v>
      </c>
    </row>
    <row r="1812" spans="1:9">
      <c r="A1812" t="str">
        <f>"0167453 "</f>
        <v xml:space="preserve">0167453 </v>
      </c>
      <c r="B1812" t="s">
        <v>4982</v>
      </c>
      <c r="C1812" t="s">
        <v>5528</v>
      </c>
      <c r="D1812" t="s">
        <v>5529</v>
      </c>
      <c r="E1812">
        <v>2</v>
      </c>
      <c r="F1812" s="3">
        <v>26238</v>
      </c>
      <c r="G1812" t="s">
        <v>4983</v>
      </c>
      <c r="H1812">
        <v>10302</v>
      </c>
      <c r="I1812" t="s">
        <v>5530</v>
      </c>
    </row>
    <row r="1813" spans="1:9">
      <c r="A1813" t="str">
        <f>"0167456 "</f>
        <v xml:space="preserve">0167456 </v>
      </c>
      <c r="B1813" t="s">
        <v>4982</v>
      </c>
      <c r="C1813" t="s">
        <v>5531</v>
      </c>
      <c r="D1813" t="s">
        <v>5532</v>
      </c>
      <c r="E1813">
        <v>1</v>
      </c>
      <c r="F1813" s="1">
        <v>42844</v>
      </c>
      <c r="G1813" t="s">
        <v>4983</v>
      </c>
      <c r="H1813">
        <v>10305</v>
      </c>
      <c r="I1813" t="s">
        <v>5533</v>
      </c>
    </row>
    <row r="1814" spans="1:9">
      <c r="A1814" t="str">
        <f>"0167488 "</f>
        <v xml:space="preserve">0167488 </v>
      </c>
      <c r="B1814" t="s">
        <v>4982</v>
      </c>
      <c r="C1814" t="s">
        <v>5534</v>
      </c>
      <c r="D1814" t="s">
        <v>5535</v>
      </c>
      <c r="E1814">
        <v>1</v>
      </c>
      <c r="F1814" t="s">
        <v>5536</v>
      </c>
      <c r="G1814" t="s">
        <v>4983</v>
      </c>
      <c r="H1814">
        <v>10379</v>
      </c>
      <c r="I1814" t="s">
        <v>5537</v>
      </c>
    </row>
    <row r="1815" spans="1:9">
      <c r="A1815" t="str">
        <f>"0167495 "</f>
        <v xml:space="preserve">0167495 </v>
      </c>
      <c r="B1815" t="s">
        <v>4982</v>
      </c>
      <c r="C1815" t="s">
        <v>5538</v>
      </c>
      <c r="D1815" t="s">
        <v>5539</v>
      </c>
      <c r="E1815">
        <v>1</v>
      </c>
      <c r="F1815" t="s">
        <v>5400</v>
      </c>
      <c r="G1815" t="s">
        <v>4983</v>
      </c>
      <c r="H1815">
        <v>10407</v>
      </c>
      <c r="I1815" t="s">
        <v>5540</v>
      </c>
    </row>
    <row r="1816" spans="1:9">
      <c r="A1816" t="str">
        <f>"0167496 "</f>
        <v xml:space="preserve">0167496 </v>
      </c>
      <c r="B1816" t="s">
        <v>4982</v>
      </c>
      <c r="C1816" t="s">
        <v>5541</v>
      </c>
      <c r="D1816" t="s">
        <v>5542</v>
      </c>
      <c r="E1816">
        <v>1</v>
      </c>
      <c r="F1816" t="s">
        <v>5228</v>
      </c>
      <c r="G1816" t="s">
        <v>4983</v>
      </c>
      <c r="H1816">
        <v>10408</v>
      </c>
      <c r="I1816" t="s">
        <v>5543</v>
      </c>
    </row>
    <row r="1817" spans="1:9">
      <c r="A1817" t="str">
        <f>"0167512 "</f>
        <v xml:space="preserve">0167512 </v>
      </c>
      <c r="B1817" t="s">
        <v>4982</v>
      </c>
      <c r="C1817" t="s">
        <v>5544</v>
      </c>
      <c r="D1817" t="s">
        <v>5545</v>
      </c>
      <c r="E1817">
        <v>4</v>
      </c>
      <c r="F1817" s="3">
        <v>24532</v>
      </c>
      <c r="G1817" t="s">
        <v>4983</v>
      </c>
      <c r="H1817">
        <v>10431</v>
      </c>
      <c r="I1817" t="s">
        <v>5546</v>
      </c>
    </row>
    <row r="1818" spans="1:9">
      <c r="A1818" t="str">
        <f>"0167520 "</f>
        <v xml:space="preserve">0167520 </v>
      </c>
      <c r="B1818" t="s">
        <v>4982</v>
      </c>
      <c r="C1818" t="s">
        <v>5547</v>
      </c>
      <c r="D1818" t="s">
        <v>5548</v>
      </c>
      <c r="E1818">
        <v>1</v>
      </c>
      <c r="F1818" t="s">
        <v>5549</v>
      </c>
      <c r="G1818" t="s">
        <v>4983</v>
      </c>
      <c r="H1818">
        <v>10517</v>
      </c>
      <c r="I1818" t="s">
        <v>5550</v>
      </c>
    </row>
    <row r="1819" spans="1:9">
      <c r="A1819" t="str">
        <f>"0167548 "</f>
        <v xml:space="preserve">0167548 </v>
      </c>
      <c r="B1819" t="s">
        <v>4982</v>
      </c>
      <c r="C1819" t="s">
        <v>5551</v>
      </c>
      <c r="D1819" t="s">
        <v>5552</v>
      </c>
      <c r="E1819">
        <v>3</v>
      </c>
      <c r="F1819" t="s">
        <v>5553</v>
      </c>
      <c r="G1819" t="s">
        <v>4983</v>
      </c>
      <c r="H1819">
        <v>10577</v>
      </c>
      <c r="I1819" t="s">
        <v>5554</v>
      </c>
    </row>
    <row r="1820" spans="1:9">
      <c r="A1820" t="str">
        <f>"0167549 "</f>
        <v xml:space="preserve">0167549 </v>
      </c>
      <c r="B1820" t="s">
        <v>4982</v>
      </c>
      <c r="C1820" t="s">
        <v>5555</v>
      </c>
      <c r="D1820" t="s">
        <v>5556</v>
      </c>
      <c r="E1820">
        <v>2</v>
      </c>
      <c r="F1820" t="s">
        <v>5557</v>
      </c>
      <c r="G1820" t="s">
        <v>4983</v>
      </c>
      <c r="H1820">
        <v>10578</v>
      </c>
      <c r="I1820" t="s">
        <v>5558</v>
      </c>
    </row>
    <row r="1821" spans="1:9">
      <c r="A1821" t="str">
        <f>"0167552 "</f>
        <v xml:space="preserve">0167552 </v>
      </c>
      <c r="B1821" t="s">
        <v>4982</v>
      </c>
      <c r="C1821" t="s">
        <v>5559</v>
      </c>
      <c r="D1821" t="s">
        <v>5560</v>
      </c>
      <c r="E1821">
        <v>1</v>
      </c>
      <c r="F1821" t="s">
        <v>5081</v>
      </c>
      <c r="G1821" t="s">
        <v>4983</v>
      </c>
      <c r="H1821">
        <v>10583</v>
      </c>
      <c r="I1821" t="s">
        <v>5561</v>
      </c>
    </row>
    <row r="1822" spans="1:9">
      <c r="A1822" t="str">
        <f>"0167594 "</f>
        <v xml:space="preserve">0167594 </v>
      </c>
      <c r="B1822" t="s">
        <v>4982</v>
      </c>
      <c r="C1822" t="s">
        <v>5562</v>
      </c>
      <c r="D1822" t="s">
        <v>5563</v>
      </c>
      <c r="E1822">
        <v>2</v>
      </c>
      <c r="F1822" t="s">
        <v>5564</v>
      </c>
      <c r="G1822" t="s">
        <v>4983</v>
      </c>
      <c r="H1822">
        <v>10639</v>
      </c>
      <c r="I1822" t="s">
        <v>5565</v>
      </c>
    </row>
    <row r="1823" spans="1:9">
      <c r="A1823" t="str">
        <f>"0167597 "</f>
        <v xml:space="preserve">0167597 </v>
      </c>
      <c r="B1823" t="s">
        <v>4982</v>
      </c>
      <c r="C1823" t="s">
        <v>5566</v>
      </c>
      <c r="D1823" t="s">
        <v>5567</v>
      </c>
      <c r="E1823">
        <v>4</v>
      </c>
      <c r="F1823" t="s">
        <v>5568</v>
      </c>
      <c r="G1823" t="s">
        <v>4983</v>
      </c>
      <c r="H1823">
        <v>10642</v>
      </c>
      <c r="I1823" t="s">
        <v>5569</v>
      </c>
    </row>
    <row r="1824" spans="1:9">
      <c r="A1824" t="str">
        <f>"0167614 "</f>
        <v xml:space="preserve">0167614 </v>
      </c>
      <c r="B1824" t="s">
        <v>4982</v>
      </c>
      <c r="C1824" t="s">
        <v>5570</v>
      </c>
      <c r="D1824" t="s">
        <v>5571</v>
      </c>
      <c r="E1824">
        <v>1</v>
      </c>
      <c r="F1824" t="s">
        <v>5572</v>
      </c>
      <c r="G1824" t="s">
        <v>4983</v>
      </c>
      <c r="H1824">
        <v>10659</v>
      </c>
      <c r="I1824" t="s">
        <v>5573</v>
      </c>
    </row>
    <row r="1825" spans="1:9">
      <c r="A1825" t="str">
        <f>"0167615 "</f>
        <v xml:space="preserve">0167615 </v>
      </c>
      <c r="B1825" t="s">
        <v>4982</v>
      </c>
      <c r="C1825" t="s">
        <v>5574</v>
      </c>
      <c r="D1825" t="s">
        <v>5575</v>
      </c>
      <c r="E1825">
        <v>1</v>
      </c>
      <c r="F1825" t="s">
        <v>5572</v>
      </c>
      <c r="G1825" t="s">
        <v>4983</v>
      </c>
      <c r="H1825">
        <v>10660</v>
      </c>
      <c r="I1825" t="s">
        <v>5576</v>
      </c>
    </row>
    <row r="1826" spans="1:9">
      <c r="A1826" t="str">
        <f>"0167622 "</f>
        <v xml:space="preserve">0167622 </v>
      </c>
      <c r="B1826" t="s">
        <v>4982</v>
      </c>
      <c r="C1826" t="s">
        <v>5577</v>
      </c>
      <c r="D1826" t="s">
        <v>5578</v>
      </c>
      <c r="E1826">
        <v>2</v>
      </c>
      <c r="F1826" t="s">
        <v>5579</v>
      </c>
      <c r="G1826" t="s">
        <v>4983</v>
      </c>
      <c r="H1826">
        <v>10667</v>
      </c>
      <c r="I1826" t="s">
        <v>5580</v>
      </c>
    </row>
    <row r="1827" spans="1:9">
      <c r="A1827" t="str">
        <f>"0167671 "</f>
        <v xml:space="preserve">0167671 </v>
      </c>
      <c r="B1827" t="s">
        <v>4982</v>
      </c>
      <c r="C1827" t="s">
        <v>5581</v>
      </c>
      <c r="D1827" t="s">
        <v>5582</v>
      </c>
      <c r="E1827">
        <v>1</v>
      </c>
      <c r="F1827" t="s">
        <v>5583</v>
      </c>
      <c r="G1827" t="s">
        <v>4983</v>
      </c>
      <c r="H1827">
        <v>10797</v>
      </c>
      <c r="I1827" t="s">
        <v>5584</v>
      </c>
    </row>
    <row r="1828" spans="1:9">
      <c r="A1828" t="str">
        <f>"0167673 "</f>
        <v xml:space="preserve">0167673 </v>
      </c>
      <c r="B1828" t="s">
        <v>4982</v>
      </c>
      <c r="C1828" t="s">
        <v>5585</v>
      </c>
      <c r="D1828" t="s">
        <v>5586</v>
      </c>
      <c r="E1828">
        <v>4</v>
      </c>
      <c r="F1828" t="s">
        <v>3391</v>
      </c>
      <c r="G1828" t="s">
        <v>4983</v>
      </c>
      <c r="H1828">
        <v>10814</v>
      </c>
      <c r="I1828" t="s">
        <v>5587</v>
      </c>
    </row>
    <row r="1829" spans="1:9">
      <c r="A1829" t="str">
        <f>"0167676 "</f>
        <v xml:space="preserve">0167676 </v>
      </c>
      <c r="B1829" t="s">
        <v>4982</v>
      </c>
      <c r="C1829" t="s">
        <v>5588</v>
      </c>
      <c r="D1829" t="s">
        <v>5589</v>
      </c>
      <c r="E1829">
        <v>2</v>
      </c>
      <c r="F1829" t="s">
        <v>2834</v>
      </c>
      <c r="G1829" t="s">
        <v>4983</v>
      </c>
      <c r="H1829">
        <v>10818</v>
      </c>
      <c r="I1829" t="s">
        <v>5590</v>
      </c>
    </row>
    <row r="1830" spans="1:9">
      <c r="A1830" t="str">
        <f>"0167681 "</f>
        <v xml:space="preserve">0167681 </v>
      </c>
      <c r="B1830" t="s">
        <v>4982</v>
      </c>
      <c r="C1830" t="s">
        <v>5591</v>
      </c>
      <c r="D1830" t="s">
        <v>5592</v>
      </c>
      <c r="E1830">
        <v>2</v>
      </c>
      <c r="F1830" t="s">
        <v>5053</v>
      </c>
      <c r="G1830" t="s">
        <v>4983</v>
      </c>
      <c r="H1830">
        <v>10849</v>
      </c>
      <c r="I1830" t="s">
        <v>5593</v>
      </c>
    </row>
    <row r="1831" spans="1:9">
      <c r="A1831" t="str">
        <f>"0167683 "</f>
        <v xml:space="preserve">0167683 </v>
      </c>
      <c r="B1831" t="s">
        <v>4982</v>
      </c>
      <c r="C1831" t="s">
        <v>5594</v>
      </c>
      <c r="D1831" t="s">
        <v>5595</v>
      </c>
      <c r="E1831">
        <v>2</v>
      </c>
      <c r="F1831" t="s">
        <v>2966</v>
      </c>
      <c r="G1831" t="s">
        <v>4983</v>
      </c>
      <c r="H1831">
        <v>10852</v>
      </c>
      <c r="I1831" t="s">
        <v>5596</v>
      </c>
    </row>
    <row r="1832" spans="1:9">
      <c r="A1832" t="str">
        <f>"0167705 "</f>
        <v xml:space="preserve">0167705 </v>
      </c>
      <c r="B1832" t="s">
        <v>4982</v>
      </c>
      <c r="C1832" t="s">
        <v>5597</v>
      </c>
      <c r="D1832" t="s">
        <v>5598</v>
      </c>
      <c r="E1832">
        <v>1</v>
      </c>
      <c r="F1832" t="s">
        <v>5599</v>
      </c>
      <c r="G1832" t="s">
        <v>4983</v>
      </c>
      <c r="H1832">
        <v>10887</v>
      </c>
      <c r="I1832" t="s">
        <v>5600</v>
      </c>
    </row>
    <row r="1833" spans="1:9">
      <c r="A1833" t="str">
        <f>"0167706 "</f>
        <v xml:space="preserve">0167706 </v>
      </c>
      <c r="B1833" t="s">
        <v>4982</v>
      </c>
      <c r="C1833" t="s">
        <v>5601</v>
      </c>
      <c r="D1833" t="s">
        <v>5602</v>
      </c>
      <c r="E1833">
        <v>1</v>
      </c>
      <c r="F1833" t="s">
        <v>5599</v>
      </c>
      <c r="G1833" t="s">
        <v>4983</v>
      </c>
      <c r="H1833">
        <v>10888</v>
      </c>
      <c r="I1833" t="s">
        <v>5603</v>
      </c>
    </row>
    <row r="1834" spans="1:9">
      <c r="A1834" t="str">
        <f>"0167768 "</f>
        <v xml:space="preserve">0167768 </v>
      </c>
      <c r="B1834" t="s">
        <v>4982</v>
      </c>
      <c r="C1834" t="s">
        <v>5604</v>
      </c>
      <c r="D1834" t="s">
        <v>5605</v>
      </c>
      <c r="E1834">
        <v>1</v>
      </c>
      <c r="F1834" t="s">
        <v>5606</v>
      </c>
      <c r="G1834" t="s">
        <v>4983</v>
      </c>
      <c r="H1834">
        <v>11022</v>
      </c>
      <c r="I1834" t="s">
        <v>5607</v>
      </c>
    </row>
    <row r="1835" spans="1:9">
      <c r="A1835" t="str">
        <f>"0167769 "</f>
        <v xml:space="preserve">0167769 </v>
      </c>
      <c r="B1835" t="s">
        <v>4982</v>
      </c>
      <c r="C1835" t="s">
        <v>5608</v>
      </c>
      <c r="D1835" t="s">
        <v>5609</v>
      </c>
      <c r="E1835">
        <v>1</v>
      </c>
      <c r="F1835" t="s">
        <v>5606</v>
      </c>
      <c r="G1835" t="s">
        <v>4983</v>
      </c>
      <c r="H1835">
        <v>11023</v>
      </c>
      <c r="I1835" t="s">
        <v>5610</v>
      </c>
    </row>
    <row r="1836" spans="1:9">
      <c r="A1836" t="str">
        <f>"0167801 "</f>
        <v xml:space="preserve">0167801 </v>
      </c>
      <c r="B1836" t="s">
        <v>4982</v>
      </c>
      <c r="C1836" t="s">
        <v>5611</v>
      </c>
      <c r="D1836" t="s">
        <v>5612</v>
      </c>
      <c r="E1836">
        <v>2</v>
      </c>
      <c r="F1836" t="s">
        <v>5613</v>
      </c>
      <c r="G1836" t="s">
        <v>4983</v>
      </c>
      <c r="H1836">
        <v>11089</v>
      </c>
      <c r="I1836" t="s">
        <v>5614</v>
      </c>
    </row>
    <row r="1837" spans="1:9">
      <c r="A1837" t="str">
        <f>"0167825 "</f>
        <v xml:space="preserve">0167825 </v>
      </c>
      <c r="B1837" t="s">
        <v>4982</v>
      </c>
      <c r="C1837" t="s">
        <v>5615</v>
      </c>
      <c r="D1837" t="s">
        <v>5616</v>
      </c>
      <c r="E1837">
        <v>2</v>
      </c>
      <c r="F1837" t="s">
        <v>3453</v>
      </c>
      <c r="G1837" t="s">
        <v>4983</v>
      </c>
      <c r="H1837">
        <v>11136</v>
      </c>
      <c r="I1837" t="s">
        <v>5617</v>
      </c>
    </row>
    <row r="1838" spans="1:9">
      <c r="A1838" t="str">
        <f>"0167827 "</f>
        <v xml:space="preserve">0167827 </v>
      </c>
      <c r="B1838" t="s">
        <v>4982</v>
      </c>
      <c r="C1838" t="s">
        <v>5618</v>
      </c>
      <c r="D1838" t="s">
        <v>5619</v>
      </c>
      <c r="E1838">
        <v>3</v>
      </c>
      <c r="F1838" t="s">
        <v>5620</v>
      </c>
      <c r="G1838" t="s">
        <v>4983</v>
      </c>
      <c r="H1838">
        <v>11138</v>
      </c>
      <c r="I1838" t="s">
        <v>5621</v>
      </c>
    </row>
    <row r="1839" spans="1:9">
      <c r="A1839" t="str">
        <f>"0167840 "</f>
        <v xml:space="preserve">0167840 </v>
      </c>
      <c r="B1839" t="s">
        <v>4982</v>
      </c>
      <c r="C1839" t="s">
        <v>5622</v>
      </c>
      <c r="D1839" t="s">
        <v>5623</v>
      </c>
      <c r="E1839">
        <v>2</v>
      </c>
      <c r="F1839" t="s">
        <v>5624</v>
      </c>
      <c r="G1839" t="s">
        <v>4983</v>
      </c>
      <c r="H1839">
        <v>11155</v>
      </c>
      <c r="I1839" t="s">
        <v>5625</v>
      </c>
    </row>
    <row r="1840" spans="1:9">
      <c r="A1840" t="str">
        <f>"0167884 "</f>
        <v xml:space="preserve">0167884 </v>
      </c>
      <c r="B1840" t="s">
        <v>4982</v>
      </c>
      <c r="C1840" t="s">
        <v>5626</v>
      </c>
      <c r="D1840" t="s">
        <v>5627</v>
      </c>
      <c r="E1840">
        <v>1</v>
      </c>
      <c r="F1840" t="s">
        <v>5628</v>
      </c>
      <c r="G1840" t="s">
        <v>4983</v>
      </c>
      <c r="H1840">
        <v>11275</v>
      </c>
      <c r="I1840" t="s">
        <v>5629</v>
      </c>
    </row>
    <row r="1841" spans="1:9">
      <c r="A1841" t="str">
        <f>"0167885 "</f>
        <v xml:space="preserve">0167885 </v>
      </c>
      <c r="B1841" t="s">
        <v>4982</v>
      </c>
      <c r="C1841" t="s">
        <v>5630</v>
      </c>
      <c r="D1841" t="s">
        <v>5631</v>
      </c>
      <c r="E1841">
        <v>1</v>
      </c>
      <c r="F1841" t="s">
        <v>4063</v>
      </c>
      <c r="G1841" t="s">
        <v>4983</v>
      </c>
      <c r="H1841">
        <v>11276</v>
      </c>
      <c r="I1841" t="s">
        <v>5632</v>
      </c>
    </row>
    <row r="1842" spans="1:9">
      <c r="A1842" t="str">
        <f>"0167889 "</f>
        <v xml:space="preserve">0167889 </v>
      </c>
      <c r="B1842" t="s">
        <v>4982</v>
      </c>
      <c r="C1842" t="s">
        <v>5633</v>
      </c>
      <c r="D1842" t="s">
        <v>5634</v>
      </c>
      <c r="E1842">
        <v>1</v>
      </c>
      <c r="F1842" t="s">
        <v>5635</v>
      </c>
      <c r="G1842" t="s">
        <v>4983</v>
      </c>
      <c r="H1842">
        <v>11280</v>
      </c>
      <c r="I1842" t="s">
        <v>5636</v>
      </c>
    </row>
    <row r="1843" spans="1:9">
      <c r="A1843" t="str">
        <f>"0167890 "</f>
        <v xml:space="preserve">0167890 </v>
      </c>
      <c r="B1843" t="s">
        <v>4982</v>
      </c>
      <c r="C1843" t="s">
        <v>5637</v>
      </c>
      <c r="D1843" t="s">
        <v>5638</v>
      </c>
      <c r="E1843">
        <v>2</v>
      </c>
      <c r="F1843" t="s">
        <v>4987</v>
      </c>
      <c r="G1843" t="s">
        <v>4983</v>
      </c>
      <c r="H1843">
        <v>11281</v>
      </c>
      <c r="I1843" t="s">
        <v>5639</v>
      </c>
    </row>
    <row r="1844" spans="1:9">
      <c r="A1844" t="str">
        <f>"0167939 "</f>
        <v xml:space="preserve">0167939 </v>
      </c>
      <c r="B1844" t="s">
        <v>4982</v>
      </c>
      <c r="C1844" t="s">
        <v>5640</v>
      </c>
      <c r="D1844" t="s">
        <v>5641</v>
      </c>
      <c r="E1844">
        <v>4</v>
      </c>
      <c r="F1844" t="s">
        <v>5642</v>
      </c>
      <c r="G1844" t="s">
        <v>4983</v>
      </c>
      <c r="H1844">
        <v>11350</v>
      </c>
      <c r="I1844" t="s">
        <v>5643</v>
      </c>
    </row>
    <row r="1845" spans="1:9">
      <c r="A1845" t="str">
        <f>"0167941 "</f>
        <v xml:space="preserve">0167941 </v>
      </c>
      <c r="B1845" t="s">
        <v>4982</v>
      </c>
      <c r="C1845" t="s">
        <v>5644</v>
      </c>
      <c r="D1845" t="s">
        <v>5645</v>
      </c>
      <c r="E1845">
        <v>1</v>
      </c>
      <c r="F1845" t="s">
        <v>5646</v>
      </c>
      <c r="G1845" t="s">
        <v>4983</v>
      </c>
      <c r="H1845">
        <v>11352</v>
      </c>
      <c r="I1845" t="s">
        <v>5647</v>
      </c>
    </row>
    <row r="1846" spans="1:9">
      <c r="A1846" t="str">
        <f>"0167965 "</f>
        <v xml:space="preserve">0167965 </v>
      </c>
      <c r="B1846" t="s">
        <v>4982</v>
      </c>
      <c r="C1846" t="s">
        <v>5648</v>
      </c>
      <c r="D1846" t="s">
        <v>5649</v>
      </c>
      <c r="E1846">
        <v>1</v>
      </c>
      <c r="F1846" t="s">
        <v>5650</v>
      </c>
      <c r="G1846" t="s">
        <v>4983</v>
      </c>
      <c r="H1846">
        <v>11417</v>
      </c>
      <c r="I1846" t="s">
        <v>5651</v>
      </c>
    </row>
    <row r="1847" spans="1:9">
      <c r="A1847" t="str">
        <f>"0167971 "</f>
        <v xml:space="preserve">0167971 </v>
      </c>
      <c r="B1847" t="s">
        <v>4982</v>
      </c>
      <c r="C1847" t="s">
        <v>5652</v>
      </c>
      <c r="D1847" t="s">
        <v>5653</v>
      </c>
      <c r="E1847">
        <v>2</v>
      </c>
      <c r="F1847" t="s">
        <v>5654</v>
      </c>
      <c r="G1847" t="s">
        <v>4983</v>
      </c>
      <c r="H1847">
        <v>11423</v>
      </c>
      <c r="I1847" t="s">
        <v>5655</v>
      </c>
    </row>
    <row r="1848" spans="1:9">
      <c r="A1848" t="str">
        <f>"0167976 "</f>
        <v xml:space="preserve">0167976 </v>
      </c>
      <c r="B1848" t="s">
        <v>4982</v>
      </c>
      <c r="C1848" t="s">
        <v>5656</v>
      </c>
      <c r="D1848" t="s">
        <v>5657</v>
      </c>
      <c r="E1848">
        <v>1</v>
      </c>
      <c r="F1848" t="s">
        <v>5024</v>
      </c>
      <c r="G1848" t="s">
        <v>4983</v>
      </c>
      <c r="H1848">
        <v>11439</v>
      </c>
      <c r="I1848" t="s">
        <v>5658</v>
      </c>
    </row>
    <row r="1849" spans="1:9">
      <c r="A1849" t="str">
        <f>"0167979 "</f>
        <v xml:space="preserve">0167979 </v>
      </c>
      <c r="B1849" t="s">
        <v>4982</v>
      </c>
      <c r="C1849" t="s">
        <v>5659</v>
      </c>
      <c r="D1849" t="s">
        <v>5660</v>
      </c>
      <c r="E1849">
        <v>2</v>
      </c>
      <c r="F1849" s="3">
        <v>17958</v>
      </c>
      <c r="G1849" t="s">
        <v>4983</v>
      </c>
      <c r="H1849">
        <v>11443</v>
      </c>
      <c r="I1849" t="s">
        <v>5661</v>
      </c>
    </row>
    <row r="1850" spans="1:9">
      <c r="A1850" t="str">
        <f>"0167994 "</f>
        <v xml:space="preserve">0167994 </v>
      </c>
      <c r="B1850" t="s">
        <v>4982</v>
      </c>
      <c r="C1850" t="s">
        <v>5662</v>
      </c>
      <c r="D1850" t="s">
        <v>5663</v>
      </c>
      <c r="E1850">
        <v>2</v>
      </c>
      <c r="F1850" t="s">
        <v>5664</v>
      </c>
      <c r="G1850" t="s">
        <v>4983</v>
      </c>
      <c r="H1850">
        <v>11500</v>
      </c>
      <c r="I1850" t="s">
        <v>5665</v>
      </c>
    </row>
    <row r="1851" spans="1:9">
      <c r="A1851" t="str">
        <f>"0168019 "</f>
        <v xml:space="preserve">0168019 </v>
      </c>
      <c r="B1851" t="s">
        <v>4982</v>
      </c>
      <c r="C1851" t="s">
        <v>5666</v>
      </c>
      <c r="D1851" t="s">
        <v>5667</v>
      </c>
      <c r="E1851">
        <v>1</v>
      </c>
      <c r="F1851" t="s">
        <v>5668</v>
      </c>
      <c r="G1851" t="s">
        <v>4983</v>
      </c>
      <c r="H1851">
        <v>11574</v>
      </c>
      <c r="I1851" t="s">
        <v>5669</v>
      </c>
    </row>
    <row r="1852" spans="1:9">
      <c r="A1852" t="str">
        <f>"0168047 "</f>
        <v xml:space="preserve">0168047 </v>
      </c>
      <c r="B1852" t="s">
        <v>4982</v>
      </c>
      <c r="C1852" t="s">
        <v>5670</v>
      </c>
      <c r="D1852" t="s">
        <v>5671</v>
      </c>
      <c r="E1852">
        <v>2</v>
      </c>
      <c r="F1852" t="s">
        <v>5672</v>
      </c>
      <c r="G1852" t="s">
        <v>4983</v>
      </c>
      <c r="H1852">
        <v>11700</v>
      </c>
      <c r="I1852" t="s">
        <v>5673</v>
      </c>
    </row>
    <row r="1853" spans="1:9">
      <c r="A1853" t="str">
        <f>"0168100 "</f>
        <v xml:space="preserve">0168100 </v>
      </c>
      <c r="B1853" t="s">
        <v>4982</v>
      </c>
      <c r="C1853" t="s">
        <v>5674</v>
      </c>
      <c r="D1853" t="s">
        <v>5675</v>
      </c>
      <c r="E1853">
        <v>4</v>
      </c>
      <c r="F1853" t="s">
        <v>5676</v>
      </c>
      <c r="G1853" t="s">
        <v>4983</v>
      </c>
      <c r="H1853">
        <v>11864</v>
      </c>
      <c r="I1853" t="s">
        <v>5677</v>
      </c>
    </row>
    <row r="1854" spans="1:9">
      <c r="A1854" t="str">
        <f>"0168122 "</f>
        <v xml:space="preserve">0168122 </v>
      </c>
      <c r="B1854" t="s">
        <v>4982</v>
      </c>
      <c r="C1854" t="s">
        <v>5678</v>
      </c>
      <c r="D1854" t="s">
        <v>5679</v>
      </c>
      <c r="E1854">
        <v>4</v>
      </c>
      <c r="F1854" t="s">
        <v>5680</v>
      </c>
      <c r="G1854" t="s">
        <v>4983</v>
      </c>
      <c r="H1854">
        <v>11958</v>
      </c>
      <c r="I1854" t="s">
        <v>5681</v>
      </c>
    </row>
    <row r="1855" spans="1:9">
      <c r="A1855" t="str">
        <f>"0168127 "</f>
        <v xml:space="preserve">0168127 </v>
      </c>
      <c r="B1855" t="s">
        <v>4982</v>
      </c>
      <c r="C1855" t="s">
        <v>5682</v>
      </c>
      <c r="D1855" t="s">
        <v>5683</v>
      </c>
      <c r="E1855">
        <v>1</v>
      </c>
      <c r="F1855" t="s">
        <v>5684</v>
      </c>
      <c r="G1855" t="s">
        <v>4983</v>
      </c>
      <c r="H1855">
        <v>11970</v>
      </c>
      <c r="I1855" t="s">
        <v>5685</v>
      </c>
    </row>
    <row r="1856" spans="1:9">
      <c r="A1856" t="str">
        <f>"0168128 "</f>
        <v xml:space="preserve">0168128 </v>
      </c>
      <c r="B1856" t="s">
        <v>4982</v>
      </c>
      <c r="C1856" t="s">
        <v>5686</v>
      </c>
      <c r="D1856" t="s">
        <v>5687</v>
      </c>
      <c r="E1856">
        <v>1</v>
      </c>
      <c r="F1856" t="s">
        <v>5688</v>
      </c>
      <c r="G1856" t="s">
        <v>4983</v>
      </c>
      <c r="H1856">
        <v>11971</v>
      </c>
      <c r="I1856" t="s">
        <v>5689</v>
      </c>
    </row>
    <row r="1857" spans="1:9">
      <c r="A1857" t="str">
        <f>"0168166 "</f>
        <v xml:space="preserve">0168166 </v>
      </c>
      <c r="B1857" t="s">
        <v>4982</v>
      </c>
      <c r="C1857" t="s">
        <v>5690</v>
      </c>
      <c r="D1857" t="s">
        <v>5691</v>
      </c>
      <c r="E1857">
        <v>2</v>
      </c>
      <c r="F1857" t="s">
        <v>2376</v>
      </c>
      <c r="G1857" t="s">
        <v>4983</v>
      </c>
      <c r="H1857">
        <v>12025</v>
      </c>
      <c r="I1857" t="s">
        <v>5692</v>
      </c>
    </row>
    <row r="1858" spans="1:9">
      <c r="A1858" t="str">
        <f>"0168207 "</f>
        <v xml:space="preserve">0168207 </v>
      </c>
      <c r="B1858" t="s">
        <v>4982</v>
      </c>
      <c r="C1858" t="s">
        <v>5693</v>
      </c>
      <c r="D1858" t="s">
        <v>5694</v>
      </c>
      <c r="E1858">
        <v>2</v>
      </c>
      <c r="F1858" t="s">
        <v>5695</v>
      </c>
      <c r="G1858" t="s">
        <v>4983</v>
      </c>
      <c r="H1858">
        <v>12080</v>
      </c>
      <c r="I1858" t="s">
        <v>5696</v>
      </c>
    </row>
    <row r="1859" spans="1:9">
      <c r="A1859" t="str">
        <f>"0168257 "</f>
        <v xml:space="preserve">0168257 </v>
      </c>
      <c r="B1859" t="s">
        <v>4982</v>
      </c>
      <c r="C1859" t="s">
        <v>5697</v>
      </c>
      <c r="D1859" t="s">
        <v>5698</v>
      </c>
      <c r="E1859">
        <v>2</v>
      </c>
      <c r="F1859" t="s">
        <v>5699</v>
      </c>
      <c r="G1859" t="s">
        <v>4983</v>
      </c>
      <c r="H1859">
        <v>12164</v>
      </c>
      <c r="I1859" t="s">
        <v>5700</v>
      </c>
    </row>
    <row r="1860" spans="1:9">
      <c r="A1860" t="str">
        <f>"0168279 "</f>
        <v xml:space="preserve">0168279 </v>
      </c>
      <c r="B1860" t="s">
        <v>4982</v>
      </c>
      <c r="C1860" t="s">
        <v>5701</v>
      </c>
      <c r="D1860" t="s">
        <v>5702</v>
      </c>
      <c r="E1860">
        <v>2</v>
      </c>
      <c r="F1860" t="s">
        <v>5703</v>
      </c>
      <c r="G1860" t="s">
        <v>4983</v>
      </c>
      <c r="H1860">
        <v>12194</v>
      </c>
      <c r="I1860" t="s">
        <v>5704</v>
      </c>
    </row>
    <row r="1861" spans="1:9">
      <c r="A1861" t="str">
        <f>"0168281 "</f>
        <v xml:space="preserve">0168281 </v>
      </c>
      <c r="B1861" t="s">
        <v>4982</v>
      </c>
      <c r="C1861" t="s">
        <v>5705</v>
      </c>
      <c r="D1861" t="s">
        <v>5706</v>
      </c>
      <c r="E1861">
        <v>2</v>
      </c>
      <c r="F1861" t="s">
        <v>4017</v>
      </c>
      <c r="G1861" t="s">
        <v>4983</v>
      </c>
      <c r="H1861">
        <v>12196</v>
      </c>
      <c r="I1861" t="s">
        <v>5707</v>
      </c>
    </row>
    <row r="1862" spans="1:9">
      <c r="A1862" t="str">
        <f>"0168282 "</f>
        <v xml:space="preserve">0168282 </v>
      </c>
      <c r="B1862" t="s">
        <v>4982</v>
      </c>
      <c r="C1862" t="s">
        <v>5708</v>
      </c>
      <c r="D1862" t="s">
        <v>5709</v>
      </c>
      <c r="E1862">
        <v>2</v>
      </c>
      <c r="F1862" t="s">
        <v>4338</v>
      </c>
      <c r="G1862" t="s">
        <v>4983</v>
      </c>
      <c r="H1862">
        <v>12197</v>
      </c>
      <c r="I1862" t="s">
        <v>5710</v>
      </c>
    </row>
    <row r="1863" spans="1:9">
      <c r="A1863" t="str">
        <f>"0168283 "</f>
        <v xml:space="preserve">0168283 </v>
      </c>
      <c r="B1863" t="s">
        <v>4982</v>
      </c>
      <c r="C1863" t="s">
        <v>5711</v>
      </c>
      <c r="D1863" t="s">
        <v>5712</v>
      </c>
      <c r="E1863">
        <v>3</v>
      </c>
      <c r="F1863" t="s">
        <v>5713</v>
      </c>
      <c r="G1863" t="s">
        <v>4983</v>
      </c>
      <c r="H1863">
        <v>12198</v>
      </c>
      <c r="I1863" t="s">
        <v>5710</v>
      </c>
    </row>
    <row r="1864" spans="1:9">
      <c r="A1864" t="str">
        <f>"0168330 "</f>
        <v xml:space="preserve">0168330 </v>
      </c>
      <c r="B1864" t="s">
        <v>4982</v>
      </c>
      <c r="C1864" t="s">
        <v>5714</v>
      </c>
      <c r="D1864" t="s">
        <v>5715</v>
      </c>
      <c r="E1864">
        <v>2</v>
      </c>
      <c r="F1864" s="3">
        <v>27729</v>
      </c>
      <c r="G1864" t="s">
        <v>4983</v>
      </c>
      <c r="H1864">
        <v>12281</v>
      </c>
      <c r="I1864" t="s">
        <v>5716</v>
      </c>
    </row>
    <row r="1865" spans="1:9">
      <c r="A1865" t="str">
        <f>"0168381 "</f>
        <v xml:space="preserve">0168381 </v>
      </c>
      <c r="B1865" t="s">
        <v>4982</v>
      </c>
      <c r="C1865" t="s">
        <v>5717</v>
      </c>
      <c r="D1865" t="s">
        <v>5718</v>
      </c>
      <c r="E1865">
        <v>2</v>
      </c>
      <c r="F1865" t="s">
        <v>5719</v>
      </c>
      <c r="G1865" t="s">
        <v>4983</v>
      </c>
      <c r="H1865">
        <v>12368</v>
      </c>
      <c r="I1865" t="s">
        <v>5720</v>
      </c>
    </row>
    <row r="1866" spans="1:9">
      <c r="A1866" t="str">
        <f>"0168385 "</f>
        <v xml:space="preserve">0168385 </v>
      </c>
      <c r="B1866" t="s">
        <v>4982</v>
      </c>
      <c r="C1866" t="s">
        <v>5721</v>
      </c>
      <c r="D1866" t="s">
        <v>5722</v>
      </c>
      <c r="E1866">
        <v>2</v>
      </c>
      <c r="F1866" t="s">
        <v>5041</v>
      </c>
      <c r="G1866" t="s">
        <v>4983</v>
      </c>
      <c r="H1866">
        <v>12373</v>
      </c>
      <c r="I1866" t="s">
        <v>5723</v>
      </c>
    </row>
    <row r="1867" spans="1:9">
      <c r="A1867" t="str">
        <f>"0168416 "</f>
        <v xml:space="preserve">0168416 </v>
      </c>
      <c r="B1867" t="s">
        <v>4982</v>
      </c>
      <c r="C1867" t="s">
        <v>5724</v>
      </c>
      <c r="D1867" t="s">
        <v>5725</v>
      </c>
      <c r="E1867">
        <v>1</v>
      </c>
      <c r="F1867" s="3">
        <v>19815</v>
      </c>
      <c r="G1867" t="s">
        <v>4983</v>
      </c>
      <c r="H1867">
        <v>12408</v>
      </c>
      <c r="I1867" t="s">
        <v>5726</v>
      </c>
    </row>
    <row r="1868" spans="1:9">
      <c r="A1868" t="str">
        <f>"0168417 "</f>
        <v xml:space="preserve">0168417 </v>
      </c>
      <c r="B1868" t="s">
        <v>4982</v>
      </c>
      <c r="C1868" t="s">
        <v>5727</v>
      </c>
      <c r="D1868" t="s">
        <v>5728</v>
      </c>
      <c r="E1868" t="s">
        <v>16</v>
      </c>
      <c r="F1868" s="3">
        <v>29252</v>
      </c>
      <c r="G1868" t="s">
        <v>4983</v>
      </c>
      <c r="H1868">
        <v>12409</v>
      </c>
      <c r="I1868" t="s">
        <v>5729</v>
      </c>
    </row>
    <row r="1869" spans="1:9">
      <c r="A1869" t="str">
        <f>"0168473 "</f>
        <v xml:space="preserve">0168473 </v>
      </c>
      <c r="B1869" t="s">
        <v>4982</v>
      </c>
      <c r="C1869" t="s">
        <v>5730</v>
      </c>
      <c r="D1869" t="s">
        <v>5731</v>
      </c>
      <c r="E1869">
        <v>1</v>
      </c>
      <c r="F1869" t="s">
        <v>5732</v>
      </c>
      <c r="G1869" t="s">
        <v>4983</v>
      </c>
      <c r="H1869">
        <v>12528</v>
      </c>
      <c r="I1869" t="s">
        <v>5733</v>
      </c>
    </row>
    <row r="1870" spans="1:9">
      <c r="A1870" t="str">
        <f>"0168488 "</f>
        <v xml:space="preserve">0168488 </v>
      </c>
      <c r="B1870" t="s">
        <v>4982</v>
      </c>
      <c r="C1870" t="s">
        <v>5734</v>
      </c>
      <c r="D1870" t="s">
        <v>5735</v>
      </c>
      <c r="E1870">
        <v>1</v>
      </c>
      <c r="F1870" t="s">
        <v>4881</v>
      </c>
      <c r="G1870" t="s">
        <v>4983</v>
      </c>
      <c r="H1870">
        <v>12554</v>
      </c>
      <c r="I1870" t="s">
        <v>5736</v>
      </c>
    </row>
    <row r="1871" spans="1:9">
      <c r="A1871" t="str">
        <f>"0168498 "</f>
        <v xml:space="preserve">0168498 </v>
      </c>
      <c r="B1871" t="s">
        <v>4982</v>
      </c>
      <c r="C1871" t="s">
        <v>5737</v>
      </c>
      <c r="D1871" t="s">
        <v>5738</v>
      </c>
      <c r="E1871">
        <v>2</v>
      </c>
      <c r="F1871" t="s">
        <v>5739</v>
      </c>
      <c r="G1871" t="s">
        <v>4983</v>
      </c>
      <c r="H1871">
        <v>12565</v>
      </c>
      <c r="I1871" t="s">
        <v>5740</v>
      </c>
    </row>
    <row r="1872" spans="1:9">
      <c r="A1872" t="str">
        <f>"0168508 "</f>
        <v xml:space="preserve">0168508 </v>
      </c>
      <c r="B1872" t="s">
        <v>4982</v>
      </c>
      <c r="C1872" t="s">
        <v>5741</v>
      </c>
      <c r="D1872" t="s">
        <v>5742</v>
      </c>
      <c r="E1872">
        <v>2</v>
      </c>
      <c r="F1872" t="s">
        <v>5743</v>
      </c>
      <c r="G1872" t="s">
        <v>4983</v>
      </c>
      <c r="H1872">
        <v>12576</v>
      </c>
      <c r="I1872" t="s">
        <v>5744</v>
      </c>
    </row>
    <row r="1873" spans="1:9">
      <c r="A1873" t="str">
        <f>"0168537 "</f>
        <v xml:space="preserve">0168537 </v>
      </c>
      <c r="B1873" t="s">
        <v>4982</v>
      </c>
      <c r="C1873" t="s">
        <v>5745</v>
      </c>
      <c r="D1873" t="s">
        <v>5746</v>
      </c>
      <c r="E1873">
        <v>1</v>
      </c>
      <c r="F1873" t="s">
        <v>5747</v>
      </c>
      <c r="G1873" t="s">
        <v>4983</v>
      </c>
      <c r="H1873">
        <v>12642</v>
      </c>
      <c r="I1873" t="s">
        <v>5748</v>
      </c>
    </row>
    <row r="1874" spans="1:9">
      <c r="A1874" t="str">
        <f>"0168539 "</f>
        <v xml:space="preserve">0168539 </v>
      </c>
      <c r="B1874" t="s">
        <v>4982</v>
      </c>
      <c r="C1874" t="s">
        <v>5749</v>
      </c>
      <c r="D1874" t="s">
        <v>5750</v>
      </c>
      <c r="E1874">
        <v>2</v>
      </c>
      <c r="F1874" t="s">
        <v>5751</v>
      </c>
      <c r="G1874" t="s">
        <v>4983</v>
      </c>
      <c r="H1874">
        <v>12646</v>
      </c>
      <c r="I1874" t="s">
        <v>5752</v>
      </c>
    </row>
    <row r="1875" spans="1:9">
      <c r="A1875" t="str">
        <f>"0168551 "</f>
        <v xml:space="preserve">0168551 </v>
      </c>
      <c r="B1875" t="s">
        <v>4982</v>
      </c>
      <c r="C1875" t="s">
        <v>5753</v>
      </c>
      <c r="D1875" t="s">
        <v>5754</v>
      </c>
      <c r="E1875">
        <v>2</v>
      </c>
      <c r="F1875" t="s">
        <v>5755</v>
      </c>
      <c r="G1875" t="s">
        <v>4983</v>
      </c>
      <c r="H1875">
        <v>12660</v>
      </c>
      <c r="I1875" t="s">
        <v>5756</v>
      </c>
    </row>
    <row r="1876" spans="1:9">
      <c r="A1876" t="str">
        <f>"0168581 "</f>
        <v xml:space="preserve">0168581 </v>
      </c>
      <c r="B1876" t="s">
        <v>4982</v>
      </c>
      <c r="C1876" t="s">
        <v>5757</v>
      </c>
      <c r="D1876" t="s">
        <v>5758</v>
      </c>
      <c r="E1876">
        <v>2</v>
      </c>
      <c r="F1876" t="s">
        <v>5759</v>
      </c>
      <c r="G1876" t="s">
        <v>4983</v>
      </c>
      <c r="H1876">
        <v>12702</v>
      </c>
      <c r="I1876" t="s">
        <v>5760</v>
      </c>
    </row>
    <row r="1877" spans="1:9">
      <c r="A1877" t="str">
        <f>"0168606 "</f>
        <v xml:space="preserve">0168606 </v>
      </c>
      <c r="B1877" t="s">
        <v>4982</v>
      </c>
      <c r="C1877" t="s">
        <v>5761</v>
      </c>
      <c r="D1877" t="s">
        <v>5762</v>
      </c>
      <c r="E1877">
        <v>2</v>
      </c>
      <c r="F1877" t="s">
        <v>5763</v>
      </c>
      <c r="G1877" t="s">
        <v>4983</v>
      </c>
      <c r="H1877">
        <v>12740</v>
      </c>
      <c r="I1877" t="s">
        <v>5764</v>
      </c>
    </row>
    <row r="1878" spans="1:9">
      <c r="A1878" t="str">
        <f>"0168622 "</f>
        <v xml:space="preserve">0168622 </v>
      </c>
      <c r="B1878" t="s">
        <v>4982</v>
      </c>
      <c r="C1878" t="s">
        <v>5765</v>
      </c>
      <c r="D1878" t="s">
        <v>5766</v>
      </c>
      <c r="E1878">
        <v>4</v>
      </c>
      <c r="F1878" t="s">
        <v>5767</v>
      </c>
      <c r="G1878" t="s">
        <v>4983</v>
      </c>
      <c r="H1878">
        <v>12763</v>
      </c>
      <c r="I1878" t="s">
        <v>5768</v>
      </c>
    </row>
    <row r="1879" spans="1:9">
      <c r="A1879" t="str">
        <f>"0168623 "</f>
        <v xml:space="preserve">0168623 </v>
      </c>
      <c r="B1879" t="s">
        <v>4982</v>
      </c>
      <c r="C1879" t="s">
        <v>5769</v>
      </c>
      <c r="D1879" t="s">
        <v>5770</v>
      </c>
      <c r="E1879">
        <v>2</v>
      </c>
      <c r="F1879" t="s">
        <v>5129</v>
      </c>
      <c r="G1879" t="s">
        <v>4983</v>
      </c>
      <c r="H1879">
        <v>12764</v>
      </c>
      <c r="I1879" t="s">
        <v>5771</v>
      </c>
    </row>
    <row r="1880" spans="1:9">
      <c r="A1880" t="str">
        <f>"0168633 "</f>
        <v xml:space="preserve">0168633 </v>
      </c>
      <c r="B1880" t="s">
        <v>4982</v>
      </c>
      <c r="C1880" t="s">
        <v>5772</v>
      </c>
      <c r="D1880" t="s">
        <v>5773</v>
      </c>
      <c r="E1880">
        <v>4</v>
      </c>
      <c r="F1880" t="s">
        <v>5774</v>
      </c>
      <c r="G1880" t="s">
        <v>4983</v>
      </c>
      <c r="H1880">
        <v>12779</v>
      </c>
      <c r="I1880" t="s">
        <v>5775</v>
      </c>
    </row>
    <row r="1881" spans="1:9">
      <c r="A1881" t="str">
        <f>"0168634 "</f>
        <v xml:space="preserve">0168634 </v>
      </c>
      <c r="B1881" t="s">
        <v>4982</v>
      </c>
      <c r="C1881" t="s">
        <v>5776</v>
      </c>
      <c r="D1881" t="s">
        <v>5777</v>
      </c>
      <c r="E1881">
        <v>4</v>
      </c>
      <c r="F1881" t="s">
        <v>5016</v>
      </c>
      <c r="G1881" t="s">
        <v>4983</v>
      </c>
      <c r="H1881">
        <v>12780</v>
      </c>
      <c r="I1881" t="s">
        <v>5778</v>
      </c>
    </row>
    <row r="1882" spans="1:9">
      <c r="A1882" t="str">
        <f>"0168666 "</f>
        <v xml:space="preserve">0168666 </v>
      </c>
      <c r="B1882" t="s">
        <v>4982</v>
      </c>
      <c r="C1882" t="s">
        <v>5779</v>
      </c>
      <c r="D1882" t="s">
        <v>5780</v>
      </c>
      <c r="E1882">
        <v>2</v>
      </c>
      <c r="F1882" t="s">
        <v>5035</v>
      </c>
      <c r="G1882" t="s">
        <v>4983</v>
      </c>
      <c r="H1882">
        <v>12833</v>
      </c>
      <c r="I1882" t="s">
        <v>5781</v>
      </c>
    </row>
    <row r="1883" spans="1:9">
      <c r="A1883" t="str">
        <f>"0168712 "</f>
        <v xml:space="preserve">0168712 </v>
      </c>
      <c r="B1883" t="s">
        <v>4982</v>
      </c>
      <c r="C1883" t="s">
        <v>5782</v>
      </c>
      <c r="D1883" t="s">
        <v>5783</v>
      </c>
      <c r="E1883">
        <v>2</v>
      </c>
      <c r="F1883" t="s">
        <v>1866</v>
      </c>
      <c r="G1883" t="s">
        <v>4983</v>
      </c>
      <c r="H1883">
        <v>12934</v>
      </c>
      <c r="I1883" t="s">
        <v>5784</v>
      </c>
    </row>
    <row r="1884" spans="1:9">
      <c r="A1884" t="str">
        <f>"0168888 "</f>
        <v xml:space="preserve">0168888 </v>
      </c>
      <c r="B1884" t="s">
        <v>4982</v>
      </c>
      <c r="C1884" t="s">
        <v>5785</v>
      </c>
      <c r="D1884" t="s">
        <v>5786</v>
      </c>
      <c r="E1884">
        <v>2</v>
      </c>
      <c r="F1884" t="s">
        <v>5787</v>
      </c>
      <c r="G1884" t="s">
        <v>4983</v>
      </c>
      <c r="H1884">
        <v>14038</v>
      </c>
      <c r="I1884" t="s">
        <v>5788</v>
      </c>
    </row>
    <row r="1885" spans="1:9">
      <c r="A1885" t="str">
        <f>"0168921 "</f>
        <v xml:space="preserve">0168921 </v>
      </c>
      <c r="B1885" t="s">
        <v>4982</v>
      </c>
      <c r="C1885" t="s">
        <v>5789</v>
      </c>
      <c r="D1885" t="s">
        <v>5790</v>
      </c>
      <c r="E1885">
        <v>2</v>
      </c>
      <c r="F1885" t="s">
        <v>5791</v>
      </c>
      <c r="G1885" t="s">
        <v>4983</v>
      </c>
      <c r="H1885">
        <v>14081</v>
      </c>
      <c r="I1885" t="s">
        <v>5378</v>
      </c>
    </row>
    <row r="1886" spans="1:9">
      <c r="A1886" t="str">
        <f>"0168924 "</f>
        <v xml:space="preserve">0168924 </v>
      </c>
      <c r="B1886" t="s">
        <v>4982</v>
      </c>
      <c r="C1886" t="s">
        <v>5792</v>
      </c>
      <c r="D1886" t="s">
        <v>5793</v>
      </c>
      <c r="E1886">
        <v>2</v>
      </c>
      <c r="F1886" t="s">
        <v>5794</v>
      </c>
      <c r="G1886" t="s">
        <v>4983</v>
      </c>
      <c r="H1886">
        <v>14087</v>
      </c>
      <c r="I1886" t="s">
        <v>5795</v>
      </c>
    </row>
    <row r="1887" spans="1:9">
      <c r="A1887" t="str">
        <f>"0168931 "</f>
        <v xml:space="preserve">0168931 </v>
      </c>
      <c r="B1887" t="s">
        <v>4982</v>
      </c>
      <c r="C1887" t="s">
        <v>5796</v>
      </c>
      <c r="D1887" t="s">
        <v>5797</v>
      </c>
      <c r="E1887">
        <v>2</v>
      </c>
      <c r="F1887" t="s">
        <v>5798</v>
      </c>
      <c r="G1887" t="s">
        <v>4983</v>
      </c>
      <c r="H1887">
        <v>14099</v>
      </c>
      <c r="I1887" t="s">
        <v>5359</v>
      </c>
    </row>
    <row r="1888" spans="1:9">
      <c r="A1888" t="str">
        <f>"0168947 "</f>
        <v xml:space="preserve">0168947 </v>
      </c>
      <c r="B1888" t="s">
        <v>4982</v>
      </c>
      <c r="C1888" t="s">
        <v>5799</v>
      </c>
      <c r="D1888" t="s">
        <v>5800</v>
      </c>
      <c r="E1888">
        <v>3</v>
      </c>
      <c r="F1888" t="s">
        <v>5801</v>
      </c>
      <c r="G1888" t="s">
        <v>4983</v>
      </c>
      <c r="H1888">
        <v>14116</v>
      </c>
      <c r="I1888" t="s">
        <v>5802</v>
      </c>
    </row>
    <row r="1889" spans="1:9">
      <c r="A1889" t="str">
        <f>"0168970 "</f>
        <v xml:space="preserve">0168970 </v>
      </c>
      <c r="B1889" t="s">
        <v>4982</v>
      </c>
      <c r="C1889" t="s">
        <v>5803</v>
      </c>
      <c r="D1889" t="s">
        <v>5804</v>
      </c>
      <c r="E1889">
        <v>2</v>
      </c>
      <c r="F1889" t="s">
        <v>5805</v>
      </c>
      <c r="G1889" t="s">
        <v>4983</v>
      </c>
      <c r="H1889">
        <v>14146</v>
      </c>
      <c r="I1889" t="s">
        <v>5806</v>
      </c>
    </row>
    <row r="1890" spans="1:9">
      <c r="A1890" t="str">
        <f>"0168981 "</f>
        <v xml:space="preserve">0168981 </v>
      </c>
      <c r="B1890" t="s">
        <v>4982</v>
      </c>
      <c r="C1890" t="s">
        <v>5807</v>
      </c>
      <c r="D1890" t="s">
        <v>5808</v>
      </c>
      <c r="E1890">
        <v>2</v>
      </c>
      <c r="F1890" t="s">
        <v>5809</v>
      </c>
      <c r="G1890" t="s">
        <v>4983</v>
      </c>
      <c r="H1890">
        <v>14158</v>
      </c>
      <c r="I1890" t="s">
        <v>5810</v>
      </c>
    </row>
    <row r="1891" spans="1:9">
      <c r="A1891" t="str">
        <f>"0168998 "</f>
        <v xml:space="preserve">0168998 </v>
      </c>
      <c r="B1891" t="s">
        <v>4982</v>
      </c>
      <c r="C1891" t="s">
        <v>5811</v>
      </c>
      <c r="D1891" t="s">
        <v>5812</v>
      </c>
      <c r="E1891">
        <v>2</v>
      </c>
      <c r="F1891" t="s">
        <v>5419</v>
      </c>
      <c r="G1891" t="s">
        <v>4983</v>
      </c>
      <c r="H1891">
        <v>14180</v>
      </c>
      <c r="I1891" t="s">
        <v>5813</v>
      </c>
    </row>
    <row r="1892" spans="1:9">
      <c r="A1892" t="str">
        <f>"0168999 "</f>
        <v xml:space="preserve">0168999 </v>
      </c>
      <c r="B1892" t="s">
        <v>4982</v>
      </c>
      <c r="C1892" t="s">
        <v>5814</v>
      </c>
      <c r="D1892" t="s">
        <v>5815</v>
      </c>
      <c r="E1892">
        <v>2</v>
      </c>
      <c r="F1892" t="s">
        <v>5419</v>
      </c>
      <c r="G1892" t="s">
        <v>4983</v>
      </c>
      <c r="H1892">
        <v>14182</v>
      </c>
      <c r="I1892" t="s">
        <v>5816</v>
      </c>
    </row>
    <row r="1893" spans="1:9">
      <c r="A1893" t="str">
        <f>"0169033 "</f>
        <v xml:space="preserve">0169033 </v>
      </c>
      <c r="B1893" t="s">
        <v>4982</v>
      </c>
      <c r="C1893" t="s">
        <v>5817</v>
      </c>
      <c r="D1893" t="s">
        <v>5818</v>
      </c>
      <c r="E1893">
        <v>1</v>
      </c>
      <c r="F1893" t="s">
        <v>5819</v>
      </c>
      <c r="G1893" t="s">
        <v>4983</v>
      </c>
      <c r="H1893">
        <v>14226</v>
      </c>
      <c r="I1893" t="s">
        <v>5820</v>
      </c>
    </row>
    <row r="1894" spans="1:9">
      <c r="A1894" t="str">
        <f>"0169034 "</f>
        <v xml:space="preserve">0169034 </v>
      </c>
      <c r="B1894" t="s">
        <v>4982</v>
      </c>
      <c r="C1894" t="s">
        <v>5821</v>
      </c>
      <c r="D1894" t="s">
        <v>5822</v>
      </c>
      <c r="E1894">
        <v>2</v>
      </c>
      <c r="F1894" t="s">
        <v>5819</v>
      </c>
      <c r="G1894" t="s">
        <v>4983</v>
      </c>
      <c r="H1894">
        <v>14227</v>
      </c>
      <c r="I1894" t="s">
        <v>5823</v>
      </c>
    </row>
    <row r="1895" spans="1:9">
      <c r="A1895" t="str">
        <f>"0169054 "</f>
        <v xml:space="preserve">0169054 </v>
      </c>
      <c r="B1895" t="s">
        <v>4982</v>
      </c>
      <c r="C1895" t="s">
        <v>5824</v>
      </c>
      <c r="D1895" t="s">
        <v>5825</v>
      </c>
      <c r="E1895">
        <v>4</v>
      </c>
      <c r="F1895" t="s">
        <v>5826</v>
      </c>
      <c r="G1895" t="s">
        <v>4983</v>
      </c>
      <c r="H1895">
        <v>14250</v>
      </c>
      <c r="I1895" t="s">
        <v>5827</v>
      </c>
    </row>
    <row r="1896" spans="1:9">
      <c r="A1896" t="str">
        <f>"0169057 "</f>
        <v xml:space="preserve">0169057 </v>
      </c>
      <c r="B1896" t="s">
        <v>4982</v>
      </c>
      <c r="C1896" t="s">
        <v>5828</v>
      </c>
      <c r="D1896" t="s">
        <v>5829</v>
      </c>
      <c r="E1896">
        <v>2</v>
      </c>
      <c r="F1896" t="s">
        <v>5830</v>
      </c>
      <c r="G1896" t="s">
        <v>4983</v>
      </c>
      <c r="H1896">
        <v>14256</v>
      </c>
      <c r="I1896" t="s">
        <v>5831</v>
      </c>
    </row>
    <row r="1897" spans="1:9">
      <c r="A1897" t="str">
        <f>"0169065 "</f>
        <v xml:space="preserve">0169065 </v>
      </c>
      <c r="B1897" t="s">
        <v>4982</v>
      </c>
      <c r="C1897" t="s">
        <v>5832</v>
      </c>
      <c r="D1897" t="s">
        <v>5833</v>
      </c>
      <c r="E1897">
        <v>1</v>
      </c>
      <c r="F1897" t="s">
        <v>5031</v>
      </c>
      <c r="G1897" t="s">
        <v>4983</v>
      </c>
      <c r="H1897">
        <v>14266</v>
      </c>
      <c r="I1897" t="s">
        <v>5834</v>
      </c>
    </row>
    <row r="1898" spans="1:9">
      <c r="A1898" t="str">
        <f>"0169171 "</f>
        <v xml:space="preserve">0169171 </v>
      </c>
      <c r="B1898" t="s">
        <v>4982</v>
      </c>
      <c r="C1898" t="s">
        <v>5835</v>
      </c>
      <c r="D1898" t="s">
        <v>5836</v>
      </c>
      <c r="E1898">
        <v>1</v>
      </c>
      <c r="F1898" t="s">
        <v>5739</v>
      </c>
      <c r="G1898" t="s">
        <v>4983</v>
      </c>
      <c r="H1898">
        <v>14440</v>
      </c>
      <c r="I1898" t="s">
        <v>5837</v>
      </c>
    </row>
    <row r="1899" spans="1:9">
      <c r="A1899" t="str">
        <f>"0169172 "</f>
        <v xml:space="preserve">0169172 </v>
      </c>
      <c r="B1899" t="s">
        <v>4982</v>
      </c>
      <c r="C1899" t="s">
        <v>5838</v>
      </c>
      <c r="D1899" t="s">
        <v>5839</v>
      </c>
      <c r="E1899">
        <v>1</v>
      </c>
      <c r="F1899" t="s">
        <v>5739</v>
      </c>
      <c r="G1899" t="s">
        <v>4983</v>
      </c>
      <c r="H1899">
        <v>14444</v>
      </c>
      <c r="I1899" t="s">
        <v>5756</v>
      </c>
    </row>
    <row r="1900" spans="1:9">
      <c r="A1900" t="str">
        <f>"0169175 "</f>
        <v xml:space="preserve">0169175 </v>
      </c>
      <c r="B1900" t="s">
        <v>4982</v>
      </c>
      <c r="C1900" t="s">
        <v>5840</v>
      </c>
      <c r="D1900" t="s">
        <v>5841</v>
      </c>
      <c r="E1900">
        <v>1</v>
      </c>
      <c r="F1900" t="s">
        <v>2350</v>
      </c>
      <c r="G1900" t="s">
        <v>4983</v>
      </c>
      <c r="H1900">
        <v>14491</v>
      </c>
      <c r="I1900" t="s">
        <v>5842</v>
      </c>
    </row>
    <row r="1901" spans="1:9">
      <c r="A1901" t="str">
        <f>"0169179 "</f>
        <v xml:space="preserve">0169179 </v>
      </c>
      <c r="B1901" t="s">
        <v>4982</v>
      </c>
      <c r="C1901" t="s">
        <v>5843</v>
      </c>
      <c r="D1901" t="s">
        <v>5844</v>
      </c>
      <c r="E1901">
        <v>1</v>
      </c>
      <c r="F1901" t="s">
        <v>5845</v>
      </c>
      <c r="G1901" t="s">
        <v>4983</v>
      </c>
      <c r="H1901">
        <v>14499</v>
      </c>
      <c r="I1901" t="s">
        <v>5846</v>
      </c>
    </row>
    <row r="1902" spans="1:9">
      <c r="A1902" t="str">
        <f>"0169184 "</f>
        <v xml:space="preserve">0169184 </v>
      </c>
      <c r="B1902" t="s">
        <v>4982</v>
      </c>
      <c r="C1902" t="s">
        <v>5847</v>
      </c>
      <c r="D1902" t="s">
        <v>5848</v>
      </c>
      <c r="E1902">
        <v>2</v>
      </c>
      <c r="F1902" t="s">
        <v>3731</v>
      </c>
      <c r="G1902" t="s">
        <v>4983</v>
      </c>
      <c r="H1902">
        <v>14505</v>
      </c>
      <c r="I1902" t="s">
        <v>5849</v>
      </c>
    </row>
    <row r="1903" spans="1:9">
      <c r="A1903" t="str">
        <f>"0169188 "</f>
        <v xml:space="preserve">0169188 </v>
      </c>
      <c r="B1903" t="s">
        <v>4982</v>
      </c>
      <c r="C1903" t="s">
        <v>5850</v>
      </c>
      <c r="D1903" t="s">
        <v>5851</v>
      </c>
      <c r="E1903">
        <v>2</v>
      </c>
      <c r="F1903" t="s">
        <v>5852</v>
      </c>
      <c r="G1903" t="s">
        <v>4983</v>
      </c>
      <c r="H1903">
        <v>14520</v>
      </c>
      <c r="I1903" t="s">
        <v>5853</v>
      </c>
    </row>
    <row r="1904" spans="1:9">
      <c r="A1904" t="str">
        <f>"0169196 "</f>
        <v xml:space="preserve">0169196 </v>
      </c>
      <c r="B1904" t="s">
        <v>4982</v>
      </c>
      <c r="C1904" t="s">
        <v>5854</v>
      </c>
      <c r="D1904" t="s">
        <v>5855</v>
      </c>
      <c r="E1904">
        <v>2</v>
      </c>
      <c r="F1904" t="s">
        <v>5856</v>
      </c>
      <c r="G1904" t="s">
        <v>4983</v>
      </c>
      <c r="H1904">
        <v>14530</v>
      </c>
      <c r="I1904" t="s">
        <v>5853</v>
      </c>
    </row>
    <row r="1905" spans="1:9">
      <c r="A1905" t="str">
        <f>"0169212 "</f>
        <v xml:space="preserve">0169212 </v>
      </c>
      <c r="B1905" t="s">
        <v>4982</v>
      </c>
      <c r="C1905" t="s">
        <v>5857</v>
      </c>
      <c r="D1905" t="s">
        <v>5858</v>
      </c>
      <c r="E1905">
        <v>3</v>
      </c>
      <c r="F1905" t="s">
        <v>3776</v>
      </c>
      <c r="G1905" t="s">
        <v>4983</v>
      </c>
      <c r="H1905">
        <v>14558</v>
      </c>
      <c r="I1905" t="s">
        <v>5859</v>
      </c>
    </row>
    <row r="1906" spans="1:9">
      <c r="A1906" t="str">
        <f>"0169270 "</f>
        <v xml:space="preserve">0169270 </v>
      </c>
      <c r="B1906" t="s">
        <v>4982</v>
      </c>
      <c r="C1906" t="s">
        <v>5860</v>
      </c>
      <c r="D1906" t="s">
        <v>5861</v>
      </c>
      <c r="E1906">
        <v>2</v>
      </c>
      <c r="F1906" t="s">
        <v>5862</v>
      </c>
      <c r="G1906" t="s">
        <v>4983</v>
      </c>
      <c r="H1906">
        <v>14716</v>
      </c>
      <c r="I1906" t="s">
        <v>5863</v>
      </c>
    </row>
    <row r="1907" spans="1:9">
      <c r="A1907" t="str">
        <f>"0169281 "</f>
        <v xml:space="preserve">0169281 </v>
      </c>
      <c r="B1907" t="s">
        <v>4982</v>
      </c>
      <c r="C1907" t="s">
        <v>5864</v>
      </c>
      <c r="D1907" t="s">
        <v>5865</v>
      </c>
      <c r="E1907">
        <v>3</v>
      </c>
      <c r="F1907" t="s">
        <v>5228</v>
      </c>
      <c r="G1907" t="s">
        <v>4983</v>
      </c>
      <c r="H1907">
        <v>14739</v>
      </c>
      <c r="I1907" t="s">
        <v>5866</v>
      </c>
    </row>
    <row r="1908" spans="1:9">
      <c r="A1908" t="str">
        <f>"0169361 "</f>
        <v xml:space="preserve">0169361 </v>
      </c>
      <c r="B1908" t="s">
        <v>4982</v>
      </c>
      <c r="C1908" t="s">
        <v>5867</v>
      </c>
      <c r="D1908" t="s">
        <v>5868</v>
      </c>
      <c r="E1908">
        <v>2</v>
      </c>
      <c r="F1908" t="s">
        <v>5869</v>
      </c>
      <c r="G1908" t="s">
        <v>4983</v>
      </c>
      <c r="H1908">
        <v>14897</v>
      </c>
      <c r="I1908" t="s">
        <v>5870</v>
      </c>
    </row>
    <row r="1909" spans="1:9">
      <c r="A1909" t="str">
        <f>"0169367 "</f>
        <v xml:space="preserve">0169367 </v>
      </c>
      <c r="B1909" t="s">
        <v>4982</v>
      </c>
      <c r="C1909" t="s">
        <v>5871</v>
      </c>
      <c r="D1909" t="s">
        <v>5872</v>
      </c>
      <c r="E1909">
        <v>4</v>
      </c>
      <c r="F1909" t="s">
        <v>1980</v>
      </c>
      <c r="G1909" t="s">
        <v>4983</v>
      </c>
      <c r="H1909">
        <v>14906</v>
      </c>
      <c r="I1909" t="s">
        <v>5873</v>
      </c>
    </row>
    <row r="1910" spans="1:9">
      <c r="A1910" t="str">
        <f>"0169392 "</f>
        <v xml:space="preserve">0169392 </v>
      </c>
      <c r="B1910" t="s">
        <v>4982</v>
      </c>
      <c r="C1910" t="s">
        <v>5874</v>
      </c>
      <c r="D1910" t="s">
        <v>5875</v>
      </c>
      <c r="E1910">
        <v>2</v>
      </c>
      <c r="F1910" t="s">
        <v>5876</v>
      </c>
      <c r="G1910" t="s">
        <v>4983</v>
      </c>
      <c r="H1910">
        <v>14942</v>
      </c>
      <c r="I1910" t="s">
        <v>5877</v>
      </c>
    </row>
    <row r="1911" spans="1:9">
      <c r="A1911" t="str">
        <f>"0169399 "</f>
        <v xml:space="preserve">0169399 </v>
      </c>
      <c r="B1911" t="s">
        <v>4982</v>
      </c>
      <c r="C1911" t="s">
        <v>5878</v>
      </c>
      <c r="D1911" t="s">
        <v>5879</v>
      </c>
      <c r="E1911">
        <v>2</v>
      </c>
      <c r="F1911" t="s">
        <v>5880</v>
      </c>
      <c r="G1911" t="s">
        <v>4983</v>
      </c>
      <c r="H1911">
        <v>14949</v>
      </c>
      <c r="I1911" t="s">
        <v>5881</v>
      </c>
    </row>
    <row r="1912" spans="1:9">
      <c r="A1912" t="str">
        <f>"0169402 "</f>
        <v xml:space="preserve">0169402 </v>
      </c>
      <c r="B1912" t="s">
        <v>4982</v>
      </c>
      <c r="C1912" t="s">
        <v>5882</v>
      </c>
      <c r="D1912" t="s">
        <v>5883</v>
      </c>
      <c r="E1912">
        <v>2</v>
      </c>
      <c r="F1912" t="s">
        <v>5884</v>
      </c>
      <c r="G1912" t="s">
        <v>4983</v>
      </c>
      <c r="H1912">
        <v>14952</v>
      </c>
      <c r="I1912" t="s">
        <v>5885</v>
      </c>
    </row>
    <row r="1913" spans="1:9">
      <c r="A1913" t="str">
        <f>"0169404 "</f>
        <v xml:space="preserve">0169404 </v>
      </c>
      <c r="B1913" t="s">
        <v>4982</v>
      </c>
      <c r="C1913" t="s">
        <v>5886</v>
      </c>
      <c r="D1913" t="s">
        <v>5887</v>
      </c>
      <c r="E1913">
        <v>2</v>
      </c>
      <c r="F1913" t="s">
        <v>5862</v>
      </c>
      <c r="G1913" t="s">
        <v>4983</v>
      </c>
      <c r="H1913">
        <v>14954</v>
      </c>
      <c r="I1913" t="s">
        <v>5888</v>
      </c>
    </row>
    <row r="1914" spans="1:9">
      <c r="A1914" t="str">
        <f>"0169405 "</f>
        <v xml:space="preserve">0169405 </v>
      </c>
      <c r="B1914" t="s">
        <v>4982</v>
      </c>
      <c r="C1914" t="s">
        <v>5889</v>
      </c>
      <c r="D1914" t="s">
        <v>5890</v>
      </c>
      <c r="E1914">
        <v>2</v>
      </c>
      <c r="F1914" t="s">
        <v>5891</v>
      </c>
      <c r="G1914" t="s">
        <v>4983</v>
      </c>
      <c r="H1914">
        <v>14956</v>
      </c>
      <c r="I1914" t="s">
        <v>5892</v>
      </c>
    </row>
    <row r="1915" spans="1:9">
      <c r="A1915" t="str">
        <f>"0169431 "</f>
        <v xml:space="preserve">0169431 </v>
      </c>
      <c r="B1915" t="s">
        <v>4982</v>
      </c>
      <c r="C1915" t="s">
        <v>5893</v>
      </c>
      <c r="D1915" t="s">
        <v>5894</v>
      </c>
      <c r="E1915">
        <v>2</v>
      </c>
      <c r="F1915" t="s">
        <v>5895</v>
      </c>
      <c r="G1915" t="s">
        <v>4983</v>
      </c>
      <c r="H1915">
        <v>15068</v>
      </c>
      <c r="I1915" t="s">
        <v>5896</v>
      </c>
    </row>
    <row r="1916" spans="1:9">
      <c r="A1916" t="str">
        <f>"0169432 "</f>
        <v xml:space="preserve">0169432 </v>
      </c>
      <c r="B1916" t="s">
        <v>4982</v>
      </c>
      <c r="C1916" t="s">
        <v>5897</v>
      </c>
      <c r="D1916" t="s">
        <v>5898</v>
      </c>
      <c r="E1916">
        <v>2</v>
      </c>
      <c r="F1916" t="s">
        <v>5895</v>
      </c>
      <c r="G1916" t="s">
        <v>4983</v>
      </c>
      <c r="H1916">
        <v>15069</v>
      </c>
      <c r="I1916" t="s">
        <v>5899</v>
      </c>
    </row>
    <row r="1917" spans="1:9">
      <c r="A1917" t="str">
        <f>"0169528 "</f>
        <v xml:space="preserve">0169528 </v>
      </c>
      <c r="B1917" t="s">
        <v>4982</v>
      </c>
      <c r="C1917" t="s">
        <v>5900</v>
      </c>
      <c r="D1917" t="s">
        <v>5901</v>
      </c>
      <c r="E1917">
        <v>2</v>
      </c>
      <c r="F1917" t="s">
        <v>5902</v>
      </c>
      <c r="G1917" t="s">
        <v>4983</v>
      </c>
      <c r="H1917">
        <v>15381</v>
      </c>
      <c r="I1917" t="s">
        <v>5903</v>
      </c>
    </row>
    <row r="1918" spans="1:9">
      <c r="A1918" t="str">
        <f>"0169529 "</f>
        <v xml:space="preserve">0169529 </v>
      </c>
      <c r="B1918" t="s">
        <v>4982</v>
      </c>
      <c r="C1918" t="s">
        <v>5904</v>
      </c>
      <c r="D1918" t="s">
        <v>5905</v>
      </c>
      <c r="E1918">
        <v>3</v>
      </c>
      <c r="F1918" t="s">
        <v>5906</v>
      </c>
      <c r="G1918" t="s">
        <v>4983</v>
      </c>
      <c r="H1918">
        <v>15386</v>
      </c>
      <c r="I1918" t="s">
        <v>5907</v>
      </c>
    </row>
    <row r="1919" spans="1:9">
      <c r="A1919" t="str">
        <f>"0169557 "</f>
        <v xml:space="preserve">0169557 </v>
      </c>
      <c r="B1919" t="s">
        <v>4982</v>
      </c>
      <c r="C1919" t="s">
        <v>5908</v>
      </c>
      <c r="D1919" t="s">
        <v>5909</v>
      </c>
      <c r="E1919">
        <v>3</v>
      </c>
      <c r="F1919" t="s">
        <v>5910</v>
      </c>
      <c r="G1919" t="s">
        <v>4983</v>
      </c>
      <c r="H1919">
        <v>15431</v>
      </c>
      <c r="I1919" t="s">
        <v>5911</v>
      </c>
    </row>
    <row r="1920" spans="1:9">
      <c r="A1920" t="str">
        <f>"0169601 "</f>
        <v xml:space="preserve">0169601 </v>
      </c>
      <c r="B1920" t="s">
        <v>4982</v>
      </c>
      <c r="C1920" t="s">
        <v>5912</v>
      </c>
      <c r="D1920" t="s">
        <v>5913</v>
      </c>
      <c r="E1920">
        <v>1</v>
      </c>
      <c r="F1920" t="s">
        <v>5914</v>
      </c>
      <c r="G1920" t="s">
        <v>4983</v>
      </c>
      <c r="H1920">
        <v>15493</v>
      </c>
      <c r="I1920" t="s">
        <v>5915</v>
      </c>
    </row>
    <row r="1921" spans="1:9">
      <c r="A1921" t="str">
        <f>"0169647 "</f>
        <v xml:space="preserve">0169647 </v>
      </c>
      <c r="B1921" t="s">
        <v>4982</v>
      </c>
      <c r="C1921" t="s">
        <v>5916</v>
      </c>
      <c r="D1921" t="s">
        <v>5917</v>
      </c>
      <c r="E1921">
        <v>2</v>
      </c>
      <c r="F1921" t="s">
        <v>5250</v>
      </c>
      <c r="G1921" t="s">
        <v>4983</v>
      </c>
      <c r="H1921">
        <v>15620</v>
      </c>
      <c r="I1921" t="s">
        <v>5918</v>
      </c>
    </row>
    <row r="1922" spans="1:9">
      <c r="A1922" t="str">
        <f>"0169672 "</f>
        <v xml:space="preserve">0169672 </v>
      </c>
      <c r="B1922" t="s">
        <v>4982</v>
      </c>
      <c r="C1922" t="s">
        <v>5919</v>
      </c>
      <c r="D1922" t="s">
        <v>5920</v>
      </c>
      <c r="E1922" t="s">
        <v>16</v>
      </c>
      <c r="F1922" s="1">
        <v>42844</v>
      </c>
      <c r="G1922" t="s">
        <v>4983</v>
      </c>
      <c r="H1922">
        <v>15655</v>
      </c>
      <c r="I1922" t="s">
        <v>5921</v>
      </c>
    </row>
    <row r="1923" spans="1:9">
      <c r="A1923" t="str">
        <f>"0169685 "</f>
        <v xml:space="preserve">0169685 </v>
      </c>
      <c r="B1923" t="s">
        <v>4982</v>
      </c>
      <c r="C1923" t="s">
        <v>5922</v>
      </c>
      <c r="D1923" t="s">
        <v>5923</v>
      </c>
      <c r="E1923" t="s">
        <v>16</v>
      </c>
      <c r="F1923" s="3">
        <v>26238</v>
      </c>
      <c r="G1923" t="s">
        <v>4983</v>
      </c>
      <c r="H1923">
        <v>15676</v>
      </c>
      <c r="I1923" t="s">
        <v>5098</v>
      </c>
    </row>
    <row r="1924" spans="1:9">
      <c r="A1924" t="str">
        <f>"0169757 "</f>
        <v xml:space="preserve">0169757 </v>
      </c>
      <c r="B1924" t="s">
        <v>4982</v>
      </c>
      <c r="C1924" t="s">
        <v>5924</v>
      </c>
      <c r="D1924" t="s">
        <v>5925</v>
      </c>
      <c r="E1924">
        <v>2</v>
      </c>
      <c r="F1924" t="s">
        <v>5926</v>
      </c>
      <c r="G1924" t="s">
        <v>4983</v>
      </c>
      <c r="H1924">
        <v>15870</v>
      </c>
      <c r="I1924" t="s">
        <v>5927</v>
      </c>
    </row>
    <row r="1925" spans="1:9">
      <c r="A1925" t="str">
        <f>"0169764 "</f>
        <v xml:space="preserve">0169764 </v>
      </c>
      <c r="B1925" t="s">
        <v>4982</v>
      </c>
      <c r="C1925" t="s">
        <v>5928</v>
      </c>
      <c r="D1925" t="s">
        <v>5929</v>
      </c>
      <c r="E1925">
        <v>1</v>
      </c>
      <c r="F1925" t="s">
        <v>5930</v>
      </c>
      <c r="G1925" t="s">
        <v>4983</v>
      </c>
      <c r="H1925">
        <v>15880</v>
      </c>
      <c r="I1925" t="s">
        <v>5931</v>
      </c>
    </row>
    <row r="1926" spans="1:9">
      <c r="A1926" t="str">
        <f>"0169784 "</f>
        <v xml:space="preserve">0169784 </v>
      </c>
      <c r="B1926" t="s">
        <v>4982</v>
      </c>
      <c r="C1926" t="s">
        <v>5932</v>
      </c>
      <c r="D1926" t="s">
        <v>5933</v>
      </c>
      <c r="E1926">
        <v>1</v>
      </c>
      <c r="F1926" t="s">
        <v>5934</v>
      </c>
      <c r="G1926" t="s">
        <v>4983</v>
      </c>
      <c r="H1926">
        <v>15920</v>
      </c>
      <c r="I1926" t="s">
        <v>5935</v>
      </c>
    </row>
    <row r="1927" spans="1:9">
      <c r="A1927" t="str">
        <f>"0169807 "</f>
        <v xml:space="preserve">0169807 </v>
      </c>
      <c r="B1927" t="s">
        <v>4982</v>
      </c>
      <c r="C1927" t="s">
        <v>5936</v>
      </c>
      <c r="D1927" t="s">
        <v>5937</v>
      </c>
      <c r="E1927" t="s">
        <v>16</v>
      </c>
      <c r="F1927" t="s">
        <v>5938</v>
      </c>
      <c r="G1927" t="s">
        <v>4983</v>
      </c>
      <c r="H1927">
        <v>15956</v>
      </c>
      <c r="I1927" t="s">
        <v>5939</v>
      </c>
    </row>
    <row r="1928" spans="1:9">
      <c r="A1928" t="str">
        <f>"0169811 "</f>
        <v xml:space="preserve">0169811 </v>
      </c>
      <c r="B1928" t="s">
        <v>4982</v>
      </c>
      <c r="C1928" t="s">
        <v>5940</v>
      </c>
      <c r="D1928" t="s">
        <v>5941</v>
      </c>
      <c r="E1928" t="s">
        <v>16</v>
      </c>
      <c r="F1928" t="s">
        <v>5938</v>
      </c>
      <c r="G1928" t="s">
        <v>4983</v>
      </c>
      <c r="H1928">
        <v>15960</v>
      </c>
      <c r="I1928" t="s">
        <v>5942</v>
      </c>
    </row>
    <row r="1929" spans="1:9">
      <c r="A1929" t="str">
        <f>"0169812 "</f>
        <v xml:space="preserve">0169812 </v>
      </c>
      <c r="B1929" t="s">
        <v>4982</v>
      </c>
      <c r="C1929" t="s">
        <v>5943</v>
      </c>
      <c r="D1929" t="s">
        <v>5944</v>
      </c>
      <c r="E1929">
        <v>4</v>
      </c>
      <c r="F1929" t="s">
        <v>5292</v>
      </c>
      <c r="G1929" t="s">
        <v>4983</v>
      </c>
      <c r="H1929">
        <v>15962</v>
      </c>
      <c r="I1929" t="s">
        <v>5945</v>
      </c>
    </row>
    <row r="1930" spans="1:9">
      <c r="A1930" t="str">
        <f>"0169823 "</f>
        <v xml:space="preserve">0169823 </v>
      </c>
      <c r="B1930" t="s">
        <v>4982</v>
      </c>
      <c r="C1930" t="s">
        <v>5946</v>
      </c>
      <c r="D1930" t="s">
        <v>5947</v>
      </c>
      <c r="E1930">
        <v>2</v>
      </c>
      <c r="F1930" t="s">
        <v>5048</v>
      </c>
      <c r="G1930" t="s">
        <v>4983</v>
      </c>
      <c r="H1930">
        <v>15978</v>
      </c>
      <c r="I1930" t="s">
        <v>5948</v>
      </c>
    </row>
    <row r="1931" spans="1:9">
      <c r="A1931" t="str">
        <f>"0169825 "</f>
        <v xml:space="preserve">0169825 </v>
      </c>
      <c r="B1931" t="s">
        <v>4982</v>
      </c>
      <c r="C1931" t="s">
        <v>5949</v>
      </c>
      <c r="D1931" t="s">
        <v>5950</v>
      </c>
      <c r="E1931">
        <v>2</v>
      </c>
      <c r="F1931" t="s">
        <v>5951</v>
      </c>
      <c r="G1931" t="s">
        <v>4983</v>
      </c>
      <c r="H1931">
        <v>15980</v>
      </c>
      <c r="I1931" t="s">
        <v>5952</v>
      </c>
    </row>
    <row r="1932" spans="1:9">
      <c r="A1932" t="str">
        <f>"0169827 "</f>
        <v xml:space="preserve">0169827 </v>
      </c>
      <c r="B1932" t="s">
        <v>4982</v>
      </c>
      <c r="C1932" t="s">
        <v>5953</v>
      </c>
      <c r="D1932" t="s">
        <v>5954</v>
      </c>
      <c r="E1932">
        <v>2</v>
      </c>
      <c r="F1932" t="s">
        <v>5955</v>
      </c>
      <c r="G1932" t="s">
        <v>4983</v>
      </c>
      <c r="H1932">
        <v>15982</v>
      </c>
      <c r="I1932" t="s">
        <v>5956</v>
      </c>
    </row>
    <row r="1933" spans="1:9">
      <c r="A1933" t="str">
        <f>"0169828 "</f>
        <v xml:space="preserve">0169828 </v>
      </c>
      <c r="B1933" t="s">
        <v>4982</v>
      </c>
      <c r="C1933" t="s">
        <v>5957</v>
      </c>
      <c r="D1933" t="s">
        <v>5958</v>
      </c>
      <c r="E1933">
        <v>2</v>
      </c>
      <c r="F1933" t="s">
        <v>5959</v>
      </c>
      <c r="G1933" t="s">
        <v>4983</v>
      </c>
      <c r="H1933">
        <v>15984</v>
      </c>
      <c r="I1933" t="s">
        <v>5960</v>
      </c>
    </row>
    <row r="1934" spans="1:9">
      <c r="A1934" t="str">
        <f>"0169829 "</f>
        <v xml:space="preserve">0169829 </v>
      </c>
      <c r="B1934" t="s">
        <v>4982</v>
      </c>
      <c r="C1934" t="s">
        <v>5961</v>
      </c>
      <c r="D1934" t="s">
        <v>5962</v>
      </c>
      <c r="E1934">
        <v>2</v>
      </c>
      <c r="F1934" t="s">
        <v>5170</v>
      </c>
      <c r="G1934" t="s">
        <v>4983</v>
      </c>
      <c r="H1934">
        <v>15986</v>
      </c>
      <c r="I1934" t="s">
        <v>5963</v>
      </c>
    </row>
    <row r="1935" spans="1:9">
      <c r="A1935" t="str">
        <f>"0169836 "</f>
        <v xml:space="preserve">0169836 </v>
      </c>
      <c r="B1935" t="s">
        <v>4982</v>
      </c>
      <c r="C1935" t="s">
        <v>5964</v>
      </c>
      <c r="D1935" t="s">
        <v>5965</v>
      </c>
      <c r="E1935">
        <v>4</v>
      </c>
      <c r="F1935" t="s">
        <v>2837</v>
      </c>
      <c r="G1935" t="s">
        <v>4983</v>
      </c>
      <c r="H1935">
        <v>15998</v>
      </c>
      <c r="I1935" t="s">
        <v>5966</v>
      </c>
    </row>
    <row r="1936" spans="1:9">
      <c r="A1936" t="str">
        <f>"0170494 "</f>
        <v xml:space="preserve">0170494 </v>
      </c>
      <c r="B1936" t="s">
        <v>4982</v>
      </c>
      <c r="C1936" t="s">
        <v>5967</v>
      </c>
      <c r="D1936" t="s">
        <v>5968</v>
      </c>
      <c r="E1936">
        <v>2</v>
      </c>
      <c r="F1936" t="s">
        <v>1898</v>
      </c>
      <c r="G1936" t="s">
        <v>4983</v>
      </c>
      <c r="H1936">
        <v>17000</v>
      </c>
      <c r="I1936" t="s">
        <v>5969</v>
      </c>
    </row>
    <row r="1937" spans="1:9">
      <c r="A1937" t="str">
        <f>"0170571 "</f>
        <v xml:space="preserve">0170571 </v>
      </c>
      <c r="B1937" t="s">
        <v>4982</v>
      </c>
      <c r="C1937" t="s">
        <v>5970</v>
      </c>
      <c r="D1937" t="s">
        <v>5971</v>
      </c>
      <c r="E1937">
        <v>2</v>
      </c>
      <c r="F1937" t="s">
        <v>3685</v>
      </c>
      <c r="G1937" t="s">
        <v>4983</v>
      </c>
      <c r="H1937">
        <v>17119</v>
      </c>
      <c r="I1937" t="s">
        <v>5972</v>
      </c>
    </row>
    <row r="1938" spans="1:9">
      <c r="A1938" t="str">
        <f>"0170574 "</f>
        <v xml:space="preserve">0170574 </v>
      </c>
      <c r="B1938" t="s">
        <v>4982</v>
      </c>
      <c r="C1938" t="s">
        <v>5973</v>
      </c>
      <c r="D1938" t="s">
        <v>5974</v>
      </c>
      <c r="E1938">
        <v>1</v>
      </c>
      <c r="F1938" t="s">
        <v>5975</v>
      </c>
      <c r="G1938" t="s">
        <v>4983</v>
      </c>
      <c r="H1938">
        <v>17126</v>
      </c>
      <c r="I1938" t="s">
        <v>5976</v>
      </c>
    </row>
    <row r="1939" spans="1:9">
      <c r="A1939" t="str">
        <f>"0170575 "</f>
        <v xml:space="preserve">0170575 </v>
      </c>
      <c r="B1939" t="s">
        <v>4982</v>
      </c>
      <c r="C1939" t="s">
        <v>5977</v>
      </c>
      <c r="D1939" t="s">
        <v>5978</v>
      </c>
      <c r="E1939">
        <v>2</v>
      </c>
      <c r="F1939" t="s">
        <v>4002</v>
      </c>
      <c r="G1939" t="s">
        <v>4983</v>
      </c>
      <c r="H1939">
        <v>17127</v>
      </c>
      <c r="I1939" t="s">
        <v>5979</v>
      </c>
    </row>
    <row r="1940" spans="1:9">
      <c r="A1940" t="str">
        <f>"0170613 "</f>
        <v xml:space="preserve">0170613 </v>
      </c>
      <c r="B1940" t="s">
        <v>4982</v>
      </c>
      <c r="C1940" t="s">
        <v>5980</v>
      </c>
      <c r="D1940" t="s">
        <v>5981</v>
      </c>
      <c r="E1940">
        <v>1</v>
      </c>
      <c r="F1940" t="s">
        <v>2042</v>
      </c>
      <c r="G1940" t="s">
        <v>4983</v>
      </c>
      <c r="H1940">
        <v>17202</v>
      </c>
      <c r="I1940" t="s">
        <v>5982</v>
      </c>
    </row>
    <row r="1941" spans="1:9">
      <c r="A1941" t="str">
        <f>"0170625 "</f>
        <v xml:space="preserve">0170625 </v>
      </c>
      <c r="B1941" t="s">
        <v>4982</v>
      </c>
      <c r="C1941" t="s">
        <v>5983</v>
      </c>
      <c r="D1941" t="s">
        <v>5984</v>
      </c>
      <c r="E1941">
        <v>1</v>
      </c>
      <c r="F1941" t="s">
        <v>5985</v>
      </c>
      <c r="G1941" t="s">
        <v>4983</v>
      </c>
      <c r="H1941">
        <v>17214</v>
      </c>
      <c r="I1941" t="s">
        <v>5986</v>
      </c>
    </row>
    <row r="1942" spans="1:9">
      <c r="A1942" t="str">
        <f>"0170627 "</f>
        <v xml:space="preserve">0170627 </v>
      </c>
      <c r="B1942" t="s">
        <v>4982</v>
      </c>
      <c r="C1942" t="s">
        <v>5987</v>
      </c>
      <c r="D1942" t="s">
        <v>5988</v>
      </c>
      <c r="E1942">
        <v>1</v>
      </c>
      <c r="F1942" t="s">
        <v>5985</v>
      </c>
      <c r="G1942" t="s">
        <v>4983</v>
      </c>
      <c r="H1942">
        <v>17216</v>
      </c>
      <c r="I1942" t="s">
        <v>5989</v>
      </c>
    </row>
    <row r="1943" spans="1:9">
      <c r="A1943" t="str">
        <f>"0170650 "</f>
        <v xml:space="preserve">0170650 </v>
      </c>
      <c r="B1943" t="s">
        <v>4982</v>
      </c>
      <c r="C1943" t="s">
        <v>5990</v>
      </c>
      <c r="D1943" t="s">
        <v>5991</v>
      </c>
      <c r="E1943">
        <v>2</v>
      </c>
      <c r="F1943" t="s">
        <v>5992</v>
      </c>
      <c r="G1943" t="s">
        <v>4983</v>
      </c>
      <c r="H1943">
        <v>17265</v>
      </c>
      <c r="I1943" t="s">
        <v>5993</v>
      </c>
    </row>
    <row r="1944" spans="1:9">
      <c r="A1944" t="str">
        <f>"0170662 "</f>
        <v xml:space="preserve">0170662 </v>
      </c>
      <c r="B1944" t="s">
        <v>4982</v>
      </c>
      <c r="C1944" t="s">
        <v>5994</v>
      </c>
      <c r="D1944" t="s">
        <v>5995</v>
      </c>
      <c r="E1944">
        <v>3</v>
      </c>
      <c r="F1944" t="s">
        <v>5751</v>
      </c>
      <c r="G1944" t="s">
        <v>4983</v>
      </c>
      <c r="H1944">
        <v>17286</v>
      </c>
      <c r="I1944" t="s">
        <v>5996</v>
      </c>
    </row>
    <row r="1945" spans="1:9">
      <c r="A1945" t="str">
        <f>"0170677 "</f>
        <v xml:space="preserve">0170677 </v>
      </c>
      <c r="B1945" t="s">
        <v>4982</v>
      </c>
      <c r="C1945" t="s">
        <v>5997</v>
      </c>
      <c r="D1945" t="s">
        <v>5998</v>
      </c>
      <c r="E1945">
        <v>2</v>
      </c>
      <c r="F1945" t="s">
        <v>5999</v>
      </c>
      <c r="G1945" t="s">
        <v>4983</v>
      </c>
      <c r="H1945">
        <v>17317</v>
      </c>
      <c r="I1945" t="s">
        <v>6000</v>
      </c>
    </row>
    <row r="1946" spans="1:9">
      <c r="A1946" t="str">
        <f>"0170681 "</f>
        <v xml:space="preserve">0170681 </v>
      </c>
      <c r="B1946" t="s">
        <v>4982</v>
      </c>
      <c r="C1946" t="s">
        <v>6001</v>
      </c>
      <c r="D1946" t="s">
        <v>6002</v>
      </c>
      <c r="E1946">
        <v>2</v>
      </c>
      <c r="F1946" t="s">
        <v>6003</v>
      </c>
      <c r="G1946" t="s">
        <v>4983</v>
      </c>
      <c r="H1946">
        <v>17321</v>
      </c>
      <c r="I1946" t="s">
        <v>6004</v>
      </c>
    </row>
    <row r="1947" spans="1:9">
      <c r="A1947" t="str">
        <f>"0170695 "</f>
        <v xml:space="preserve">0170695 </v>
      </c>
      <c r="B1947" t="s">
        <v>4982</v>
      </c>
      <c r="C1947" t="s">
        <v>6005</v>
      </c>
      <c r="D1947" t="s">
        <v>6006</v>
      </c>
      <c r="E1947">
        <v>4</v>
      </c>
      <c r="F1947" t="s">
        <v>5290</v>
      </c>
      <c r="G1947" t="s">
        <v>4983</v>
      </c>
      <c r="H1947">
        <v>17376</v>
      </c>
      <c r="I1947" t="s">
        <v>6007</v>
      </c>
    </row>
    <row r="1948" spans="1:9">
      <c r="A1948" t="str">
        <f>"0170739 "</f>
        <v xml:space="preserve">0170739 </v>
      </c>
      <c r="B1948" t="s">
        <v>4982</v>
      </c>
      <c r="C1948" t="s">
        <v>6008</v>
      </c>
      <c r="D1948" t="s">
        <v>6009</v>
      </c>
      <c r="E1948">
        <v>2</v>
      </c>
      <c r="F1948" t="s">
        <v>6010</v>
      </c>
      <c r="G1948" t="s">
        <v>4983</v>
      </c>
      <c r="H1948">
        <v>17473</v>
      </c>
      <c r="I1948" t="s">
        <v>6011</v>
      </c>
    </row>
    <row r="1949" spans="1:9">
      <c r="A1949" t="str">
        <f>"0170836 "</f>
        <v xml:space="preserve">0170836 </v>
      </c>
      <c r="B1949" t="s">
        <v>4982</v>
      </c>
      <c r="C1949" t="s">
        <v>6012</v>
      </c>
      <c r="D1949" t="s">
        <v>6013</v>
      </c>
      <c r="E1949" t="s">
        <v>16</v>
      </c>
      <c r="F1949" t="s">
        <v>3425</v>
      </c>
      <c r="G1949" t="s">
        <v>4983</v>
      </c>
      <c r="H1949">
        <v>17635</v>
      </c>
      <c r="I1949" t="s">
        <v>6014</v>
      </c>
    </row>
    <row r="1950" spans="1:9">
      <c r="A1950" t="str">
        <f>"0170858 "</f>
        <v xml:space="preserve">0170858 </v>
      </c>
      <c r="B1950" t="s">
        <v>4982</v>
      </c>
      <c r="C1950" t="s">
        <v>6015</v>
      </c>
      <c r="D1950" t="s">
        <v>6016</v>
      </c>
      <c r="E1950">
        <v>1</v>
      </c>
      <c r="F1950" t="s">
        <v>3459</v>
      </c>
      <c r="G1950" t="s">
        <v>4983</v>
      </c>
      <c r="H1950">
        <v>17665</v>
      </c>
      <c r="I1950" t="s">
        <v>6017</v>
      </c>
    </row>
    <row r="1951" spans="1:9">
      <c r="A1951" t="str">
        <f>"0170876 "</f>
        <v xml:space="preserve">0170876 </v>
      </c>
      <c r="B1951" t="s">
        <v>4982</v>
      </c>
      <c r="C1951" t="s">
        <v>6018</v>
      </c>
      <c r="D1951" t="s">
        <v>6019</v>
      </c>
      <c r="E1951">
        <v>1</v>
      </c>
      <c r="F1951" t="s">
        <v>5215</v>
      </c>
      <c r="G1951" t="s">
        <v>4983</v>
      </c>
      <c r="H1951">
        <v>17695</v>
      </c>
      <c r="I1951" t="s">
        <v>6020</v>
      </c>
    </row>
    <row r="1952" spans="1:9">
      <c r="A1952" t="str">
        <f>"0170884 "</f>
        <v xml:space="preserve">0170884 </v>
      </c>
      <c r="B1952" t="s">
        <v>4982</v>
      </c>
      <c r="C1952" t="s">
        <v>6021</v>
      </c>
      <c r="D1952" t="s">
        <v>6022</v>
      </c>
      <c r="E1952">
        <v>5</v>
      </c>
      <c r="F1952" s="3">
        <v>47270</v>
      </c>
      <c r="G1952" t="s">
        <v>4983</v>
      </c>
      <c r="H1952">
        <v>17706</v>
      </c>
      <c r="I1952" t="s">
        <v>6023</v>
      </c>
    </row>
    <row r="1953" spans="1:9">
      <c r="A1953" t="str">
        <f>"0170893 "</f>
        <v xml:space="preserve">0170893 </v>
      </c>
      <c r="B1953" t="s">
        <v>4982</v>
      </c>
      <c r="C1953" t="s">
        <v>6024</v>
      </c>
      <c r="D1953" t="s">
        <v>6025</v>
      </c>
      <c r="E1953">
        <v>2</v>
      </c>
      <c r="F1953" t="s">
        <v>6026</v>
      </c>
      <c r="G1953" t="s">
        <v>4983</v>
      </c>
      <c r="H1953">
        <v>17723</v>
      </c>
      <c r="I1953" t="s">
        <v>6027</v>
      </c>
    </row>
    <row r="1954" spans="1:9">
      <c r="A1954" t="str">
        <f>"0170898 "</f>
        <v xml:space="preserve">0170898 </v>
      </c>
      <c r="B1954" t="s">
        <v>4982</v>
      </c>
      <c r="C1954" t="s">
        <v>6028</v>
      </c>
      <c r="D1954" t="s">
        <v>6029</v>
      </c>
      <c r="E1954">
        <v>1</v>
      </c>
      <c r="F1954" t="s">
        <v>5492</v>
      </c>
      <c r="G1954" t="s">
        <v>4983</v>
      </c>
      <c r="H1954">
        <v>17729</v>
      </c>
      <c r="I1954" t="s">
        <v>6030</v>
      </c>
    </row>
    <row r="1955" spans="1:9">
      <c r="A1955" t="str">
        <f>"0170899 "</f>
        <v xml:space="preserve">0170899 </v>
      </c>
      <c r="B1955" t="s">
        <v>4982</v>
      </c>
      <c r="C1955" t="s">
        <v>6031</v>
      </c>
      <c r="D1955" t="s">
        <v>6032</v>
      </c>
      <c r="E1955">
        <v>2</v>
      </c>
      <c r="F1955" s="1">
        <v>42820</v>
      </c>
      <c r="G1955" t="s">
        <v>4983</v>
      </c>
      <c r="H1955">
        <v>17730</v>
      </c>
      <c r="I1955" t="s">
        <v>6033</v>
      </c>
    </row>
    <row r="1956" spans="1:9">
      <c r="A1956" t="str">
        <f>"0170923 "</f>
        <v xml:space="preserve">0170923 </v>
      </c>
      <c r="B1956" t="s">
        <v>4982</v>
      </c>
      <c r="C1956" t="s">
        <v>6034</v>
      </c>
      <c r="D1956" t="s">
        <v>6035</v>
      </c>
      <c r="E1956">
        <v>2</v>
      </c>
      <c r="F1956" t="s">
        <v>6036</v>
      </c>
      <c r="G1956" t="s">
        <v>4983</v>
      </c>
      <c r="H1956">
        <v>17766</v>
      </c>
      <c r="I1956" t="s">
        <v>6037</v>
      </c>
    </row>
    <row r="1957" spans="1:9">
      <c r="A1957" t="str">
        <f>"0170937 "</f>
        <v xml:space="preserve">0170937 </v>
      </c>
      <c r="B1957" t="s">
        <v>4982</v>
      </c>
      <c r="C1957" t="s">
        <v>6038</v>
      </c>
      <c r="D1957" t="s">
        <v>6039</v>
      </c>
      <c r="E1957">
        <v>2</v>
      </c>
      <c r="F1957" t="s">
        <v>5190</v>
      </c>
      <c r="G1957" t="s">
        <v>4983</v>
      </c>
      <c r="H1957">
        <v>17781</v>
      </c>
      <c r="I1957" t="s">
        <v>6040</v>
      </c>
    </row>
    <row r="1958" spans="1:9">
      <c r="A1958" t="str">
        <f>"0171071 "</f>
        <v xml:space="preserve">0171071 </v>
      </c>
      <c r="B1958" t="s">
        <v>4982</v>
      </c>
      <c r="C1958" t="s">
        <v>6041</v>
      </c>
      <c r="D1958" t="s">
        <v>6042</v>
      </c>
      <c r="E1958">
        <v>4</v>
      </c>
      <c r="F1958" t="s">
        <v>5274</v>
      </c>
      <c r="G1958" t="s">
        <v>4983</v>
      </c>
      <c r="H1958">
        <v>17979</v>
      </c>
      <c r="I1958" t="s">
        <v>6043</v>
      </c>
    </row>
    <row r="1959" spans="1:9">
      <c r="A1959" t="str">
        <f>"0171114 "</f>
        <v xml:space="preserve">0171114 </v>
      </c>
      <c r="B1959" t="s">
        <v>4982</v>
      </c>
      <c r="C1959" t="s">
        <v>6044</v>
      </c>
      <c r="D1959" t="s">
        <v>6045</v>
      </c>
      <c r="E1959">
        <v>4</v>
      </c>
      <c r="F1959" t="s">
        <v>6046</v>
      </c>
      <c r="G1959" t="s">
        <v>4983</v>
      </c>
      <c r="H1959">
        <v>18075</v>
      </c>
      <c r="I1959" t="s">
        <v>6047</v>
      </c>
    </row>
    <row r="1960" spans="1:9">
      <c r="A1960" t="str">
        <f>"0171115 "</f>
        <v xml:space="preserve">0171115 </v>
      </c>
      <c r="B1960" t="s">
        <v>4982</v>
      </c>
      <c r="C1960" t="s">
        <v>6048</v>
      </c>
      <c r="D1960" t="s">
        <v>6049</v>
      </c>
      <c r="E1960">
        <v>1</v>
      </c>
      <c r="F1960" t="s">
        <v>6036</v>
      </c>
      <c r="G1960" t="s">
        <v>4983</v>
      </c>
      <c r="H1960">
        <v>18076</v>
      </c>
      <c r="I1960" t="s">
        <v>6050</v>
      </c>
    </row>
    <row r="1961" spans="1:9">
      <c r="A1961" t="str">
        <f>"0171116 "</f>
        <v xml:space="preserve">0171116 </v>
      </c>
      <c r="B1961" t="s">
        <v>4982</v>
      </c>
      <c r="C1961" t="s">
        <v>6051</v>
      </c>
      <c r="D1961" t="s">
        <v>6052</v>
      </c>
      <c r="E1961">
        <v>1</v>
      </c>
      <c r="F1961" t="s">
        <v>6036</v>
      </c>
      <c r="G1961" t="s">
        <v>4983</v>
      </c>
      <c r="H1961">
        <v>18077</v>
      </c>
      <c r="I1961" t="s">
        <v>6053</v>
      </c>
    </row>
    <row r="1962" spans="1:9">
      <c r="A1962" t="str">
        <f>"0171128 "</f>
        <v xml:space="preserve">0171128 </v>
      </c>
      <c r="B1962" t="s">
        <v>4982</v>
      </c>
      <c r="C1962" t="s">
        <v>6054</v>
      </c>
      <c r="D1962" t="s">
        <v>6055</v>
      </c>
      <c r="E1962">
        <v>2</v>
      </c>
      <c r="F1962" t="s">
        <v>6056</v>
      </c>
      <c r="G1962" t="s">
        <v>4983</v>
      </c>
      <c r="H1962">
        <v>18107</v>
      </c>
      <c r="I1962" t="s">
        <v>6057</v>
      </c>
    </row>
    <row r="1963" spans="1:9">
      <c r="A1963" t="str">
        <f>"0171173 "</f>
        <v xml:space="preserve">0171173 </v>
      </c>
      <c r="B1963" t="s">
        <v>4982</v>
      </c>
      <c r="C1963" t="s">
        <v>6058</v>
      </c>
      <c r="D1963" t="s">
        <v>6059</v>
      </c>
      <c r="E1963">
        <v>2</v>
      </c>
      <c r="F1963" t="s">
        <v>6060</v>
      </c>
      <c r="G1963" t="s">
        <v>4983</v>
      </c>
      <c r="H1963">
        <v>18179</v>
      </c>
      <c r="I1963" t="s">
        <v>6061</v>
      </c>
    </row>
    <row r="1964" spans="1:9">
      <c r="A1964" t="str">
        <f>"0171180 "</f>
        <v xml:space="preserve">0171180 </v>
      </c>
      <c r="B1964" t="s">
        <v>4982</v>
      </c>
      <c r="C1964" t="s">
        <v>6062</v>
      </c>
      <c r="D1964" t="s">
        <v>6063</v>
      </c>
      <c r="E1964">
        <v>1</v>
      </c>
      <c r="F1964" t="s">
        <v>6064</v>
      </c>
      <c r="G1964" t="s">
        <v>4983</v>
      </c>
      <c r="H1964">
        <v>18191</v>
      </c>
      <c r="I1964" t="s">
        <v>6065</v>
      </c>
    </row>
    <row r="1965" spans="1:9">
      <c r="A1965" t="str">
        <f>"0171199 "</f>
        <v xml:space="preserve">0171199 </v>
      </c>
      <c r="B1965" t="s">
        <v>4982</v>
      </c>
      <c r="C1965" t="s">
        <v>6066</v>
      </c>
      <c r="D1965" t="s">
        <v>6067</v>
      </c>
      <c r="E1965">
        <v>4</v>
      </c>
      <c r="F1965" t="s">
        <v>6068</v>
      </c>
      <c r="G1965" t="s">
        <v>4983</v>
      </c>
      <c r="H1965">
        <v>18264</v>
      </c>
      <c r="I1965" t="s">
        <v>6069</v>
      </c>
    </row>
    <row r="1966" spans="1:9">
      <c r="A1966" t="str">
        <f>"0171230 "</f>
        <v xml:space="preserve">0171230 </v>
      </c>
      <c r="B1966" t="s">
        <v>4982</v>
      </c>
      <c r="C1966" t="s">
        <v>6070</v>
      </c>
      <c r="D1966" t="s">
        <v>6071</v>
      </c>
      <c r="E1966">
        <v>4</v>
      </c>
      <c r="F1966" t="s">
        <v>6072</v>
      </c>
      <c r="G1966" t="s">
        <v>4983</v>
      </c>
      <c r="H1966">
        <v>18299</v>
      </c>
      <c r="I1966" t="s">
        <v>6073</v>
      </c>
    </row>
    <row r="1967" spans="1:9">
      <c r="A1967" t="str">
        <f>"0171231 "</f>
        <v xml:space="preserve">0171231 </v>
      </c>
      <c r="B1967" t="s">
        <v>4982</v>
      </c>
      <c r="C1967" t="s">
        <v>6074</v>
      </c>
      <c r="D1967" t="s">
        <v>6075</v>
      </c>
      <c r="E1967">
        <v>1</v>
      </c>
      <c r="F1967" t="s">
        <v>6076</v>
      </c>
      <c r="G1967" t="s">
        <v>4983</v>
      </c>
      <c r="H1967">
        <v>18300</v>
      </c>
      <c r="I1967" t="s">
        <v>6077</v>
      </c>
    </row>
    <row r="1968" spans="1:9">
      <c r="A1968" t="str">
        <f>"0171272 "</f>
        <v xml:space="preserve">0171272 </v>
      </c>
      <c r="B1968" t="s">
        <v>4982</v>
      </c>
      <c r="C1968" t="s">
        <v>6078</v>
      </c>
      <c r="D1968" t="s">
        <v>6079</v>
      </c>
      <c r="E1968">
        <v>2</v>
      </c>
      <c r="F1968" t="s">
        <v>5024</v>
      </c>
      <c r="G1968" t="s">
        <v>4983</v>
      </c>
      <c r="H1968">
        <v>18365</v>
      </c>
      <c r="I1968" t="s">
        <v>6080</v>
      </c>
    </row>
    <row r="1969" spans="1:9">
      <c r="A1969" t="str">
        <f>"0171295 "</f>
        <v xml:space="preserve">0171295 </v>
      </c>
      <c r="B1969" t="s">
        <v>4982</v>
      </c>
      <c r="C1969" t="s">
        <v>6081</v>
      </c>
      <c r="D1969" t="s">
        <v>6082</v>
      </c>
      <c r="E1969">
        <v>2</v>
      </c>
      <c r="F1969" t="s">
        <v>5751</v>
      </c>
      <c r="G1969" t="s">
        <v>4983</v>
      </c>
      <c r="H1969">
        <v>18400</v>
      </c>
      <c r="I1969" t="s">
        <v>6083</v>
      </c>
    </row>
    <row r="1970" spans="1:9">
      <c r="A1970" t="str">
        <f>"0171297 "</f>
        <v xml:space="preserve">0171297 </v>
      </c>
      <c r="B1970" t="s">
        <v>4982</v>
      </c>
      <c r="C1970" t="s">
        <v>6084</v>
      </c>
      <c r="D1970" t="s">
        <v>6085</v>
      </c>
      <c r="E1970">
        <v>5</v>
      </c>
      <c r="F1970" t="s">
        <v>3685</v>
      </c>
      <c r="G1970" t="s">
        <v>4983</v>
      </c>
      <c r="H1970">
        <v>18404</v>
      </c>
      <c r="I1970" t="s">
        <v>6086</v>
      </c>
    </row>
    <row r="1971" spans="1:9">
      <c r="A1971" t="str">
        <f>"0171316 "</f>
        <v xml:space="preserve">0171316 </v>
      </c>
      <c r="B1971" t="s">
        <v>4982</v>
      </c>
      <c r="C1971" t="s">
        <v>6087</v>
      </c>
      <c r="D1971" t="s">
        <v>6088</v>
      </c>
      <c r="E1971">
        <v>2</v>
      </c>
      <c r="F1971" t="s">
        <v>6089</v>
      </c>
      <c r="G1971" t="s">
        <v>4983</v>
      </c>
      <c r="H1971">
        <v>18492</v>
      </c>
      <c r="I1971" t="s">
        <v>6090</v>
      </c>
    </row>
    <row r="1972" spans="1:9">
      <c r="A1972" t="str">
        <f>"0171319 "</f>
        <v xml:space="preserve">0171319 </v>
      </c>
      <c r="B1972" t="s">
        <v>4982</v>
      </c>
      <c r="C1972" t="s">
        <v>6091</v>
      </c>
      <c r="D1972" t="s">
        <v>6092</v>
      </c>
      <c r="E1972">
        <v>2</v>
      </c>
      <c r="F1972" t="s">
        <v>6093</v>
      </c>
      <c r="G1972" t="s">
        <v>4983</v>
      </c>
      <c r="H1972">
        <v>18497</v>
      </c>
      <c r="I1972" t="s">
        <v>6094</v>
      </c>
    </row>
    <row r="1973" spans="1:9">
      <c r="A1973" t="str">
        <f>"0171369 "</f>
        <v xml:space="preserve">0171369 </v>
      </c>
      <c r="B1973" t="s">
        <v>4982</v>
      </c>
      <c r="C1973" t="s">
        <v>6095</v>
      </c>
      <c r="D1973" t="s">
        <v>6096</v>
      </c>
      <c r="E1973">
        <v>4</v>
      </c>
      <c r="F1973" t="s">
        <v>2884</v>
      </c>
      <c r="G1973" t="s">
        <v>4983</v>
      </c>
      <c r="H1973">
        <v>18572</v>
      </c>
      <c r="I1973" t="s">
        <v>6097</v>
      </c>
    </row>
    <row r="1974" spans="1:9">
      <c r="A1974" t="str">
        <f>"0171376 "</f>
        <v xml:space="preserve">0171376 </v>
      </c>
      <c r="B1974" t="s">
        <v>4982</v>
      </c>
      <c r="C1974" t="s">
        <v>6098</v>
      </c>
      <c r="D1974" t="s">
        <v>6099</v>
      </c>
      <c r="E1974">
        <v>4</v>
      </c>
      <c r="F1974" t="s">
        <v>5951</v>
      </c>
      <c r="G1974" t="s">
        <v>4983</v>
      </c>
      <c r="H1974">
        <v>18604</v>
      </c>
      <c r="I1974" t="s">
        <v>6100</v>
      </c>
    </row>
    <row r="1975" spans="1:9">
      <c r="A1975" t="str">
        <f>"0171444 "</f>
        <v xml:space="preserve">0171444 </v>
      </c>
      <c r="B1975" t="s">
        <v>4982</v>
      </c>
      <c r="C1975" t="s">
        <v>6101</v>
      </c>
      <c r="D1975" t="s">
        <v>6102</v>
      </c>
      <c r="E1975">
        <v>3</v>
      </c>
      <c r="F1975" t="s">
        <v>6103</v>
      </c>
      <c r="G1975" t="s">
        <v>4983</v>
      </c>
      <c r="H1975">
        <v>18740</v>
      </c>
      <c r="I1975" t="s">
        <v>6104</v>
      </c>
    </row>
    <row r="1976" spans="1:9">
      <c r="A1976" t="str">
        <f>"0171468 "</f>
        <v xml:space="preserve">0171468 </v>
      </c>
      <c r="B1976" t="s">
        <v>4982</v>
      </c>
      <c r="C1976" t="s">
        <v>6105</v>
      </c>
      <c r="D1976" t="s">
        <v>6106</v>
      </c>
      <c r="E1976">
        <v>4</v>
      </c>
      <c r="F1976" t="s">
        <v>6107</v>
      </c>
      <c r="G1976" t="s">
        <v>4983</v>
      </c>
      <c r="H1976">
        <v>18776</v>
      </c>
      <c r="I1976" t="s">
        <v>6108</v>
      </c>
    </row>
    <row r="1977" spans="1:9">
      <c r="A1977" t="str">
        <f>"0171470 "</f>
        <v xml:space="preserve">0171470 </v>
      </c>
      <c r="B1977" t="s">
        <v>4982</v>
      </c>
      <c r="C1977" t="s">
        <v>6109</v>
      </c>
      <c r="D1977" t="s">
        <v>6110</v>
      </c>
      <c r="E1977">
        <v>2</v>
      </c>
      <c r="F1977" t="s">
        <v>6111</v>
      </c>
      <c r="G1977" t="s">
        <v>4983</v>
      </c>
      <c r="H1977">
        <v>18778</v>
      </c>
      <c r="I1977" t="s">
        <v>6112</v>
      </c>
    </row>
    <row r="1978" spans="1:9">
      <c r="A1978" t="str">
        <f>"0171508 "</f>
        <v xml:space="preserve">0171508 </v>
      </c>
      <c r="B1978" t="s">
        <v>4982</v>
      </c>
      <c r="C1978" t="s">
        <v>6113</v>
      </c>
      <c r="D1978" t="s">
        <v>6114</v>
      </c>
      <c r="E1978">
        <v>4</v>
      </c>
      <c r="F1978" t="s">
        <v>6115</v>
      </c>
      <c r="G1978" t="s">
        <v>4983</v>
      </c>
      <c r="H1978">
        <v>18866</v>
      </c>
      <c r="I1978" t="s">
        <v>6116</v>
      </c>
    </row>
    <row r="1979" spans="1:9">
      <c r="A1979" t="str">
        <f>"0171511 "</f>
        <v xml:space="preserve">0171511 </v>
      </c>
      <c r="B1979" t="s">
        <v>4982</v>
      </c>
      <c r="C1979" t="s">
        <v>6117</v>
      </c>
      <c r="D1979" t="s">
        <v>6118</v>
      </c>
      <c r="E1979">
        <v>4</v>
      </c>
      <c r="F1979" t="s">
        <v>6119</v>
      </c>
      <c r="G1979" t="s">
        <v>4983</v>
      </c>
      <c r="H1979">
        <v>18874</v>
      </c>
      <c r="I1979" t="s">
        <v>6120</v>
      </c>
    </row>
    <row r="1980" spans="1:9">
      <c r="A1980" t="str">
        <f>"0171512 "</f>
        <v xml:space="preserve">0171512 </v>
      </c>
      <c r="B1980" t="s">
        <v>4982</v>
      </c>
      <c r="C1980" t="s">
        <v>6121</v>
      </c>
      <c r="D1980" t="s">
        <v>6122</v>
      </c>
      <c r="E1980">
        <v>2</v>
      </c>
      <c r="F1980" t="s">
        <v>6123</v>
      </c>
      <c r="G1980" t="s">
        <v>4983</v>
      </c>
      <c r="H1980">
        <v>18875</v>
      </c>
      <c r="I1980" t="s">
        <v>6124</v>
      </c>
    </row>
    <row r="1981" spans="1:9">
      <c r="A1981" t="str">
        <f>"0171530 "</f>
        <v xml:space="preserve">0171530 </v>
      </c>
      <c r="B1981" t="s">
        <v>4982</v>
      </c>
      <c r="C1981" t="s">
        <v>6125</v>
      </c>
      <c r="D1981" t="s">
        <v>6126</v>
      </c>
      <c r="E1981">
        <v>2</v>
      </c>
      <c r="F1981" t="s">
        <v>6127</v>
      </c>
      <c r="G1981" t="s">
        <v>4983</v>
      </c>
      <c r="H1981">
        <v>18901</v>
      </c>
      <c r="I1981" t="s">
        <v>6128</v>
      </c>
    </row>
    <row r="1982" spans="1:9">
      <c r="A1982" t="str">
        <f>"0171539 "</f>
        <v xml:space="preserve">0171539 </v>
      </c>
      <c r="B1982" t="s">
        <v>4982</v>
      </c>
      <c r="C1982" t="s">
        <v>6129</v>
      </c>
      <c r="D1982" t="s">
        <v>6130</v>
      </c>
      <c r="E1982">
        <v>4</v>
      </c>
      <c r="F1982" s="1">
        <v>42781</v>
      </c>
      <c r="G1982" t="s">
        <v>4983</v>
      </c>
      <c r="H1982">
        <v>18917</v>
      </c>
      <c r="I1982" t="s">
        <v>6131</v>
      </c>
    </row>
    <row r="1983" spans="1:9">
      <c r="A1983" t="str">
        <f>"0171564 "</f>
        <v xml:space="preserve">0171564 </v>
      </c>
      <c r="B1983" t="s">
        <v>4982</v>
      </c>
      <c r="C1983" t="s">
        <v>6132</v>
      </c>
      <c r="D1983" t="s">
        <v>6133</v>
      </c>
      <c r="E1983" t="s">
        <v>16</v>
      </c>
      <c r="F1983" t="s">
        <v>3971</v>
      </c>
      <c r="G1983" t="s">
        <v>4983</v>
      </c>
      <c r="H1983">
        <v>18984</v>
      </c>
      <c r="I1983" t="s">
        <v>6134</v>
      </c>
    </row>
    <row r="1984" spans="1:9">
      <c r="A1984" t="str">
        <f>"0171621 "</f>
        <v xml:space="preserve">0171621 </v>
      </c>
      <c r="B1984" t="s">
        <v>4982</v>
      </c>
      <c r="C1984" t="s">
        <v>6135</v>
      </c>
      <c r="D1984" t="s">
        <v>6136</v>
      </c>
      <c r="E1984" t="s">
        <v>16</v>
      </c>
      <c r="F1984" t="s">
        <v>6137</v>
      </c>
      <c r="G1984" t="s">
        <v>4983</v>
      </c>
      <c r="H1984">
        <v>19099</v>
      </c>
      <c r="I1984" t="s">
        <v>6138</v>
      </c>
    </row>
    <row r="1985" spans="1:9">
      <c r="A1985" t="str">
        <f>"0171649 "</f>
        <v xml:space="preserve">0171649 </v>
      </c>
      <c r="B1985" t="s">
        <v>4982</v>
      </c>
      <c r="C1985" t="s">
        <v>6139</v>
      </c>
      <c r="D1985" t="s">
        <v>6140</v>
      </c>
      <c r="E1985">
        <v>2</v>
      </c>
      <c r="F1985" t="s">
        <v>5751</v>
      </c>
      <c r="G1985" t="s">
        <v>4983</v>
      </c>
      <c r="H1985">
        <v>19186</v>
      </c>
      <c r="I1985" t="s">
        <v>6141</v>
      </c>
    </row>
    <row r="1986" spans="1:9">
      <c r="A1986" t="str">
        <f>"0171658 "</f>
        <v xml:space="preserve">0171658 </v>
      </c>
      <c r="B1986" t="s">
        <v>4982</v>
      </c>
      <c r="C1986" t="s">
        <v>6142</v>
      </c>
      <c r="D1986" t="s">
        <v>6143</v>
      </c>
      <c r="E1986">
        <v>4</v>
      </c>
      <c r="F1986" t="s">
        <v>2010</v>
      </c>
      <c r="G1986" t="s">
        <v>4983</v>
      </c>
      <c r="H1986">
        <v>19223</v>
      </c>
      <c r="I1986" t="s">
        <v>6144</v>
      </c>
    </row>
    <row r="1987" spans="1:9">
      <c r="A1987" t="str">
        <f>"0171659 "</f>
        <v xml:space="preserve">0171659 </v>
      </c>
      <c r="B1987" t="s">
        <v>4982</v>
      </c>
      <c r="C1987" t="s">
        <v>6145</v>
      </c>
      <c r="D1987" t="s">
        <v>6146</v>
      </c>
      <c r="E1987">
        <v>4</v>
      </c>
      <c r="F1987" t="s">
        <v>6147</v>
      </c>
      <c r="G1987" t="s">
        <v>4983</v>
      </c>
      <c r="H1987">
        <v>19225</v>
      </c>
      <c r="I1987" t="s">
        <v>6148</v>
      </c>
    </row>
    <row r="1988" spans="1:9">
      <c r="A1988" t="str">
        <f>"0171672 "</f>
        <v xml:space="preserve">0171672 </v>
      </c>
      <c r="B1988" t="s">
        <v>4982</v>
      </c>
      <c r="C1988" t="s">
        <v>6149</v>
      </c>
      <c r="D1988" t="s">
        <v>6150</v>
      </c>
      <c r="E1988">
        <v>4</v>
      </c>
      <c r="F1988" t="s">
        <v>5129</v>
      </c>
      <c r="G1988" t="s">
        <v>4983</v>
      </c>
      <c r="H1988">
        <v>19249</v>
      </c>
      <c r="I1988" t="s">
        <v>6151</v>
      </c>
    </row>
    <row r="1989" spans="1:9">
      <c r="A1989" t="str">
        <f>"0171677 "</f>
        <v xml:space="preserve">0171677 </v>
      </c>
      <c r="B1989" t="s">
        <v>4982</v>
      </c>
      <c r="C1989" t="s">
        <v>6152</v>
      </c>
      <c r="D1989" t="s">
        <v>6153</v>
      </c>
      <c r="E1989">
        <v>2</v>
      </c>
      <c r="F1989" t="s">
        <v>6154</v>
      </c>
      <c r="G1989" t="s">
        <v>4983</v>
      </c>
      <c r="H1989">
        <v>19267</v>
      </c>
      <c r="I1989" t="s">
        <v>6155</v>
      </c>
    </row>
    <row r="1990" spans="1:9">
      <c r="A1990" t="str">
        <f>"0171695 "</f>
        <v xml:space="preserve">0171695 </v>
      </c>
      <c r="B1990" t="s">
        <v>4982</v>
      </c>
      <c r="C1990" t="s">
        <v>6156</v>
      </c>
      <c r="D1990" t="s">
        <v>6157</v>
      </c>
      <c r="E1990">
        <v>3</v>
      </c>
      <c r="F1990" t="s">
        <v>5039</v>
      </c>
      <c r="G1990" t="s">
        <v>4983</v>
      </c>
      <c r="H1990">
        <v>19286</v>
      </c>
      <c r="I1990" t="s">
        <v>6158</v>
      </c>
    </row>
    <row r="1991" spans="1:9">
      <c r="A1991" t="str">
        <f>"0171701 "</f>
        <v xml:space="preserve">0171701 </v>
      </c>
      <c r="B1991" t="s">
        <v>4982</v>
      </c>
      <c r="C1991" t="s">
        <v>6159</v>
      </c>
      <c r="D1991" t="s">
        <v>6160</v>
      </c>
      <c r="E1991">
        <v>1</v>
      </c>
      <c r="F1991" t="s">
        <v>5180</v>
      </c>
      <c r="G1991" t="s">
        <v>4983</v>
      </c>
      <c r="H1991">
        <v>19294</v>
      </c>
      <c r="I1991" t="s">
        <v>6161</v>
      </c>
    </row>
    <row r="1992" spans="1:9">
      <c r="A1992" t="str">
        <f>"0171715 "</f>
        <v xml:space="preserve">0171715 </v>
      </c>
      <c r="B1992" t="s">
        <v>4982</v>
      </c>
      <c r="C1992" t="s">
        <v>6162</v>
      </c>
      <c r="D1992" t="s">
        <v>6163</v>
      </c>
      <c r="E1992">
        <v>2</v>
      </c>
      <c r="F1992" t="s">
        <v>5739</v>
      </c>
      <c r="G1992" t="s">
        <v>4983</v>
      </c>
      <c r="H1992">
        <v>19332</v>
      </c>
      <c r="I1992" t="s">
        <v>6164</v>
      </c>
    </row>
    <row r="1993" spans="1:9">
      <c r="A1993" t="str">
        <f>"0171716 "</f>
        <v xml:space="preserve">0171716 </v>
      </c>
      <c r="B1993" t="s">
        <v>4982</v>
      </c>
      <c r="C1993" t="s">
        <v>6165</v>
      </c>
      <c r="D1993" t="s">
        <v>6166</v>
      </c>
      <c r="E1993">
        <v>5</v>
      </c>
      <c r="F1993" t="s">
        <v>6167</v>
      </c>
      <c r="G1993" t="s">
        <v>4983</v>
      </c>
      <c r="H1993">
        <v>19333</v>
      </c>
      <c r="I1993" t="s">
        <v>6168</v>
      </c>
    </row>
    <row r="1994" spans="1:9">
      <c r="A1994" t="str">
        <f>"0171721 "</f>
        <v xml:space="preserve">0171721 </v>
      </c>
      <c r="B1994" t="s">
        <v>4982</v>
      </c>
      <c r="C1994" t="s">
        <v>6169</v>
      </c>
      <c r="D1994" t="s">
        <v>6170</v>
      </c>
      <c r="E1994">
        <v>5</v>
      </c>
      <c r="F1994" t="s">
        <v>5048</v>
      </c>
      <c r="G1994" t="s">
        <v>4983</v>
      </c>
      <c r="H1994">
        <v>19341</v>
      </c>
      <c r="I1994" t="s">
        <v>6171</v>
      </c>
    </row>
    <row r="1995" spans="1:9">
      <c r="A1995" t="str">
        <f>"0171743 "</f>
        <v xml:space="preserve">0171743 </v>
      </c>
      <c r="B1995" t="s">
        <v>4982</v>
      </c>
      <c r="C1995" t="s">
        <v>6172</v>
      </c>
      <c r="D1995" t="s">
        <v>6173</v>
      </c>
      <c r="E1995">
        <v>2</v>
      </c>
      <c r="F1995" t="s">
        <v>6174</v>
      </c>
      <c r="G1995" t="s">
        <v>4983</v>
      </c>
      <c r="H1995">
        <v>19381</v>
      </c>
      <c r="I1995" t="s">
        <v>6175</v>
      </c>
    </row>
    <row r="1996" spans="1:9">
      <c r="A1996" t="str">
        <f>"0171756 "</f>
        <v xml:space="preserve">0171756 </v>
      </c>
      <c r="B1996" t="s">
        <v>4982</v>
      </c>
      <c r="C1996" t="s">
        <v>6176</v>
      </c>
      <c r="D1996" t="s">
        <v>6177</v>
      </c>
      <c r="E1996">
        <v>4</v>
      </c>
      <c r="F1996" t="s">
        <v>4063</v>
      </c>
      <c r="G1996" t="s">
        <v>4983</v>
      </c>
      <c r="H1996">
        <v>19397</v>
      </c>
      <c r="I1996" t="s">
        <v>6178</v>
      </c>
    </row>
    <row r="1997" spans="1:9">
      <c r="A1997" t="str">
        <f>"0171779 "</f>
        <v xml:space="preserve">0171779 </v>
      </c>
      <c r="B1997" t="s">
        <v>4982</v>
      </c>
      <c r="C1997" t="s">
        <v>6179</v>
      </c>
      <c r="D1997" t="s">
        <v>6180</v>
      </c>
      <c r="E1997" t="s">
        <v>16</v>
      </c>
      <c r="F1997" s="3">
        <v>34455</v>
      </c>
      <c r="G1997" t="s">
        <v>4983</v>
      </c>
      <c r="H1997">
        <v>19422</v>
      </c>
      <c r="I1997" t="s">
        <v>6181</v>
      </c>
    </row>
    <row r="1998" spans="1:9">
      <c r="A1998" t="str">
        <f>"0171792 "</f>
        <v xml:space="preserve">0171792 </v>
      </c>
      <c r="B1998" t="s">
        <v>4982</v>
      </c>
      <c r="C1998" t="s">
        <v>6182</v>
      </c>
      <c r="D1998" t="s">
        <v>6183</v>
      </c>
      <c r="E1998">
        <v>4</v>
      </c>
      <c r="F1998" t="s">
        <v>2017</v>
      </c>
      <c r="G1998" t="s">
        <v>4983</v>
      </c>
      <c r="H1998">
        <v>19447</v>
      </c>
      <c r="I1998" t="s">
        <v>6184</v>
      </c>
    </row>
    <row r="1999" spans="1:9">
      <c r="A1999" t="str">
        <f>"0171795 "</f>
        <v xml:space="preserve">0171795 </v>
      </c>
      <c r="B1999" t="s">
        <v>4982</v>
      </c>
      <c r="C1999" t="s">
        <v>6185</v>
      </c>
      <c r="D1999" t="s">
        <v>6186</v>
      </c>
      <c r="E1999">
        <v>2</v>
      </c>
      <c r="F1999" t="s">
        <v>6187</v>
      </c>
      <c r="G1999" t="s">
        <v>4983</v>
      </c>
      <c r="H1999">
        <v>19452</v>
      </c>
      <c r="I1999" t="s">
        <v>6188</v>
      </c>
    </row>
    <row r="2000" spans="1:9">
      <c r="A2000" t="str">
        <f>"0171796 "</f>
        <v xml:space="preserve">0171796 </v>
      </c>
      <c r="B2000" t="s">
        <v>4982</v>
      </c>
      <c r="C2000" t="s">
        <v>6189</v>
      </c>
      <c r="D2000" t="s">
        <v>6190</v>
      </c>
      <c r="E2000">
        <v>2</v>
      </c>
      <c r="F2000" t="s">
        <v>6191</v>
      </c>
      <c r="G2000" t="s">
        <v>4983</v>
      </c>
      <c r="H2000">
        <v>19453</v>
      </c>
      <c r="I2000" t="s">
        <v>6192</v>
      </c>
    </row>
    <row r="2001" spans="1:9">
      <c r="A2001" t="str">
        <f>"0171850 "</f>
        <v xml:space="preserve">0171850 </v>
      </c>
      <c r="B2001" t="s">
        <v>4982</v>
      </c>
      <c r="C2001" t="s">
        <v>6193</v>
      </c>
      <c r="D2001" t="s">
        <v>6194</v>
      </c>
      <c r="E2001" t="s">
        <v>16</v>
      </c>
      <c r="F2001" t="s">
        <v>6195</v>
      </c>
      <c r="G2001" t="s">
        <v>4983</v>
      </c>
      <c r="H2001">
        <v>19518</v>
      </c>
      <c r="I2001" t="s">
        <v>6196</v>
      </c>
    </row>
    <row r="2002" spans="1:9">
      <c r="A2002" t="str">
        <f>"0171856 "</f>
        <v xml:space="preserve">0171856 </v>
      </c>
      <c r="B2002" t="s">
        <v>4982</v>
      </c>
      <c r="C2002" t="s">
        <v>6197</v>
      </c>
      <c r="D2002" t="s">
        <v>6198</v>
      </c>
      <c r="E2002">
        <v>2</v>
      </c>
      <c r="F2002" s="3">
        <v>34455</v>
      </c>
      <c r="G2002" t="s">
        <v>4983</v>
      </c>
      <c r="H2002">
        <v>19524</v>
      </c>
      <c r="I2002" t="s">
        <v>6199</v>
      </c>
    </row>
    <row r="2003" spans="1:9">
      <c r="A2003" t="str">
        <f>"0171881 "</f>
        <v xml:space="preserve">0171881 </v>
      </c>
      <c r="B2003" t="s">
        <v>4982</v>
      </c>
      <c r="C2003" t="s">
        <v>6200</v>
      </c>
      <c r="D2003" t="s">
        <v>6201</v>
      </c>
      <c r="E2003">
        <v>3</v>
      </c>
      <c r="F2003" t="s">
        <v>6202</v>
      </c>
      <c r="G2003" t="s">
        <v>4983</v>
      </c>
      <c r="H2003">
        <v>19562</v>
      </c>
      <c r="I2003" t="s">
        <v>5704</v>
      </c>
    </row>
    <row r="2004" spans="1:9">
      <c r="A2004" t="str">
        <f>"0171902 "</f>
        <v xml:space="preserve">0171902 </v>
      </c>
      <c r="B2004" t="s">
        <v>4982</v>
      </c>
      <c r="C2004" t="s">
        <v>6203</v>
      </c>
      <c r="D2004" t="s">
        <v>6204</v>
      </c>
      <c r="E2004">
        <v>5</v>
      </c>
      <c r="F2004" t="s">
        <v>6205</v>
      </c>
      <c r="G2004" t="s">
        <v>4983</v>
      </c>
      <c r="H2004">
        <v>19604</v>
      </c>
      <c r="I2004" t="s">
        <v>6206</v>
      </c>
    </row>
    <row r="2005" spans="1:9">
      <c r="A2005" t="str">
        <f>"0171903 "</f>
        <v xml:space="preserve">0171903 </v>
      </c>
      <c r="B2005" t="s">
        <v>4982</v>
      </c>
      <c r="C2005" t="s">
        <v>6207</v>
      </c>
      <c r="D2005" t="s">
        <v>6208</v>
      </c>
      <c r="E2005" t="s">
        <v>16</v>
      </c>
      <c r="F2005" t="s">
        <v>6205</v>
      </c>
      <c r="G2005" t="s">
        <v>4983</v>
      </c>
      <c r="H2005">
        <v>19605</v>
      </c>
      <c r="I2005" t="s">
        <v>6209</v>
      </c>
    </row>
    <row r="2006" spans="1:9">
      <c r="A2006" t="str">
        <f>"0171911 "</f>
        <v xml:space="preserve">0171911 </v>
      </c>
      <c r="B2006" t="s">
        <v>4982</v>
      </c>
      <c r="C2006" t="s">
        <v>6210</v>
      </c>
      <c r="D2006" t="s">
        <v>6211</v>
      </c>
      <c r="E2006">
        <v>2</v>
      </c>
      <c r="F2006" t="s">
        <v>5934</v>
      </c>
      <c r="G2006" t="s">
        <v>4983</v>
      </c>
      <c r="H2006">
        <v>19618</v>
      </c>
      <c r="I2006" t="s">
        <v>6212</v>
      </c>
    </row>
    <row r="2007" spans="1:9">
      <c r="A2007" t="str">
        <f>"0171953 "</f>
        <v xml:space="preserve">0171953 </v>
      </c>
      <c r="B2007" t="s">
        <v>4982</v>
      </c>
      <c r="C2007" t="s">
        <v>6213</v>
      </c>
      <c r="D2007" t="s">
        <v>6214</v>
      </c>
      <c r="E2007">
        <v>2</v>
      </c>
      <c r="F2007" t="s">
        <v>3189</v>
      </c>
      <c r="G2007" t="s">
        <v>4983</v>
      </c>
      <c r="H2007">
        <v>19667</v>
      </c>
      <c r="I2007" t="s">
        <v>6215</v>
      </c>
    </row>
    <row r="2008" spans="1:9">
      <c r="A2008" t="str">
        <f>"0171954 "</f>
        <v xml:space="preserve">0171954 </v>
      </c>
      <c r="B2008" t="s">
        <v>4982</v>
      </c>
      <c r="C2008" t="s">
        <v>6216</v>
      </c>
      <c r="D2008" t="s">
        <v>6217</v>
      </c>
      <c r="E2008">
        <v>3</v>
      </c>
      <c r="F2008" t="s">
        <v>3189</v>
      </c>
      <c r="G2008" t="s">
        <v>4983</v>
      </c>
      <c r="H2008">
        <v>19668</v>
      </c>
      <c r="I2008" t="s">
        <v>6218</v>
      </c>
    </row>
    <row r="2009" spans="1:9">
      <c r="A2009" t="str">
        <f>"0171961 "</f>
        <v xml:space="preserve">0171961 </v>
      </c>
      <c r="B2009" t="s">
        <v>4982</v>
      </c>
      <c r="C2009" t="s">
        <v>6219</v>
      </c>
      <c r="D2009" t="s">
        <v>6220</v>
      </c>
      <c r="E2009">
        <v>2</v>
      </c>
      <c r="F2009" t="s">
        <v>3310</v>
      </c>
      <c r="G2009" t="s">
        <v>4983</v>
      </c>
      <c r="H2009">
        <v>19675</v>
      </c>
      <c r="I2009" t="s">
        <v>6221</v>
      </c>
    </row>
    <row r="2010" spans="1:9">
      <c r="A2010" t="str">
        <f>"0171968 "</f>
        <v xml:space="preserve">0171968 </v>
      </c>
      <c r="B2010" t="s">
        <v>4982</v>
      </c>
      <c r="C2010" t="s">
        <v>6222</v>
      </c>
      <c r="D2010" t="s">
        <v>6223</v>
      </c>
      <c r="E2010">
        <v>2</v>
      </c>
      <c r="F2010" t="s">
        <v>5079</v>
      </c>
      <c r="G2010" t="s">
        <v>4983</v>
      </c>
      <c r="H2010">
        <v>19685</v>
      </c>
      <c r="I2010" t="s">
        <v>6224</v>
      </c>
    </row>
    <row r="2011" spans="1:9">
      <c r="A2011" t="str">
        <f>"0171974 "</f>
        <v xml:space="preserve">0171974 </v>
      </c>
      <c r="B2011" t="s">
        <v>4982</v>
      </c>
      <c r="C2011" t="s">
        <v>6225</v>
      </c>
      <c r="D2011" t="s">
        <v>6226</v>
      </c>
      <c r="E2011">
        <v>1</v>
      </c>
      <c r="F2011" t="s">
        <v>5402</v>
      </c>
      <c r="G2011" t="s">
        <v>4983</v>
      </c>
      <c r="H2011">
        <v>19702</v>
      </c>
      <c r="I2011" t="s">
        <v>5986</v>
      </c>
    </row>
    <row r="2012" spans="1:9">
      <c r="A2012" t="str">
        <f>"0171975 "</f>
        <v xml:space="preserve">0171975 </v>
      </c>
      <c r="B2012" t="s">
        <v>4982</v>
      </c>
      <c r="C2012" t="s">
        <v>6227</v>
      </c>
      <c r="D2012" t="s">
        <v>6228</v>
      </c>
      <c r="E2012">
        <v>1</v>
      </c>
      <c r="F2012" t="s">
        <v>5086</v>
      </c>
      <c r="G2012" t="s">
        <v>4983</v>
      </c>
      <c r="H2012">
        <v>19704</v>
      </c>
      <c r="I2012" t="s">
        <v>5989</v>
      </c>
    </row>
    <row r="2013" spans="1:9">
      <c r="A2013" t="str">
        <f>"0172021 "</f>
        <v xml:space="preserve">0172021 </v>
      </c>
      <c r="B2013" t="s">
        <v>4982</v>
      </c>
      <c r="C2013" t="s">
        <v>6229</v>
      </c>
      <c r="D2013" t="s">
        <v>6230</v>
      </c>
      <c r="E2013">
        <v>2</v>
      </c>
      <c r="F2013" t="s">
        <v>6231</v>
      </c>
      <c r="G2013" t="s">
        <v>4983</v>
      </c>
      <c r="H2013">
        <v>19804</v>
      </c>
      <c r="I2013" t="s">
        <v>6232</v>
      </c>
    </row>
    <row r="2014" spans="1:9">
      <c r="A2014" t="str">
        <f>"0172076 "</f>
        <v xml:space="preserve">0172076 </v>
      </c>
      <c r="B2014" t="s">
        <v>4982</v>
      </c>
      <c r="C2014" t="s">
        <v>6233</v>
      </c>
      <c r="D2014" t="s">
        <v>6234</v>
      </c>
      <c r="E2014">
        <v>5</v>
      </c>
      <c r="F2014" t="s">
        <v>6235</v>
      </c>
      <c r="G2014" t="s">
        <v>4983</v>
      </c>
      <c r="H2014">
        <v>19882</v>
      </c>
      <c r="I2014" t="s">
        <v>6236</v>
      </c>
    </row>
    <row r="2015" spans="1:9">
      <c r="A2015" t="str">
        <f>"0172086 "</f>
        <v xml:space="preserve">0172086 </v>
      </c>
      <c r="B2015" t="s">
        <v>4982</v>
      </c>
      <c r="C2015" t="s">
        <v>6237</v>
      </c>
      <c r="D2015" t="s">
        <v>6238</v>
      </c>
      <c r="E2015">
        <v>2</v>
      </c>
      <c r="F2015" t="s">
        <v>6239</v>
      </c>
      <c r="G2015" t="s">
        <v>4983</v>
      </c>
      <c r="H2015">
        <v>19897</v>
      </c>
      <c r="I2015" t="s">
        <v>6240</v>
      </c>
    </row>
    <row r="2016" spans="1:9">
      <c r="A2016" t="str">
        <f>"0172111 "</f>
        <v xml:space="preserve">0172111 </v>
      </c>
      <c r="B2016" t="s">
        <v>4982</v>
      </c>
      <c r="C2016" t="s">
        <v>6241</v>
      </c>
      <c r="D2016" t="s">
        <v>6242</v>
      </c>
      <c r="E2016">
        <v>4</v>
      </c>
      <c r="F2016" t="s">
        <v>3437</v>
      </c>
      <c r="G2016" t="s">
        <v>4983</v>
      </c>
      <c r="H2016">
        <v>19926</v>
      </c>
      <c r="I2016" t="s">
        <v>6243</v>
      </c>
    </row>
    <row r="2017" spans="1:9">
      <c r="A2017" t="str">
        <f>"0172117 "</f>
        <v xml:space="preserve">0172117 </v>
      </c>
      <c r="B2017" t="s">
        <v>4982</v>
      </c>
      <c r="C2017" t="s">
        <v>6244</v>
      </c>
      <c r="D2017" t="s">
        <v>6245</v>
      </c>
      <c r="E2017">
        <v>2</v>
      </c>
      <c r="F2017" t="s">
        <v>5646</v>
      </c>
      <c r="G2017" t="s">
        <v>4983</v>
      </c>
      <c r="H2017">
        <v>19932</v>
      </c>
      <c r="I2017" t="s">
        <v>6246</v>
      </c>
    </row>
    <row r="2018" spans="1:9">
      <c r="A2018" t="str">
        <f>"0172128 "</f>
        <v xml:space="preserve">0172128 </v>
      </c>
      <c r="B2018" t="s">
        <v>4982</v>
      </c>
      <c r="C2018" t="s">
        <v>6247</v>
      </c>
      <c r="D2018" t="s">
        <v>6248</v>
      </c>
      <c r="E2018">
        <v>4</v>
      </c>
      <c r="F2018" t="s">
        <v>6249</v>
      </c>
      <c r="G2018" t="s">
        <v>4983</v>
      </c>
      <c r="H2018">
        <v>19945</v>
      </c>
      <c r="I2018" t="s">
        <v>6250</v>
      </c>
    </row>
    <row r="2019" spans="1:9">
      <c r="A2019" t="str">
        <f>"0172135 "</f>
        <v xml:space="preserve">0172135 </v>
      </c>
      <c r="B2019" t="s">
        <v>4982</v>
      </c>
      <c r="C2019" t="s">
        <v>6251</v>
      </c>
      <c r="D2019" t="s">
        <v>6252</v>
      </c>
      <c r="E2019">
        <v>2</v>
      </c>
      <c r="F2019" s="1">
        <v>42781</v>
      </c>
      <c r="G2019" t="s">
        <v>4983</v>
      </c>
      <c r="H2019">
        <v>19953</v>
      </c>
      <c r="I2019" t="s">
        <v>6253</v>
      </c>
    </row>
    <row r="2020" spans="1:9">
      <c r="A2020" t="str">
        <f>"0172192 "</f>
        <v xml:space="preserve">0172192 </v>
      </c>
      <c r="B2020" t="s">
        <v>4982</v>
      </c>
      <c r="C2020" t="s">
        <v>6254</v>
      </c>
      <c r="D2020" t="s">
        <v>6255</v>
      </c>
      <c r="E2020">
        <v>1</v>
      </c>
      <c r="F2020" t="s">
        <v>6256</v>
      </c>
      <c r="G2020" t="s">
        <v>4983</v>
      </c>
      <c r="H2020">
        <v>21015</v>
      </c>
      <c r="I2020" t="s">
        <v>6257</v>
      </c>
    </row>
    <row r="2021" spans="1:9">
      <c r="A2021" t="str">
        <f>"0172198 "</f>
        <v xml:space="preserve">0172198 </v>
      </c>
      <c r="B2021" t="s">
        <v>4982</v>
      </c>
      <c r="C2021" t="s">
        <v>6258</v>
      </c>
      <c r="D2021" t="s">
        <v>6259</v>
      </c>
      <c r="E2021" t="s">
        <v>16</v>
      </c>
      <c r="F2021" t="s">
        <v>6260</v>
      </c>
      <c r="G2021" t="s">
        <v>4983</v>
      </c>
      <c r="H2021">
        <v>21021</v>
      </c>
      <c r="I2021" t="s">
        <v>6261</v>
      </c>
    </row>
    <row r="2022" spans="1:9">
      <c r="A2022" t="str">
        <f>"0172209 "</f>
        <v xml:space="preserve">0172209 </v>
      </c>
      <c r="B2022" t="s">
        <v>4982</v>
      </c>
      <c r="C2022" t="s">
        <v>6262</v>
      </c>
      <c r="D2022" t="s">
        <v>6263</v>
      </c>
      <c r="E2022">
        <v>2</v>
      </c>
      <c r="F2022" t="s">
        <v>6264</v>
      </c>
      <c r="G2022" t="s">
        <v>4983</v>
      </c>
      <c r="H2022">
        <v>21033</v>
      </c>
      <c r="I2022" t="s">
        <v>6265</v>
      </c>
    </row>
    <row r="2023" spans="1:9">
      <c r="A2023" t="str">
        <f>"0172245 "</f>
        <v xml:space="preserve">0172245 </v>
      </c>
      <c r="B2023" t="s">
        <v>4982</v>
      </c>
      <c r="C2023" t="s">
        <v>6266</v>
      </c>
      <c r="D2023" t="s">
        <v>6267</v>
      </c>
      <c r="E2023">
        <v>3</v>
      </c>
      <c r="F2023" t="s">
        <v>6268</v>
      </c>
      <c r="G2023" t="s">
        <v>4983</v>
      </c>
      <c r="H2023">
        <v>21107</v>
      </c>
      <c r="I2023" t="s">
        <v>6269</v>
      </c>
    </row>
    <row r="2024" spans="1:9">
      <c r="A2024" t="str">
        <f>"0172262 "</f>
        <v xml:space="preserve">0172262 </v>
      </c>
      <c r="B2024" t="s">
        <v>4982</v>
      </c>
      <c r="C2024" t="s">
        <v>6270</v>
      </c>
      <c r="D2024" t="s">
        <v>6271</v>
      </c>
      <c r="E2024">
        <v>2</v>
      </c>
      <c r="F2024" t="s">
        <v>5103</v>
      </c>
      <c r="G2024" t="s">
        <v>4983</v>
      </c>
      <c r="H2024">
        <v>21124</v>
      </c>
      <c r="I2024" t="s">
        <v>6272</v>
      </c>
    </row>
    <row r="2025" spans="1:9">
      <c r="A2025" t="str">
        <f>"0172291 "</f>
        <v xml:space="preserve">0172291 </v>
      </c>
      <c r="B2025" t="s">
        <v>4982</v>
      </c>
      <c r="C2025" t="s">
        <v>6273</v>
      </c>
      <c r="D2025" t="s">
        <v>6274</v>
      </c>
      <c r="E2025">
        <v>4</v>
      </c>
      <c r="F2025" t="s">
        <v>6275</v>
      </c>
      <c r="G2025" t="s">
        <v>4983</v>
      </c>
      <c r="H2025">
        <v>21171</v>
      </c>
      <c r="I2025" t="s">
        <v>6276</v>
      </c>
    </row>
    <row r="2026" spans="1:9">
      <c r="A2026" t="str">
        <f>"0172292 "</f>
        <v xml:space="preserve">0172292 </v>
      </c>
      <c r="B2026" t="s">
        <v>4982</v>
      </c>
      <c r="C2026" t="s">
        <v>6277</v>
      </c>
      <c r="D2026" t="s">
        <v>6278</v>
      </c>
      <c r="E2026">
        <v>3</v>
      </c>
      <c r="F2026" t="s">
        <v>5003</v>
      </c>
      <c r="G2026" t="s">
        <v>4983</v>
      </c>
      <c r="H2026">
        <v>21172</v>
      </c>
      <c r="I2026" t="s">
        <v>6279</v>
      </c>
    </row>
    <row r="2027" spans="1:9">
      <c r="A2027" t="str">
        <f>"0172294 "</f>
        <v xml:space="preserve">0172294 </v>
      </c>
      <c r="B2027" t="s">
        <v>4982</v>
      </c>
      <c r="C2027" t="s">
        <v>6280</v>
      </c>
      <c r="D2027" t="s">
        <v>6281</v>
      </c>
      <c r="E2027">
        <v>5</v>
      </c>
      <c r="F2027" t="s">
        <v>5250</v>
      </c>
      <c r="G2027" t="s">
        <v>4983</v>
      </c>
      <c r="H2027">
        <v>21175</v>
      </c>
      <c r="I2027" t="s">
        <v>6282</v>
      </c>
    </row>
    <row r="2028" spans="1:9">
      <c r="A2028" t="str">
        <f>"0172312 "</f>
        <v xml:space="preserve">0172312 </v>
      </c>
      <c r="B2028" t="s">
        <v>4982</v>
      </c>
      <c r="C2028" t="s">
        <v>6283</v>
      </c>
      <c r="D2028" t="s">
        <v>6284</v>
      </c>
      <c r="E2028">
        <v>2</v>
      </c>
      <c r="F2028" t="s">
        <v>6285</v>
      </c>
      <c r="G2028" t="s">
        <v>4983</v>
      </c>
      <c r="H2028">
        <v>21196</v>
      </c>
      <c r="I2028" t="s">
        <v>5647</v>
      </c>
    </row>
    <row r="2029" spans="1:9">
      <c r="A2029" t="str">
        <f>"0172313 "</f>
        <v xml:space="preserve">0172313 </v>
      </c>
      <c r="B2029" t="s">
        <v>4982</v>
      </c>
      <c r="C2029" t="s">
        <v>6286</v>
      </c>
      <c r="D2029" t="s">
        <v>6287</v>
      </c>
      <c r="E2029">
        <v>1</v>
      </c>
      <c r="F2029" t="s">
        <v>6288</v>
      </c>
      <c r="G2029" t="s">
        <v>4983</v>
      </c>
      <c r="H2029">
        <v>21198</v>
      </c>
      <c r="I2029" t="s">
        <v>6289</v>
      </c>
    </row>
    <row r="2030" spans="1:9">
      <c r="A2030" t="str">
        <f>"0172337 "</f>
        <v xml:space="preserve">0172337 </v>
      </c>
      <c r="B2030" t="s">
        <v>4982</v>
      </c>
      <c r="C2030" t="s">
        <v>6290</v>
      </c>
      <c r="D2030" t="s">
        <v>6291</v>
      </c>
      <c r="E2030">
        <v>1</v>
      </c>
      <c r="F2030" t="s">
        <v>6292</v>
      </c>
      <c r="G2030" t="s">
        <v>4983</v>
      </c>
      <c r="H2030">
        <v>21231</v>
      </c>
      <c r="I2030" t="s">
        <v>6293</v>
      </c>
    </row>
    <row r="2031" spans="1:9">
      <c r="A2031" t="str">
        <f>"0172345 "</f>
        <v xml:space="preserve">0172345 </v>
      </c>
      <c r="B2031" t="s">
        <v>4982</v>
      </c>
      <c r="C2031" t="s">
        <v>6294</v>
      </c>
      <c r="D2031" t="s">
        <v>6295</v>
      </c>
      <c r="E2031">
        <v>2</v>
      </c>
      <c r="F2031" t="s">
        <v>6296</v>
      </c>
      <c r="G2031" t="s">
        <v>4983</v>
      </c>
      <c r="H2031">
        <v>21240</v>
      </c>
      <c r="I2031" t="s">
        <v>6297</v>
      </c>
    </row>
    <row r="2032" spans="1:9">
      <c r="A2032" t="str">
        <f>"0172347 "</f>
        <v xml:space="preserve">0172347 </v>
      </c>
      <c r="B2032" t="s">
        <v>4982</v>
      </c>
      <c r="C2032" t="s">
        <v>6298</v>
      </c>
      <c r="D2032" t="s">
        <v>6299</v>
      </c>
      <c r="E2032">
        <v>2</v>
      </c>
      <c r="F2032" t="s">
        <v>908</v>
      </c>
      <c r="G2032" t="s">
        <v>4983</v>
      </c>
      <c r="H2032">
        <v>21245</v>
      </c>
      <c r="I2032" t="s">
        <v>6300</v>
      </c>
    </row>
    <row r="2033" spans="1:9">
      <c r="A2033" t="str">
        <f>"0172357 "</f>
        <v xml:space="preserve">0172357 </v>
      </c>
      <c r="B2033" t="s">
        <v>4982</v>
      </c>
      <c r="C2033" t="s">
        <v>6301</v>
      </c>
      <c r="D2033" t="s">
        <v>6302</v>
      </c>
      <c r="E2033">
        <v>4</v>
      </c>
      <c r="F2033" t="s">
        <v>6303</v>
      </c>
      <c r="G2033" t="s">
        <v>4983</v>
      </c>
      <c r="H2033">
        <v>21257</v>
      </c>
      <c r="I2033" t="s">
        <v>6304</v>
      </c>
    </row>
    <row r="2034" spans="1:9">
      <c r="A2034" t="str">
        <f>"0172382 "</f>
        <v xml:space="preserve">0172382 </v>
      </c>
      <c r="B2034" t="s">
        <v>4982</v>
      </c>
      <c r="C2034" t="s">
        <v>6305</v>
      </c>
      <c r="D2034" t="s">
        <v>6306</v>
      </c>
      <c r="E2034">
        <v>3</v>
      </c>
      <c r="F2034" t="s">
        <v>6307</v>
      </c>
      <c r="G2034" t="s">
        <v>4983</v>
      </c>
      <c r="H2034">
        <v>21284</v>
      </c>
      <c r="I2034" t="s">
        <v>6308</v>
      </c>
    </row>
    <row r="2035" spans="1:9">
      <c r="A2035" t="str">
        <f>"0172417 "</f>
        <v xml:space="preserve">0172417 </v>
      </c>
      <c r="B2035" t="s">
        <v>4982</v>
      </c>
      <c r="C2035" t="s">
        <v>6309</v>
      </c>
      <c r="D2035" t="s">
        <v>6310</v>
      </c>
      <c r="E2035">
        <v>4</v>
      </c>
      <c r="F2035" t="s">
        <v>5219</v>
      </c>
      <c r="G2035" t="s">
        <v>4983</v>
      </c>
      <c r="H2035">
        <v>21332</v>
      </c>
      <c r="I2035" t="s">
        <v>6311</v>
      </c>
    </row>
    <row r="2036" spans="1:9">
      <c r="A2036" t="str">
        <f>"0172422 "</f>
        <v xml:space="preserve">0172422 </v>
      </c>
      <c r="B2036" t="s">
        <v>4982</v>
      </c>
      <c r="C2036" t="s">
        <v>6312</v>
      </c>
      <c r="D2036" t="s">
        <v>6313</v>
      </c>
      <c r="E2036">
        <v>1</v>
      </c>
      <c r="F2036" t="s">
        <v>6314</v>
      </c>
      <c r="G2036" t="s">
        <v>4983</v>
      </c>
      <c r="H2036">
        <v>21357</v>
      </c>
      <c r="I2036" t="s">
        <v>6315</v>
      </c>
    </row>
    <row r="2037" spans="1:9">
      <c r="A2037" t="str">
        <f>"0172423 "</f>
        <v xml:space="preserve">0172423 </v>
      </c>
      <c r="B2037" t="s">
        <v>4982</v>
      </c>
      <c r="C2037" t="s">
        <v>6316</v>
      </c>
      <c r="D2037" t="s">
        <v>6317</v>
      </c>
      <c r="E2037">
        <v>2</v>
      </c>
      <c r="F2037" t="s">
        <v>6314</v>
      </c>
      <c r="G2037" t="s">
        <v>4983</v>
      </c>
      <c r="H2037">
        <v>21358</v>
      </c>
      <c r="I2037" t="s">
        <v>6318</v>
      </c>
    </row>
    <row r="2038" spans="1:9">
      <c r="A2038" t="str">
        <f>"0172460 "</f>
        <v xml:space="preserve">0172460 </v>
      </c>
      <c r="B2038" t="s">
        <v>4982</v>
      </c>
      <c r="C2038" t="s">
        <v>6319</v>
      </c>
      <c r="D2038" t="s">
        <v>6320</v>
      </c>
      <c r="E2038">
        <v>4</v>
      </c>
      <c r="F2038" t="s">
        <v>6321</v>
      </c>
      <c r="G2038" t="s">
        <v>4983</v>
      </c>
      <c r="H2038">
        <v>21410</v>
      </c>
      <c r="I2038" t="s">
        <v>6322</v>
      </c>
    </row>
    <row r="2039" spans="1:9">
      <c r="A2039" t="str">
        <f>"0172524 "</f>
        <v xml:space="preserve">0172524 </v>
      </c>
      <c r="B2039" t="s">
        <v>4982</v>
      </c>
      <c r="C2039" t="s">
        <v>6323</v>
      </c>
      <c r="D2039" t="s">
        <v>6324</v>
      </c>
      <c r="E2039">
        <v>4</v>
      </c>
      <c r="F2039" t="s">
        <v>6325</v>
      </c>
      <c r="G2039" t="s">
        <v>4983</v>
      </c>
      <c r="H2039">
        <v>21490</v>
      </c>
      <c r="I2039" t="s">
        <v>6326</v>
      </c>
    </row>
    <row r="2040" spans="1:9">
      <c r="A2040" t="str">
        <f>"0172527 "</f>
        <v xml:space="preserve">0172527 </v>
      </c>
      <c r="B2040" t="s">
        <v>4982</v>
      </c>
      <c r="C2040" t="s">
        <v>6327</v>
      </c>
      <c r="D2040" t="s">
        <v>6328</v>
      </c>
      <c r="E2040">
        <v>1</v>
      </c>
      <c r="F2040" t="s">
        <v>6329</v>
      </c>
      <c r="G2040" t="s">
        <v>4983</v>
      </c>
      <c r="H2040">
        <v>21493</v>
      </c>
      <c r="I2040" t="s">
        <v>6330</v>
      </c>
    </row>
    <row r="2041" spans="1:9">
      <c r="A2041" t="str">
        <f>"0172528 "</f>
        <v xml:space="preserve">0172528 </v>
      </c>
      <c r="B2041" t="s">
        <v>4982</v>
      </c>
      <c r="C2041" t="s">
        <v>6331</v>
      </c>
      <c r="D2041" t="s">
        <v>6332</v>
      </c>
      <c r="E2041">
        <v>1</v>
      </c>
      <c r="F2041" t="s">
        <v>5869</v>
      </c>
      <c r="G2041" t="s">
        <v>4983</v>
      </c>
      <c r="H2041">
        <v>21494</v>
      </c>
      <c r="I2041" t="s">
        <v>6333</v>
      </c>
    </row>
    <row r="2042" spans="1:9">
      <c r="A2042" t="str">
        <f>"0172546 "</f>
        <v xml:space="preserve">0172546 </v>
      </c>
      <c r="B2042" t="s">
        <v>4982</v>
      </c>
      <c r="C2042" t="s">
        <v>6334</v>
      </c>
      <c r="D2042" t="s">
        <v>6335</v>
      </c>
      <c r="E2042">
        <v>1</v>
      </c>
      <c r="F2042" t="s">
        <v>6336</v>
      </c>
      <c r="G2042" t="s">
        <v>4983</v>
      </c>
      <c r="H2042">
        <v>21517</v>
      </c>
      <c r="I2042" t="s">
        <v>6337</v>
      </c>
    </row>
    <row r="2043" spans="1:9">
      <c r="A2043" t="str">
        <f>"0172579 "</f>
        <v xml:space="preserve">0172579 </v>
      </c>
      <c r="B2043" t="s">
        <v>4982</v>
      </c>
      <c r="C2043" t="s">
        <v>6338</v>
      </c>
      <c r="D2043" t="s">
        <v>6339</v>
      </c>
      <c r="E2043" t="s">
        <v>16</v>
      </c>
      <c r="F2043" t="s">
        <v>6340</v>
      </c>
      <c r="G2043" t="s">
        <v>4983</v>
      </c>
      <c r="H2043">
        <v>21588</v>
      </c>
      <c r="I2043" t="s">
        <v>6341</v>
      </c>
    </row>
    <row r="2044" spans="1:9">
      <c r="A2044" t="str">
        <f>"0172585 "</f>
        <v xml:space="preserve">0172585 </v>
      </c>
      <c r="B2044" t="s">
        <v>4982</v>
      </c>
      <c r="C2044" t="s">
        <v>6342</v>
      </c>
      <c r="D2044" t="s">
        <v>6343</v>
      </c>
      <c r="E2044">
        <v>3</v>
      </c>
      <c r="F2044" t="s">
        <v>5437</v>
      </c>
      <c r="G2044" t="s">
        <v>4983</v>
      </c>
      <c r="H2044">
        <v>21600</v>
      </c>
      <c r="I2044" t="s">
        <v>6344</v>
      </c>
    </row>
    <row r="2045" spans="1:9">
      <c r="A2045" t="str">
        <f>"0172588 "</f>
        <v xml:space="preserve">0172588 </v>
      </c>
      <c r="B2045" t="s">
        <v>4982</v>
      </c>
      <c r="C2045" t="s">
        <v>6345</v>
      </c>
      <c r="D2045" t="s">
        <v>6346</v>
      </c>
      <c r="E2045" t="s">
        <v>16</v>
      </c>
      <c r="F2045" t="s">
        <v>6347</v>
      </c>
      <c r="G2045" t="s">
        <v>4983</v>
      </c>
      <c r="H2045">
        <v>21611</v>
      </c>
      <c r="I2045" t="s">
        <v>6348</v>
      </c>
    </row>
    <row r="2046" spans="1:9">
      <c r="A2046" t="str">
        <f>"0172589 "</f>
        <v xml:space="preserve">0172589 </v>
      </c>
      <c r="B2046" t="s">
        <v>4982</v>
      </c>
      <c r="C2046" t="s">
        <v>6349</v>
      </c>
      <c r="D2046" t="s">
        <v>6350</v>
      </c>
      <c r="E2046">
        <v>4</v>
      </c>
      <c r="F2046" t="s">
        <v>5441</v>
      </c>
      <c r="G2046" t="s">
        <v>4983</v>
      </c>
      <c r="H2046">
        <v>21613</v>
      </c>
      <c r="I2046" t="s">
        <v>6351</v>
      </c>
    </row>
    <row r="2047" spans="1:9">
      <c r="A2047" t="str">
        <f>"0172637 "</f>
        <v xml:space="preserve">0172637 </v>
      </c>
      <c r="B2047" t="s">
        <v>4982</v>
      </c>
      <c r="C2047" t="s">
        <v>6352</v>
      </c>
      <c r="D2047" t="s">
        <v>6353</v>
      </c>
      <c r="E2047">
        <v>4</v>
      </c>
      <c r="F2047" t="s">
        <v>5751</v>
      </c>
      <c r="G2047" t="s">
        <v>4983</v>
      </c>
      <c r="H2047">
        <v>21694</v>
      </c>
      <c r="I2047" t="s">
        <v>6354</v>
      </c>
    </row>
    <row r="2048" spans="1:9">
      <c r="A2048" t="str">
        <f>"0172640 "</f>
        <v xml:space="preserve">0172640 </v>
      </c>
      <c r="B2048" t="s">
        <v>4982</v>
      </c>
      <c r="C2048" t="s">
        <v>6355</v>
      </c>
      <c r="D2048" t="s">
        <v>6356</v>
      </c>
      <c r="E2048">
        <v>2</v>
      </c>
      <c r="F2048" t="s">
        <v>2661</v>
      </c>
      <c r="G2048" t="s">
        <v>4983</v>
      </c>
      <c r="H2048">
        <v>21698</v>
      </c>
      <c r="I2048" t="s">
        <v>6357</v>
      </c>
    </row>
    <row r="2049" spans="1:9">
      <c r="A2049" t="str">
        <f>"0172642 "</f>
        <v xml:space="preserve">0172642 </v>
      </c>
      <c r="B2049" t="s">
        <v>4982</v>
      </c>
      <c r="C2049" t="s">
        <v>6358</v>
      </c>
      <c r="D2049" t="s">
        <v>6359</v>
      </c>
      <c r="E2049">
        <v>4</v>
      </c>
      <c r="F2049" t="s">
        <v>1117</v>
      </c>
      <c r="G2049" t="s">
        <v>4983</v>
      </c>
      <c r="H2049">
        <v>21700</v>
      </c>
      <c r="I2049" t="s">
        <v>6360</v>
      </c>
    </row>
    <row r="2050" spans="1:9">
      <c r="A2050" t="str">
        <f>"0172669 "</f>
        <v xml:space="preserve">0172669 </v>
      </c>
      <c r="B2050" t="s">
        <v>4982</v>
      </c>
      <c r="C2050" t="s">
        <v>6361</v>
      </c>
      <c r="D2050" t="s">
        <v>6362</v>
      </c>
      <c r="E2050">
        <v>2</v>
      </c>
      <c r="F2050" t="s">
        <v>6363</v>
      </c>
      <c r="G2050" t="s">
        <v>4983</v>
      </c>
      <c r="H2050">
        <v>21750</v>
      </c>
      <c r="I2050" t="s">
        <v>6364</v>
      </c>
    </row>
    <row r="2051" spans="1:9">
      <c r="A2051" t="str">
        <f>"0172704 "</f>
        <v xml:space="preserve">0172704 </v>
      </c>
      <c r="B2051" t="s">
        <v>4982</v>
      </c>
      <c r="C2051" t="s">
        <v>6365</v>
      </c>
      <c r="D2051" t="s">
        <v>6366</v>
      </c>
      <c r="E2051">
        <v>4</v>
      </c>
      <c r="F2051" t="s">
        <v>6367</v>
      </c>
      <c r="G2051" t="s">
        <v>4983</v>
      </c>
      <c r="H2051">
        <v>21799</v>
      </c>
      <c r="I2051" t="s">
        <v>6368</v>
      </c>
    </row>
    <row r="2052" spans="1:9">
      <c r="A2052" t="str">
        <f>"0172705 "</f>
        <v xml:space="preserve">0172705 </v>
      </c>
      <c r="B2052" t="s">
        <v>4982</v>
      </c>
      <c r="C2052" t="s">
        <v>6369</v>
      </c>
      <c r="D2052" t="s">
        <v>6370</v>
      </c>
      <c r="E2052">
        <v>3</v>
      </c>
      <c r="F2052" t="s">
        <v>6367</v>
      </c>
      <c r="G2052" t="s">
        <v>4983</v>
      </c>
      <c r="H2052">
        <v>21801</v>
      </c>
      <c r="I2052" t="s">
        <v>6371</v>
      </c>
    </row>
    <row r="2053" spans="1:9">
      <c r="A2053" t="str">
        <f>"0172717 "</f>
        <v xml:space="preserve">0172717 </v>
      </c>
      <c r="B2053" t="s">
        <v>4982</v>
      </c>
      <c r="C2053" t="s">
        <v>6372</v>
      </c>
      <c r="D2053" t="s">
        <v>6373</v>
      </c>
      <c r="E2053">
        <v>2</v>
      </c>
      <c r="F2053" t="s">
        <v>5026</v>
      </c>
      <c r="G2053" t="s">
        <v>4983</v>
      </c>
      <c r="H2053">
        <v>21818</v>
      </c>
      <c r="I2053" t="s">
        <v>6374</v>
      </c>
    </row>
    <row r="2054" spans="1:9">
      <c r="A2054" t="str">
        <f>"0172728 "</f>
        <v xml:space="preserve">0172728 </v>
      </c>
      <c r="B2054" t="s">
        <v>4982</v>
      </c>
      <c r="C2054" t="s">
        <v>6375</v>
      </c>
      <c r="D2054" t="s">
        <v>6376</v>
      </c>
      <c r="E2054">
        <v>2</v>
      </c>
      <c r="F2054" t="s">
        <v>6377</v>
      </c>
      <c r="G2054" t="s">
        <v>4983</v>
      </c>
      <c r="H2054">
        <v>21840</v>
      </c>
      <c r="I2054" t="s">
        <v>6378</v>
      </c>
    </row>
    <row r="2055" spans="1:9">
      <c r="A2055" t="str">
        <f>"0172737 "</f>
        <v xml:space="preserve">0172737 </v>
      </c>
      <c r="B2055" t="s">
        <v>4982</v>
      </c>
      <c r="C2055" t="s">
        <v>6379</v>
      </c>
      <c r="D2055" t="s">
        <v>6380</v>
      </c>
      <c r="E2055">
        <v>4</v>
      </c>
      <c r="F2055" t="s">
        <v>6381</v>
      </c>
      <c r="G2055" t="s">
        <v>4983</v>
      </c>
      <c r="H2055">
        <v>21852</v>
      </c>
      <c r="I2055" t="s">
        <v>6382</v>
      </c>
    </row>
    <row r="2056" spans="1:9">
      <c r="A2056" t="str">
        <f>"0172740 "</f>
        <v xml:space="preserve">0172740 </v>
      </c>
      <c r="B2056" t="s">
        <v>4982</v>
      </c>
      <c r="C2056" t="s">
        <v>6383</v>
      </c>
      <c r="D2056" t="s">
        <v>6384</v>
      </c>
      <c r="E2056">
        <v>4</v>
      </c>
      <c r="F2056" t="s">
        <v>5123</v>
      </c>
      <c r="G2056" t="s">
        <v>4983</v>
      </c>
      <c r="H2056">
        <v>21855</v>
      </c>
      <c r="I2056" t="s">
        <v>6385</v>
      </c>
    </row>
    <row r="2057" spans="1:9">
      <c r="A2057" t="str">
        <f>"0172768 "</f>
        <v xml:space="preserve">0172768 </v>
      </c>
      <c r="B2057" t="s">
        <v>4982</v>
      </c>
      <c r="C2057" t="s">
        <v>6386</v>
      </c>
      <c r="D2057" t="s">
        <v>6387</v>
      </c>
      <c r="E2057">
        <v>4</v>
      </c>
      <c r="F2057" t="s">
        <v>6388</v>
      </c>
      <c r="G2057" t="s">
        <v>4983</v>
      </c>
      <c r="H2057">
        <v>21906</v>
      </c>
      <c r="I2057" t="s">
        <v>6389</v>
      </c>
    </row>
    <row r="2058" spans="1:9">
      <c r="A2058" t="str">
        <f>"0172814 "</f>
        <v xml:space="preserve">0172814 </v>
      </c>
      <c r="B2058" t="s">
        <v>4982</v>
      </c>
      <c r="C2058" t="s">
        <v>6390</v>
      </c>
      <c r="D2058" t="s">
        <v>6391</v>
      </c>
      <c r="E2058">
        <v>4</v>
      </c>
      <c r="F2058" t="s">
        <v>6392</v>
      </c>
      <c r="G2058" t="s">
        <v>4983</v>
      </c>
      <c r="H2058">
        <v>21985</v>
      </c>
      <c r="I2058" t="s">
        <v>6393</v>
      </c>
    </row>
    <row r="2059" spans="1:9">
      <c r="A2059" t="str">
        <f>"0172821 "</f>
        <v xml:space="preserve">0172821 </v>
      </c>
      <c r="B2059" t="s">
        <v>4982</v>
      </c>
      <c r="C2059" t="s">
        <v>6394</v>
      </c>
      <c r="D2059" t="s">
        <v>6395</v>
      </c>
      <c r="E2059">
        <v>4</v>
      </c>
      <c r="F2059" t="s">
        <v>5845</v>
      </c>
      <c r="G2059" t="s">
        <v>4983</v>
      </c>
      <c r="H2059">
        <v>21999</v>
      </c>
      <c r="I2059" t="s">
        <v>6396</v>
      </c>
    </row>
    <row r="2060" spans="1:9">
      <c r="A2060" t="str">
        <f>"0172849 "</f>
        <v xml:space="preserve">0172849 </v>
      </c>
      <c r="B2060" t="s">
        <v>4982</v>
      </c>
      <c r="C2060" t="s">
        <v>6397</v>
      </c>
      <c r="D2060" t="s">
        <v>6398</v>
      </c>
      <c r="E2060" t="s">
        <v>16</v>
      </c>
      <c r="F2060" t="s">
        <v>5522</v>
      </c>
      <c r="G2060" t="s">
        <v>4983</v>
      </c>
      <c r="H2060">
        <v>22044</v>
      </c>
      <c r="I2060" t="s">
        <v>6399</v>
      </c>
    </row>
    <row r="2061" spans="1:9">
      <c r="A2061" t="str">
        <f>"0172889 "</f>
        <v xml:space="preserve">0172889 </v>
      </c>
      <c r="B2061" t="s">
        <v>4982</v>
      </c>
      <c r="C2061" t="s">
        <v>6400</v>
      </c>
      <c r="D2061" t="s">
        <v>6401</v>
      </c>
      <c r="E2061">
        <v>1</v>
      </c>
      <c r="F2061" t="s">
        <v>6402</v>
      </c>
      <c r="G2061" t="s">
        <v>4983</v>
      </c>
      <c r="H2061">
        <v>22102</v>
      </c>
      <c r="I2061" t="s">
        <v>6403</v>
      </c>
    </row>
    <row r="2062" spans="1:9">
      <c r="A2062" t="str">
        <f>"0172926 "</f>
        <v xml:space="preserve">0172926 </v>
      </c>
      <c r="B2062" t="s">
        <v>4982</v>
      </c>
      <c r="C2062" t="s">
        <v>6404</v>
      </c>
      <c r="D2062" t="s">
        <v>6405</v>
      </c>
      <c r="E2062" t="s">
        <v>16</v>
      </c>
      <c r="F2062" t="s">
        <v>3597</v>
      </c>
      <c r="G2062" t="s">
        <v>4983</v>
      </c>
      <c r="H2062">
        <v>22153</v>
      </c>
      <c r="I2062" t="s">
        <v>6406</v>
      </c>
    </row>
    <row r="2063" spans="1:9">
      <c r="A2063" t="str">
        <f>"0172928 "</f>
        <v xml:space="preserve">0172928 </v>
      </c>
      <c r="B2063" t="s">
        <v>4982</v>
      </c>
      <c r="C2063" t="s">
        <v>6407</v>
      </c>
      <c r="D2063" t="s">
        <v>6408</v>
      </c>
      <c r="E2063" t="s">
        <v>16</v>
      </c>
      <c r="F2063" t="s">
        <v>6409</v>
      </c>
      <c r="G2063" t="s">
        <v>4983</v>
      </c>
      <c r="H2063">
        <v>22155</v>
      </c>
      <c r="I2063" t="s">
        <v>6410</v>
      </c>
    </row>
    <row r="2064" spans="1:9">
      <c r="A2064" t="str">
        <f>"0172968 "</f>
        <v xml:space="preserve">0172968 </v>
      </c>
      <c r="B2064" t="s">
        <v>4982</v>
      </c>
      <c r="C2064" t="s">
        <v>6411</v>
      </c>
      <c r="D2064" t="s">
        <v>6412</v>
      </c>
      <c r="E2064" t="s">
        <v>16</v>
      </c>
      <c r="F2064" t="s">
        <v>6307</v>
      </c>
      <c r="G2064" t="s">
        <v>4983</v>
      </c>
      <c r="H2064">
        <v>22265</v>
      </c>
      <c r="I2064" t="s">
        <v>6413</v>
      </c>
    </row>
    <row r="2065" spans="1:9">
      <c r="A2065" t="str">
        <f>"0172970 "</f>
        <v xml:space="preserve">0172970 </v>
      </c>
      <c r="B2065" t="s">
        <v>4982</v>
      </c>
      <c r="C2065" t="s">
        <v>6414</v>
      </c>
      <c r="D2065" t="s">
        <v>6415</v>
      </c>
      <c r="E2065">
        <v>4</v>
      </c>
      <c r="F2065" t="s">
        <v>6416</v>
      </c>
      <c r="G2065" t="s">
        <v>4983</v>
      </c>
      <c r="H2065">
        <v>22267</v>
      </c>
      <c r="I2065" t="s">
        <v>6417</v>
      </c>
    </row>
    <row r="2066" spans="1:9">
      <c r="A2066" t="str">
        <f>"0173051 "</f>
        <v xml:space="preserve">0173051 </v>
      </c>
      <c r="B2066" t="s">
        <v>4982</v>
      </c>
      <c r="C2066" t="s">
        <v>6418</v>
      </c>
      <c r="D2066" t="s">
        <v>6419</v>
      </c>
      <c r="E2066">
        <v>4</v>
      </c>
      <c r="F2066" t="s">
        <v>6420</v>
      </c>
      <c r="G2066" t="s">
        <v>4983</v>
      </c>
      <c r="H2066">
        <v>22379</v>
      </c>
      <c r="I2066" t="s">
        <v>6421</v>
      </c>
    </row>
    <row r="2067" spans="1:9">
      <c r="A2067" t="str">
        <f>"0173071 "</f>
        <v xml:space="preserve">0173071 </v>
      </c>
      <c r="B2067" t="s">
        <v>4982</v>
      </c>
      <c r="C2067" t="s">
        <v>6422</v>
      </c>
      <c r="D2067" t="s">
        <v>6423</v>
      </c>
      <c r="E2067">
        <v>4</v>
      </c>
      <c r="F2067" t="s">
        <v>6424</v>
      </c>
      <c r="G2067" t="s">
        <v>4983</v>
      </c>
      <c r="H2067">
        <v>22410</v>
      </c>
      <c r="I2067" t="s">
        <v>6425</v>
      </c>
    </row>
    <row r="2068" spans="1:9">
      <c r="A2068" t="str">
        <f>"0173100 "</f>
        <v xml:space="preserve">0173100 </v>
      </c>
      <c r="B2068" t="s">
        <v>4982</v>
      </c>
      <c r="C2068" t="s">
        <v>6426</v>
      </c>
      <c r="D2068" t="s">
        <v>6427</v>
      </c>
      <c r="E2068">
        <v>2</v>
      </c>
      <c r="F2068" t="s">
        <v>6428</v>
      </c>
      <c r="G2068" t="s">
        <v>4983</v>
      </c>
      <c r="H2068">
        <v>22469</v>
      </c>
      <c r="I2068" t="s">
        <v>6429</v>
      </c>
    </row>
    <row r="2069" spans="1:9">
      <c r="A2069" t="str">
        <f>"0173101 "</f>
        <v xml:space="preserve">0173101 </v>
      </c>
      <c r="B2069" t="s">
        <v>4982</v>
      </c>
      <c r="C2069" t="s">
        <v>6430</v>
      </c>
      <c r="D2069" t="s">
        <v>6431</v>
      </c>
      <c r="E2069">
        <v>2</v>
      </c>
      <c r="F2069" t="s">
        <v>6428</v>
      </c>
      <c r="G2069" t="s">
        <v>4983</v>
      </c>
      <c r="H2069">
        <v>22470</v>
      </c>
      <c r="I2069" t="s">
        <v>6432</v>
      </c>
    </row>
    <row r="2070" spans="1:9">
      <c r="A2070" t="str">
        <f>"0173123 "</f>
        <v xml:space="preserve">0173123 </v>
      </c>
      <c r="B2070" t="s">
        <v>4982</v>
      </c>
      <c r="C2070" t="s">
        <v>6433</v>
      </c>
      <c r="D2070" t="s">
        <v>6434</v>
      </c>
      <c r="E2070">
        <v>1</v>
      </c>
      <c r="F2070" t="s">
        <v>6435</v>
      </c>
      <c r="G2070" t="s">
        <v>4983</v>
      </c>
      <c r="H2070">
        <v>22498</v>
      </c>
      <c r="I2070" t="s">
        <v>6436</v>
      </c>
    </row>
    <row r="2071" spans="1:9">
      <c r="A2071" t="str">
        <f>"0173125 "</f>
        <v xml:space="preserve">0173125 </v>
      </c>
      <c r="B2071" t="s">
        <v>4982</v>
      </c>
      <c r="C2071" t="s">
        <v>6437</v>
      </c>
      <c r="D2071" t="s">
        <v>6438</v>
      </c>
      <c r="E2071">
        <v>4</v>
      </c>
      <c r="F2071" t="s">
        <v>5304</v>
      </c>
      <c r="G2071" t="s">
        <v>4983</v>
      </c>
      <c r="H2071">
        <v>22500</v>
      </c>
      <c r="I2071" t="s">
        <v>6439</v>
      </c>
    </row>
    <row r="2072" spans="1:9">
      <c r="A2072" t="str">
        <f>"0173210 "</f>
        <v xml:space="preserve">0173210 </v>
      </c>
      <c r="B2072" t="s">
        <v>4982</v>
      </c>
      <c r="C2072" t="s">
        <v>6440</v>
      </c>
      <c r="D2072" t="s">
        <v>6441</v>
      </c>
      <c r="E2072">
        <v>4</v>
      </c>
      <c r="F2072" t="s">
        <v>6442</v>
      </c>
      <c r="G2072" t="s">
        <v>4983</v>
      </c>
      <c r="H2072">
        <v>22620</v>
      </c>
      <c r="I2072" t="s">
        <v>6443</v>
      </c>
    </row>
    <row r="2073" spans="1:9">
      <c r="A2073" t="str">
        <f>"0173238 "</f>
        <v xml:space="preserve">0173238 </v>
      </c>
      <c r="B2073" t="s">
        <v>4982</v>
      </c>
      <c r="C2073" t="s">
        <v>6444</v>
      </c>
      <c r="D2073" t="s">
        <v>6445</v>
      </c>
      <c r="E2073">
        <v>4</v>
      </c>
      <c r="F2073" t="s">
        <v>3509</v>
      </c>
      <c r="G2073" t="s">
        <v>4983</v>
      </c>
      <c r="H2073">
        <v>22661</v>
      </c>
      <c r="I2073" t="s">
        <v>6446</v>
      </c>
    </row>
    <row r="2074" spans="1:9">
      <c r="A2074" t="str">
        <f>"0173242 "</f>
        <v xml:space="preserve">0173242 </v>
      </c>
      <c r="B2074" t="s">
        <v>4982</v>
      </c>
      <c r="C2074" t="s">
        <v>6447</v>
      </c>
      <c r="D2074" t="s">
        <v>6448</v>
      </c>
      <c r="E2074">
        <v>2</v>
      </c>
      <c r="F2074" t="s">
        <v>6449</v>
      </c>
      <c r="G2074" t="s">
        <v>4983</v>
      </c>
      <c r="H2074">
        <v>22670</v>
      </c>
      <c r="I2074" t="s">
        <v>6450</v>
      </c>
    </row>
    <row r="2075" spans="1:9">
      <c r="A2075" t="str">
        <f>"0173270 "</f>
        <v xml:space="preserve">0173270 </v>
      </c>
      <c r="B2075" t="s">
        <v>4982</v>
      </c>
      <c r="C2075" t="s">
        <v>6451</v>
      </c>
      <c r="D2075" t="s">
        <v>6452</v>
      </c>
      <c r="E2075">
        <v>2</v>
      </c>
      <c r="F2075" t="s">
        <v>1932</v>
      </c>
      <c r="G2075" t="s">
        <v>4983</v>
      </c>
      <c r="H2075">
        <v>22709</v>
      </c>
      <c r="I2075" t="s">
        <v>6453</v>
      </c>
    </row>
    <row r="2076" spans="1:9">
      <c r="A2076" t="str">
        <f>"0173271 "</f>
        <v xml:space="preserve">0173271 </v>
      </c>
      <c r="B2076" t="s">
        <v>4982</v>
      </c>
      <c r="C2076" t="s">
        <v>6454</v>
      </c>
      <c r="D2076" t="s">
        <v>6455</v>
      </c>
      <c r="E2076">
        <v>3</v>
      </c>
      <c r="F2076" t="s">
        <v>5037</v>
      </c>
      <c r="G2076" t="s">
        <v>4983</v>
      </c>
      <c r="H2076">
        <v>22710</v>
      </c>
      <c r="I2076" t="s">
        <v>6456</v>
      </c>
    </row>
    <row r="2077" spans="1:9">
      <c r="A2077" t="str">
        <f>"0173274 "</f>
        <v xml:space="preserve">0173274 </v>
      </c>
      <c r="B2077" t="s">
        <v>4982</v>
      </c>
      <c r="C2077" t="s">
        <v>6457</v>
      </c>
      <c r="D2077" t="s">
        <v>6458</v>
      </c>
      <c r="E2077">
        <v>4</v>
      </c>
      <c r="F2077" t="s">
        <v>6459</v>
      </c>
      <c r="G2077" t="s">
        <v>4983</v>
      </c>
      <c r="H2077">
        <v>22714</v>
      </c>
      <c r="I2077" t="s">
        <v>6460</v>
      </c>
    </row>
    <row r="2078" spans="1:9">
      <c r="A2078" t="str">
        <f>"0173275 "</f>
        <v xml:space="preserve">0173275 </v>
      </c>
      <c r="B2078" t="s">
        <v>4982</v>
      </c>
      <c r="C2078" t="s">
        <v>6461</v>
      </c>
      <c r="D2078" t="s">
        <v>6462</v>
      </c>
      <c r="E2078">
        <v>4</v>
      </c>
      <c r="F2078" t="s">
        <v>5053</v>
      </c>
      <c r="G2078" t="s">
        <v>4983</v>
      </c>
      <c r="H2078">
        <v>22715</v>
      </c>
      <c r="I2078" t="s">
        <v>6463</v>
      </c>
    </row>
    <row r="2079" spans="1:9">
      <c r="A2079" t="str">
        <f>"0173339 "</f>
        <v xml:space="preserve">0173339 </v>
      </c>
      <c r="B2079" t="s">
        <v>4982</v>
      </c>
      <c r="C2079" t="s">
        <v>6464</v>
      </c>
      <c r="D2079" t="s">
        <v>6465</v>
      </c>
      <c r="E2079">
        <v>2</v>
      </c>
      <c r="F2079" t="s">
        <v>5862</v>
      </c>
      <c r="G2079" t="s">
        <v>4983</v>
      </c>
      <c r="H2079">
        <v>22794</v>
      </c>
      <c r="I2079" t="s">
        <v>6466</v>
      </c>
    </row>
    <row r="2080" spans="1:9">
      <c r="A2080" t="str">
        <f>"0173346 "</f>
        <v xml:space="preserve">0173346 </v>
      </c>
      <c r="B2080" t="s">
        <v>4982</v>
      </c>
      <c r="C2080" t="s">
        <v>6467</v>
      </c>
      <c r="D2080" t="s">
        <v>6468</v>
      </c>
      <c r="E2080">
        <v>2</v>
      </c>
      <c r="F2080" t="s">
        <v>5240</v>
      </c>
      <c r="G2080" t="s">
        <v>4983</v>
      </c>
      <c r="H2080">
        <v>22804</v>
      </c>
      <c r="I2080" t="s">
        <v>6469</v>
      </c>
    </row>
    <row r="2081" spans="1:9">
      <c r="A2081" t="str">
        <f>"0173352 "</f>
        <v xml:space="preserve">0173352 </v>
      </c>
      <c r="B2081" t="s">
        <v>4982</v>
      </c>
      <c r="C2081" t="s">
        <v>6470</v>
      </c>
      <c r="D2081" t="s">
        <v>6471</v>
      </c>
      <c r="E2081">
        <v>3</v>
      </c>
      <c r="F2081" t="s">
        <v>6472</v>
      </c>
      <c r="G2081" t="s">
        <v>4983</v>
      </c>
      <c r="H2081">
        <v>22822</v>
      </c>
      <c r="I2081" t="s">
        <v>6473</v>
      </c>
    </row>
    <row r="2082" spans="1:9">
      <c r="A2082" t="str">
        <f>"0173358 "</f>
        <v xml:space="preserve">0173358 </v>
      </c>
      <c r="B2082" t="s">
        <v>4982</v>
      </c>
      <c r="C2082" t="s">
        <v>6474</v>
      </c>
      <c r="D2082" t="s">
        <v>6475</v>
      </c>
      <c r="E2082">
        <v>4</v>
      </c>
      <c r="F2082" t="s">
        <v>5246</v>
      </c>
      <c r="G2082" t="s">
        <v>4983</v>
      </c>
      <c r="H2082">
        <v>22836</v>
      </c>
      <c r="I2082" t="s">
        <v>6476</v>
      </c>
    </row>
    <row r="2083" spans="1:9">
      <c r="A2083" t="str">
        <f>"0173374 "</f>
        <v xml:space="preserve">0173374 </v>
      </c>
      <c r="B2083" t="s">
        <v>4982</v>
      </c>
      <c r="C2083" t="s">
        <v>6477</v>
      </c>
      <c r="D2083" t="s">
        <v>6478</v>
      </c>
      <c r="E2083" t="s">
        <v>16</v>
      </c>
      <c r="F2083" t="s">
        <v>6479</v>
      </c>
      <c r="G2083" t="s">
        <v>4983</v>
      </c>
      <c r="H2083">
        <v>22865</v>
      </c>
      <c r="I2083" t="s">
        <v>6480</v>
      </c>
    </row>
    <row r="2084" spans="1:9">
      <c r="A2084" t="str">
        <f>"0173413 "</f>
        <v xml:space="preserve">0173413 </v>
      </c>
      <c r="B2084" t="s">
        <v>4982</v>
      </c>
      <c r="C2084" t="s">
        <v>6481</v>
      </c>
      <c r="D2084" t="s">
        <v>6482</v>
      </c>
      <c r="E2084">
        <v>2</v>
      </c>
      <c r="F2084" t="s">
        <v>6483</v>
      </c>
      <c r="G2084" t="s">
        <v>4983</v>
      </c>
      <c r="H2084">
        <v>22930</v>
      </c>
      <c r="I2084" t="s">
        <v>6484</v>
      </c>
    </row>
    <row r="2085" spans="1:9">
      <c r="A2085" t="str">
        <f>"0173421 "</f>
        <v xml:space="preserve">0173421 </v>
      </c>
      <c r="B2085" t="s">
        <v>4982</v>
      </c>
      <c r="C2085" t="s">
        <v>6485</v>
      </c>
      <c r="D2085" t="s">
        <v>6486</v>
      </c>
      <c r="E2085">
        <v>2</v>
      </c>
      <c r="F2085" t="s">
        <v>1959</v>
      </c>
      <c r="G2085" t="s">
        <v>4983</v>
      </c>
      <c r="H2085">
        <v>22939</v>
      </c>
      <c r="I2085" t="s">
        <v>6487</v>
      </c>
    </row>
    <row r="2086" spans="1:9">
      <c r="A2086" t="str">
        <f>"0173462 "</f>
        <v xml:space="preserve">0173462 </v>
      </c>
      <c r="B2086" t="s">
        <v>4982</v>
      </c>
      <c r="C2086" t="s">
        <v>6488</v>
      </c>
      <c r="D2086" t="s">
        <v>6489</v>
      </c>
      <c r="E2086">
        <v>4</v>
      </c>
      <c r="F2086" t="s">
        <v>6490</v>
      </c>
      <c r="G2086" t="s">
        <v>4983</v>
      </c>
      <c r="H2086">
        <v>22988</v>
      </c>
      <c r="I2086" t="s">
        <v>6491</v>
      </c>
    </row>
    <row r="2087" spans="1:9">
      <c r="A2087" t="str">
        <f>"0173526 "</f>
        <v xml:space="preserve">0173526 </v>
      </c>
      <c r="B2087" t="s">
        <v>4982</v>
      </c>
      <c r="C2087" t="s">
        <v>6492</v>
      </c>
      <c r="D2087" t="s">
        <v>6493</v>
      </c>
      <c r="E2087">
        <v>2</v>
      </c>
      <c r="F2087" t="s">
        <v>6494</v>
      </c>
      <c r="G2087" t="s">
        <v>4983</v>
      </c>
      <c r="H2087">
        <v>23116</v>
      </c>
      <c r="I2087" t="s">
        <v>6495</v>
      </c>
    </row>
    <row r="2088" spans="1:9">
      <c r="A2088" t="str">
        <f>"0173618 "</f>
        <v xml:space="preserve">0173618 </v>
      </c>
      <c r="B2088" t="s">
        <v>4982</v>
      </c>
      <c r="C2088" t="s">
        <v>6496</v>
      </c>
      <c r="D2088" t="s">
        <v>6497</v>
      </c>
      <c r="E2088">
        <v>2</v>
      </c>
      <c r="F2088" t="s">
        <v>2447</v>
      </c>
      <c r="G2088" t="s">
        <v>4983</v>
      </c>
      <c r="H2088">
        <v>23229</v>
      </c>
      <c r="I2088" t="s">
        <v>6498</v>
      </c>
    </row>
    <row r="2089" spans="1:9">
      <c r="A2089" t="str">
        <f>"0173638 "</f>
        <v xml:space="preserve">0173638 </v>
      </c>
      <c r="B2089" t="s">
        <v>4982</v>
      </c>
      <c r="C2089" t="s">
        <v>6499</v>
      </c>
      <c r="D2089" t="s">
        <v>6500</v>
      </c>
      <c r="E2089">
        <v>1</v>
      </c>
      <c r="F2089" t="s">
        <v>5184</v>
      </c>
      <c r="G2089" t="s">
        <v>4983</v>
      </c>
      <c r="H2089">
        <v>23257</v>
      </c>
      <c r="I2089" t="s">
        <v>6501</v>
      </c>
    </row>
    <row r="2090" spans="1:9">
      <c r="A2090" t="str">
        <f>"0173687 "</f>
        <v xml:space="preserve">0173687 </v>
      </c>
      <c r="B2090" t="s">
        <v>4982</v>
      </c>
      <c r="C2090" t="s">
        <v>6502</v>
      </c>
      <c r="D2090" t="s">
        <v>6503</v>
      </c>
      <c r="E2090">
        <v>4</v>
      </c>
      <c r="F2090" t="s">
        <v>5067</v>
      </c>
      <c r="G2090" t="s">
        <v>4983</v>
      </c>
      <c r="H2090">
        <v>23356</v>
      </c>
      <c r="I2090" t="s">
        <v>6504</v>
      </c>
    </row>
    <row r="2091" spans="1:9">
      <c r="A2091" t="str">
        <f>"0173688 "</f>
        <v xml:space="preserve">0173688 </v>
      </c>
      <c r="B2091" t="s">
        <v>4982</v>
      </c>
      <c r="C2091" t="s">
        <v>6505</v>
      </c>
      <c r="D2091" t="s">
        <v>6506</v>
      </c>
      <c r="E2091">
        <v>2</v>
      </c>
      <c r="F2091" t="s">
        <v>6060</v>
      </c>
      <c r="G2091" t="s">
        <v>4983</v>
      </c>
      <c r="H2091">
        <v>23358</v>
      </c>
      <c r="I2091" t="s">
        <v>6507</v>
      </c>
    </row>
    <row r="2092" spans="1:9">
      <c r="A2092" t="str">
        <f>"0173690 "</f>
        <v xml:space="preserve">0173690 </v>
      </c>
      <c r="B2092" t="s">
        <v>4982</v>
      </c>
      <c r="C2092" t="s">
        <v>6508</v>
      </c>
      <c r="D2092" t="s">
        <v>6509</v>
      </c>
      <c r="E2092">
        <v>4</v>
      </c>
      <c r="F2092" t="s">
        <v>6510</v>
      </c>
      <c r="G2092" t="s">
        <v>4983</v>
      </c>
      <c r="H2092">
        <v>23360</v>
      </c>
      <c r="I2092" t="s">
        <v>6511</v>
      </c>
    </row>
    <row r="2093" spans="1:9">
      <c r="A2093" t="str">
        <f>"0173692 "</f>
        <v xml:space="preserve">0173692 </v>
      </c>
      <c r="B2093" t="s">
        <v>4982</v>
      </c>
      <c r="C2093" t="s">
        <v>6512</v>
      </c>
      <c r="D2093" t="s">
        <v>6513</v>
      </c>
      <c r="E2093">
        <v>4</v>
      </c>
      <c r="F2093" t="s">
        <v>1909</v>
      </c>
      <c r="G2093" t="s">
        <v>4983</v>
      </c>
      <c r="H2093">
        <v>23362</v>
      </c>
      <c r="I2093" t="s">
        <v>6514</v>
      </c>
    </row>
    <row r="2094" spans="1:9">
      <c r="A2094" t="str">
        <f>"0173723 "</f>
        <v xml:space="preserve">0173723 </v>
      </c>
      <c r="B2094" t="s">
        <v>4982</v>
      </c>
      <c r="C2094" t="s">
        <v>6515</v>
      </c>
      <c r="D2094" t="s">
        <v>6516</v>
      </c>
      <c r="E2094">
        <v>2</v>
      </c>
      <c r="F2094" t="s">
        <v>6517</v>
      </c>
      <c r="G2094" t="s">
        <v>4983</v>
      </c>
      <c r="H2094">
        <v>23410</v>
      </c>
      <c r="I2094" t="s">
        <v>6518</v>
      </c>
    </row>
    <row r="2095" spans="1:9">
      <c r="A2095" t="str">
        <f>"0173742 "</f>
        <v xml:space="preserve">0173742 </v>
      </c>
      <c r="B2095" t="s">
        <v>4982</v>
      </c>
      <c r="C2095" t="s">
        <v>6519</v>
      </c>
      <c r="D2095" t="s">
        <v>6520</v>
      </c>
      <c r="E2095">
        <v>4</v>
      </c>
      <c r="F2095" t="s">
        <v>6521</v>
      </c>
      <c r="G2095" t="s">
        <v>4983</v>
      </c>
      <c r="H2095">
        <v>23430</v>
      </c>
      <c r="I2095" t="s">
        <v>6522</v>
      </c>
    </row>
    <row r="2096" spans="1:9">
      <c r="A2096" t="str">
        <f>"0173780 "</f>
        <v xml:space="preserve">0173780 </v>
      </c>
      <c r="B2096" t="s">
        <v>4982</v>
      </c>
      <c r="C2096" t="s">
        <v>6523</v>
      </c>
      <c r="D2096" t="s">
        <v>6524</v>
      </c>
      <c r="E2096">
        <v>2</v>
      </c>
      <c r="F2096" t="s">
        <v>6525</v>
      </c>
      <c r="G2096" t="s">
        <v>4983</v>
      </c>
      <c r="H2096">
        <v>23489</v>
      </c>
      <c r="I2096" t="s">
        <v>6526</v>
      </c>
    </row>
    <row r="2097" spans="1:9">
      <c r="A2097" t="str">
        <f>"0173789 "</f>
        <v xml:space="preserve">0173789 </v>
      </c>
      <c r="B2097" t="s">
        <v>4982</v>
      </c>
      <c r="C2097" t="s">
        <v>6527</v>
      </c>
      <c r="D2097" t="s">
        <v>6528</v>
      </c>
      <c r="E2097">
        <v>2</v>
      </c>
      <c r="F2097" t="s">
        <v>6529</v>
      </c>
      <c r="G2097" t="s">
        <v>4983</v>
      </c>
      <c r="H2097">
        <v>23504</v>
      </c>
      <c r="I2097" t="s">
        <v>6530</v>
      </c>
    </row>
    <row r="2098" spans="1:9">
      <c r="A2098" t="str">
        <f>"0173891 "</f>
        <v xml:space="preserve">0173891 </v>
      </c>
      <c r="B2098" t="s">
        <v>4982</v>
      </c>
      <c r="C2098" t="s">
        <v>6531</v>
      </c>
      <c r="D2098" t="s">
        <v>6532</v>
      </c>
      <c r="E2098">
        <v>4</v>
      </c>
      <c r="F2098" t="s">
        <v>5089</v>
      </c>
      <c r="G2098" t="s">
        <v>4983</v>
      </c>
      <c r="H2098">
        <v>23636</v>
      </c>
      <c r="I2098" t="s">
        <v>6533</v>
      </c>
    </row>
    <row r="2099" spans="1:9">
      <c r="A2099" t="str">
        <f>"0173942 "</f>
        <v xml:space="preserve">0173942 </v>
      </c>
      <c r="B2099" t="s">
        <v>4982</v>
      </c>
      <c r="C2099" t="s">
        <v>6534</v>
      </c>
      <c r="D2099" t="s">
        <v>6535</v>
      </c>
      <c r="E2099">
        <v>1</v>
      </c>
      <c r="F2099" t="s">
        <v>6536</v>
      </c>
      <c r="G2099" t="s">
        <v>4983</v>
      </c>
      <c r="H2099">
        <v>23724</v>
      </c>
      <c r="I2099" t="s">
        <v>6537</v>
      </c>
    </row>
    <row r="2100" spans="1:9">
      <c r="A2100" t="str">
        <f>"0173960 "</f>
        <v xml:space="preserve">0173960 </v>
      </c>
      <c r="B2100" t="s">
        <v>4982</v>
      </c>
      <c r="C2100" t="s">
        <v>6538</v>
      </c>
      <c r="D2100" t="s">
        <v>6539</v>
      </c>
      <c r="E2100">
        <v>1</v>
      </c>
      <c r="F2100" t="s">
        <v>5514</v>
      </c>
      <c r="G2100" t="s">
        <v>4983</v>
      </c>
      <c r="H2100">
        <v>23749</v>
      </c>
      <c r="I2100" t="s">
        <v>6540</v>
      </c>
    </row>
    <row r="2101" spans="1:9">
      <c r="A2101" t="str">
        <f>"0173964 "</f>
        <v xml:space="preserve">0173964 </v>
      </c>
      <c r="B2101" t="s">
        <v>4982</v>
      </c>
      <c r="C2101" t="s">
        <v>6541</v>
      </c>
      <c r="D2101" t="s">
        <v>6542</v>
      </c>
      <c r="E2101">
        <v>3</v>
      </c>
      <c r="F2101" t="s">
        <v>6543</v>
      </c>
      <c r="G2101" t="s">
        <v>4983</v>
      </c>
      <c r="H2101">
        <v>23753</v>
      </c>
      <c r="I2101" t="s">
        <v>6544</v>
      </c>
    </row>
    <row r="2102" spans="1:9">
      <c r="A2102" t="str">
        <f>"0173979 "</f>
        <v xml:space="preserve">0173979 </v>
      </c>
      <c r="B2102" t="s">
        <v>4982</v>
      </c>
      <c r="C2102" t="s">
        <v>6545</v>
      </c>
      <c r="D2102" t="s">
        <v>6546</v>
      </c>
      <c r="E2102">
        <v>2</v>
      </c>
      <c r="F2102" t="s">
        <v>6547</v>
      </c>
      <c r="G2102" t="s">
        <v>4983</v>
      </c>
      <c r="H2102">
        <v>23777</v>
      </c>
      <c r="I2102" t="s">
        <v>6548</v>
      </c>
    </row>
    <row r="2103" spans="1:9">
      <c r="A2103" t="str">
        <f>"0174114 "</f>
        <v xml:space="preserve">0174114 </v>
      </c>
      <c r="B2103" t="s">
        <v>4982</v>
      </c>
      <c r="C2103" t="s">
        <v>6549</v>
      </c>
      <c r="D2103" t="s">
        <v>6550</v>
      </c>
      <c r="E2103">
        <v>2</v>
      </c>
      <c r="F2103" t="s">
        <v>4643</v>
      </c>
      <c r="G2103" t="s">
        <v>4983</v>
      </c>
      <c r="H2103">
        <v>23996</v>
      </c>
      <c r="I2103" t="s">
        <v>6551</v>
      </c>
    </row>
    <row r="2104" spans="1:9">
      <c r="A2104" t="str">
        <f>"0174173 "</f>
        <v xml:space="preserve">0174173 </v>
      </c>
      <c r="B2104" t="s">
        <v>4982</v>
      </c>
      <c r="C2104" t="s">
        <v>6552</v>
      </c>
      <c r="D2104" t="s">
        <v>6553</v>
      </c>
      <c r="E2104">
        <v>2</v>
      </c>
      <c r="F2104" t="s">
        <v>5332</v>
      </c>
      <c r="G2104" t="s">
        <v>4983</v>
      </c>
      <c r="H2104">
        <v>24137</v>
      </c>
      <c r="I2104" t="s">
        <v>6554</v>
      </c>
    </row>
    <row r="2105" spans="1:9">
      <c r="A2105" t="str">
        <f>"0174215 "</f>
        <v xml:space="preserve">0174215 </v>
      </c>
      <c r="B2105" t="s">
        <v>4982</v>
      </c>
      <c r="C2105" t="s">
        <v>6555</v>
      </c>
      <c r="D2105" t="s">
        <v>6556</v>
      </c>
      <c r="E2105">
        <v>2</v>
      </c>
      <c r="F2105" t="s">
        <v>6557</v>
      </c>
      <c r="G2105" t="s">
        <v>4983</v>
      </c>
      <c r="H2105">
        <v>24211</v>
      </c>
      <c r="I2105" t="s">
        <v>6558</v>
      </c>
    </row>
    <row r="2106" spans="1:9">
      <c r="A2106" t="str">
        <f>"0174216 "</f>
        <v xml:space="preserve">0174216 </v>
      </c>
      <c r="B2106" t="s">
        <v>4982</v>
      </c>
      <c r="C2106" t="s">
        <v>6559</v>
      </c>
      <c r="D2106" t="s">
        <v>6560</v>
      </c>
      <c r="E2106">
        <v>1</v>
      </c>
      <c r="F2106" t="s">
        <v>6561</v>
      </c>
      <c r="G2106" t="s">
        <v>4983</v>
      </c>
      <c r="H2106">
        <v>24212</v>
      </c>
      <c r="I2106" t="s">
        <v>6562</v>
      </c>
    </row>
    <row r="2107" spans="1:9">
      <c r="A2107" t="str">
        <f>"0174223 "</f>
        <v xml:space="preserve">0174223 </v>
      </c>
      <c r="B2107" t="s">
        <v>4982</v>
      </c>
      <c r="C2107" t="s">
        <v>6563</v>
      </c>
      <c r="D2107" t="s">
        <v>6564</v>
      </c>
      <c r="E2107">
        <v>4</v>
      </c>
      <c r="F2107" t="s">
        <v>6565</v>
      </c>
      <c r="G2107" t="s">
        <v>4983</v>
      </c>
      <c r="H2107">
        <v>24220</v>
      </c>
      <c r="I2107" t="s">
        <v>6566</v>
      </c>
    </row>
    <row r="2108" spans="1:9">
      <c r="A2108" t="str">
        <f>"0174228 "</f>
        <v xml:space="preserve">0174228 </v>
      </c>
      <c r="B2108" t="s">
        <v>4982</v>
      </c>
      <c r="C2108" t="s">
        <v>6567</v>
      </c>
      <c r="D2108" t="s">
        <v>6568</v>
      </c>
      <c r="E2108">
        <v>2</v>
      </c>
      <c r="F2108" t="s">
        <v>5902</v>
      </c>
      <c r="G2108" t="s">
        <v>4983</v>
      </c>
      <c r="H2108">
        <v>24225</v>
      </c>
      <c r="I2108" t="s">
        <v>6569</v>
      </c>
    </row>
    <row r="2109" spans="1:9">
      <c r="A2109" t="str">
        <f>"0174239 "</f>
        <v xml:space="preserve">0174239 </v>
      </c>
      <c r="B2109" t="s">
        <v>4982</v>
      </c>
      <c r="C2109" t="s">
        <v>6570</v>
      </c>
      <c r="D2109" t="s">
        <v>6571</v>
      </c>
      <c r="E2109">
        <v>4</v>
      </c>
      <c r="F2109" t="s">
        <v>6572</v>
      </c>
      <c r="G2109" t="s">
        <v>4983</v>
      </c>
      <c r="H2109">
        <v>24242</v>
      </c>
      <c r="I2109" t="s">
        <v>6573</v>
      </c>
    </row>
    <row r="2110" spans="1:9">
      <c r="A2110" t="str">
        <f>"0174240 "</f>
        <v xml:space="preserve">0174240 </v>
      </c>
      <c r="B2110" t="s">
        <v>4982</v>
      </c>
      <c r="C2110" t="s">
        <v>6574</v>
      </c>
      <c r="D2110" t="s">
        <v>6575</v>
      </c>
      <c r="E2110">
        <v>1</v>
      </c>
      <c r="F2110" t="s">
        <v>6576</v>
      </c>
      <c r="G2110" t="s">
        <v>4983</v>
      </c>
      <c r="H2110">
        <v>24245</v>
      </c>
      <c r="I2110" t="s">
        <v>6577</v>
      </c>
    </row>
    <row r="2111" spans="1:9">
      <c r="A2111" t="str">
        <f>"0174337 "</f>
        <v xml:space="preserve">0174337 </v>
      </c>
      <c r="B2111" t="s">
        <v>4982</v>
      </c>
      <c r="C2111" t="s">
        <v>6578</v>
      </c>
      <c r="D2111" t="s">
        <v>6579</v>
      </c>
      <c r="E2111">
        <v>4</v>
      </c>
      <c r="F2111" t="s">
        <v>6580</v>
      </c>
      <c r="G2111" t="s">
        <v>4983</v>
      </c>
      <c r="H2111">
        <v>24366</v>
      </c>
      <c r="I2111" t="s">
        <v>6581</v>
      </c>
    </row>
    <row r="2112" spans="1:9">
      <c r="A2112" t="str">
        <f>"0174358 "</f>
        <v xml:space="preserve">0174358 </v>
      </c>
      <c r="B2112" t="s">
        <v>4982</v>
      </c>
      <c r="C2112" t="s">
        <v>6582</v>
      </c>
      <c r="D2112" t="s">
        <v>6583</v>
      </c>
      <c r="E2112">
        <v>5</v>
      </c>
      <c r="F2112" t="s">
        <v>5798</v>
      </c>
      <c r="G2112" t="s">
        <v>4983</v>
      </c>
      <c r="H2112">
        <v>24391</v>
      </c>
      <c r="I2112" t="s">
        <v>6584</v>
      </c>
    </row>
    <row r="2113" spans="1:9">
      <c r="A2113" t="str">
        <f>"0174476 "</f>
        <v xml:space="preserve">0174476 </v>
      </c>
      <c r="B2113" t="s">
        <v>4982</v>
      </c>
      <c r="C2113" t="s">
        <v>6585</v>
      </c>
      <c r="D2113" t="s">
        <v>6586</v>
      </c>
      <c r="E2113">
        <v>2</v>
      </c>
      <c r="F2113" t="s">
        <v>6587</v>
      </c>
      <c r="G2113" t="s">
        <v>4983</v>
      </c>
      <c r="H2113">
        <v>24578</v>
      </c>
      <c r="I2113" t="s">
        <v>6588</v>
      </c>
    </row>
    <row r="2114" spans="1:9">
      <c r="A2114" t="str">
        <f>"0174497 "</f>
        <v xml:space="preserve">0174497 </v>
      </c>
      <c r="B2114" t="s">
        <v>4982</v>
      </c>
      <c r="C2114" t="s">
        <v>6589</v>
      </c>
      <c r="D2114" t="s">
        <v>6590</v>
      </c>
      <c r="E2114">
        <v>2</v>
      </c>
      <c r="F2114" t="s">
        <v>3856</v>
      </c>
      <c r="G2114" t="s">
        <v>4983</v>
      </c>
      <c r="H2114">
        <v>24623</v>
      </c>
      <c r="I2114" t="s">
        <v>6591</v>
      </c>
    </row>
    <row r="2115" spans="1:9">
      <c r="A2115" t="str">
        <f>"0174498 "</f>
        <v xml:space="preserve">0174498 </v>
      </c>
      <c r="B2115" t="s">
        <v>4982</v>
      </c>
      <c r="C2115" t="s">
        <v>6592</v>
      </c>
      <c r="D2115" t="s">
        <v>6593</v>
      </c>
      <c r="E2115">
        <v>1</v>
      </c>
      <c r="F2115" t="s">
        <v>3856</v>
      </c>
      <c r="G2115" t="s">
        <v>4983</v>
      </c>
      <c r="H2115">
        <v>24625</v>
      </c>
      <c r="I2115" t="s">
        <v>6594</v>
      </c>
    </row>
    <row r="2116" spans="1:9">
      <c r="A2116" t="str">
        <f>"0174499 "</f>
        <v xml:space="preserve">0174499 </v>
      </c>
      <c r="B2116" t="s">
        <v>4982</v>
      </c>
      <c r="C2116" t="s">
        <v>6595</v>
      </c>
      <c r="D2116" t="s">
        <v>6596</v>
      </c>
      <c r="E2116">
        <v>1</v>
      </c>
      <c r="F2116" t="s">
        <v>6597</v>
      </c>
      <c r="G2116" t="s">
        <v>4983</v>
      </c>
      <c r="H2116">
        <v>24628</v>
      </c>
      <c r="I2116" t="s">
        <v>6598</v>
      </c>
    </row>
    <row r="2117" spans="1:9">
      <c r="A2117" t="str">
        <f>"0174503 "</f>
        <v xml:space="preserve">0174503 </v>
      </c>
      <c r="B2117" t="s">
        <v>4982</v>
      </c>
      <c r="C2117" t="s">
        <v>6599</v>
      </c>
      <c r="D2117" t="s">
        <v>6600</v>
      </c>
      <c r="E2117">
        <v>4</v>
      </c>
      <c r="F2117" t="s">
        <v>6601</v>
      </c>
      <c r="G2117" t="s">
        <v>4983</v>
      </c>
      <c r="H2117">
        <v>24632</v>
      </c>
      <c r="I2117" t="s">
        <v>6602</v>
      </c>
    </row>
    <row r="2118" spans="1:9">
      <c r="A2118" t="str">
        <f>"0174570 "</f>
        <v xml:space="preserve">0174570 </v>
      </c>
      <c r="B2118" t="s">
        <v>4982</v>
      </c>
      <c r="C2118" t="s">
        <v>6603</v>
      </c>
      <c r="D2118" t="s">
        <v>6604</v>
      </c>
      <c r="E2118">
        <v>2</v>
      </c>
      <c r="F2118" t="s">
        <v>6605</v>
      </c>
      <c r="G2118" t="s">
        <v>4983</v>
      </c>
      <c r="H2118">
        <v>24753</v>
      </c>
      <c r="I2118" t="s">
        <v>6606</v>
      </c>
    </row>
    <row r="2119" spans="1:9">
      <c r="A2119" t="str">
        <f>"0174674 "</f>
        <v xml:space="preserve">0174674 </v>
      </c>
      <c r="B2119" t="s">
        <v>4982</v>
      </c>
      <c r="C2119" t="s">
        <v>6607</v>
      </c>
      <c r="D2119" t="s">
        <v>6608</v>
      </c>
      <c r="E2119">
        <v>2</v>
      </c>
      <c r="F2119" t="s">
        <v>5809</v>
      </c>
      <c r="G2119" t="s">
        <v>4983</v>
      </c>
      <c r="H2119">
        <v>24916</v>
      </c>
      <c r="I2119" t="s">
        <v>6609</v>
      </c>
    </row>
    <row r="2120" spans="1:9">
      <c r="A2120" t="str">
        <f>"0174676 "</f>
        <v xml:space="preserve">0174676 </v>
      </c>
      <c r="B2120" t="s">
        <v>4982</v>
      </c>
      <c r="C2120" t="s">
        <v>6610</v>
      </c>
      <c r="D2120" t="s">
        <v>6611</v>
      </c>
      <c r="E2120">
        <v>4</v>
      </c>
      <c r="F2120" t="s">
        <v>5862</v>
      </c>
      <c r="G2120" t="s">
        <v>4983</v>
      </c>
      <c r="H2120">
        <v>24918</v>
      </c>
      <c r="I2120" t="s">
        <v>6612</v>
      </c>
    </row>
    <row r="2121" spans="1:9">
      <c r="A2121" t="str">
        <f>"0174702 "</f>
        <v xml:space="preserve">0174702 </v>
      </c>
      <c r="B2121" t="s">
        <v>4982</v>
      </c>
      <c r="C2121" t="s">
        <v>6613</v>
      </c>
      <c r="D2121" t="s">
        <v>6614</v>
      </c>
      <c r="E2121">
        <v>2</v>
      </c>
      <c r="F2121" t="s">
        <v>5419</v>
      </c>
      <c r="G2121" t="s">
        <v>4983</v>
      </c>
      <c r="H2121">
        <v>24949</v>
      </c>
      <c r="I2121" t="s">
        <v>6615</v>
      </c>
    </row>
    <row r="2122" spans="1:9">
      <c r="A2122" t="str">
        <f>"0174703 "</f>
        <v xml:space="preserve">0174703 </v>
      </c>
      <c r="B2122" t="s">
        <v>4982</v>
      </c>
      <c r="C2122" t="s">
        <v>6616</v>
      </c>
      <c r="D2122" t="s">
        <v>6617</v>
      </c>
      <c r="E2122">
        <v>2</v>
      </c>
      <c r="F2122" t="s">
        <v>5419</v>
      </c>
      <c r="G2122" t="s">
        <v>4983</v>
      </c>
      <c r="H2122">
        <v>24950</v>
      </c>
      <c r="I2122" t="s">
        <v>6618</v>
      </c>
    </row>
    <row r="2123" spans="1:9">
      <c r="A2123" t="str">
        <f>"0174793 "</f>
        <v xml:space="preserve">0174793 </v>
      </c>
      <c r="B2123" t="s">
        <v>4982</v>
      </c>
      <c r="C2123" t="s">
        <v>6619</v>
      </c>
      <c r="D2123" t="s">
        <v>6620</v>
      </c>
      <c r="E2123">
        <v>2</v>
      </c>
      <c r="F2123" t="s">
        <v>3959</v>
      </c>
      <c r="G2123" t="s">
        <v>4983</v>
      </c>
      <c r="H2123">
        <v>25194</v>
      </c>
      <c r="I2123" t="s">
        <v>6621</v>
      </c>
    </row>
    <row r="2124" spans="1:9">
      <c r="A2124" t="str">
        <f>"0174983 "</f>
        <v xml:space="preserve">0174983 </v>
      </c>
      <c r="B2124" t="s">
        <v>4982</v>
      </c>
      <c r="C2124" t="s">
        <v>6622</v>
      </c>
      <c r="D2124" t="s">
        <v>6623</v>
      </c>
      <c r="E2124">
        <v>1</v>
      </c>
      <c r="F2124" t="s">
        <v>5252</v>
      </c>
      <c r="G2124" t="s">
        <v>4983</v>
      </c>
      <c r="H2124">
        <v>26045</v>
      </c>
      <c r="I2124" t="s">
        <v>6624</v>
      </c>
    </row>
    <row r="2125" spans="1:9">
      <c r="A2125" t="str">
        <f>"0175024 "</f>
        <v xml:space="preserve">0175024 </v>
      </c>
      <c r="B2125" t="s">
        <v>4982</v>
      </c>
      <c r="C2125" t="s">
        <v>6625</v>
      </c>
      <c r="D2125" t="s">
        <v>6626</v>
      </c>
      <c r="E2125">
        <v>1</v>
      </c>
      <c r="F2125" t="s">
        <v>5139</v>
      </c>
      <c r="G2125" t="s">
        <v>4983</v>
      </c>
      <c r="H2125">
        <v>26100</v>
      </c>
      <c r="I2125" t="s">
        <v>6627</v>
      </c>
    </row>
    <row r="2126" spans="1:9">
      <c r="A2126" t="str">
        <f>"0175093 "</f>
        <v xml:space="preserve">0175093 </v>
      </c>
      <c r="B2126" t="s">
        <v>4982</v>
      </c>
      <c r="C2126" t="s">
        <v>6628</v>
      </c>
      <c r="D2126" t="s">
        <v>6629</v>
      </c>
      <c r="E2126">
        <v>2</v>
      </c>
      <c r="F2126" t="s">
        <v>5739</v>
      </c>
      <c r="G2126" t="s">
        <v>4983</v>
      </c>
      <c r="H2126">
        <v>26177</v>
      </c>
      <c r="I2126" t="s">
        <v>6630</v>
      </c>
    </row>
    <row r="2127" spans="1:9">
      <c r="A2127" t="str">
        <f>"0175157 "</f>
        <v xml:space="preserve">0175157 </v>
      </c>
      <c r="B2127" t="s">
        <v>4982</v>
      </c>
      <c r="C2127" t="s">
        <v>6631</v>
      </c>
      <c r="D2127" t="s">
        <v>6632</v>
      </c>
      <c r="E2127">
        <v>2</v>
      </c>
      <c r="F2127" t="s">
        <v>6633</v>
      </c>
      <c r="G2127" t="s">
        <v>4983</v>
      </c>
      <c r="H2127">
        <v>26263</v>
      </c>
      <c r="I2127" t="s">
        <v>6634</v>
      </c>
    </row>
    <row r="2128" spans="1:9">
      <c r="A2128" t="str">
        <f>"0175187 "</f>
        <v xml:space="preserve">0175187 </v>
      </c>
      <c r="B2128" t="s">
        <v>4982</v>
      </c>
      <c r="C2128" t="s">
        <v>6635</v>
      </c>
      <c r="D2128" t="s">
        <v>6636</v>
      </c>
      <c r="E2128">
        <v>3</v>
      </c>
      <c r="F2128" t="s">
        <v>1932</v>
      </c>
      <c r="G2128" t="s">
        <v>4983</v>
      </c>
      <c r="H2128">
        <v>26301</v>
      </c>
      <c r="I2128" t="s">
        <v>6637</v>
      </c>
    </row>
    <row r="2129" spans="1:9">
      <c r="A2129" t="str">
        <f>"0175234 "</f>
        <v xml:space="preserve">0175234 </v>
      </c>
      <c r="B2129" t="s">
        <v>4982</v>
      </c>
      <c r="C2129" t="s">
        <v>6638</v>
      </c>
      <c r="D2129" t="s">
        <v>6639</v>
      </c>
      <c r="E2129">
        <v>4</v>
      </c>
      <c r="F2129" t="s">
        <v>6640</v>
      </c>
      <c r="G2129" t="s">
        <v>4983</v>
      </c>
      <c r="H2129">
        <v>26370</v>
      </c>
      <c r="I2129" t="s">
        <v>6641</v>
      </c>
    </row>
    <row r="2130" spans="1:9">
      <c r="A2130" t="str">
        <f>"0175246 "</f>
        <v xml:space="preserve">0175246 </v>
      </c>
      <c r="B2130" t="s">
        <v>4982</v>
      </c>
      <c r="C2130" t="s">
        <v>6642</v>
      </c>
      <c r="D2130" t="s">
        <v>6643</v>
      </c>
      <c r="E2130">
        <v>4</v>
      </c>
      <c r="F2130" t="s">
        <v>6256</v>
      </c>
      <c r="G2130" t="s">
        <v>4983</v>
      </c>
      <c r="H2130">
        <v>26386</v>
      </c>
      <c r="I2130" t="s">
        <v>6644</v>
      </c>
    </row>
    <row r="2131" spans="1:9">
      <c r="A2131" t="str">
        <f>"0175247 "</f>
        <v xml:space="preserve">0175247 </v>
      </c>
      <c r="B2131" t="s">
        <v>4982</v>
      </c>
      <c r="C2131" t="s">
        <v>6645</v>
      </c>
      <c r="D2131" t="s">
        <v>6646</v>
      </c>
      <c r="E2131">
        <v>5</v>
      </c>
      <c r="F2131" t="s">
        <v>5326</v>
      </c>
      <c r="G2131" t="s">
        <v>4983</v>
      </c>
      <c r="H2131">
        <v>26387</v>
      </c>
      <c r="I2131" t="s">
        <v>6647</v>
      </c>
    </row>
    <row r="2132" spans="1:9">
      <c r="A2132" t="str">
        <f>"0175282 "</f>
        <v xml:space="preserve">0175282 </v>
      </c>
      <c r="B2132" t="s">
        <v>4982</v>
      </c>
      <c r="C2132" t="s">
        <v>6648</v>
      </c>
      <c r="D2132" t="s">
        <v>6649</v>
      </c>
      <c r="E2132">
        <v>1</v>
      </c>
      <c r="F2132" t="s">
        <v>6650</v>
      </c>
      <c r="G2132" t="s">
        <v>4983</v>
      </c>
      <c r="H2132">
        <v>26432</v>
      </c>
      <c r="I2132" t="s">
        <v>6651</v>
      </c>
    </row>
    <row r="2133" spans="1:9">
      <c r="A2133" t="str">
        <f>"0175365 "</f>
        <v xml:space="preserve">0175365 </v>
      </c>
      <c r="B2133" t="s">
        <v>4982</v>
      </c>
      <c r="C2133" t="s">
        <v>6652</v>
      </c>
      <c r="D2133" t="s">
        <v>6653</v>
      </c>
      <c r="E2133">
        <v>4</v>
      </c>
      <c r="F2133" t="s">
        <v>6654</v>
      </c>
      <c r="G2133" t="s">
        <v>4983</v>
      </c>
      <c r="H2133">
        <v>26540</v>
      </c>
      <c r="I2133" t="s">
        <v>6655</v>
      </c>
    </row>
    <row r="2134" spans="1:9">
      <c r="A2134" t="str">
        <f>"0175366 "</f>
        <v xml:space="preserve">0175366 </v>
      </c>
      <c r="B2134" t="s">
        <v>4982</v>
      </c>
      <c r="C2134" t="s">
        <v>6656</v>
      </c>
      <c r="D2134" t="s">
        <v>6657</v>
      </c>
      <c r="E2134">
        <v>4</v>
      </c>
      <c r="F2134" t="s">
        <v>6174</v>
      </c>
      <c r="G2134" t="s">
        <v>4983</v>
      </c>
      <c r="H2134">
        <v>26541</v>
      </c>
      <c r="I2134" t="s">
        <v>6658</v>
      </c>
    </row>
    <row r="2135" spans="1:9">
      <c r="A2135" t="str">
        <f>"0175393 "</f>
        <v xml:space="preserve">0175393 </v>
      </c>
      <c r="B2135" t="s">
        <v>4982</v>
      </c>
      <c r="C2135" t="s">
        <v>6659</v>
      </c>
      <c r="D2135" t="s">
        <v>6660</v>
      </c>
      <c r="E2135">
        <v>4</v>
      </c>
      <c r="F2135" t="s">
        <v>2014</v>
      </c>
      <c r="G2135" t="s">
        <v>4983</v>
      </c>
      <c r="H2135">
        <v>26573</v>
      </c>
      <c r="I2135" t="s">
        <v>6661</v>
      </c>
    </row>
    <row r="2136" spans="1:9">
      <c r="A2136" t="str">
        <f>"0175423 "</f>
        <v xml:space="preserve">0175423 </v>
      </c>
      <c r="B2136" t="s">
        <v>4982</v>
      </c>
      <c r="C2136" t="s">
        <v>6662</v>
      </c>
      <c r="D2136" t="s">
        <v>6663</v>
      </c>
      <c r="E2136">
        <v>2</v>
      </c>
      <c r="F2136" t="s">
        <v>5400</v>
      </c>
      <c r="G2136" t="s">
        <v>4983</v>
      </c>
      <c r="H2136">
        <v>26620</v>
      </c>
      <c r="I2136" t="s">
        <v>6664</v>
      </c>
    </row>
    <row r="2137" spans="1:9">
      <c r="A2137" t="str">
        <f>"0175437 "</f>
        <v xml:space="preserve">0175437 </v>
      </c>
      <c r="B2137" t="s">
        <v>4982</v>
      </c>
      <c r="C2137" t="s">
        <v>6665</v>
      </c>
      <c r="D2137" t="s">
        <v>6666</v>
      </c>
      <c r="E2137">
        <v>3</v>
      </c>
      <c r="F2137" t="s">
        <v>6667</v>
      </c>
      <c r="G2137" t="s">
        <v>4983</v>
      </c>
      <c r="H2137">
        <v>26637</v>
      </c>
      <c r="I2137" t="s">
        <v>6668</v>
      </c>
    </row>
    <row r="2138" spans="1:9">
      <c r="A2138" t="str">
        <f>"0175553 "</f>
        <v xml:space="preserve">0175553 </v>
      </c>
      <c r="B2138" t="s">
        <v>4982</v>
      </c>
      <c r="C2138" t="s">
        <v>6669</v>
      </c>
      <c r="D2138" t="s">
        <v>6670</v>
      </c>
      <c r="E2138">
        <v>1</v>
      </c>
      <c r="F2138" t="s">
        <v>6671</v>
      </c>
      <c r="G2138" t="s">
        <v>4983</v>
      </c>
      <c r="H2138">
        <v>26770</v>
      </c>
      <c r="I2138" t="s">
        <v>6672</v>
      </c>
    </row>
    <row r="2139" spans="1:9">
      <c r="A2139" t="str">
        <f>"0175559 "</f>
        <v xml:space="preserve">0175559 </v>
      </c>
      <c r="B2139" t="s">
        <v>4982</v>
      </c>
      <c r="C2139" t="s">
        <v>6673</v>
      </c>
      <c r="D2139" t="s">
        <v>6674</v>
      </c>
      <c r="E2139">
        <v>2</v>
      </c>
      <c r="F2139" t="s">
        <v>6675</v>
      </c>
      <c r="G2139" t="s">
        <v>4983</v>
      </c>
      <c r="H2139">
        <v>26792</v>
      </c>
      <c r="I2139" t="s">
        <v>6544</v>
      </c>
    </row>
    <row r="2140" spans="1:9">
      <c r="A2140" t="str">
        <f>"0175609 "</f>
        <v xml:space="preserve">0175609 </v>
      </c>
      <c r="B2140" t="s">
        <v>4982</v>
      </c>
      <c r="C2140" t="s">
        <v>6676</v>
      </c>
      <c r="D2140" t="s">
        <v>6677</v>
      </c>
      <c r="E2140">
        <v>4</v>
      </c>
      <c r="F2140" t="s">
        <v>5454</v>
      </c>
      <c r="G2140" t="s">
        <v>4983</v>
      </c>
      <c r="H2140">
        <v>26866</v>
      </c>
      <c r="I2140" t="s">
        <v>6678</v>
      </c>
    </row>
    <row r="2141" spans="1:9">
      <c r="A2141" t="str">
        <f>"0175735 "</f>
        <v xml:space="preserve">0175735 </v>
      </c>
      <c r="B2141" t="s">
        <v>4982</v>
      </c>
      <c r="C2141" t="s">
        <v>6679</v>
      </c>
      <c r="D2141" t="s">
        <v>6680</v>
      </c>
      <c r="E2141" t="s">
        <v>16</v>
      </c>
      <c r="F2141" t="s">
        <v>5102</v>
      </c>
      <c r="G2141" t="s">
        <v>4983</v>
      </c>
      <c r="H2141">
        <v>27038</v>
      </c>
      <c r="I2141" t="s">
        <v>6681</v>
      </c>
    </row>
    <row r="2142" spans="1:9">
      <c r="A2142" t="str">
        <f>"0175756 "</f>
        <v xml:space="preserve">0175756 </v>
      </c>
      <c r="B2142" t="s">
        <v>4982</v>
      </c>
      <c r="C2142" t="s">
        <v>6682</v>
      </c>
      <c r="D2142" t="s">
        <v>6683</v>
      </c>
      <c r="E2142">
        <v>2</v>
      </c>
      <c r="F2142" t="s">
        <v>6684</v>
      </c>
      <c r="G2142" t="s">
        <v>4983</v>
      </c>
      <c r="H2142">
        <v>27066</v>
      </c>
      <c r="I2142" t="s">
        <v>6685</v>
      </c>
    </row>
    <row r="2143" spans="1:9">
      <c r="A2143" t="str">
        <f>"0175774 "</f>
        <v xml:space="preserve">0175774 </v>
      </c>
      <c r="B2143" t="s">
        <v>4982</v>
      </c>
      <c r="C2143" t="s">
        <v>6686</v>
      </c>
      <c r="D2143" t="s">
        <v>6687</v>
      </c>
      <c r="E2143">
        <v>4</v>
      </c>
      <c r="F2143" t="s">
        <v>6688</v>
      </c>
      <c r="G2143" t="s">
        <v>4983</v>
      </c>
      <c r="H2143">
        <v>27095</v>
      </c>
      <c r="I2143" t="s">
        <v>6689</v>
      </c>
    </row>
    <row r="2144" spans="1:9">
      <c r="A2144" t="str">
        <f>"0175806 "</f>
        <v xml:space="preserve">0175806 </v>
      </c>
      <c r="B2144" t="s">
        <v>4982</v>
      </c>
      <c r="C2144" t="s">
        <v>6690</v>
      </c>
      <c r="D2144" t="s">
        <v>6691</v>
      </c>
      <c r="E2144" t="s">
        <v>16</v>
      </c>
      <c r="F2144" t="s">
        <v>5069</v>
      </c>
      <c r="G2144" t="s">
        <v>4983</v>
      </c>
      <c r="H2144">
        <v>27155</v>
      </c>
      <c r="I2144" t="s">
        <v>6692</v>
      </c>
    </row>
    <row r="2145" spans="1:9">
      <c r="A2145" t="str">
        <f>"0175809 "</f>
        <v xml:space="preserve">0175809 </v>
      </c>
      <c r="B2145" t="s">
        <v>4982</v>
      </c>
      <c r="C2145" t="s">
        <v>6693</v>
      </c>
      <c r="D2145" t="s">
        <v>6694</v>
      </c>
      <c r="E2145">
        <v>2</v>
      </c>
      <c r="F2145" t="s">
        <v>1909</v>
      </c>
      <c r="G2145" t="s">
        <v>4983</v>
      </c>
      <c r="H2145">
        <v>27160</v>
      </c>
      <c r="I2145" t="s">
        <v>6695</v>
      </c>
    </row>
    <row r="2146" spans="1:9">
      <c r="A2146" t="str">
        <f>"0175872 "</f>
        <v xml:space="preserve">0175872 </v>
      </c>
      <c r="B2146" t="s">
        <v>4982</v>
      </c>
      <c r="C2146" t="s">
        <v>6696</v>
      </c>
      <c r="D2146" t="s">
        <v>6697</v>
      </c>
      <c r="E2146">
        <v>3</v>
      </c>
      <c r="F2146" t="s">
        <v>6698</v>
      </c>
      <c r="G2146" t="s">
        <v>4983</v>
      </c>
      <c r="H2146">
        <v>27245</v>
      </c>
      <c r="I2146" t="s">
        <v>6699</v>
      </c>
    </row>
    <row r="2147" spans="1:9">
      <c r="A2147" t="str">
        <f>"0175915 "</f>
        <v xml:space="preserve">0175915 </v>
      </c>
      <c r="B2147" t="s">
        <v>4982</v>
      </c>
      <c r="C2147" t="s">
        <v>6700</v>
      </c>
      <c r="D2147" t="s">
        <v>6701</v>
      </c>
      <c r="E2147">
        <v>2</v>
      </c>
      <c r="F2147" t="s">
        <v>6702</v>
      </c>
      <c r="G2147" t="s">
        <v>4983</v>
      </c>
      <c r="H2147">
        <v>27299</v>
      </c>
      <c r="I2147" t="s">
        <v>6703</v>
      </c>
    </row>
    <row r="2148" spans="1:9">
      <c r="A2148" t="str">
        <f>"0175917 "</f>
        <v xml:space="preserve">0175917 </v>
      </c>
      <c r="B2148" t="s">
        <v>4982</v>
      </c>
      <c r="C2148" t="s">
        <v>6704</v>
      </c>
      <c r="D2148" t="s">
        <v>6705</v>
      </c>
      <c r="E2148">
        <v>4</v>
      </c>
      <c r="F2148" t="s">
        <v>6706</v>
      </c>
      <c r="G2148" t="s">
        <v>4983</v>
      </c>
      <c r="H2148">
        <v>27301</v>
      </c>
      <c r="I2148" t="s">
        <v>6707</v>
      </c>
    </row>
    <row r="2149" spans="1:9">
      <c r="A2149" t="str">
        <f>"0175930 "</f>
        <v xml:space="preserve">0175930 </v>
      </c>
      <c r="B2149" t="s">
        <v>4982</v>
      </c>
      <c r="C2149" t="s">
        <v>6708</v>
      </c>
      <c r="D2149" t="s">
        <v>6709</v>
      </c>
      <c r="E2149">
        <v>1</v>
      </c>
      <c r="F2149" t="s">
        <v>6710</v>
      </c>
      <c r="G2149" t="s">
        <v>4983</v>
      </c>
      <c r="H2149">
        <v>27317</v>
      </c>
      <c r="I2149" t="s">
        <v>6711</v>
      </c>
    </row>
    <row r="2150" spans="1:9">
      <c r="A2150" t="str">
        <f>"0176003 "</f>
        <v xml:space="preserve">0176003 </v>
      </c>
      <c r="B2150" t="s">
        <v>4982</v>
      </c>
      <c r="C2150" t="s">
        <v>6712</v>
      </c>
      <c r="D2150" t="s">
        <v>6713</v>
      </c>
      <c r="E2150" t="s">
        <v>16</v>
      </c>
      <c r="F2150" t="s">
        <v>5035</v>
      </c>
      <c r="G2150" t="s">
        <v>4983</v>
      </c>
      <c r="H2150">
        <v>27413</v>
      </c>
      <c r="I2150" t="s">
        <v>6714</v>
      </c>
    </row>
    <row r="2151" spans="1:9">
      <c r="A2151" t="str">
        <f>"0176014 "</f>
        <v xml:space="preserve">0176014 </v>
      </c>
      <c r="B2151" t="s">
        <v>4982</v>
      </c>
      <c r="C2151" t="s">
        <v>6715</v>
      </c>
      <c r="D2151" t="s">
        <v>6716</v>
      </c>
      <c r="E2151">
        <v>4</v>
      </c>
      <c r="F2151" t="s">
        <v>6717</v>
      </c>
      <c r="G2151" t="s">
        <v>4983</v>
      </c>
      <c r="H2151">
        <v>27424</v>
      </c>
      <c r="I2151" t="s">
        <v>6718</v>
      </c>
    </row>
    <row r="2152" spans="1:9">
      <c r="A2152" t="str">
        <f>"0176039 "</f>
        <v xml:space="preserve">0176039 </v>
      </c>
      <c r="B2152" t="s">
        <v>4982</v>
      </c>
      <c r="C2152" t="s">
        <v>6719</v>
      </c>
      <c r="D2152" t="s">
        <v>6720</v>
      </c>
      <c r="E2152">
        <v>1</v>
      </c>
      <c r="F2152" t="s">
        <v>4987</v>
      </c>
      <c r="G2152" t="s">
        <v>4983</v>
      </c>
      <c r="H2152">
        <v>27459</v>
      </c>
      <c r="I2152" t="s">
        <v>6721</v>
      </c>
    </row>
    <row r="2153" spans="1:9">
      <c r="A2153" t="str">
        <f>"0176072 "</f>
        <v xml:space="preserve">0176072 </v>
      </c>
      <c r="B2153" t="s">
        <v>4982</v>
      </c>
      <c r="C2153" t="s">
        <v>6722</v>
      </c>
      <c r="D2153" t="s">
        <v>6723</v>
      </c>
      <c r="E2153">
        <v>2</v>
      </c>
      <c r="F2153" t="s">
        <v>6724</v>
      </c>
      <c r="G2153" t="s">
        <v>4983</v>
      </c>
      <c r="H2153">
        <v>27505</v>
      </c>
      <c r="I2153" t="s">
        <v>6725</v>
      </c>
    </row>
    <row r="2154" spans="1:9">
      <c r="A2154" t="str">
        <f>"0176083 "</f>
        <v xml:space="preserve">0176083 </v>
      </c>
      <c r="B2154" t="s">
        <v>4982</v>
      </c>
      <c r="C2154" t="s">
        <v>6726</v>
      </c>
      <c r="D2154" t="s">
        <v>6727</v>
      </c>
      <c r="E2154">
        <v>2</v>
      </c>
      <c r="F2154" t="s">
        <v>6416</v>
      </c>
      <c r="G2154" t="s">
        <v>4983</v>
      </c>
      <c r="H2154">
        <v>27524</v>
      </c>
      <c r="I2154" t="s">
        <v>6728</v>
      </c>
    </row>
    <row r="2155" spans="1:9">
      <c r="A2155" t="str">
        <f>"0176116 "</f>
        <v xml:space="preserve">0176116 </v>
      </c>
      <c r="B2155" t="s">
        <v>4982</v>
      </c>
      <c r="C2155" t="s">
        <v>6729</v>
      </c>
      <c r="D2155" t="s">
        <v>6730</v>
      </c>
      <c r="E2155">
        <v>1</v>
      </c>
      <c r="F2155" t="s">
        <v>6731</v>
      </c>
      <c r="G2155" t="s">
        <v>4983</v>
      </c>
      <c r="H2155">
        <v>27572</v>
      </c>
      <c r="I2155" t="s">
        <v>5080</v>
      </c>
    </row>
    <row r="2156" spans="1:9">
      <c r="A2156" t="str">
        <f>"0176173 "</f>
        <v xml:space="preserve">0176173 </v>
      </c>
      <c r="B2156" t="s">
        <v>4982</v>
      </c>
      <c r="C2156" t="s">
        <v>6732</v>
      </c>
      <c r="D2156" t="s">
        <v>6733</v>
      </c>
      <c r="E2156">
        <v>4</v>
      </c>
      <c r="F2156" t="s">
        <v>6187</v>
      </c>
      <c r="G2156" t="s">
        <v>4983</v>
      </c>
      <c r="H2156">
        <v>27638</v>
      </c>
      <c r="I2156" t="s">
        <v>6734</v>
      </c>
    </row>
    <row r="2157" spans="1:9">
      <c r="A2157" t="str">
        <f>"0176175 "</f>
        <v xml:space="preserve">0176175 </v>
      </c>
      <c r="B2157" t="s">
        <v>4982</v>
      </c>
      <c r="C2157" t="s">
        <v>6735</v>
      </c>
      <c r="D2157" t="s">
        <v>6736</v>
      </c>
      <c r="E2157">
        <v>4</v>
      </c>
      <c r="F2157" t="s">
        <v>6737</v>
      </c>
      <c r="G2157" t="s">
        <v>4983</v>
      </c>
      <c r="H2157">
        <v>27640</v>
      </c>
      <c r="I2157" t="s">
        <v>6738</v>
      </c>
    </row>
    <row r="2158" spans="1:9">
      <c r="A2158" t="str">
        <f>"0176221 "</f>
        <v xml:space="preserve">0176221 </v>
      </c>
      <c r="B2158" t="s">
        <v>4982</v>
      </c>
      <c r="C2158" t="s">
        <v>6739</v>
      </c>
      <c r="D2158" t="s">
        <v>6740</v>
      </c>
      <c r="E2158">
        <v>2</v>
      </c>
      <c r="F2158" t="s">
        <v>6741</v>
      </c>
      <c r="G2158" t="s">
        <v>4983</v>
      </c>
      <c r="H2158">
        <v>27698</v>
      </c>
      <c r="I2158" t="s">
        <v>6742</v>
      </c>
    </row>
    <row r="2159" spans="1:9">
      <c r="A2159" t="str">
        <f>"0176323 "</f>
        <v xml:space="preserve">0176323 </v>
      </c>
      <c r="B2159" t="s">
        <v>4982</v>
      </c>
      <c r="C2159" t="s">
        <v>6743</v>
      </c>
      <c r="D2159" t="s">
        <v>6744</v>
      </c>
      <c r="E2159">
        <v>2</v>
      </c>
      <c r="F2159" t="s">
        <v>3189</v>
      </c>
      <c r="G2159" t="s">
        <v>4983</v>
      </c>
      <c r="H2159">
        <v>27834</v>
      </c>
      <c r="I2159" t="s">
        <v>6745</v>
      </c>
    </row>
    <row r="2160" spans="1:9">
      <c r="A2160" t="str">
        <f>"0176338 "</f>
        <v xml:space="preserve">0176338 </v>
      </c>
      <c r="B2160" t="s">
        <v>4982</v>
      </c>
      <c r="C2160" t="s">
        <v>6746</v>
      </c>
      <c r="D2160" t="s">
        <v>6747</v>
      </c>
      <c r="E2160">
        <v>4</v>
      </c>
      <c r="F2160" t="s">
        <v>6748</v>
      </c>
      <c r="G2160" t="s">
        <v>4983</v>
      </c>
      <c r="H2160">
        <v>27854</v>
      </c>
      <c r="I2160" t="s">
        <v>6749</v>
      </c>
    </row>
    <row r="2161" spans="1:9">
      <c r="A2161" t="str">
        <f>"0176360 "</f>
        <v xml:space="preserve">0176360 </v>
      </c>
      <c r="B2161" t="s">
        <v>4982</v>
      </c>
      <c r="C2161" t="s">
        <v>6750</v>
      </c>
      <c r="D2161" t="s">
        <v>6751</v>
      </c>
      <c r="E2161">
        <v>2</v>
      </c>
      <c r="F2161" t="s">
        <v>5046</v>
      </c>
      <c r="G2161" t="s">
        <v>4983</v>
      </c>
      <c r="H2161">
        <v>27876</v>
      </c>
      <c r="I2161" t="s">
        <v>6752</v>
      </c>
    </row>
    <row r="2162" spans="1:9">
      <c r="A2162" t="str">
        <f>"0176443 "</f>
        <v xml:space="preserve">0176443 </v>
      </c>
      <c r="B2162" t="s">
        <v>4982</v>
      </c>
      <c r="C2162" t="s">
        <v>6753</v>
      </c>
      <c r="D2162" t="s">
        <v>6754</v>
      </c>
      <c r="E2162">
        <v>4</v>
      </c>
      <c r="F2162" t="s">
        <v>6755</v>
      </c>
      <c r="G2162" t="s">
        <v>4983</v>
      </c>
      <c r="H2162">
        <v>27982</v>
      </c>
      <c r="I2162" t="s">
        <v>6756</v>
      </c>
    </row>
    <row r="2163" spans="1:9">
      <c r="A2163" t="str">
        <f>"0176455 "</f>
        <v xml:space="preserve">0176455 </v>
      </c>
      <c r="B2163" t="s">
        <v>4982</v>
      </c>
      <c r="C2163" t="s">
        <v>6757</v>
      </c>
      <c r="D2163" t="s">
        <v>6758</v>
      </c>
      <c r="E2163">
        <v>4</v>
      </c>
      <c r="F2163" t="s">
        <v>6494</v>
      </c>
      <c r="G2163" t="s">
        <v>4983</v>
      </c>
      <c r="H2163">
        <v>27996</v>
      </c>
      <c r="I2163" t="s">
        <v>6759</v>
      </c>
    </row>
    <row r="2164" spans="1:9">
      <c r="A2164" t="str">
        <f>"0176538 "</f>
        <v xml:space="preserve">0176538 </v>
      </c>
      <c r="B2164" t="s">
        <v>4982</v>
      </c>
      <c r="C2164" t="s">
        <v>6760</v>
      </c>
      <c r="D2164" t="s">
        <v>6761</v>
      </c>
      <c r="E2164">
        <v>2</v>
      </c>
      <c r="F2164" t="s">
        <v>5067</v>
      </c>
      <c r="G2164" t="s">
        <v>4983</v>
      </c>
      <c r="H2164">
        <v>28100</v>
      </c>
      <c r="I2164" t="s">
        <v>6762</v>
      </c>
    </row>
    <row r="2165" spans="1:9">
      <c r="A2165" t="str">
        <f>"0176615 "</f>
        <v xml:space="preserve">0176615 </v>
      </c>
      <c r="B2165" t="s">
        <v>4982</v>
      </c>
      <c r="C2165" t="s">
        <v>6763</v>
      </c>
      <c r="D2165" t="s">
        <v>6764</v>
      </c>
      <c r="E2165">
        <v>4</v>
      </c>
      <c r="F2165" t="s">
        <v>6765</v>
      </c>
      <c r="G2165" t="s">
        <v>4983</v>
      </c>
      <c r="H2165">
        <v>28200</v>
      </c>
      <c r="I2165" t="s">
        <v>6766</v>
      </c>
    </row>
    <row r="2166" spans="1:9">
      <c r="A2166" t="str">
        <f>"0176681 "</f>
        <v xml:space="preserve">0176681 </v>
      </c>
      <c r="B2166" t="s">
        <v>4982</v>
      </c>
      <c r="C2166" t="s">
        <v>6767</v>
      </c>
      <c r="D2166" t="s">
        <v>6768</v>
      </c>
      <c r="E2166">
        <v>4</v>
      </c>
      <c r="F2166" t="s">
        <v>5445</v>
      </c>
      <c r="G2166" t="s">
        <v>4983</v>
      </c>
      <c r="H2166">
        <v>28282</v>
      </c>
      <c r="I2166" t="s">
        <v>6769</v>
      </c>
    </row>
    <row r="2167" spans="1:9">
      <c r="A2167" t="str">
        <f>"0176722 "</f>
        <v xml:space="preserve">0176722 </v>
      </c>
      <c r="B2167" t="s">
        <v>4982</v>
      </c>
      <c r="C2167" t="s">
        <v>6770</v>
      </c>
      <c r="D2167" t="s">
        <v>6771</v>
      </c>
      <c r="E2167">
        <v>4</v>
      </c>
      <c r="F2167" t="s">
        <v>6772</v>
      </c>
      <c r="G2167" t="s">
        <v>4983</v>
      </c>
      <c r="H2167">
        <v>28335</v>
      </c>
      <c r="I2167" t="s">
        <v>6773</v>
      </c>
    </row>
    <row r="2168" spans="1:9">
      <c r="A2168" t="str">
        <f>"0176737 "</f>
        <v xml:space="preserve">0176737 </v>
      </c>
      <c r="B2168" t="s">
        <v>4982</v>
      </c>
      <c r="C2168" t="s">
        <v>6774</v>
      </c>
      <c r="D2168" t="s">
        <v>6775</v>
      </c>
      <c r="E2168">
        <v>3</v>
      </c>
      <c r="F2168" t="s">
        <v>5089</v>
      </c>
      <c r="G2168" t="s">
        <v>4983</v>
      </c>
      <c r="H2168">
        <v>28351</v>
      </c>
      <c r="I2168" t="s">
        <v>6776</v>
      </c>
    </row>
    <row r="2169" spans="1:9">
      <c r="A2169" t="str">
        <f>"0176778 "</f>
        <v xml:space="preserve">0176778 </v>
      </c>
      <c r="B2169" t="s">
        <v>4982</v>
      </c>
      <c r="C2169" t="s">
        <v>6777</v>
      </c>
      <c r="D2169" t="s">
        <v>6778</v>
      </c>
      <c r="E2169" t="s">
        <v>16</v>
      </c>
      <c r="F2169" s="1">
        <v>42844</v>
      </c>
      <c r="G2169" t="s">
        <v>4983</v>
      </c>
      <c r="H2169">
        <v>28407</v>
      </c>
      <c r="I2169" t="s">
        <v>6779</v>
      </c>
    </row>
    <row r="2170" spans="1:9">
      <c r="A2170" t="str">
        <f>"0176784 "</f>
        <v xml:space="preserve">0176784 </v>
      </c>
      <c r="B2170" t="s">
        <v>4982</v>
      </c>
      <c r="C2170" t="s">
        <v>6780</v>
      </c>
      <c r="D2170" t="s">
        <v>6781</v>
      </c>
      <c r="E2170">
        <v>4</v>
      </c>
      <c r="F2170" t="s">
        <v>6782</v>
      </c>
      <c r="G2170" t="s">
        <v>4983</v>
      </c>
      <c r="H2170">
        <v>28420</v>
      </c>
      <c r="I2170" t="s">
        <v>6783</v>
      </c>
    </row>
    <row r="2171" spans="1:9">
      <c r="A2171" t="str">
        <f>"0176840 "</f>
        <v xml:space="preserve">0176840 </v>
      </c>
      <c r="B2171" t="s">
        <v>4982</v>
      </c>
      <c r="C2171" t="s">
        <v>6784</v>
      </c>
      <c r="D2171" t="s">
        <v>6785</v>
      </c>
      <c r="E2171">
        <v>1</v>
      </c>
      <c r="F2171" t="s">
        <v>6786</v>
      </c>
      <c r="G2171" t="s">
        <v>4983</v>
      </c>
      <c r="H2171">
        <v>28491</v>
      </c>
      <c r="I2171" t="s">
        <v>6787</v>
      </c>
    </row>
    <row r="2172" spans="1:9">
      <c r="A2172" t="str">
        <f>"0176862 "</f>
        <v xml:space="preserve">0176862 </v>
      </c>
      <c r="B2172" t="s">
        <v>4982</v>
      </c>
      <c r="C2172" t="s">
        <v>6788</v>
      </c>
      <c r="D2172" t="s">
        <v>6789</v>
      </c>
      <c r="E2172">
        <v>4</v>
      </c>
      <c r="F2172" t="s">
        <v>5213</v>
      </c>
      <c r="G2172" t="s">
        <v>4983</v>
      </c>
      <c r="H2172">
        <v>28529</v>
      </c>
      <c r="I2172" t="s">
        <v>6790</v>
      </c>
    </row>
    <row r="2173" spans="1:9">
      <c r="A2173" t="str">
        <f>"0176896 "</f>
        <v xml:space="preserve">0176896 </v>
      </c>
      <c r="B2173" t="s">
        <v>4982</v>
      </c>
      <c r="C2173" t="s">
        <v>6791</v>
      </c>
      <c r="D2173" t="s">
        <v>6792</v>
      </c>
      <c r="E2173">
        <v>2</v>
      </c>
      <c r="F2173" t="s">
        <v>6793</v>
      </c>
      <c r="G2173" t="s">
        <v>4983</v>
      </c>
      <c r="H2173">
        <v>28579</v>
      </c>
      <c r="I2173" t="s">
        <v>6794</v>
      </c>
    </row>
    <row r="2174" spans="1:9">
      <c r="A2174" t="str">
        <f>"0177246 "</f>
        <v xml:space="preserve">0177246 </v>
      </c>
      <c r="B2174" t="s">
        <v>4982</v>
      </c>
      <c r="C2174" t="s">
        <v>6795</v>
      </c>
      <c r="D2174" t="s">
        <v>6796</v>
      </c>
      <c r="E2174" t="s">
        <v>16</v>
      </c>
      <c r="F2174" s="3">
        <v>44409</v>
      </c>
      <c r="G2174" t="s">
        <v>4983</v>
      </c>
      <c r="H2174">
        <v>29140</v>
      </c>
      <c r="I2174" t="s">
        <v>6797</v>
      </c>
    </row>
    <row r="2175" spans="1:9">
      <c r="A2175" t="str">
        <f>"0177271 "</f>
        <v xml:space="preserve">0177271 </v>
      </c>
      <c r="B2175" t="s">
        <v>4982</v>
      </c>
      <c r="C2175" t="s">
        <v>6798</v>
      </c>
      <c r="D2175" t="s">
        <v>6799</v>
      </c>
      <c r="E2175">
        <v>4</v>
      </c>
      <c r="F2175" t="s">
        <v>6737</v>
      </c>
      <c r="G2175" t="s">
        <v>4983</v>
      </c>
      <c r="H2175">
        <v>29208</v>
      </c>
      <c r="I2175" t="s">
        <v>6282</v>
      </c>
    </row>
    <row r="2176" spans="1:9">
      <c r="A2176" t="str">
        <f>"0177282 "</f>
        <v xml:space="preserve">0177282 </v>
      </c>
      <c r="B2176" t="s">
        <v>4982</v>
      </c>
      <c r="C2176" t="s">
        <v>6800</v>
      </c>
      <c r="D2176" t="s">
        <v>6801</v>
      </c>
      <c r="E2176">
        <v>2</v>
      </c>
      <c r="F2176" t="s">
        <v>3189</v>
      </c>
      <c r="G2176" t="s">
        <v>4983</v>
      </c>
      <c r="H2176">
        <v>29223</v>
      </c>
      <c r="I2176" t="s">
        <v>6802</v>
      </c>
    </row>
    <row r="2177" spans="1:9">
      <c r="A2177" t="str">
        <f>"0177283 "</f>
        <v xml:space="preserve">0177283 </v>
      </c>
      <c r="B2177" t="s">
        <v>4982</v>
      </c>
      <c r="C2177" t="s">
        <v>6803</v>
      </c>
      <c r="D2177" t="s">
        <v>6804</v>
      </c>
      <c r="E2177">
        <v>4</v>
      </c>
      <c r="F2177" t="s">
        <v>3189</v>
      </c>
      <c r="G2177" t="s">
        <v>4983</v>
      </c>
      <c r="H2177">
        <v>29224</v>
      </c>
      <c r="I2177" t="s">
        <v>6805</v>
      </c>
    </row>
    <row r="2178" spans="1:9">
      <c r="A2178" t="str">
        <f>"0177399 "</f>
        <v xml:space="preserve">0177399 </v>
      </c>
      <c r="B2178" t="s">
        <v>4982</v>
      </c>
      <c r="C2178" t="s">
        <v>6806</v>
      </c>
      <c r="D2178" t="s">
        <v>6807</v>
      </c>
      <c r="E2178">
        <v>4</v>
      </c>
      <c r="F2178" t="s">
        <v>6808</v>
      </c>
      <c r="G2178" t="s">
        <v>4983</v>
      </c>
      <c r="H2178">
        <v>29366</v>
      </c>
      <c r="I2178" t="s">
        <v>6809</v>
      </c>
    </row>
    <row r="2179" spans="1:9">
      <c r="A2179" t="str">
        <f>"0177408 "</f>
        <v xml:space="preserve">0177408 </v>
      </c>
      <c r="B2179" t="s">
        <v>4982</v>
      </c>
      <c r="C2179" t="s">
        <v>6810</v>
      </c>
      <c r="D2179" t="s">
        <v>6811</v>
      </c>
      <c r="E2179">
        <v>4</v>
      </c>
      <c r="F2179" t="s">
        <v>6812</v>
      </c>
      <c r="G2179" t="s">
        <v>4983</v>
      </c>
      <c r="H2179">
        <v>29385</v>
      </c>
      <c r="I2179" t="s">
        <v>6813</v>
      </c>
    </row>
    <row r="2180" spans="1:9">
      <c r="A2180" t="str">
        <f>"0177426 "</f>
        <v xml:space="preserve">0177426 </v>
      </c>
      <c r="B2180" t="s">
        <v>4982</v>
      </c>
      <c r="C2180" t="s">
        <v>6814</v>
      </c>
      <c r="D2180" t="s">
        <v>6815</v>
      </c>
      <c r="E2180">
        <v>2</v>
      </c>
      <c r="F2180" t="s">
        <v>5274</v>
      </c>
      <c r="G2180" t="s">
        <v>4983</v>
      </c>
      <c r="H2180">
        <v>29406</v>
      </c>
      <c r="I2180" t="s">
        <v>6816</v>
      </c>
    </row>
    <row r="2181" spans="1:9">
      <c r="A2181" t="str">
        <f>"0177458 "</f>
        <v xml:space="preserve">0177458 </v>
      </c>
      <c r="B2181" t="s">
        <v>4982</v>
      </c>
      <c r="C2181" t="s">
        <v>6817</v>
      </c>
      <c r="D2181" t="s">
        <v>6818</v>
      </c>
      <c r="E2181" t="s">
        <v>16</v>
      </c>
      <c r="F2181" t="s">
        <v>6819</v>
      </c>
      <c r="G2181" t="s">
        <v>4983</v>
      </c>
      <c r="H2181">
        <v>29451</v>
      </c>
      <c r="I2181" t="s">
        <v>6820</v>
      </c>
    </row>
    <row r="2182" spans="1:9">
      <c r="A2182" t="str">
        <f>"0177462 "</f>
        <v xml:space="preserve">0177462 </v>
      </c>
      <c r="B2182" t="s">
        <v>4982</v>
      </c>
      <c r="C2182" t="s">
        <v>6821</v>
      </c>
      <c r="D2182" t="s">
        <v>6822</v>
      </c>
      <c r="E2182" t="s">
        <v>16</v>
      </c>
      <c r="F2182" t="s">
        <v>6565</v>
      </c>
      <c r="G2182" t="s">
        <v>4983</v>
      </c>
      <c r="H2182">
        <v>29463</v>
      </c>
      <c r="I2182" t="s">
        <v>6823</v>
      </c>
    </row>
    <row r="2183" spans="1:9">
      <c r="A2183" t="str">
        <f>"0177526 "</f>
        <v xml:space="preserve">0177526 </v>
      </c>
      <c r="B2183" t="s">
        <v>4982</v>
      </c>
      <c r="C2183" t="s">
        <v>6824</v>
      </c>
      <c r="D2183" t="s">
        <v>6825</v>
      </c>
      <c r="E2183">
        <v>2</v>
      </c>
      <c r="F2183" t="s">
        <v>2692</v>
      </c>
      <c r="G2183" t="s">
        <v>4983</v>
      </c>
      <c r="H2183">
        <v>29568</v>
      </c>
      <c r="I2183" t="s">
        <v>6826</v>
      </c>
    </row>
    <row r="2184" spans="1:9">
      <c r="A2184" t="str">
        <f>"0177557 "</f>
        <v xml:space="preserve">0177557 </v>
      </c>
      <c r="B2184" t="s">
        <v>4982</v>
      </c>
      <c r="C2184" t="s">
        <v>6827</v>
      </c>
      <c r="D2184" t="s">
        <v>6828</v>
      </c>
      <c r="E2184" t="s">
        <v>16</v>
      </c>
      <c r="F2184" t="s">
        <v>5926</v>
      </c>
      <c r="G2184" t="s">
        <v>4983</v>
      </c>
      <c r="H2184">
        <v>29623</v>
      </c>
      <c r="I2184" t="s">
        <v>6829</v>
      </c>
    </row>
    <row r="2185" spans="1:9">
      <c r="A2185" t="str">
        <f>"0177558 "</f>
        <v xml:space="preserve">0177558 </v>
      </c>
      <c r="B2185" t="s">
        <v>4982</v>
      </c>
      <c r="C2185" t="s">
        <v>6830</v>
      </c>
      <c r="D2185" t="s">
        <v>6831</v>
      </c>
      <c r="E2185" t="s">
        <v>16</v>
      </c>
      <c r="F2185" t="s">
        <v>5926</v>
      </c>
      <c r="G2185" t="s">
        <v>4983</v>
      </c>
      <c r="H2185">
        <v>29624</v>
      </c>
      <c r="I2185" t="s">
        <v>6832</v>
      </c>
    </row>
    <row r="2186" spans="1:9">
      <c r="A2186" t="str">
        <f>"0177559 "</f>
        <v xml:space="preserve">0177559 </v>
      </c>
      <c r="B2186" t="s">
        <v>4982</v>
      </c>
      <c r="C2186" t="s">
        <v>6833</v>
      </c>
      <c r="D2186" t="s">
        <v>6834</v>
      </c>
      <c r="E2186">
        <v>4</v>
      </c>
      <c r="F2186" t="s">
        <v>6442</v>
      </c>
      <c r="G2186" t="s">
        <v>4983</v>
      </c>
      <c r="H2186">
        <v>29625</v>
      </c>
      <c r="I2186" t="s">
        <v>6835</v>
      </c>
    </row>
    <row r="2187" spans="1:9">
      <c r="A2187" t="str">
        <f>"0177599 "</f>
        <v xml:space="preserve">0177599 </v>
      </c>
      <c r="B2187" t="s">
        <v>4982</v>
      </c>
      <c r="C2187" t="s">
        <v>6836</v>
      </c>
      <c r="D2187" t="s">
        <v>6837</v>
      </c>
      <c r="E2187">
        <v>2</v>
      </c>
      <c r="F2187" t="s">
        <v>6838</v>
      </c>
      <c r="G2187" t="s">
        <v>4983</v>
      </c>
      <c r="H2187">
        <v>29673</v>
      </c>
      <c r="I2187" t="s">
        <v>6839</v>
      </c>
    </row>
    <row r="2188" spans="1:9">
      <c r="A2188" t="str">
        <f>"0177601 "</f>
        <v xml:space="preserve">0177601 </v>
      </c>
      <c r="B2188" t="s">
        <v>4982</v>
      </c>
      <c r="C2188" t="s">
        <v>6840</v>
      </c>
      <c r="D2188" t="s">
        <v>6841</v>
      </c>
      <c r="E2188">
        <v>2</v>
      </c>
      <c r="F2188" t="s">
        <v>6838</v>
      </c>
      <c r="G2188" t="s">
        <v>4983</v>
      </c>
      <c r="H2188">
        <v>29675</v>
      </c>
      <c r="I2188" t="s">
        <v>6842</v>
      </c>
    </row>
    <row r="2189" spans="1:9">
      <c r="A2189" t="str">
        <f>"0177607 "</f>
        <v xml:space="preserve">0177607 </v>
      </c>
      <c r="B2189" t="s">
        <v>4982</v>
      </c>
      <c r="C2189" t="s">
        <v>6843</v>
      </c>
      <c r="D2189" t="s">
        <v>6844</v>
      </c>
      <c r="E2189">
        <v>2</v>
      </c>
      <c r="F2189" t="s">
        <v>6845</v>
      </c>
      <c r="G2189" t="s">
        <v>4983</v>
      </c>
      <c r="H2189">
        <v>29682</v>
      </c>
      <c r="I2189" t="s">
        <v>6846</v>
      </c>
    </row>
    <row r="2190" spans="1:9">
      <c r="A2190" t="str">
        <f>"0177614 "</f>
        <v xml:space="preserve">0177614 </v>
      </c>
      <c r="B2190" t="s">
        <v>4982</v>
      </c>
      <c r="C2190" t="s">
        <v>6847</v>
      </c>
      <c r="D2190" t="s">
        <v>6848</v>
      </c>
      <c r="E2190">
        <v>4</v>
      </c>
      <c r="F2190" t="s">
        <v>6849</v>
      </c>
      <c r="G2190" t="s">
        <v>4983</v>
      </c>
      <c r="H2190">
        <v>29689</v>
      </c>
      <c r="I2190" t="s">
        <v>6850</v>
      </c>
    </row>
    <row r="2191" spans="1:9">
      <c r="A2191" t="str">
        <f>"0177627 "</f>
        <v xml:space="preserve">0177627 </v>
      </c>
      <c r="B2191" t="s">
        <v>4982</v>
      </c>
      <c r="C2191" t="s">
        <v>6851</v>
      </c>
      <c r="D2191" t="s">
        <v>6852</v>
      </c>
      <c r="E2191">
        <v>2</v>
      </c>
      <c r="F2191" t="s">
        <v>6853</v>
      </c>
      <c r="G2191" t="s">
        <v>4983</v>
      </c>
      <c r="H2191">
        <v>29704</v>
      </c>
      <c r="I2191" t="s">
        <v>6854</v>
      </c>
    </row>
    <row r="2192" spans="1:9">
      <c r="A2192" t="str">
        <f>"0177629 "</f>
        <v xml:space="preserve">0177629 </v>
      </c>
      <c r="B2192" t="s">
        <v>4982</v>
      </c>
      <c r="C2192" t="s">
        <v>6855</v>
      </c>
      <c r="D2192" t="s">
        <v>6856</v>
      </c>
      <c r="E2192">
        <v>4</v>
      </c>
      <c r="F2192" t="s">
        <v>5170</v>
      </c>
      <c r="G2192" t="s">
        <v>4983</v>
      </c>
      <c r="H2192">
        <v>29706</v>
      </c>
      <c r="I2192" t="s">
        <v>6857</v>
      </c>
    </row>
    <row r="2193" spans="1:9">
      <c r="A2193" t="str">
        <f>"0177643 "</f>
        <v xml:space="preserve">0177643 </v>
      </c>
      <c r="B2193" t="s">
        <v>4982</v>
      </c>
      <c r="C2193" t="s">
        <v>6858</v>
      </c>
      <c r="D2193" t="s">
        <v>6859</v>
      </c>
      <c r="E2193">
        <v>3</v>
      </c>
      <c r="F2193" t="s">
        <v>5902</v>
      </c>
      <c r="G2193" t="s">
        <v>4983</v>
      </c>
      <c r="H2193">
        <v>29762</v>
      </c>
      <c r="I2193" t="s">
        <v>5019</v>
      </c>
    </row>
    <row r="2194" spans="1:9">
      <c r="A2194" t="str">
        <f>"0177681 "</f>
        <v xml:space="preserve">0177681 </v>
      </c>
      <c r="B2194" t="s">
        <v>4982</v>
      </c>
      <c r="C2194" t="s">
        <v>6860</v>
      </c>
      <c r="D2194" t="s">
        <v>6861</v>
      </c>
      <c r="E2194">
        <v>4</v>
      </c>
      <c r="F2194" t="s">
        <v>6093</v>
      </c>
      <c r="G2194" t="s">
        <v>4983</v>
      </c>
      <c r="H2194">
        <v>29839</v>
      </c>
      <c r="I2194" t="s">
        <v>6862</v>
      </c>
    </row>
    <row r="2195" spans="1:9">
      <c r="A2195" t="str">
        <f>"0177749 "</f>
        <v xml:space="preserve">0177749 </v>
      </c>
      <c r="B2195" t="s">
        <v>4982</v>
      </c>
      <c r="C2195" t="s">
        <v>6863</v>
      </c>
      <c r="D2195" t="s">
        <v>6864</v>
      </c>
      <c r="E2195">
        <v>4</v>
      </c>
      <c r="F2195" t="s">
        <v>2851</v>
      </c>
      <c r="G2195" t="s">
        <v>4983</v>
      </c>
      <c r="H2195">
        <v>29938</v>
      </c>
      <c r="I2195" t="s">
        <v>6865</v>
      </c>
    </row>
    <row r="2196" spans="1:9">
      <c r="A2196" t="str">
        <f>"0177877 "</f>
        <v xml:space="preserve">0177877 </v>
      </c>
      <c r="B2196" t="s">
        <v>4982</v>
      </c>
      <c r="C2196" t="s">
        <v>6866</v>
      </c>
      <c r="D2196" t="s">
        <v>6867</v>
      </c>
      <c r="E2196">
        <v>2</v>
      </c>
      <c r="F2196" t="s">
        <v>6868</v>
      </c>
      <c r="G2196" t="s">
        <v>4983</v>
      </c>
      <c r="H2196">
        <v>30096</v>
      </c>
      <c r="I2196" t="s">
        <v>6869</v>
      </c>
    </row>
    <row r="2197" spans="1:9">
      <c r="A2197" t="str">
        <f>"0177923 "</f>
        <v xml:space="preserve">0177923 </v>
      </c>
      <c r="B2197" t="s">
        <v>4982</v>
      </c>
      <c r="C2197" t="s">
        <v>6870</v>
      </c>
      <c r="D2197" t="s">
        <v>6871</v>
      </c>
      <c r="E2197">
        <v>2</v>
      </c>
      <c r="F2197" t="s">
        <v>6872</v>
      </c>
      <c r="G2197" t="s">
        <v>4983</v>
      </c>
      <c r="H2197">
        <v>30151</v>
      </c>
      <c r="I2197" t="s">
        <v>6873</v>
      </c>
    </row>
    <row r="2198" spans="1:9">
      <c r="A2198" t="str">
        <f>"0178003 "</f>
        <v xml:space="preserve">0178003 </v>
      </c>
      <c r="B2198" t="s">
        <v>4982</v>
      </c>
      <c r="C2198" t="s">
        <v>6874</v>
      </c>
      <c r="D2198" t="s">
        <v>6875</v>
      </c>
      <c r="E2198">
        <v>4</v>
      </c>
      <c r="F2198" t="s">
        <v>2692</v>
      </c>
      <c r="G2198" t="s">
        <v>4983</v>
      </c>
      <c r="H2198">
        <v>30299</v>
      </c>
      <c r="I2198" t="s">
        <v>6876</v>
      </c>
    </row>
    <row r="2199" spans="1:9">
      <c r="A2199" t="str">
        <f>"0178079 "</f>
        <v xml:space="preserve">0178079 </v>
      </c>
      <c r="B2199" t="s">
        <v>4982</v>
      </c>
      <c r="C2199" t="s">
        <v>6877</v>
      </c>
      <c r="D2199" t="s">
        <v>6878</v>
      </c>
      <c r="E2199">
        <v>4</v>
      </c>
      <c r="F2199" t="s">
        <v>5302</v>
      </c>
      <c r="G2199" t="s">
        <v>4983</v>
      </c>
      <c r="H2199">
        <v>30380</v>
      </c>
      <c r="I2199" t="s">
        <v>6879</v>
      </c>
    </row>
    <row r="2200" spans="1:9">
      <c r="A2200" t="str">
        <f>"0178198 "</f>
        <v xml:space="preserve">0178198 </v>
      </c>
      <c r="B2200" t="s">
        <v>4982</v>
      </c>
      <c r="C2200" t="s">
        <v>6880</v>
      </c>
      <c r="D2200" t="s">
        <v>6881</v>
      </c>
      <c r="E2200">
        <v>2</v>
      </c>
      <c r="F2200" t="s">
        <v>6882</v>
      </c>
      <c r="G2200" t="s">
        <v>4983</v>
      </c>
      <c r="H2200">
        <v>30583</v>
      </c>
      <c r="I2200" t="s">
        <v>6883</v>
      </c>
    </row>
    <row r="2201" spans="1:9">
      <c r="A2201" t="str">
        <f>"0178203 "</f>
        <v xml:space="preserve">0178203 </v>
      </c>
      <c r="B2201" t="s">
        <v>4982</v>
      </c>
      <c r="C2201" t="s">
        <v>6884</v>
      </c>
      <c r="D2201" t="s">
        <v>6885</v>
      </c>
      <c r="E2201">
        <v>4</v>
      </c>
      <c r="F2201" t="s">
        <v>6886</v>
      </c>
      <c r="G2201" t="s">
        <v>4983</v>
      </c>
      <c r="H2201">
        <v>30588</v>
      </c>
      <c r="I2201" t="s">
        <v>6887</v>
      </c>
    </row>
    <row r="2202" spans="1:9">
      <c r="A2202" t="str">
        <f>"0178220 "</f>
        <v xml:space="preserve">0178220 </v>
      </c>
      <c r="B2202" t="s">
        <v>4982</v>
      </c>
      <c r="C2202" t="s">
        <v>6888</v>
      </c>
      <c r="D2202" t="s">
        <v>6889</v>
      </c>
      <c r="E2202">
        <v>5</v>
      </c>
      <c r="F2202" t="s">
        <v>5125</v>
      </c>
      <c r="G2202" t="s">
        <v>4983</v>
      </c>
      <c r="H2202">
        <v>30616</v>
      </c>
      <c r="I2202" t="s">
        <v>6890</v>
      </c>
    </row>
    <row r="2203" spans="1:9">
      <c r="A2203" t="str">
        <f>"0178227 "</f>
        <v xml:space="preserve">0178227 </v>
      </c>
      <c r="B2203" t="s">
        <v>4982</v>
      </c>
      <c r="C2203" t="s">
        <v>6891</v>
      </c>
      <c r="D2203" t="s">
        <v>6892</v>
      </c>
      <c r="E2203">
        <v>2</v>
      </c>
      <c r="F2203" t="s">
        <v>6893</v>
      </c>
      <c r="G2203" t="s">
        <v>4983</v>
      </c>
      <c r="H2203">
        <v>30623</v>
      </c>
      <c r="I2203" t="s">
        <v>6894</v>
      </c>
    </row>
    <row r="2204" spans="1:9">
      <c r="A2204" t="str">
        <f>"0178228 "</f>
        <v xml:space="preserve">0178228 </v>
      </c>
      <c r="B2204" t="s">
        <v>4982</v>
      </c>
      <c r="C2204" t="s">
        <v>6895</v>
      </c>
      <c r="D2204" t="s">
        <v>6896</v>
      </c>
      <c r="E2204">
        <v>4</v>
      </c>
      <c r="F2204" t="s">
        <v>6897</v>
      </c>
      <c r="G2204" t="s">
        <v>4983</v>
      </c>
      <c r="H2204">
        <v>30624</v>
      </c>
      <c r="I2204" t="s">
        <v>6898</v>
      </c>
    </row>
    <row r="2205" spans="1:9">
      <c r="A2205" t="str">
        <f>"0178254 "</f>
        <v xml:space="preserve">0178254 </v>
      </c>
      <c r="B2205" t="s">
        <v>4982</v>
      </c>
      <c r="C2205" t="s">
        <v>6899</v>
      </c>
      <c r="D2205" t="s">
        <v>6900</v>
      </c>
      <c r="E2205">
        <v>4</v>
      </c>
      <c r="F2205" t="s">
        <v>6901</v>
      </c>
      <c r="G2205" t="s">
        <v>4983</v>
      </c>
      <c r="H2205">
        <v>30653</v>
      </c>
      <c r="I2205" t="s">
        <v>6902</v>
      </c>
    </row>
    <row r="2206" spans="1:9">
      <c r="A2206" t="str">
        <f>"0178279 "</f>
        <v xml:space="preserve">0178279 </v>
      </c>
      <c r="B2206" t="s">
        <v>4982</v>
      </c>
      <c r="C2206" t="s">
        <v>6903</v>
      </c>
      <c r="D2206" t="s">
        <v>6904</v>
      </c>
      <c r="E2206">
        <v>4</v>
      </c>
      <c r="F2206" t="s">
        <v>6905</v>
      </c>
      <c r="G2206" t="s">
        <v>4983</v>
      </c>
      <c r="H2206">
        <v>30691</v>
      </c>
      <c r="I2206" t="s">
        <v>6906</v>
      </c>
    </row>
    <row r="2207" spans="1:9">
      <c r="A2207" t="str">
        <f>"0178351 "</f>
        <v xml:space="preserve">0178351 </v>
      </c>
      <c r="B2207" t="s">
        <v>4982</v>
      </c>
      <c r="C2207" t="s">
        <v>6907</v>
      </c>
      <c r="D2207" t="s">
        <v>6908</v>
      </c>
      <c r="E2207">
        <v>4</v>
      </c>
      <c r="F2207" t="s">
        <v>2276</v>
      </c>
      <c r="G2207" t="s">
        <v>4983</v>
      </c>
      <c r="H2207">
        <v>30786</v>
      </c>
      <c r="I2207" t="s">
        <v>6909</v>
      </c>
    </row>
    <row r="2208" spans="1:9">
      <c r="A2208" t="str">
        <f>"0178393 "</f>
        <v xml:space="preserve">0178393 </v>
      </c>
      <c r="B2208" t="s">
        <v>4982</v>
      </c>
      <c r="C2208" t="s">
        <v>6910</v>
      </c>
      <c r="D2208" t="s">
        <v>6911</v>
      </c>
      <c r="E2208">
        <v>4</v>
      </c>
      <c r="F2208" t="s">
        <v>6912</v>
      </c>
      <c r="G2208" t="s">
        <v>4983</v>
      </c>
      <c r="H2208">
        <v>30852</v>
      </c>
      <c r="I2208" t="s">
        <v>6913</v>
      </c>
    </row>
    <row r="2209" spans="1:9">
      <c r="A2209" t="str">
        <f>"0178398 "</f>
        <v xml:space="preserve">0178398 </v>
      </c>
      <c r="B2209" t="s">
        <v>4982</v>
      </c>
      <c r="C2209" t="s">
        <v>6914</v>
      </c>
      <c r="D2209" t="s">
        <v>6915</v>
      </c>
      <c r="E2209">
        <v>4</v>
      </c>
      <c r="F2209" t="s">
        <v>6916</v>
      </c>
      <c r="G2209" t="s">
        <v>4983</v>
      </c>
      <c r="H2209">
        <v>30858</v>
      </c>
      <c r="I2209" t="s">
        <v>6917</v>
      </c>
    </row>
    <row r="2210" spans="1:9">
      <c r="A2210" t="str">
        <f>"0178438 "</f>
        <v xml:space="preserve">0178438 </v>
      </c>
      <c r="B2210" t="s">
        <v>4982</v>
      </c>
      <c r="C2210" t="s">
        <v>6918</v>
      </c>
      <c r="D2210" t="s">
        <v>6919</v>
      </c>
      <c r="E2210" t="s">
        <v>16</v>
      </c>
      <c r="F2210" t="s">
        <v>6920</v>
      </c>
      <c r="G2210" t="s">
        <v>4983</v>
      </c>
      <c r="H2210">
        <v>30916</v>
      </c>
      <c r="I2210" t="s">
        <v>6921</v>
      </c>
    </row>
    <row r="2211" spans="1:9">
      <c r="A2211" t="str">
        <f>"0178439 "</f>
        <v xml:space="preserve">0178439 </v>
      </c>
      <c r="B2211" t="s">
        <v>4982</v>
      </c>
      <c r="C2211" t="s">
        <v>6922</v>
      </c>
      <c r="D2211" t="s">
        <v>6923</v>
      </c>
      <c r="E2211">
        <v>2</v>
      </c>
      <c r="F2211" t="s">
        <v>6060</v>
      </c>
      <c r="G2211" t="s">
        <v>4983</v>
      </c>
      <c r="H2211">
        <v>30917</v>
      </c>
      <c r="I2211" t="s">
        <v>6924</v>
      </c>
    </row>
    <row r="2212" spans="1:9">
      <c r="A2212" t="str">
        <f>"0178480 "</f>
        <v xml:space="preserve">0178480 </v>
      </c>
      <c r="B2212" t="s">
        <v>4982</v>
      </c>
      <c r="C2212" t="s">
        <v>6925</v>
      </c>
      <c r="D2212" t="s">
        <v>6926</v>
      </c>
      <c r="E2212">
        <v>2</v>
      </c>
      <c r="F2212" t="s">
        <v>6927</v>
      </c>
      <c r="G2212" t="s">
        <v>4983</v>
      </c>
      <c r="H2212">
        <v>30982</v>
      </c>
      <c r="I2212" t="s">
        <v>6928</v>
      </c>
    </row>
    <row r="2213" spans="1:9">
      <c r="A2213" t="str">
        <f>"0178481 "</f>
        <v xml:space="preserve">0178481 </v>
      </c>
      <c r="B2213" t="s">
        <v>4982</v>
      </c>
      <c r="C2213" t="s">
        <v>6929</v>
      </c>
      <c r="D2213" t="s">
        <v>6930</v>
      </c>
      <c r="E2213">
        <v>4</v>
      </c>
      <c r="F2213" t="s">
        <v>6927</v>
      </c>
      <c r="G2213" t="s">
        <v>4983</v>
      </c>
      <c r="H2213">
        <v>30983</v>
      </c>
      <c r="I2213" t="s">
        <v>6931</v>
      </c>
    </row>
    <row r="2214" spans="1:9">
      <c r="A2214" t="str">
        <f>"0178505 "</f>
        <v xml:space="preserve">0178505 </v>
      </c>
      <c r="B2214" t="s">
        <v>4982</v>
      </c>
      <c r="C2214" t="s">
        <v>6932</v>
      </c>
      <c r="D2214" t="s">
        <v>6933</v>
      </c>
      <c r="E2214">
        <v>4</v>
      </c>
      <c r="F2214" t="s">
        <v>5454</v>
      </c>
      <c r="G2214" t="s">
        <v>4983</v>
      </c>
      <c r="H2214">
        <v>31010</v>
      </c>
      <c r="I2214" t="s">
        <v>6934</v>
      </c>
    </row>
    <row r="2215" spans="1:9">
      <c r="A2215" t="str">
        <f>"0178542 "</f>
        <v xml:space="preserve">0178542 </v>
      </c>
      <c r="B2215" t="s">
        <v>4982</v>
      </c>
      <c r="C2215" t="s">
        <v>6935</v>
      </c>
      <c r="D2215" t="s">
        <v>6936</v>
      </c>
      <c r="E2215">
        <v>4</v>
      </c>
      <c r="F2215" t="s">
        <v>5240</v>
      </c>
      <c r="G2215" t="s">
        <v>4983</v>
      </c>
      <c r="H2215">
        <v>31064</v>
      </c>
      <c r="I2215" t="s">
        <v>6937</v>
      </c>
    </row>
    <row r="2216" spans="1:9">
      <c r="A2216" t="str">
        <f>"0178544 "</f>
        <v xml:space="preserve">0178544 </v>
      </c>
      <c r="B2216" t="s">
        <v>4982</v>
      </c>
      <c r="C2216" t="s">
        <v>6938</v>
      </c>
      <c r="D2216" t="s">
        <v>6939</v>
      </c>
      <c r="E2216">
        <v>2</v>
      </c>
      <c r="F2216" t="s">
        <v>6940</v>
      </c>
      <c r="G2216" t="s">
        <v>4983</v>
      </c>
      <c r="H2216">
        <v>31066</v>
      </c>
      <c r="I2216" t="s">
        <v>6941</v>
      </c>
    </row>
    <row r="2217" spans="1:9">
      <c r="A2217" t="str">
        <f>"0178545 "</f>
        <v xml:space="preserve">0178545 </v>
      </c>
      <c r="B2217" t="s">
        <v>4982</v>
      </c>
      <c r="C2217" t="s">
        <v>6942</v>
      </c>
      <c r="D2217" t="s">
        <v>6943</v>
      </c>
      <c r="E2217">
        <v>4</v>
      </c>
      <c r="F2217" t="s">
        <v>6893</v>
      </c>
      <c r="G2217" t="s">
        <v>4983</v>
      </c>
      <c r="H2217">
        <v>31067</v>
      </c>
      <c r="I2217" t="s">
        <v>6944</v>
      </c>
    </row>
    <row r="2218" spans="1:9">
      <c r="A2218" t="str">
        <f>"0178699 "</f>
        <v xml:space="preserve">0178699 </v>
      </c>
      <c r="B2218" t="s">
        <v>4982</v>
      </c>
      <c r="C2218" t="s">
        <v>6945</v>
      </c>
      <c r="D2218" t="s">
        <v>6946</v>
      </c>
      <c r="E2218">
        <v>4</v>
      </c>
      <c r="F2218" t="s">
        <v>3630</v>
      </c>
      <c r="G2218" t="s">
        <v>4983</v>
      </c>
      <c r="H2218">
        <v>31253</v>
      </c>
      <c r="I2218" t="s">
        <v>6947</v>
      </c>
    </row>
    <row r="2219" spans="1:9">
      <c r="A2219" t="str">
        <f>"0178717 "</f>
        <v xml:space="preserve">0178717 </v>
      </c>
      <c r="B2219" t="s">
        <v>4982</v>
      </c>
      <c r="C2219" t="s">
        <v>6948</v>
      </c>
      <c r="D2219" t="s">
        <v>6949</v>
      </c>
      <c r="E2219">
        <v>2</v>
      </c>
      <c r="F2219" t="s">
        <v>2447</v>
      </c>
      <c r="G2219" t="s">
        <v>4983</v>
      </c>
      <c r="H2219">
        <v>31273</v>
      </c>
      <c r="I2219" t="s">
        <v>6950</v>
      </c>
    </row>
    <row r="2220" spans="1:9">
      <c r="A2220" t="str">
        <f>"0178722 "</f>
        <v xml:space="preserve">0178722 </v>
      </c>
      <c r="B2220" t="s">
        <v>4982</v>
      </c>
      <c r="C2220" t="s">
        <v>6951</v>
      </c>
      <c r="D2220" t="s">
        <v>6952</v>
      </c>
      <c r="E2220">
        <v>1</v>
      </c>
      <c r="F2220" t="s">
        <v>5129</v>
      </c>
      <c r="G2220" t="s">
        <v>4983</v>
      </c>
      <c r="H2220">
        <v>31278</v>
      </c>
      <c r="I2220" t="s">
        <v>6953</v>
      </c>
    </row>
    <row r="2221" spans="1:9">
      <c r="A2221" t="str">
        <f>"0178776 "</f>
        <v xml:space="preserve">0178776 </v>
      </c>
      <c r="B2221" t="s">
        <v>4982</v>
      </c>
      <c r="C2221" t="s">
        <v>6954</v>
      </c>
      <c r="D2221" t="s">
        <v>6955</v>
      </c>
      <c r="E2221">
        <v>4</v>
      </c>
      <c r="F2221" t="s">
        <v>6340</v>
      </c>
      <c r="G2221" t="s">
        <v>4983</v>
      </c>
      <c r="H2221">
        <v>31345</v>
      </c>
      <c r="I2221" t="s">
        <v>6956</v>
      </c>
    </row>
    <row r="2222" spans="1:9">
      <c r="A2222" t="str">
        <f>"0178777 "</f>
        <v xml:space="preserve">0178777 </v>
      </c>
      <c r="B2222" t="s">
        <v>4982</v>
      </c>
      <c r="C2222" t="s">
        <v>6957</v>
      </c>
      <c r="D2222" t="s">
        <v>6958</v>
      </c>
      <c r="E2222">
        <v>4</v>
      </c>
      <c r="F2222" t="s">
        <v>6959</v>
      </c>
      <c r="G2222" t="s">
        <v>4983</v>
      </c>
      <c r="H2222">
        <v>31346</v>
      </c>
      <c r="I2222" t="s">
        <v>6960</v>
      </c>
    </row>
    <row r="2223" spans="1:9">
      <c r="A2223" t="str">
        <f>"0178778 "</f>
        <v xml:space="preserve">0178778 </v>
      </c>
      <c r="B2223" t="s">
        <v>4982</v>
      </c>
      <c r="C2223" t="s">
        <v>6961</v>
      </c>
      <c r="D2223" t="s">
        <v>6962</v>
      </c>
      <c r="E2223">
        <v>4</v>
      </c>
      <c r="F2223" t="s">
        <v>5787</v>
      </c>
      <c r="G2223" t="s">
        <v>4983</v>
      </c>
      <c r="H2223">
        <v>31347</v>
      </c>
      <c r="I2223" t="s">
        <v>6963</v>
      </c>
    </row>
    <row r="2224" spans="1:9">
      <c r="A2224" t="str">
        <f>"0178779 "</f>
        <v xml:space="preserve">0178779 </v>
      </c>
      <c r="B2224" t="s">
        <v>4982</v>
      </c>
      <c r="C2224" t="s">
        <v>6964</v>
      </c>
      <c r="D2224" t="s">
        <v>6965</v>
      </c>
      <c r="E2224">
        <v>2</v>
      </c>
      <c r="F2224" t="s">
        <v>6966</v>
      </c>
      <c r="G2224" t="s">
        <v>4983</v>
      </c>
      <c r="H2224">
        <v>31348</v>
      </c>
      <c r="I2224" t="s">
        <v>6967</v>
      </c>
    </row>
    <row r="2225" spans="1:9">
      <c r="A2225" t="str">
        <f>"0178782 "</f>
        <v xml:space="preserve">0178782 </v>
      </c>
      <c r="B2225" t="s">
        <v>4982</v>
      </c>
      <c r="C2225" t="s">
        <v>6968</v>
      </c>
      <c r="D2225" t="s">
        <v>6969</v>
      </c>
      <c r="E2225">
        <v>2</v>
      </c>
      <c r="F2225" t="s">
        <v>6275</v>
      </c>
      <c r="G2225" t="s">
        <v>4983</v>
      </c>
      <c r="H2225">
        <v>31353</v>
      </c>
      <c r="I2225" t="s">
        <v>6970</v>
      </c>
    </row>
    <row r="2226" spans="1:9">
      <c r="A2226" t="str">
        <f>"0178783 "</f>
        <v xml:space="preserve">0178783 </v>
      </c>
      <c r="B2226" t="s">
        <v>4982</v>
      </c>
      <c r="C2226" t="s">
        <v>6971</v>
      </c>
      <c r="D2226" t="s">
        <v>6972</v>
      </c>
      <c r="E2226">
        <v>2</v>
      </c>
      <c r="F2226" t="s">
        <v>6973</v>
      </c>
      <c r="G2226" t="s">
        <v>4983</v>
      </c>
      <c r="H2226">
        <v>31354</v>
      </c>
      <c r="I2226" t="s">
        <v>6974</v>
      </c>
    </row>
    <row r="2227" spans="1:9">
      <c r="A2227" t="str">
        <f>"0178785 "</f>
        <v xml:space="preserve">0178785 </v>
      </c>
      <c r="B2227" t="s">
        <v>4982</v>
      </c>
      <c r="C2227" t="s">
        <v>6975</v>
      </c>
      <c r="D2227" t="s">
        <v>6976</v>
      </c>
      <c r="E2227">
        <v>3</v>
      </c>
      <c r="F2227" t="s">
        <v>6275</v>
      </c>
      <c r="G2227" t="s">
        <v>4983</v>
      </c>
      <c r="H2227">
        <v>31357</v>
      </c>
      <c r="I2227" t="s">
        <v>6977</v>
      </c>
    </row>
    <row r="2228" spans="1:9">
      <c r="A2228" t="str">
        <f>"0178816 "</f>
        <v xml:space="preserve">0178816 </v>
      </c>
      <c r="B2228" t="s">
        <v>4982</v>
      </c>
      <c r="C2228" t="s">
        <v>6978</v>
      </c>
      <c r="D2228" t="s">
        <v>6979</v>
      </c>
      <c r="E2228">
        <v>2</v>
      </c>
      <c r="F2228" t="s">
        <v>6980</v>
      </c>
      <c r="G2228" t="s">
        <v>4983</v>
      </c>
      <c r="H2228">
        <v>31396</v>
      </c>
      <c r="I2228" t="s">
        <v>6981</v>
      </c>
    </row>
    <row r="2229" spans="1:9">
      <c r="A2229" t="str">
        <f>"0178916 "</f>
        <v xml:space="preserve">0178916 </v>
      </c>
      <c r="B2229" t="s">
        <v>4982</v>
      </c>
      <c r="C2229" t="s">
        <v>6982</v>
      </c>
      <c r="D2229" t="s">
        <v>6983</v>
      </c>
      <c r="E2229">
        <v>2</v>
      </c>
      <c r="F2229" t="s">
        <v>6984</v>
      </c>
      <c r="G2229" t="s">
        <v>4983</v>
      </c>
      <c r="H2229">
        <v>31524</v>
      </c>
      <c r="I2229" t="s">
        <v>6985</v>
      </c>
    </row>
    <row r="2230" spans="1:9">
      <c r="A2230" t="str">
        <f>"0178922 "</f>
        <v xml:space="preserve">0178922 </v>
      </c>
      <c r="B2230" t="s">
        <v>4982</v>
      </c>
      <c r="C2230" t="s">
        <v>6986</v>
      </c>
      <c r="D2230" t="s">
        <v>6987</v>
      </c>
      <c r="E2230">
        <v>4</v>
      </c>
      <c r="F2230" t="s">
        <v>2725</v>
      </c>
      <c r="G2230" t="s">
        <v>4983</v>
      </c>
      <c r="H2230">
        <v>31538</v>
      </c>
      <c r="I2230" t="s">
        <v>6988</v>
      </c>
    </row>
    <row r="2231" spans="1:9">
      <c r="A2231" t="str">
        <f>"0178927 "</f>
        <v xml:space="preserve">0178927 </v>
      </c>
      <c r="B2231" t="s">
        <v>4982</v>
      </c>
      <c r="C2231" t="s">
        <v>6989</v>
      </c>
      <c r="D2231" t="s">
        <v>6990</v>
      </c>
      <c r="E2231">
        <v>4</v>
      </c>
      <c r="F2231" t="s">
        <v>5014</v>
      </c>
      <c r="G2231" t="s">
        <v>4983</v>
      </c>
      <c r="H2231">
        <v>31551</v>
      </c>
      <c r="I2231" t="s">
        <v>6991</v>
      </c>
    </row>
    <row r="2232" spans="1:9">
      <c r="A2232" t="str">
        <f>"0179017 "</f>
        <v xml:space="preserve">0179017 </v>
      </c>
      <c r="B2232" t="s">
        <v>4982</v>
      </c>
      <c r="C2232" t="s">
        <v>6992</v>
      </c>
      <c r="D2232" t="s">
        <v>6993</v>
      </c>
      <c r="E2232">
        <v>4</v>
      </c>
      <c r="F2232" t="s">
        <v>6994</v>
      </c>
      <c r="G2232" t="s">
        <v>4983</v>
      </c>
      <c r="H2232">
        <v>31706</v>
      </c>
      <c r="I2232" t="s">
        <v>6995</v>
      </c>
    </row>
    <row r="2233" spans="1:9">
      <c r="A2233" t="str">
        <f>"0179087 "</f>
        <v xml:space="preserve">0179087 </v>
      </c>
      <c r="B2233" t="s">
        <v>4982</v>
      </c>
      <c r="C2233" t="s">
        <v>6996</v>
      </c>
      <c r="D2233" t="s">
        <v>6997</v>
      </c>
      <c r="E2233">
        <v>4</v>
      </c>
      <c r="F2233" t="s">
        <v>6998</v>
      </c>
      <c r="G2233" t="s">
        <v>4983</v>
      </c>
      <c r="H2233">
        <v>31785</v>
      </c>
      <c r="I2233" t="s">
        <v>6999</v>
      </c>
    </row>
    <row r="2234" spans="1:9">
      <c r="A2234" t="str">
        <f>"0179090 "</f>
        <v xml:space="preserve">0179090 </v>
      </c>
      <c r="B2234" t="s">
        <v>4982</v>
      </c>
      <c r="C2234" t="s">
        <v>7000</v>
      </c>
      <c r="D2234" t="s">
        <v>7001</v>
      </c>
      <c r="E2234">
        <v>3</v>
      </c>
      <c r="F2234" t="s">
        <v>1939</v>
      </c>
      <c r="G2234" t="s">
        <v>4983</v>
      </c>
      <c r="H2234">
        <v>31791</v>
      </c>
      <c r="I2234" t="s">
        <v>7002</v>
      </c>
    </row>
    <row r="2235" spans="1:9">
      <c r="A2235" t="str">
        <f>"0179091 "</f>
        <v xml:space="preserve">0179091 </v>
      </c>
      <c r="B2235" t="s">
        <v>4982</v>
      </c>
      <c r="C2235" t="s">
        <v>7003</v>
      </c>
      <c r="D2235" t="s">
        <v>7004</v>
      </c>
      <c r="E2235">
        <v>4</v>
      </c>
      <c r="F2235" t="s">
        <v>7005</v>
      </c>
      <c r="G2235" t="s">
        <v>4983</v>
      </c>
      <c r="H2235">
        <v>31792</v>
      </c>
      <c r="I2235" t="s">
        <v>7006</v>
      </c>
    </row>
    <row r="2236" spans="1:9">
      <c r="A2236" t="str">
        <f>"0179111 "</f>
        <v xml:space="preserve">0179111 </v>
      </c>
      <c r="B2236" t="s">
        <v>4982</v>
      </c>
      <c r="C2236" t="s">
        <v>7007</v>
      </c>
      <c r="D2236" t="s">
        <v>7008</v>
      </c>
      <c r="E2236">
        <v>1</v>
      </c>
      <c r="F2236" t="s">
        <v>7009</v>
      </c>
      <c r="G2236" t="s">
        <v>4983</v>
      </c>
      <c r="H2236">
        <v>31815</v>
      </c>
      <c r="I2236" t="s">
        <v>5359</v>
      </c>
    </row>
    <row r="2237" spans="1:9">
      <c r="A2237" t="str">
        <f>"0179124 "</f>
        <v xml:space="preserve">0179124 </v>
      </c>
      <c r="B2237" t="s">
        <v>4982</v>
      </c>
      <c r="C2237" t="s">
        <v>7010</v>
      </c>
      <c r="D2237" t="s">
        <v>7011</v>
      </c>
      <c r="E2237">
        <v>1</v>
      </c>
      <c r="F2237" t="s">
        <v>7012</v>
      </c>
      <c r="G2237" t="s">
        <v>4983</v>
      </c>
      <c r="H2237">
        <v>31833</v>
      </c>
      <c r="I2237" t="s">
        <v>7013</v>
      </c>
    </row>
    <row r="2238" spans="1:9">
      <c r="A2238" t="str">
        <f>"0179165 "</f>
        <v xml:space="preserve">0179165 </v>
      </c>
      <c r="B2238" t="s">
        <v>4982</v>
      </c>
      <c r="C2238" t="s">
        <v>7014</v>
      </c>
      <c r="D2238" t="s">
        <v>7015</v>
      </c>
      <c r="E2238">
        <v>4</v>
      </c>
      <c r="F2238" t="s">
        <v>5304</v>
      </c>
      <c r="G2238" t="s">
        <v>4983</v>
      </c>
      <c r="H2238">
        <v>31970</v>
      </c>
      <c r="I2238" t="s">
        <v>7016</v>
      </c>
    </row>
    <row r="2239" spans="1:9">
      <c r="A2239" t="str">
        <f>"0179213 "</f>
        <v xml:space="preserve">0179213 </v>
      </c>
      <c r="B2239" t="s">
        <v>4982</v>
      </c>
      <c r="C2239" t="s">
        <v>7017</v>
      </c>
      <c r="D2239" t="s">
        <v>7018</v>
      </c>
      <c r="E2239">
        <v>2</v>
      </c>
      <c r="F2239" t="s">
        <v>5375</v>
      </c>
      <c r="G2239" t="s">
        <v>4983</v>
      </c>
      <c r="H2239">
        <v>32031</v>
      </c>
      <c r="I2239" t="s">
        <v>7019</v>
      </c>
    </row>
    <row r="2240" spans="1:9">
      <c r="A2240" t="str">
        <f>"0179251 "</f>
        <v xml:space="preserve">0179251 </v>
      </c>
      <c r="B2240" t="s">
        <v>4982</v>
      </c>
      <c r="C2240" t="s">
        <v>7020</v>
      </c>
      <c r="D2240" t="s">
        <v>7021</v>
      </c>
      <c r="E2240">
        <v>4</v>
      </c>
      <c r="F2240" t="s">
        <v>2657</v>
      </c>
      <c r="G2240" t="s">
        <v>4983</v>
      </c>
      <c r="H2240">
        <v>32073</v>
      </c>
      <c r="I2240" t="s">
        <v>7022</v>
      </c>
    </row>
    <row r="2241" spans="1:9">
      <c r="A2241" t="str">
        <f>"0179272 "</f>
        <v xml:space="preserve">0179272 </v>
      </c>
      <c r="B2241" t="s">
        <v>4982</v>
      </c>
      <c r="C2241" t="s">
        <v>7023</v>
      </c>
      <c r="D2241" t="s">
        <v>7024</v>
      </c>
      <c r="E2241">
        <v>4</v>
      </c>
      <c r="F2241" t="s">
        <v>1909</v>
      </c>
      <c r="G2241" t="s">
        <v>4983</v>
      </c>
      <c r="H2241">
        <v>32096</v>
      </c>
      <c r="I2241" t="s">
        <v>7025</v>
      </c>
    </row>
    <row r="2242" spans="1:9">
      <c r="A2242" t="str">
        <f>"0179299 "</f>
        <v xml:space="preserve">0179299 </v>
      </c>
      <c r="B2242" t="s">
        <v>4982</v>
      </c>
      <c r="C2242" t="s">
        <v>7026</v>
      </c>
      <c r="D2242" t="s">
        <v>7027</v>
      </c>
      <c r="E2242">
        <v>3</v>
      </c>
      <c r="F2242" t="s">
        <v>2921</v>
      </c>
      <c r="G2242" t="s">
        <v>4983</v>
      </c>
      <c r="H2242">
        <v>32125</v>
      </c>
      <c r="I2242" t="s">
        <v>7028</v>
      </c>
    </row>
    <row r="2243" spans="1:9">
      <c r="A2243" t="str">
        <f>"0179443 "</f>
        <v xml:space="preserve">0179443 </v>
      </c>
      <c r="B2243" t="s">
        <v>4982</v>
      </c>
      <c r="C2243" t="s">
        <v>7029</v>
      </c>
      <c r="D2243" t="s">
        <v>7030</v>
      </c>
      <c r="E2243" t="s">
        <v>16</v>
      </c>
      <c r="F2243" t="s">
        <v>5123</v>
      </c>
      <c r="G2243" t="s">
        <v>4983</v>
      </c>
      <c r="H2243">
        <v>32307</v>
      </c>
      <c r="I2243" t="s">
        <v>7031</v>
      </c>
    </row>
    <row r="2244" spans="1:9">
      <c r="A2244" t="str">
        <f>"0179542 "</f>
        <v xml:space="preserve">0179542 </v>
      </c>
      <c r="B2244" t="s">
        <v>4982</v>
      </c>
      <c r="C2244" t="s">
        <v>7032</v>
      </c>
      <c r="D2244" t="s">
        <v>7033</v>
      </c>
      <c r="E2244">
        <v>2</v>
      </c>
      <c r="F2244" t="s">
        <v>705</v>
      </c>
      <c r="G2244" t="s">
        <v>4983</v>
      </c>
      <c r="H2244">
        <v>32493</v>
      </c>
      <c r="I2244" t="s">
        <v>7034</v>
      </c>
    </row>
    <row r="2245" spans="1:9">
      <c r="A2245" t="str">
        <f>"0179568 "</f>
        <v xml:space="preserve">0179568 </v>
      </c>
      <c r="B2245" t="s">
        <v>4982</v>
      </c>
      <c r="C2245" t="s">
        <v>7035</v>
      </c>
      <c r="D2245" t="s">
        <v>7036</v>
      </c>
      <c r="E2245">
        <v>4</v>
      </c>
      <c r="F2245" t="s">
        <v>7037</v>
      </c>
      <c r="G2245" t="s">
        <v>4983</v>
      </c>
      <c r="H2245">
        <v>32541</v>
      </c>
      <c r="I2245" t="s">
        <v>7038</v>
      </c>
    </row>
    <row r="2246" spans="1:9">
      <c r="A2246" t="str">
        <f>"0179569 "</f>
        <v xml:space="preserve">0179569 </v>
      </c>
      <c r="B2246" t="s">
        <v>4982</v>
      </c>
      <c r="C2246" t="s">
        <v>7039</v>
      </c>
      <c r="D2246" t="s">
        <v>7040</v>
      </c>
      <c r="E2246">
        <v>3</v>
      </c>
      <c r="F2246" t="s">
        <v>7037</v>
      </c>
      <c r="G2246" t="s">
        <v>4983</v>
      </c>
      <c r="H2246">
        <v>32542</v>
      </c>
      <c r="I2246" t="s">
        <v>7041</v>
      </c>
    </row>
    <row r="2247" spans="1:9">
      <c r="A2247" t="str">
        <f>"0179635 "</f>
        <v xml:space="preserve">0179635 </v>
      </c>
      <c r="B2247" t="s">
        <v>4982</v>
      </c>
      <c r="C2247" t="s">
        <v>7042</v>
      </c>
      <c r="D2247" t="s">
        <v>7043</v>
      </c>
      <c r="E2247">
        <v>2</v>
      </c>
      <c r="F2247" t="s">
        <v>5003</v>
      </c>
      <c r="G2247" t="s">
        <v>4983</v>
      </c>
      <c r="H2247">
        <v>32625</v>
      </c>
      <c r="I2247" t="s">
        <v>7044</v>
      </c>
    </row>
    <row r="2248" spans="1:9">
      <c r="A2248" t="str">
        <f>"0179887 "</f>
        <v xml:space="preserve">0179887 </v>
      </c>
      <c r="B2248" t="s">
        <v>4982</v>
      </c>
      <c r="C2248" t="s">
        <v>7045</v>
      </c>
      <c r="D2248" t="s">
        <v>7046</v>
      </c>
      <c r="E2248">
        <v>1</v>
      </c>
      <c r="F2248" t="s">
        <v>7047</v>
      </c>
      <c r="G2248" t="s">
        <v>4983</v>
      </c>
      <c r="H2248">
        <v>32956</v>
      </c>
      <c r="I2248" t="s">
        <v>7048</v>
      </c>
    </row>
    <row r="2249" spans="1:9">
      <c r="A2249" t="str">
        <f>"0179888 "</f>
        <v xml:space="preserve">0179888 </v>
      </c>
      <c r="B2249" t="s">
        <v>4982</v>
      </c>
      <c r="C2249" t="s">
        <v>7049</v>
      </c>
      <c r="D2249" t="s">
        <v>7050</v>
      </c>
      <c r="E2249">
        <v>2</v>
      </c>
      <c r="F2249" t="s">
        <v>7051</v>
      </c>
      <c r="G2249" t="s">
        <v>4983</v>
      </c>
      <c r="H2249">
        <v>32957</v>
      </c>
      <c r="I2249" t="s">
        <v>7052</v>
      </c>
    </row>
    <row r="2250" spans="1:9">
      <c r="A2250" t="str">
        <f>"0180144 "</f>
        <v xml:space="preserve">0180144 </v>
      </c>
      <c r="B2250" t="s">
        <v>4982</v>
      </c>
      <c r="C2250" t="s">
        <v>7053</v>
      </c>
      <c r="D2250" t="s">
        <v>7054</v>
      </c>
      <c r="E2250">
        <v>2</v>
      </c>
      <c r="F2250" t="s">
        <v>7055</v>
      </c>
      <c r="G2250" t="s">
        <v>4983</v>
      </c>
      <c r="H2250">
        <v>33377</v>
      </c>
      <c r="I2250" t="s">
        <v>7056</v>
      </c>
    </row>
    <row r="2251" spans="1:9">
      <c r="A2251" t="str">
        <f>"0180145 "</f>
        <v xml:space="preserve">0180145 </v>
      </c>
      <c r="B2251" t="s">
        <v>4982</v>
      </c>
      <c r="C2251" t="s">
        <v>7057</v>
      </c>
      <c r="D2251" t="s">
        <v>7058</v>
      </c>
      <c r="E2251">
        <v>2</v>
      </c>
      <c r="F2251" t="s">
        <v>7059</v>
      </c>
      <c r="G2251" t="s">
        <v>4983</v>
      </c>
      <c r="H2251">
        <v>33378</v>
      </c>
      <c r="I2251" t="s">
        <v>7060</v>
      </c>
    </row>
    <row r="2252" spans="1:9">
      <c r="A2252" t="str">
        <f>"0180150 "</f>
        <v xml:space="preserve">0180150 </v>
      </c>
      <c r="B2252" t="s">
        <v>4982</v>
      </c>
      <c r="C2252" t="s">
        <v>7061</v>
      </c>
      <c r="D2252" t="s">
        <v>7062</v>
      </c>
      <c r="E2252">
        <v>2</v>
      </c>
      <c r="F2252" t="s">
        <v>6543</v>
      </c>
      <c r="G2252" t="s">
        <v>4983</v>
      </c>
      <c r="H2252">
        <v>33383</v>
      </c>
      <c r="I2252" t="s">
        <v>7063</v>
      </c>
    </row>
    <row r="2253" spans="1:9">
      <c r="A2253" t="str">
        <f>"0180335 "</f>
        <v xml:space="preserve">0180335 </v>
      </c>
      <c r="B2253" t="s">
        <v>4982</v>
      </c>
      <c r="C2253" t="s">
        <v>7064</v>
      </c>
      <c r="D2253" t="s">
        <v>7065</v>
      </c>
      <c r="E2253">
        <v>4</v>
      </c>
      <c r="F2253" t="s">
        <v>5992</v>
      </c>
      <c r="G2253" t="s">
        <v>4983</v>
      </c>
      <c r="H2253">
        <v>33687</v>
      </c>
      <c r="I2253" t="s">
        <v>7066</v>
      </c>
    </row>
    <row r="2254" spans="1:9">
      <c r="A2254" t="str">
        <f>"0180368 "</f>
        <v xml:space="preserve">0180368 </v>
      </c>
      <c r="B2254" t="s">
        <v>4982</v>
      </c>
      <c r="C2254" t="s">
        <v>7067</v>
      </c>
      <c r="D2254" t="s">
        <v>7068</v>
      </c>
      <c r="E2254">
        <v>4</v>
      </c>
      <c r="F2254" t="s">
        <v>7069</v>
      </c>
      <c r="G2254" t="s">
        <v>4983</v>
      </c>
      <c r="H2254">
        <v>33725</v>
      </c>
      <c r="I2254" t="s">
        <v>7070</v>
      </c>
    </row>
    <row r="2255" spans="1:9">
      <c r="A2255" t="str">
        <f>"0180633 "</f>
        <v xml:space="preserve">0180633 </v>
      </c>
      <c r="B2255" t="s">
        <v>4982</v>
      </c>
      <c r="C2255" t="s">
        <v>7071</v>
      </c>
      <c r="D2255" t="s">
        <v>7072</v>
      </c>
      <c r="E2255">
        <v>2</v>
      </c>
      <c r="F2255" t="s">
        <v>7073</v>
      </c>
      <c r="G2255" t="s">
        <v>4983</v>
      </c>
      <c r="H2255">
        <v>34067</v>
      </c>
      <c r="I2255" t="s">
        <v>7074</v>
      </c>
    </row>
    <row r="2256" spans="1:9">
      <c r="A2256" t="str">
        <f>"0180634 "</f>
        <v xml:space="preserve">0180634 </v>
      </c>
      <c r="B2256" t="s">
        <v>4982</v>
      </c>
      <c r="C2256" t="s">
        <v>7075</v>
      </c>
      <c r="D2256" t="s">
        <v>7076</v>
      </c>
      <c r="E2256">
        <v>2</v>
      </c>
      <c r="F2256" t="s">
        <v>3509</v>
      </c>
      <c r="G2256" t="s">
        <v>4983</v>
      </c>
      <c r="H2256">
        <v>34068</v>
      </c>
      <c r="I2256" t="s">
        <v>7077</v>
      </c>
    </row>
    <row r="2257" spans="1:9">
      <c r="A2257" t="str">
        <f>"0180738 "</f>
        <v xml:space="preserve">0180738 </v>
      </c>
      <c r="B2257" t="s">
        <v>4982</v>
      </c>
      <c r="C2257" t="s">
        <v>7078</v>
      </c>
      <c r="D2257" t="s">
        <v>7079</v>
      </c>
      <c r="E2257">
        <v>4</v>
      </c>
      <c r="F2257" t="s">
        <v>5787</v>
      </c>
      <c r="G2257" t="s">
        <v>4983</v>
      </c>
      <c r="H2257">
        <v>34258</v>
      </c>
      <c r="I2257" t="s">
        <v>7080</v>
      </c>
    </row>
    <row r="2258" spans="1:9">
      <c r="A2258" t="str">
        <f>"0181160 "</f>
        <v xml:space="preserve">0181160 </v>
      </c>
      <c r="B2258" t="s">
        <v>4982</v>
      </c>
      <c r="C2258" t="s">
        <v>7081</v>
      </c>
      <c r="D2258" t="s">
        <v>7082</v>
      </c>
      <c r="E2258">
        <v>4</v>
      </c>
      <c r="F2258" t="s">
        <v>5129</v>
      </c>
      <c r="G2258" t="s">
        <v>4983</v>
      </c>
      <c r="H2258">
        <v>34794</v>
      </c>
      <c r="I2258" t="s">
        <v>7083</v>
      </c>
    </row>
    <row r="2259" spans="1:9">
      <c r="A2259" t="str">
        <f>"0181169 "</f>
        <v xml:space="preserve">0181169 </v>
      </c>
      <c r="B2259" t="s">
        <v>4982</v>
      </c>
      <c r="C2259" t="s">
        <v>7084</v>
      </c>
      <c r="D2259" t="s">
        <v>7085</v>
      </c>
      <c r="E2259">
        <v>3</v>
      </c>
      <c r="F2259" t="s">
        <v>7086</v>
      </c>
      <c r="G2259" t="s">
        <v>4983</v>
      </c>
      <c r="H2259">
        <v>34803</v>
      </c>
      <c r="I2259" t="s">
        <v>7087</v>
      </c>
    </row>
    <row r="2260" spans="1:9">
      <c r="A2260" t="str">
        <f>"0181297 "</f>
        <v xml:space="preserve">0181297 </v>
      </c>
      <c r="B2260" t="s">
        <v>4982</v>
      </c>
      <c r="C2260" t="s">
        <v>7088</v>
      </c>
      <c r="D2260" t="s">
        <v>7089</v>
      </c>
      <c r="E2260">
        <v>2</v>
      </c>
      <c r="F2260" t="s">
        <v>7090</v>
      </c>
      <c r="G2260" t="s">
        <v>4983</v>
      </c>
      <c r="H2260">
        <v>34940</v>
      </c>
      <c r="I2260" t="s">
        <v>7091</v>
      </c>
    </row>
    <row r="2261" spans="1:9">
      <c r="A2261" t="str">
        <f>"0181349 "</f>
        <v xml:space="preserve">0181349 </v>
      </c>
      <c r="B2261" t="s">
        <v>4982</v>
      </c>
      <c r="C2261" t="s">
        <v>7092</v>
      </c>
      <c r="D2261" t="s">
        <v>7093</v>
      </c>
      <c r="E2261">
        <v>4</v>
      </c>
      <c r="F2261" t="s">
        <v>7094</v>
      </c>
      <c r="G2261" t="s">
        <v>4983</v>
      </c>
      <c r="H2261">
        <v>36006</v>
      </c>
      <c r="I2261" t="s">
        <v>7095</v>
      </c>
    </row>
    <row r="2262" spans="1:9">
      <c r="A2262" t="str">
        <f>"0181392 "</f>
        <v xml:space="preserve">0181392 </v>
      </c>
      <c r="B2262" t="s">
        <v>4982</v>
      </c>
      <c r="C2262" t="s">
        <v>7096</v>
      </c>
      <c r="D2262" t="s">
        <v>7097</v>
      </c>
      <c r="E2262">
        <v>2</v>
      </c>
      <c r="F2262" t="s">
        <v>6812</v>
      </c>
      <c r="G2262" t="s">
        <v>4983</v>
      </c>
      <c r="H2262">
        <v>36051</v>
      </c>
      <c r="I2262" t="s">
        <v>7098</v>
      </c>
    </row>
    <row r="2263" spans="1:9">
      <c r="A2263" t="str">
        <f>"0181393 "</f>
        <v xml:space="preserve">0181393 </v>
      </c>
      <c r="B2263" t="s">
        <v>4982</v>
      </c>
      <c r="C2263" t="s">
        <v>7099</v>
      </c>
      <c r="D2263" t="s">
        <v>7100</v>
      </c>
      <c r="E2263">
        <v>2</v>
      </c>
      <c r="F2263" t="s">
        <v>6812</v>
      </c>
      <c r="G2263" t="s">
        <v>4983</v>
      </c>
      <c r="H2263">
        <v>36052</v>
      </c>
      <c r="I2263" t="s">
        <v>7101</v>
      </c>
    </row>
    <row r="2264" spans="1:9">
      <c r="A2264" t="str">
        <f>"0181454 "</f>
        <v xml:space="preserve">0181454 </v>
      </c>
      <c r="B2264" t="s">
        <v>4982</v>
      </c>
      <c r="C2264" t="s">
        <v>7102</v>
      </c>
      <c r="D2264" t="s">
        <v>7103</v>
      </c>
      <c r="E2264">
        <v>4</v>
      </c>
      <c r="F2264" t="s">
        <v>2896</v>
      </c>
      <c r="G2264" t="s">
        <v>4983</v>
      </c>
      <c r="H2264">
        <v>36122</v>
      </c>
      <c r="I2264" t="s">
        <v>7104</v>
      </c>
    </row>
    <row r="2265" spans="1:9">
      <c r="A2265" t="str">
        <f>"0181634 "</f>
        <v xml:space="preserve">0181634 </v>
      </c>
      <c r="B2265" t="s">
        <v>4982</v>
      </c>
      <c r="C2265" t="s">
        <v>7105</v>
      </c>
      <c r="D2265" t="s">
        <v>7106</v>
      </c>
      <c r="E2265">
        <v>2</v>
      </c>
      <c r="F2265" t="s">
        <v>7107</v>
      </c>
      <c r="G2265" t="s">
        <v>4983</v>
      </c>
      <c r="H2265">
        <v>36328</v>
      </c>
      <c r="I2265" t="s">
        <v>7108</v>
      </c>
    </row>
    <row r="2266" spans="1:9">
      <c r="A2266" t="str">
        <f>"0181635 "</f>
        <v xml:space="preserve">0181635 </v>
      </c>
      <c r="B2266" t="s">
        <v>4982</v>
      </c>
      <c r="C2266" t="s">
        <v>7109</v>
      </c>
      <c r="D2266" t="s">
        <v>7110</v>
      </c>
      <c r="E2266">
        <v>2</v>
      </c>
      <c r="F2266" t="s">
        <v>7111</v>
      </c>
      <c r="G2266" t="s">
        <v>4983</v>
      </c>
      <c r="H2266">
        <v>36329</v>
      </c>
      <c r="I2266" t="s">
        <v>7112</v>
      </c>
    </row>
    <row r="2267" spans="1:9">
      <c r="A2267" t="str">
        <f>"0181773 "</f>
        <v xml:space="preserve">0181773 </v>
      </c>
      <c r="B2267" t="s">
        <v>4982</v>
      </c>
      <c r="C2267" t="s">
        <v>7113</v>
      </c>
      <c r="D2267" t="s">
        <v>7114</v>
      </c>
      <c r="E2267">
        <v>2</v>
      </c>
      <c r="F2267" t="s">
        <v>7115</v>
      </c>
      <c r="G2267" t="s">
        <v>4983</v>
      </c>
      <c r="H2267">
        <v>36476</v>
      </c>
      <c r="I2267" t="s">
        <v>7116</v>
      </c>
    </row>
    <row r="2268" spans="1:9">
      <c r="A2268" t="str">
        <f>"0181832 "</f>
        <v xml:space="preserve">0181832 </v>
      </c>
      <c r="B2268" t="s">
        <v>4982</v>
      </c>
      <c r="C2268" t="s">
        <v>7117</v>
      </c>
      <c r="D2268" t="s">
        <v>7118</v>
      </c>
      <c r="E2268">
        <v>4</v>
      </c>
      <c r="F2268" t="s">
        <v>2736</v>
      </c>
      <c r="G2268" t="s">
        <v>4983</v>
      </c>
      <c r="H2268">
        <v>36543</v>
      </c>
      <c r="I2268" t="s">
        <v>7119</v>
      </c>
    </row>
    <row r="2269" spans="1:9">
      <c r="A2269" t="str">
        <f>"0181893 "</f>
        <v xml:space="preserve">0181893 </v>
      </c>
      <c r="B2269" t="s">
        <v>4982</v>
      </c>
      <c r="C2269" t="s">
        <v>7120</v>
      </c>
      <c r="D2269" t="s">
        <v>7121</v>
      </c>
      <c r="E2269">
        <v>4</v>
      </c>
      <c r="F2269" t="s">
        <v>2665</v>
      </c>
      <c r="G2269" t="s">
        <v>4983</v>
      </c>
      <c r="H2269">
        <v>36613</v>
      </c>
      <c r="I2269" t="s">
        <v>7122</v>
      </c>
    </row>
    <row r="2270" spans="1:9">
      <c r="A2270" t="str">
        <f>"0182000 "</f>
        <v xml:space="preserve">0182000 </v>
      </c>
      <c r="B2270" t="s">
        <v>4982</v>
      </c>
      <c r="C2270" t="s">
        <v>7123</v>
      </c>
      <c r="D2270" t="s">
        <v>7124</v>
      </c>
      <c r="E2270">
        <v>2</v>
      </c>
      <c r="F2270" t="s">
        <v>7125</v>
      </c>
      <c r="G2270" t="s">
        <v>4983</v>
      </c>
      <c r="H2270">
        <v>36735</v>
      </c>
      <c r="I2270" t="s">
        <v>7126</v>
      </c>
    </row>
    <row r="2271" spans="1:9">
      <c r="A2271" t="str">
        <f>"0182001 "</f>
        <v xml:space="preserve">0182001 </v>
      </c>
      <c r="B2271" t="s">
        <v>4982</v>
      </c>
      <c r="C2271" t="s">
        <v>7127</v>
      </c>
      <c r="D2271" t="s">
        <v>7128</v>
      </c>
      <c r="E2271">
        <v>2</v>
      </c>
      <c r="F2271" t="s">
        <v>7125</v>
      </c>
      <c r="G2271" t="s">
        <v>4983</v>
      </c>
      <c r="H2271">
        <v>36736</v>
      </c>
      <c r="I2271" t="s">
        <v>7129</v>
      </c>
    </row>
    <row r="2272" spans="1:9">
      <c r="A2272" t="str">
        <f>"0182151 "</f>
        <v xml:space="preserve">0182151 </v>
      </c>
      <c r="B2272" t="s">
        <v>4982</v>
      </c>
      <c r="C2272" t="s">
        <v>7130</v>
      </c>
      <c r="D2272" t="s">
        <v>7131</v>
      </c>
      <c r="E2272">
        <v>4</v>
      </c>
      <c r="F2272" t="s">
        <v>7132</v>
      </c>
      <c r="G2272" t="s">
        <v>4983</v>
      </c>
      <c r="H2272">
        <v>36905</v>
      </c>
      <c r="I2272" t="s">
        <v>7133</v>
      </c>
    </row>
    <row r="2273" spans="1:9">
      <c r="A2273" t="str">
        <f>"0182156 "</f>
        <v xml:space="preserve">0182156 </v>
      </c>
      <c r="B2273" t="s">
        <v>4982</v>
      </c>
      <c r="C2273" t="s">
        <v>7134</v>
      </c>
      <c r="D2273" t="s">
        <v>7135</v>
      </c>
      <c r="E2273">
        <v>2</v>
      </c>
      <c r="F2273" t="s">
        <v>7136</v>
      </c>
      <c r="G2273" t="s">
        <v>4983</v>
      </c>
      <c r="H2273">
        <v>36910</v>
      </c>
      <c r="I2273" t="s">
        <v>7137</v>
      </c>
    </row>
    <row r="2274" spans="1:9">
      <c r="A2274" t="str">
        <f>"0182157 "</f>
        <v xml:space="preserve">0182157 </v>
      </c>
      <c r="B2274" t="s">
        <v>4982</v>
      </c>
      <c r="C2274" t="s">
        <v>7138</v>
      </c>
      <c r="D2274" t="s">
        <v>7139</v>
      </c>
      <c r="E2274">
        <v>2</v>
      </c>
      <c r="F2274" t="s">
        <v>6650</v>
      </c>
      <c r="G2274" t="s">
        <v>4983</v>
      </c>
      <c r="H2274">
        <v>36911</v>
      </c>
      <c r="I2274" t="s">
        <v>7140</v>
      </c>
    </row>
    <row r="2275" spans="1:9">
      <c r="A2275" t="str">
        <f>"0182228 "</f>
        <v xml:space="preserve">0182228 </v>
      </c>
      <c r="B2275" t="s">
        <v>4982</v>
      </c>
      <c r="C2275" t="s">
        <v>7141</v>
      </c>
      <c r="D2275" t="s">
        <v>7142</v>
      </c>
      <c r="E2275">
        <v>4</v>
      </c>
      <c r="F2275" t="s">
        <v>5246</v>
      </c>
      <c r="G2275" t="s">
        <v>4983</v>
      </c>
      <c r="H2275">
        <v>36989</v>
      </c>
      <c r="I2275" t="s">
        <v>7143</v>
      </c>
    </row>
    <row r="2276" spans="1:9">
      <c r="A2276" t="str">
        <f>"0182291 "</f>
        <v xml:space="preserve">0182291 </v>
      </c>
      <c r="B2276" t="s">
        <v>4982</v>
      </c>
      <c r="C2276" t="s">
        <v>7144</v>
      </c>
      <c r="D2276" t="s">
        <v>7145</v>
      </c>
      <c r="E2276">
        <v>1</v>
      </c>
      <c r="F2276" t="s">
        <v>6235</v>
      </c>
      <c r="G2276" t="s">
        <v>4983</v>
      </c>
      <c r="H2276">
        <v>37052</v>
      </c>
      <c r="I2276" t="s">
        <v>7146</v>
      </c>
    </row>
    <row r="2277" spans="1:9">
      <c r="A2277" t="str">
        <f>"0182624 "</f>
        <v xml:space="preserve">0182624 </v>
      </c>
      <c r="B2277" t="s">
        <v>4982</v>
      </c>
      <c r="C2277" t="s">
        <v>7147</v>
      </c>
      <c r="D2277" t="s">
        <v>7148</v>
      </c>
      <c r="E2277">
        <v>2</v>
      </c>
      <c r="F2277" t="s">
        <v>7149</v>
      </c>
      <c r="G2277" t="s">
        <v>4983</v>
      </c>
      <c r="H2277">
        <v>37443</v>
      </c>
      <c r="I2277" t="s">
        <v>7150</v>
      </c>
    </row>
    <row r="2278" spans="1:9">
      <c r="A2278" t="str">
        <f>"0182625 "</f>
        <v xml:space="preserve">0182625 </v>
      </c>
      <c r="B2278" t="s">
        <v>4982</v>
      </c>
      <c r="C2278" t="s">
        <v>7151</v>
      </c>
      <c r="D2278" t="s">
        <v>7152</v>
      </c>
      <c r="E2278">
        <v>2</v>
      </c>
      <c r="F2278" t="s">
        <v>7149</v>
      </c>
      <c r="G2278" t="s">
        <v>4983</v>
      </c>
      <c r="H2278">
        <v>37444</v>
      </c>
      <c r="I2278" t="s">
        <v>7153</v>
      </c>
    </row>
    <row r="2279" spans="1:9">
      <c r="A2279" t="str">
        <f>"0183040 "</f>
        <v xml:space="preserve">0183040 </v>
      </c>
      <c r="B2279" t="s">
        <v>4982</v>
      </c>
      <c r="C2279" t="s">
        <v>7154</v>
      </c>
      <c r="D2279" t="s">
        <v>7155</v>
      </c>
      <c r="E2279">
        <v>2</v>
      </c>
      <c r="F2279" t="s">
        <v>7156</v>
      </c>
      <c r="G2279" t="s">
        <v>4983</v>
      </c>
      <c r="H2279">
        <v>38051</v>
      </c>
      <c r="I2279" t="s">
        <v>7157</v>
      </c>
    </row>
    <row r="2280" spans="1:9">
      <c r="A2280" t="str">
        <f>"0183345 "</f>
        <v xml:space="preserve">0183345 </v>
      </c>
      <c r="B2280" t="s">
        <v>4982</v>
      </c>
      <c r="C2280" t="s">
        <v>7158</v>
      </c>
      <c r="D2280" t="s">
        <v>7159</v>
      </c>
      <c r="E2280">
        <v>4</v>
      </c>
      <c r="F2280" t="s">
        <v>5003</v>
      </c>
      <c r="G2280" t="s">
        <v>4983</v>
      </c>
      <c r="H2280">
        <v>38536</v>
      </c>
      <c r="I2280" t="s">
        <v>7160</v>
      </c>
    </row>
    <row r="2281" spans="1:9">
      <c r="A2281" t="str">
        <f>"0183557 "</f>
        <v xml:space="preserve">0183557 </v>
      </c>
      <c r="B2281" t="s">
        <v>4982</v>
      </c>
      <c r="C2281" t="s">
        <v>7161</v>
      </c>
      <c r="D2281" t="s">
        <v>7162</v>
      </c>
      <c r="E2281">
        <v>4</v>
      </c>
      <c r="F2281" t="s">
        <v>2447</v>
      </c>
      <c r="G2281" t="s">
        <v>4983</v>
      </c>
      <c r="H2281">
        <v>38811</v>
      </c>
      <c r="I2281" t="s">
        <v>7163</v>
      </c>
    </row>
    <row r="2282" spans="1:9">
      <c r="A2282" t="str">
        <f>"0183713 "</f>
        <v xml:space="preserve">0183713 </v>
      </c>
      <c r="B2282" t="s">
        <v>4982</v>
      </c>
      <c r="C2282" t="s">
        <v>7164</v>
      </c>
      <c r="D2282" t="s">
        <v>7165</v>
      </c>
      <c r="E2282">
        <v>2</v>
      </c>
      <c r="F2282" t="s">
        <v>6998</v>
      </c>
      <c r="G2282" t="s">
        <v>4983</v>
      </c>
      <c r="H2282">
        <v>39023</v>
      </c>
      <c r="I2282" t="s">
        <v>7166</v>
      </c>
    </row>
    <row r="2283" spans="1:9">
      <c r="A2283" t="str">
        <f>"0183714 "</f>
        <v xml:space="preserve">0183714 </v>
      </c>
      <c r="B2283" t="s">
        <v>4982</v>
      </c>
      <c r="C2283" t="s">
        <v>7167</v>
      </c>
      <c r="D2283" t="s">
        <v>7168</v>
      </c>
      <c r="E2283">
        <v>2</v>
      </c>
      <c r="F2283" t="s">
        <v>6998</v>
      </c>
      <c r="G2283" t="s">
        <v>4983</v>
      </c>
      <c r="H2283">
        <v>39024</v>
      </c>
      <c r="I2283" t="s">
        <v>7169</v>
      </c>
    </row>
    <row r="2284" spans="1:9">
      <c r="A2284" t="str">
        <f>"0184080 "</f>
        <v xml:space="preserve">0184080 </v>
      </c>
      <c r="B2284" t="s">
        <v>4982</v>
      </c>
      <c r="C2284" t="s">
        <v>7170</v>
      </c>
      <c r="D2284" t="s">
        <v>7171</v>
      </c>
      <c r="E2284">
        <v>4</v>
      </c>
      <c r="F2284" t="s">
        <v>6565</v>
      </c>
      <c r="G2284" t="s">
        <v>4983</v>
      </c>
      <c r="H2284">
        <v>39646</v>
      </c>
      <c r="I2284" t="s">
        <v>7172</v>
      </c>
    </row>
    <row r="2285" spans="1:9">
      <c r="A2285" t="str">
        <f>"0184212 "</f>
        <v xml:space="preserve">0184212 </v>
      </c>
      <c r="B2285" t="s">
        <v>4982</v>
      </c>
      <c r="C2285" t="s">
        <v>7173</v>
      </c>
      <c r="D2285" t="s">
        <v>7174</v>
      </c>
      <c r="E2285">
        <v>1</v>
      </c>
      <c r="F2285" t="s">
        <v>5526</v>
      </c>
      <c r="G2285" t="s">
        <v>4983</v>
      </c>
      <c r="H2285">
        <v>39831</v>
      </c>
      <c r="I2285" t="s">
        <v>7175</v>
      </c>
    </row>
    <row r="2286" spans="1:9">
      <c r="A2286" t="str">
        <f>"0184369 "</f>
        <v xml:space="preserve">0184369 </v>
      </c>
      <c r="B2286" t="s">
        <v>4982</v>
      </c>
      <c r="C2286" t="s">
        <v>7176</v>
      </c>
      <c r="D2286" t="s">
        <v>7177</v>
      </c>
      <c r="E2286">
        <v>4</v>
      </c>
      <c r="F2286" t="s">
        <v>7178</v>
      </c>
      <c r="G2286" t="s">
        <v>4983</v>
      </c>
      <c r="H2286">
        <v>40165</v>
      </c>
      <c r="I2286" t="s">
        <v>7179</v>
      </c>
    </row>
    <row r="2287" spans="1:9">
      <c r="A2287" t="str">
        <f>"0184513 "</f>
        <v xml:space="preserve">0184513 </v>
      </c>
      <c r="B2287" t="s">
        <v>4982</v>
      </c>
      <c r="C2287" t="s">
        <v>7180</v>
      </c>
      <c r="D2287" t="s">
        <v>7181</v>
      </c>
      <c r="E2287">
        <v>2</v>
      </c>
      <c r="F2287" t="s">
        <v>7182</v>
      </c>
      <c r="G2287" t="s">
        <v>4983</v>
      </c>
      <c r="H2287">
        <v>40428</v>
      </c>
      <c r="I2287" t="s">
        <v>7183</v>
      </c>
    </row>
    <row r="2288" spans="1:9">
      <c r="A2288" t="str">
        <f>"0184514 "</f>
        <v xml:space="preserve">0184514 </v>
      </c>
      <c r="B2288" t="s">
        <v>4982</v>
      </c>
      <c r="C2288" t="s">
        <v>7184</v>
      </c>
      <c r="D2288" t="s">
        <v>7185</v>
      </c>
      <c r="E2288">
        <v>1</v>
      </c>
      <c r="F2288" t="s">
        <v>7186</v>
      </c>
      <c r="G2288" t="s">
        <v>4983</v>
      </c>
      <c r="H2288">
        <v>40429</v>
      </c>
      <c r="I2288" t="s">
        <v>7187</v>
      </c>
    </row>
    <row r="2289" spans="1:9">
      <c r="A2289" t="str">
        <f>"0184598 "</f>
        <v xml:space="preserve">0184598 </v>
      </c>
      <c r="B2289" t="s">
        <v>4982</v>
      </c>
      <c r="C2289" t="s">
        <v>7188</v>
      </c>
      <c r="D2289" t="s">
        <v>7189</v>
      </c>
      <c r="E2289">
        <v>2</v>
      </c>
      <c r="F2289" t="s">
        <v>2661</v>
      </c>
      <c r="G2289" t="s">
        <v>4983</v>
      </c>
      <c r="H2289">
        <v>40591</v>
      </c>
      <c r="I2289" t="s">
        <v>7190</v>
      </c>
    </row>
    <row r="2290" spans="1:9">
      <c r="A2290" t="str">
        <f>"0185238 "</f>
        <v xml:space="preserve">0185238 </v>
      </c>
      <c r="B2290" t="s">
        <v>4982</v>
      </c>
      <c r="C2290" t="s">
        <v>7191</v>
      </c>
      <c r="D2290" t="s">
        <v>7192</v>
      </c>
      <c r="E2290">
        <v>4</v>
      </c>
      <c r="F2290" t="s">
        <v>5798</v>
      </c>
      <c r="G2290" t="s">
        <v>4983</v>
      </c>
      <c r="H2290">
        <v>41435</v>
      </c>
      <c r="I2290" t="s">
        <v>7193</v>
      </c>
    </row>
    <row r="2291" spans="1:9">
      <c r="A2291" t="str">
        <f>"0185269 "</f>
        <v xml:space="preserve">0185269 </v>
      </c>
      <c r="B2291" t="s">
        <v>4982</v>
      </c>
      <c r="C2291" t="s">
        <v>7194</v>
      </c>
      <c r="D2291" t="s">
        <v>7195</v>
      </c>
      <c r="E2291">
        <v>4</v>
      </c>
      <c r="F2291" t="s">
        <v>6010</v>
      </c>
      <c r="G2291" t="s">
        <v>4983</v>
      </c>
      <c r="H2291">
        <v>41467</v>
      </c>
      <c r="I2291" t="s">
        <v>7196</v>
      </c>
    </row>
    <row r="2292" spans="1:9">
      <c r="A2292" t="str">
        <f>"0185281 "</f>
        <v xml:space="preserve">0185281 </v>
      </c>
      <c r="B2292" t="s">
        <v>4982</v>
      </c>
      <c r="C2292" t="s">
        <v>7197</v>
      </c>
      <c r="D2292" t="s">
        <v>7198</v>
      </c>
      <c r="E2292">
        <v>2</v>
      </c>
      <c r="F2292" t="s">
        <v>7199</v>
      </c>
      <c r="G2292" t="s">
        <v>4983</v>
      </c>
      <c r="H2292">
        <v>41479</v>
      </c>
      <c r="I2292" t="s">
        <v>7200</v>
      </c>
    </row>
    <row r="2293" spans="1:9">
      <c r="A2293" t="str">
        <f>"0185299 "</f>
        <v xml:space="preserve">0185299 </v>
      </c>
      <c r="B2293" t="s">
        <v>4982</v>
      </c>
      <c r="C2293" t="s">
        <v>7201</v>
      </c>
      <c r="D2293" t="s">
        <v>7202</v>
      </c>
      <c r="E2293">
        <v>2</v>
      </c>
      <c r="F2293" t="s">
        <v>7203</v>
      </c>
      <c r="G2293" t="s">
        <v>4983</v>
      </c>
      <c r="H2293">
        <v>41497</v>
      </c>
      <c r="I2293" t="s">
        <v>7204</v>
      </c>
    </row>
    <row r="2294" spans="1:9">
      <c r="A2294" t="str">
        <f>"0185305 "</f>
        <v xml:space="preserve">0185305 </v>
      </c>
      <c r="B2294" t="s">
        <v>4982</v>
      </c>
      <c r="C2294" t="s">
        <v>7205</v>
      </c>
      <c r="D2294" t="s">
        <v>7206</v>
      </c>
      <c r="E2294">
        <v>4</v>
      </c>
      <c r="F2294" t="s">
        <v>7207</v>
      </c>
      <c r="G2294" t="s">
        <v>4983</v>
      </c>
      <c r="H2294">
        <v>41503</v>
      </c>
      <c r="I2294" t="s">
        <v>7208</v>
      </c>
    </row>
    <row r="2295" spans="1:9">
      <c r="A2295" t="str">
        <f>"0185307 "</f>
        <v xml:space="preserve">0185307 </v>
      </c>
      <c r="B2295" t="s">
        <v>4982</v>
      </c>
      <c r="C2295" t="s">
        <v>7209</v>
      </c>
      <c r="D2295" t="s">
        <v>7210</v>
      </c>
      <c r="E2295">
        <v>2</v>
      </c>
      <c r="F2295" t="s">
        <v>7211</v>
      </c>
      <c r="G2295" t="s">
        <v>4983</v>
      </c>
      <c r="H2295">
        <v>41505</v>
      </c>
      <c r="I2295" t="s">
        <v>7212</v>
      </c>
    </row>
    <row r="2296" spans="1:9">
      <c r="A2296" t="str">
        <f>"0185316 "</f>
        <v xml:space="preserve">0185316 </v>
      </c>
      <c r="B2296" t="s">
        <v>4982</v>
      </c>
      <c r="C2296" t="s">
        <v>7213</v>
      </c>
      <c r="D2296" t="s">
        <v>7214</v>
      </c>
      <c r="E2296">
        <v>4</v>
      </c>
      <c r="F2296" t="s">
        <v>5180</v>
      </c>
      <c r="G2296" t="s">
        <v>4983</v>
      </c>
      <c r="H2296">
        <v>41514</v>
      </c>
      <c r="I2296" t="s">
        <v>7215</v>
      </c>
    </row>
    <row r="2297" spans="1:9">
      <c r="A2297" t="str">
        <f>"0185335 "</f>
        <v xml:space="preserve">0185335 </v>
      </c>
      <c r="B2297" t="s">
        <v>4982</v>
      </c>
      <c r="C2297" t="s">
        <v>7216</v>
      </c>
      <c r="D2297" t="s">
        <v>7217</v>
      </c>
      <c r="E2297">
        <v>2</v>
      </c>
      <c r="F2297" t="s">
        <v>3509</v>
      </c>
      <c r="G2297" t="s">
        <v>4983</v>
      </c>
      <c r="H2297">
        <v>41533</v>
      </c>
      <c r="I2297" t="s">
        <v>7218</v>
      </c>
    </row>
    <row r="2298" spans="1:9">
      <c r="A2298" t="str">
        <f>"0185349 "</f>
        <v xml:space="preserve">0185349 </v>
      </c>
      <c r="B2298" t="s">
        <v>4982</v>
      </c>
      <c r="C2298" t="s">
        <v>7219</v>
      </c>
      <c r="D2298" t="s">
        <v>7220</v>
      </c>
      <c r="E2298">
        <v>2</v>
      </c>
      <c r="F2298" t="s">
        <v>5876</v>
      </c>
      <c r="G2298" t="s">
        <v>4983</v>
      </c>
      <c r="H2298">
        <v>41547</v>
      </c>
      <c r="I2298" t="s">
        <v>7221</v>
      </c>
    </row>
    <row r="2299" spans="1:9">
      <c r="A2299" t="str">
        <f>"0185355 "</f>
        <v xml:space="preserve">0185355 </v>
      </c>
      <c r="B2299" t="s">
        <v>4982</v>
      </c>
      <c r="C2299" t="s">
        <v>7222</v>
      </c>
      <c r="D2299" t="s">
        <v>7223</v>
      </c>
      <c r="E2299">
        <v>4</v>
      </c>
      <c r="F2299" t="s">
        <v>7224</v>
      </c>
      <c r="G2299" t="s">
        <v>4983</v>
      </c>
      <c r="H2299">
        <v>41553</v>
      </c>
      <c r="I2299" t="s">
        <v>7225</v>
      </c>
    </row>
    <row r="2300" spans="1:9">
      <c r="A2300" t="str">
        <f>"0185364 "</f>
        <v xml:space="preserve">0185364 </v>
      </c>
      <c r="B2300" t="s">
        <v>4982</v>
      </c>
      <c r="C2300" t="s">
        <v>7226</v>
      </c>
      <c r="D2300" t="s">
        <v>7227</v>
      </c>
      <c r="E2300">
        <v>4</v>
      </c>
      <c r="F2300" t="s">
        <v>5166</v>
      </c>
      <c r="G2300" t="s">
        <v>4983</v>
      </c>
      <c r="H2300">
        <v>41562</v>
      </c>
      <c r="I2300" t="s">
        <v>7228</v>
      </c>
    </row>
    <row r="2301" spans="1:9">
      <c r="A2301" t="str">
        <f>"0185366 "</f>
        <v xml:space="preserve">0185366 </v>
      </c>
      <c r="B2301" t="s">
        <v>4982</v>
      </c>
      <c r="C2301" t="s">
        <v>7229</v>
      </c>
      <c r="D2301" t="s">
        <v>7230</v>
      </c>
      <c r="E2301">
        <v>3</v>
      </c>
      <c r="F2301" t="s">
        <v>5003</v>
      </c>
      <c r="G2301" t="s">
        <v>4983</v>
      </c>
      <c r="H2301">
        <v>41564</v>
      </c>
      <c r="I2301" t="s">
        <v>7231</v>
      </c>
    </row>
    <row r="2302" spans="1:9">
      <c r="A2302" t="str">
        <f>"0185377 "</f>
        <v xml:space="preserve">0185377 </v>
      </c>
      <c r="B2302" t="s">
        <v>4982</v>
      </c>
      <c r="C2302" t="s">
        <v>7232</v>
      </c>
      <c r="D2302" t="s">
        <v>7233</v>
      </c>
      <c r="E2302">
        <v>2</v>
      </c>
      <c r="F2302" t="s">
        <v>7234</v>
      </c>
      <c r="G2302" t="s">
        <v>4983</v>
      </c>
      <c r="H2302">
        <v>41575</v>
      </c>
      <c r="I2302" t="s">
        <v>7235</v>
      </c>
    </row>
    <row r="2303" spans="1:9">
      <c r="A2303" t="str">
        <f>"0185380 "</f>
        <v xml:space="preserve">0185380 </v>
      </c>
      <c r="B2303" t="s">
        <v>4982</v>
      </c>
      <c r="C2303" t="s">
        <v>7236</v>
      </c>
      <c r="D2303" t="s">
        <v>7237</v>
      </c>
      <c r="E2303">
        <v>2</v>
      </c>
      <c r="F2303" t="s">
        <v>5454</v>
      </c>
      <c r="G2303" t="s">
        <v>4983</v>
      </c>
      <c r="H2303">
        <v>41578</v>
      </c>
      <c r="I2303" t="s">
        <v>7238</v>
      </c>
    </row>
    <row r="2304" spans="1:9">
      <c r="A2304" t="str">
        <f>"0185387 "</f>
        <v xml:space="preserve">0185387 </v>
      </c>
      <c r="B2304" t="s">
        <v>4982</v>
      </c>
      <c r="C2304" t="s">
        <v>7239</v>
      </c>
      <c r="D2304" t="s">
        <v>7240</v>
      </c>
      <c r="E2304">
        <v>4</v>
      </c>
      <c r="F2304" t="s">
        <v>5328</v>
      </c>
      <c r="G2304" t="s">
        <v>4983</v>
      </c>
      <c r="H2304">
        <v>41585</v>
      </c>
      <c r="I2304" t="s">
        <v>7241</v>
      </c>
    </row>
    <row r="2305" spans="1:9">
      <c r="A2305" t="str">
        <f>"0185390 "</f>
        <v xml:space="preserve">0185390 </v>
      </c>
      <c r="B2305" t="s">
        <v>4982</v>
      </c>
      <c r="C2305" t="s">
        <v>7242</v>
      </c>
      <c r="D2305" t="s">
        <v>7243</v>
      </c>
      <c r="E2305">
        <v>4</v>
      </c>
      <c r="F2305" t="s">
        <v>6565</v>
      </c>
      <c r="G2305" t="s">
        <v>4983</v>
      </c>
      <c r="H2305">
        <v>41588</v>
      </c>
      <c r="I2305" t="s">
        <v>7244</v>
      </c>
    </row>
    <row r="2306" spans="1:9">
      <c r="A2306" t="str">
        <f>"0185392 "</f>
        <v xml:space="preserve">0185392 </v>
      </c>
      <c r="B2306" t="s">
        <v>4982</v>
      </c>
      <c r="C2306" t="s">
        <v>7245</v>
      </c>
      <c r="D2306" t="s">
        <v>7246</v>
      </c>
      <c r="E2306">
        <v>2</v>
      </c>
      <c r="F2306" t="s">
        <v>7247</v>
      </c>
      <c r="G2306" t="s">
        <v>4983</v>
      </c>
      <c r="H2306">
        <v>41590</v>
      </c>
      <c r="I2306" t="s">
        <v>7248</v>
      </c>
    </row>
    <row r="2307" spans="1:9">
      <c r="A2307" t="str">
        <f>"0185675 "</f>
        <v xml:space="preserve">0185675 </v>
      </c>
      <c r="B2307" t="s">
        <v>4982</v>
      </c>
      <c r="C2307" t="s">
        <v>7249</v>
      </c>
      <c r="D2307" t="s">
        <v>7250</v>
      </c>
      <c r="E2307">
        <v>2</v>
      </c>
      <c r="F2307" t="s">
        <v>7251</v>
      </c>
      <c r="G2307" t="s">
        <v>4983</v>
      </c>
      <c r="H2307">
        <v>41902</v>
      </c>
      <c r="I2307" t="s">
        <v>7252</v>
      </c>
    </row>
    <row r="2308" spans="1:9">
      <c r="A2308" t="str">
        <f>"0185785 "</f>
        <v xml:space="preserve">0185785 </v>
      </c>
      <c r="B2308" t="s">
        <v>4982</v>
      </c>
      <c r="C2308" t="s">
        <v>7253</v>
      </c>
      <c r="D2308" t="s">
        <v>7254</v>
      </c>
      <c r="E2308">
        <v>2</v>
      </c>
      <c r="F2308" t="s">
        <v>7255</v>
      </c>
      <c r="G2308" t="s">
        <v>4983</v>
      </c>
      <c r="H2308">
        <v>42022</v>
      </c>
      <c r="I2308" t="s">
        <v>7256</v>
      </c>
    </row>
    <row r="2309" spans="1:9">
      <c r="A2309" t="str">
        <f>"0185787 "</f>
        <v xml:space="preserve">0185787 </v>
      </c>
      <c r="B2309" t="s">
        <v>4982</v>
      </c>
      <c r="C2309" t="s">
        <v>7257</v>
      </c>
      <c r="D2309" t="s">
        <v>7258</v>
      </c>
      <c r="E2309">
        <v>2</v>
      </c>
      <c r="F2309" t="s">
        <v>5809</v>
      </c>
      <c r="G2309" t="s">
        <v>4983</v>
      </c>
      <c r="H2309">
        <v>42024</v>
      </c>
      <c r="I2309" t="s">
        <v>7259</v>
      </c>
    </row>
    <row r="2310" spans="1:9">
      <c r="A2310" t="str">
        <f>"0185801 "</f>
        <v xml:space="preserve">0185801 </v>
      </c>
      <c r="B2310" t="s">
        <v>4982</v>
      </c>
      <c r="C2310" t="s">
        <v>7260</v>
      </c>
      <c r="D2310" t="s">
        <v>7261</v>
      </c>
      <c r="E2310">
        <v>2</v>
      </c>
      <c r="F2310" t="s">
        <v>7262</v>
      </c>
      <c r="G2310" t="s">
        <v>4983</v>
      </c>
      <c r="H2310">
        <v>42038</v>
      </c>
      <c r="I2310" t="s">
        <v>7263</v>
      </c>
    </row>
    <row r="2311" spans="1:9">
      <c r="A2311" t="str">
        <f>"0187167 "</f>
        <v xml:space="preserve">0187167 </v>
      </c>
      <c r="B2311" t="s">
        <v>4982</v>
      </c>
      <c r="C2311" t="s">
        <v>7264</v>
      </c>
      <c r="D2311" t="s">
        <v>7265</v>
      </c>
      <c r="E2311">
        <v>4</v>
      </c>
      <c r="F2311" t="s">
        <v>7055</v>
      </c>
      <c r="G2311" t="s">
        <v>4983</v>
      </c>
      <c r="H2311">
        <v>43648</v>
      </c>
      <c r="I2311" t="s">
        <v>7266</v>
      </c>
    </row>
    <row r="2312" spans="1:9">
      <c r="A2312" t="str">
        <f>"0187267 "</f>
        <v xml:space="preserve">0187267 </v>
      </c>
      <c r="B2312" t="s">
        <v>4982</v>
      </c>
      <c r="C2312" t="s">
        <v>7267</v>
      </c>
      <c r="D2312" t="s">
        <v>7268</v>
      </c>
      <c r="E2312">
        <v>4</v>
      </c>
      <c r="F2312" t="s">
        <v>7269</v>
      </c>
      <c r="G2312" t="s">
        <v>4983</v>
      </c>
      <c r="H2312">
        <v>44176</v>
      </c>
      <c r="I2312" t="s">
        <v>7270</v>
      </c>
    </row>
    <row r="2313" spans="1:9">
      <c r="A2313" t="str">
        <f>"0187579 "</f>
        <v xml:space="preserve">0187579 </v>
      </c>
      <c r="B2313" t="s">
        <v>4982</v>
      </c>
      <c r="C2313" t="s">
        <v>7271</v>
      </c>
      <c r="D2313" t="s">
        <v>7272</v>
      </c>
      <c r="E2313">
        <v>3</v>
      </c>
      <c r="F2313" t="s">
        <v>6561</v>
      </c>
      <c r="G2313" t="s">
        <v>4983</v>
      </c>
      <c r="H2313">
        <v>44764</v>
      </c>
      <c r="I2313" t="s">
        <v>7273</v>
      </c>
    </row>
    <row r="2314" spans="1:9">
      <c r="A2314" t="str">
        <f>"0164267 "</f>
        <v xml:space="preserve">0164267 </v>
      </c>
      <c r="B2314" t="s">
        <v>7274</v>
      </c>
      <c r="C2314" t="str">
        <f>"01089FE"</f>
        <v>01089FE</v>
      </c>
      <c r="D2314" t="str">
        <f>"01089  G11 1.5L (СЃРёРЅС–Р№) x12  FEBI - РљРѕРЅС†РµРЅС‚СЂР°С‚ РѕС…РѕР»РѕРґР¶СѓСЋС‡РѕС— СЂС–РґРёРЅРё"</f>
        <v>01089  G11 1.5L (СЃРёРЅС–Р№) x12  FEBI - РљРѕРЅС†РµРЅС‚СЂР°С‚ РѕС…РѕР»РѕРґР¶СѓСЋС‡РѕС— СЂС–РґРёРЅРё</v>
      </c>
      <c r="E2314" t="s">
        <v>16</v>
      </c>
      <c r="F2314" t="s">
        <v>7275</v>
      </c>
      <c r="G2314" t="s">
        <v>4983</v>
      </c>
      <c r="H2314" t="str">
        <f>"01089"</f>
        <v>01089</v>
      </c>
      <c r="I2314" t="s">
        <v>7276</v>
      </c>
    </row>
    <row r="2315" spans="1:9">
      <c r="A2315" t="str">
        <f>"0164411 "</f>
        <v xml:space="preserve">0164411 </v>
      </c>
      <c r="B2315" t="s">
        <v>7274</v>
      </c>
      <c r="C2315" t="str">
        <f>"01381FE"</f>
        <v>01381FE</v>
      </c>
      <c r="D2315" t="str">
        <f>"01381  G12 1.5L (С‡РµСЂРІРѕРЅРёР№) x12  FEBI - РљРѕРЅС†РµРЅС‚СЂР°С‚ РѕС…РѕР»РѕРґР¶СѓСЋС‡РѕС— СЂС–РґРёРЅРё"</f>
        <v>01381  G12 1.5L (С‡РµСЂРІРѕРЅРёР№) x12  FEBI - РљРѕРЅС†РµРЅС‚СЂР°С‚ РѕС…РѕР»РѕРґР¶СѓСЋС‡РѕС— СЂС–РґРёРЅРё</v>
      </c>
      <c r="E2315" t="s">
        <v>16</v>
      </c>
      <c r="F2315" t="s">
        <v>3964</v>
      </c>
      <c r="G2315" t="s">
        <v>4983</v>
      </c>
      <c r="H2315" t="str">
        <f>"01381"</f>
        <v>01381</v>
      </c>
      <c r="I2315" t="s">
        <v>7277</v>
      </c>
    </row>
    <row r="2316" spans="1:9">
      <c r="A2316" t="str">
        <f>"0164946 "</f>
        <v xml:space="preserve">0164946 </v>
      </c>
      <c r="B2316" t="s">
        <v>7274</v>
      </c>
      <c r="C2316" t="str">
        <f>"02615FE"</f>
        <v>02615FE</v>
      </c>
      <c r="D2316" t="str">
        <f>"02615  ZHM 1L (Р¶РѕРІС‚Р°) x12  FEBI - Р С–РґРёРЅР° РіС–РґСЂР°РІР»С–С‡РЅР° (РјС–РЅРµСЂР°Р»СЊРЅР°)"</f>
        <v>02615  ZHM 1L (Р¶РѕРІС‚Р°) x12  FEBI - Р С–РґРёРЅР° РіС–РґСЂР°РІР»С–С‡РЅР° (РјС–РЅРµСЂР°Р»СЊРЅР°)</v>
      </c>
      <c r="E2316" t="s">
        <v>16</v>
      </c>
      <c r="F2316" t="s">
        <v>7278</v>
      </c>
      <c r="G2316" t="s">
        <v>4983</v>
      </c>
      <c r="H2316" t="str">
        <f>"02615"</f>
        <v>02615</v>
      </c>
      <c r="I2316" t="s">
        <v>7279</v>
      </c>
    </row>
    <row r="2317" spans="1:9">
      <c r="A2317" t="str">
        <f>"0165977 "</f>
        <v xml:space="preserve">0165977 </v>
      </c>
      <c r="B2317" t="s">
        <v>7274</v>
      </c>
      <c r="C2317" t="str">
        <f>"06161FE"</f>
        <v>06161FE</v>
      </c>
      <c r="D2317" t="str">
        <f>"06161  1L (Р·РµР»РµРЅРёР№) x12  FEBI - Р С–РґРёРЅР° РіС–РґСЂР°РІР»С–С‡РЅР° (СЃРёРЅС‚РµС‚РёС‡РЅР°)"</f>
        <v>06161  1L (Р·РµР»РµРЅРёР№) x12  FEBI - Р С–РґРёРЅР° РіС–РґСЂР°РІР»С–С‡РЅР° (СЃРёРЅС‚РµС‚РёС‡РЅР°)</v>
      </c>
      <c r="E2317" t="s">
        <v>16</v>
      </c>
      <c r="F2317" t="s">
        <v>7280</v>
      </c>
      <c r="G2317" t="s">
        <v>4983</v>
      </c>
      <c r="H2317" t="str">
        <f>"06161"</f>
        <v>06161</v>
      </c>
      <c r="I2317" t="s">
        <v>7281</v>
      </c>
    </row>
    <row r="2318" spans="1:9">
      <c r="A2318" t="str">
        <f>"0165978 "</f>
        <v xml:space="preserve">0165978 </v>
      </c>
      <c r="B2318" t="s">
        <v>7274</v>
      </c>
      <c r="C2318" t="str">
        <f>"06162FE"</f>
        <v>06162FE</v>
      </c>
      <c r="D2318" t="str">
        <f>"06162  1L (Р·РµР»РµРЅРёР№) x12  FEBI - Р С–РґРёРЅР° РіС–РґСЂР°РІР»С–С‡РЅР° (РјС–РЅРµСЂР°Р»СЊРЅР°)"</f>
        <v>06162  1L (Р·РµР»РµРЅРёР№) x12  FEBI - Р С–РґРёРЅР° РіС–РґСЂР°РІР»С–С‡РЅР° (РјС–РЅРµСЂР°Р»СЊРЅР°)</v>
      </c>
      <c r="E2318" t="s">
        <v>16</v>
      </c>
      <c r="F2318" t="s">
        <v>7282</v>
      </c>
      <c r="G2318" t="s">
        <v>4983</v>
      </c>
      <c r="H2318" t="str">
        <f>"06162"</f>
        <v>06162</v>
      </c>
      <c r="I2318" t="s">
        <v>7283</v>
      </c>
    </row>
    <row r="2319" spans="1:9">
      <c r="A2319" t="str">
        <f>"0166891 "</f>
        <v xml:space="preserve">0166891 </v>
      </c>
      <c r="B2319" t="s">
        <v>7274</v>
      </c>
      <c r="C2319" t="str">
        <f>"08971FE"</f>
        <v>08971FE</v>
      </c>
      <c r="D2319" t="str">
        <f>"08971  ATF 1L (С‡РµСЂРІРѕРЅРёР№) x20  FEBI - РњР°СЃР»Рѕ С‚СЂР°РЅСЃРјС–СЃС–Р№РЅРµ"</f>
        <v>08971  ATF 1L (С‡РµСЂРІРѕРЅРёР№) x20  FEBI - РњР°СЃР»Рѕ С‚СЂР°РЅСЃРјС–СЃС–Р№РЅРµ</v>
      </c>
      <c r="E2319">
        <v>4</v>
      </c>
      <c r="F2319" t="s">
        <v>6137</v>
      </c>
      <c r="G2319" t="s">
        <v>4983</v>
      </c>
      <c r="H2319" t="str">
        <f>"08971"</f>
        <v>08971</v>
      </c>
      <c r="I2319" t="s">
        <v>7284</v>
      </c>
    </row>
    <row r="2320" spans="1:9">
      <c r="A2320" t="str">
        <f>"0166892 "</f>
        <v xml:space="preserve">0166892 </v>
      </c>
      <c r="B2320" t="s">
        <v>7274</v>
      </c>
      <c r="C2320" t="str">
        <f>"08972FE"</f>
        <v>08972FE</v>
      </c>
      <c r="D2320" t="str">
        <f>"08972  1L (Р¶РѕРІС‚РёР№) x20  FEBI - Р С–РґРёРЅР° РіС–РґСЂРѕРїС–РґСЃРёР»СЋРІР°С‡Р°"</f>
        <v>08972  1L (Р¶РѕРІС‚РёР№) x20  FEBI - Р С–РґРёРЅР° РіС–РґСЂРѕРїС–РґСЃРёР»СЋРІР°С‡Р°</v>
      </c>
      <c r="E2320" t="s">
        <v>16</v>
      </c>
      <c r="F2320" t="s">
        <v>7285</v>
      </c>
      <c r="G2320" t="s">
        <v>4983</v>
      </c>
      <c r="H2320" t="str">
        <f>"08972"</f>
        <v>08972</v>
      </c>
      <c r="I2320" t="s">
        <v>7286</v>
      </c>
    </row>
    <row r="2321" spans="1:9">
      <c r="A2321" t="str">
        <f>"0169280 "</f>
        <v xml:space="preserve">0169280 </v>
      </c>
      <c r="B2321" t="s">
        <v>7274</v>
      </c>
      <c r="C2321" t="s">
        <v>7287</v>
      </c>
      <c r="D2321" t="s">
        <v>7288</v>
      </c>
      <c r="E2321" t="s">
        <v>16</v>
      </c>
      <c r="F2321" t="s">
        <v>7289</v>
      </c>
      <c r="G2321" t="s">
        <v>4983</v>
      </c>
      <c r="H2321">
        <v>14738</v>
      </c>
      <c r="I2321" t="s">
        <v>7290</v>
      </c>
    </row>
    <row r="2322" spans="1:9">
      <c r="A2322" t="str">
        <f>"0172608 "</f>
        <v xml:space="preserve">0172608 </v>
      </c>
      <c r="B2322" t="s">
        <v>7274</v>
      </c>
      <c r="C2322" t="s">
        <v>7291</v>
      </c>
      <c r="D2322" t="s">
        <v>7292</v>
      </c>
      <c r="E2322" t="s">
        <v>16</v>
      </c>
      <c r="F2322" t="s">
        <v>2077</v>
      </c>
      <c r="G2322" t="s">
        <v>4983</v>
      </c>
      <c r="H2322">
        <v>21647</v>
      </c>
      <c r="I2322" t="s">
        <v>7293</v>
      </c>
    </row>
    <row r="2323" spans="1:9">
      <c r="A2323" t="str">
        <f>"0172609 "</f>
        <v xml:space="preserve">0172609 </v>
      </c>
      <c r="B2323" t="s">
        <v>7274</v>
      </c>
      <c r="C2323" t="s">
        <v>7294</v>
      </c>
      <c r="D2323" t="s">
        <v>7295</v>
      </c>
      <c r="E2323">
        <v>2</v>
      </c>
      <c r="F2323" t="s">
        <v>7296</v>
      </c>
      <c r="G2323" t="s">
        <v>4983</v>
      </c>
      <c r="H2323">
        <v>21648</v>
      </c>
      <c r="I2323" t="s">
        <v>7297</v>
      </c>
    </row>
    <row r="2324" spans="1:9">
      <c r="A2324" t="str">
        <f>"0172975 "</f>
        <v xml:space="preserve">0172975 </v>
      </c>
      <c r="B2324" t="s">
        <v>7274</v>
      </c>
      <c r="C2324" t="s">
        <v>7298</v>
      </c>
      <c r="D2324" t="s">
        <v>7299</v>
      </c>
      <c r="E2324" t="s">
        <v>16</v>
      </c>
      <c r="F2324" t="s">
        <v>7300</v>
      </c>
      <c r="G2324" t="s">
        <v>4983</v>
      </c>
      <c r="H2324">
        <v>22272</v>
      </c>
      <c r="I2324" t="s">
        <v>7277</v>
      </c>
    </row>
    <row r="2325" spans="1:9">
      <c r="A2325" t="str">
        <f>"0173348 "</f>
        <v xml:space="preserve">0173348 </v>
      </c>
      <c r="B2325" t="s">
        <v>7274</v>
      </c>
      <c r="C2325" t="s">
        <v>7301</v>
      </c>
      <c r="D2325" t="s">
        <v>7302</v>
      </c>
      <c r="E2325" t="s">
        <v>16</v>
      </c>
      <c r="F2325" t="s">
        <v>2548</v>
      </c>
      <c r="G2325" t="s">
        <v>4983</v>
      </c>
      <c r="H2325">
        <v>22806</v>
      </c>
      <c r="I2325" t="s">
        <v>7303</v>
      </c>
    </row>
    <row r="2326" spans="1:9">
      <c r="A2326" t="str">
        <f>"0175396 "</f>
        <v xml:space="preserve">0175396 </v>
      </c>
      <c r="B2326" t="s">
        <v>7274</v>
      </c>
      <c r="C2326" t="s">
        <v>7304</v>
      </c>
      <c r="D2326" t="s">
        <v>7305</v>
      </c>
      <c r="E2326">
        <v>5</v>
      </c>
      <c r="F2326" t="s">
        <v>7306</v>
      </c>
      <c r="G2326" t="s">
        <v>4983</v>
      </c>
      <c r="H2326">
        <v>26580</v>
      </c>
      <c r="I2326" t="s">
        <v>7307</v>
      </c>
    </row>
    <row r="2327" spans="1:9">
      <c r="A2327" t="str">
        <f>"0177456 "</f>
        <v xml:space="preserve">0177456 </v>
      </c>
      <c r="B2327" t="s">
        <v>7274</v>
      </c>
      <c r="C2327" t="s">
        <v>7308</v>
      </c>
      <c r="D2327" t="s">
        <v>7309</v>
      </c>
      <c r="E2327">
        <v>5</v>
      </c>
      <c r="F2327" t="s">
        <v>7310</v>
      </c>
      <c r="G2327" t="s">
        <v>4983</v>
      </c>
      <c r="H2327">
        <v>29449</v>
      </c>
      <c r="I2327" t="s">
        <v>7311</v>
      </c>
    </row>
    <row r="2328" spans="1:9">
      <c r="A2328" t="str">
        <f>"0177747 "</f>
        <v xml:space="preserve">0177747 </v>
      </c>
      <c r="B2328" t="s">
        <v>7274</v>
      </c>
      <c r="C2328" t="s">
        <v>7312</v>
      </c>
      <c r="D2328" t="s">
        <v>7313</v>
      </c>
      <c r="E2328" t="s">
        <v>16</v>
      </c>
      <c r="F2328" t="s">
        <v>7314</v>
      </c>
      <c r="G2328" t="s">
        <v>4983</v>
      </c>
      <c r="H2328">
        <v>29934</v>
      </c>
      <c r="I2328" t="s">
        <v>7315</v>
      </c>
    </row>
    <row r="2329" spans="1:9">
      <c r="A2329" t="str">
        <f>"0179609 "</f>
        <v xml:space="preserve">0179609 </v>
      </c>
      <c r="B2329" t="s">
        <v>7274</v>
      </c>
      <c r="C2329" t="s">
        <v>7316</v>
      </c>
      <c r="D2329" t="s">
        <v>7317</v>
      </c>
      <c r="E2329">
        <v>2</v>
      </c>
      <c r="F2329" t="s">
        <v>7318</v>
      </c>
      <c r="G2329" t="s">
        <v>4983</v>
      </c>
      <c r="H2329">
        <v>32590</v>
      </c>
      <c r="I2329" t="s">
        <v>7319</v>
      </c>
    </row>
    <row r="2330" spans="1:9">
      <c r="A2330" t="str">
        <f>"0181019 "</f>
        <v xml:space="preserve">0181019 </v>
      </c>
      <c r="B2330" t="s">
        <v>7274</v>
      </c>
      <c r="C2330" t="s">
        <v>7320</v>
      </c>
      <c r="D2330" t="s">
        <v>7321</v>
      </c>
      <c r="E2330" t="s">
        <v>16</v>
      </c>
      <c r="F2330" t="s">
        <v>5985</v>
      </c>
      <c r="G2330" t="s">
        <v>4983</v>
      </c>
      <c r="H2330">
        <v>34608</v>
      </c>
      <c r="I2330" t="s">
        <v>7322</v>
      </c>
    </row>
    <row r="2331" spans="1:9">
      <c r="A2331" t="str">
        <f>"0183092 "</f>
        <v xml:space="preserve">0183092 </v>
      </c>
      <c r="B2331" t="s">
        <v>7274</v>
      </c>
      <c r="C2331" t="s">
        <v>7323</v>
      </c>
      <c r="D2331" t="s">
        <v>7324</v>
      </c>
      <c r="E2331">
        <v>1</v>
      </c>
      <c r="F2331" t="s">
        <v>7318</v>
      </c>
      <c r="G2331" t="s">
        <v>4983</v>
      </c>
      <c r="H2331">
        <v>38200</v>
      </c>
      <c r="I2331" t="s">
        <v>7325</v>
      </c>
    </row>
    <row r="2332" spans="1:9">
      <c r="A2332" t="str">
        <f>"0183750 "</f>
        <v xml:space="preserve">0183750 </v>
      </c>
      <c r="B2332" t="s">
        <v>7274</v>
      </c>
      <c r="C2332" t="s">
        <v>7326</v>
      </c>
      <c r="D2332" t="s">
        <v>7327</v>
      </c>
      <c r="E2332">
        <v>4</v>
      </c>
      <c r="F2332" t="s">
        <v>7328</v>
      </c>
      <c r="G2332" t="s">
        <v>4983</v>
      </c>
      <c r="H2332">
        <v>39070</v>
      </c>
      <c r="I2332" t="s">
        <v>7329</v>
      </c>
    </row>
    <row r="2333" spans="1:9">
      <c r="A2333" t="str">
        <f>"0183770 "</f>
        <v xml:space="preserve">0183770 </v>
      </c>
      <c r="B2333" t="s">
        <v>7274</v>
      </c>
      <c r="C2333" t="s">
        <v>7330</v>
      </c>
      <c r="D2333" t="s">
        <v>7331</v>
      </c>
      <c r="E2333" t="s">
        <v>16</v>
      </c>
      <c r="F2333" t="s">
        <v>7332</v>
      </c>
      <c r="G2333" t="s">
        <v>4983</v>
      </c>
      <c r="H2333">
        <v>39095</v>
      </c>
      <c r="I2333" t="s">
        <v>5359</v>
      </c>
    </row>
    <row r="2334" spans="1:9">
      <c r="A2334" t="str">
        <f>"0184595 "</f>
        <v xml:space="preserve">0184595 </v>
      </c>
      <c r="B2334" t="s">
        <v>7274</v>
      </c>
      <c r="C2334" t="s">
        <v>7333</v>
      </c>
      <c r="D2334" t="s">
        <v>7334</v>
      </c>
      <c r="E2334" t="s">
        <v>16</v>
      </c>
      <c r="F2334" t="s">
        <v>5910</v>
      </c>
      <c r="G2334" t="s">
        <v>4983</v>
      </c>
      <c r="H2334">
        <v>40580</v>
      </c>
      <c r="I2334" t="s">
        <v>5359</v>
      </c>
    </row>
    <row r="2335" spans="1:9">
      <c r="A2335" t="str">
        <f>"0050938 "</f>
        <v xml:space="preserve">0050938 </v>
      </c>
      <c r="B2335" t="s">
        <v>7335</v>
      </c>
      <c r="C2335" t="str">
        <f>"0050938"</f>
        <v>0050938</v>
      </c>
      <c r="D2335" t="s">
        <v>7336</v>
      </c>
      <c r="E2335" t="s">
        <v>16</v>
      </c>
      <c r="F2335" t="s">
        <v>7337</v>
      </c>
      <c r="G2335" t="s">
        <v>7335</v>
      </c>
      <c r="H2335" t="str">
        <f>"0050938"</f>
        <v>0050938</v>
      </c>
    </row>
    <row r="2336" spans="1:9">
      <c r="A2336" t="str">
        <f>"0050901 "</f>
        <v xml:space="preserve">0050901 </v>
      </c>
      <c r="B2336" t="s">
        <v>7335</v>
      </c>
      <c r="C2336" t="s">
        <v>7338</v>
      </c>
      <c r="D2336" t="s">
        <v>7339</v>
      </c>
      <c r="E2336" t="s">
        <v>16</v>
      </c>
      <c r="F2336" t="s">
        <v>7340</v>
      </c>
      <c r="G2336" t="s">
        <v>7335</v>
      </c>
      <c r="H2336" t="s">
        <v>7338</v>
      </c>
    </row>
    <row r="2337" spans="1:9">
      <c r="A2337" t="str">
        <f>"0146677 "</f>
        <v xml:space="preserve">0146677 </v>
      </c>
      <c r="B2337" t="s">
        <v>7341</v>
      </c>
      <c r="C2337" t="s">
        <v>7342</v>
      </c>
      <c r="D2337" t="s">
        <v>7343</v>
      </c>
      <c r="E2337" t="s">
        <v>16</v>
      </c>
      <c r="F2337" t="s">
        <v>7344</v>
      </c>
      <c r="G2337" t="s">
        <v>7341</v>
      </c>
      <c r="H2337" t="str">
        <f>"3225-00050"</f>
        <v>3225-00050</v>
      </c>
      <c r="I2337" t="s">
        <v>7345</v>
      </c>
    </row>
    <row r="2338" spans="1:9">
      <c r="A2338" t="str">
        <f>"0151635 "</f>
        <v xml:space="preserve">0151635 </v>
      </c>
      <c r="B2338" t="s">
        <v>7341</v>
      </c>
      <c r="C2338" t="s">
        <v>1888</v>
      </c>
      <c r="D2338" t="s">
        <v>7346</v>
      </c>
      <c r="E2338">
        <v>3</v>
      </c>
      <c r="F2338" t="s">
        <v>3434</v>
      </c>
      <c r="G2338" t="s">
        <v>7341</v>
      </c>
      <c r="H2338" t="s">
        <v>1888</v>
      </c>
      <c r="I2338" t="s">
        <v>1891</v>
      </c>
    </row>
    <row r="2339" spans="1:9">
      <c r="A2339" t="str">
        <f>"0151710 "</f>
        <v xml:space="preserve">0151710 </v>
      </c>
      <c r="B2339" t="s">
        <v>7341</v>
      </c>
      <c r="C2339" t="s">
        <v>3510</v>
      </c>
      <c r="D2339" t="s">
        <v>7347</v>
      </c>
      <c r="E2339">
        <v>1</v>
      </c>
      <c r="F2339" t="s">
        <v>3566</v>
      </c>
      <c r="G2339" t="s">
        <v>7341</v>
      </c>
      <c r="H2339" t="s">
        <v>3510</v>
      </c>
      <c r="I2339" t="s">
        <v>1906</v>
      </c>
    </row>
    <row r="2340" spans="1:9">
      <c r="A2340" t="str">
        <f>"0151798 "</f>
        <v xml:space="preserve">0151798 </v>
      </c>
      <c r="B2340" t="s">
        <v>7341</v>
      </c>
      <c r="C2340" t="s">
        <v>7348</v>
      </c>
      <c r="D2340" t="s">
        <v>7349</v>
      </c>
      <c r="E2340">
        <v>2</v>
      </c>
      <c r="F2340" t="s">
        <v>3579</v>
      </c>
      <c r="G2340" t="s">
        <v>7341</v>
      </c>
      <c r="H2340" t="s">
        <v>7348</v>
      </c>
      <c r="I2340" t="s">
        <v>1922</v>
      </c>
    </row>
    <row r="2341" spans="1:9">
      <c r="A2341" t="str">
        <f>"0151636 "</f>
        <v xml:space="preserve">0151636 </v>
      </c>
      <c r="B2341" t="s">
        <v>7341</v>
      </c>
      <c r="C2341" t="s">
        <v>3523</v>
      </c>
      <c r="D2341" t="s">
        <v>7350</v>
      </c>
      <c r="E2341">
        <v>3</v>
      </c>
      <c r="F2341" t="s">
        <v>7351</v>
      </c>
      <c r="G2341" t="s">
        <v>7341</v>
      </c>
      <c r="H2341" t="s">
        <v>3523</v>
      </c>
      <c r="I2341" t="s">
        <v>7352</v>
      </c>
    </row>
    <row r="2342" spans="1:9">
      <c r="A2342" t="str">
        <f>"0151699 "</f>
        <v xml:space="preserve">0151699 </v>
      </c>
      <c r="B2342" t="s">
        <v>7341</v>
      </c>
      <c r="C2342" t="s">
        <v>1985</v>
      </c>
      <c r="D2342" t="s">
        <v>7353</v>
      </c>
      <c r="E2342">
        <v>3</v>
      </c>
      <c r="F2342" t="s">
        <v>7354</v>
      </c>
      <c r="G2342" t="s">
        <v>7341</v>
      </c>
      <c r="H2342" t="s">
        <v>1985</v>
      </c>
      <c r="I2342" t="s">
        <v>1988</v>
      </c>
    </row>
    <row r="2343" spans="1:9">
      <c r="A2343" t="str">
        <f>"0151702 "</f>
        <v xml:space="preserve">0151702 </v>
      </c>
      <c r="B2343" t="s">
        <v>7341</v>
      </c>
      <c r="C2343" t="s">
        <v>1989</v>
      </c>
      <c r="D2343" t="s">
        <v>7355</v>
      </c>
      <c r="E2343">
        <v>1</v>
      </c>
      <c r="F2343" t="s">
        <v>7356</v>
      </c>
      <c r="G2343" t="s">
        <v>7341</v>
      </c>
      <c r="H2343" t="s">
        <v>1989</v>
      </c>
      <c r="I2343" t="s">
        <v>1992</v>
      </c>
    </row>
    <row r="2344" spans="1:9">
      <c r="A2344" t="str">
        <f>"0151705 "</f>
        <v xml:space="preserve">0151705 </v>
      </c>
      <c r="B2344" t="s">
        <v>7341</v>
      </c>
      <c r="C2344" t="s">
        <v>1993</v>
      </c>
      <c r="D2344" t="s">
        <v>7357</v>
      </c>
      <c r="E2344">
        <v>1</v>
      </c>
      <c r="F2344" t="s">
        <v>7358</v>
      </c>
      <c r="G2344" t="s">
        <v>7341</v>
      </c>
      <c r="H2344" t="s">
        <v>1993</v>
      </c>
      <c r="I2344" t="s">
        <v>1995</v>
      </c>
    </row>
    <row r="2345" spans="1:9">
      <c r="A2345" t="str">
        <f>"0151723 "</f>
        <v xml:space="preserve">0151723 </v>
      </c>
      <c r="B2345" t="s">
        <v>7341</v>
      </c>
      <c r="C2345" t="s">
        <v>3544</v>
      </c>
      <c r="D2345" t="s">
        <v>7359</v>
      </c>
      <c r="E2345">
        <v>1</v>
      </c>
      <c r="F2345" t="s">
        <v>5137</v>
      </c>
      <c r="G2345" t="s">
        <v>7341</v>
      </c>
      <c r="H2345" t="s">
        <v>3544</v>
      </c>
      <c r="I2345" t="s">
        <v>7360</v>
      </c>
    </row>
    <row r="2346" spans="1:9">
      <c r="A2346" t="str">
        <f>"0151058 "</f>
        <v xml:space="preserve">0151058 </v>
      </c>
      <c r="B2346" t="s">
        <v>7341</v>
      </c>
      <c r="C2346">
        <v>5015</v>
      </c>
      <c r="D2346" t="s">
        <v>7361</v>
      </c>
      <c r="E2346">
        <v>2</v>
      </c>
      <c r="F2346" t="s">
        <v>7362</v>
      </c>
      <c r="G2346" t="s">
        <v>7341</v>
      </c>
      <c r="H2346">
        <v>5015</v>
      </c>
      <c r="I2346" t="s">
        <v>3912</v>
      </c>
    </row>
    <row r="2347" spans="1:9">
      <c r="A2347" t="str">
        <f>"0151059 "</f>
        <v xml:space="preserve">0151059 </v>
      </c>
      <c r="B2347" t="s">
        <v>7341</v>
      </c>
      <c r="C2347">
        <v>5016</v>
      </c>
      <c r="D2347" t="s">
        <v>7363</v>
      </c>
      <c r="E2347">
        <v>3</v>
      </c>
      <c r="F2347" t="s">
        <v>7364</v>
      </c>
      <c r="G2347" t="s">
        <v>7341</v>
      </c>
      <c r="H2347">
        <v>5016</v>
      </c>
      <c r="I2347" t="s">
        <v>3144</v>
      </c>
    </row>
    <row r="2348" spans="1:9">
      <c r="A2348" t="str">
        <f>"0151070 "</f>
        <v xml:space="preserve">0151070 </v>
      </c>
      <c r="B2348" t="s">
        <v>7341</v>
      </c>
      <c r="C2348">
        <v>5027</v>
      </c>
      <c r="D2348" t="s">
        <v>7365</v>
      </c>
      <c r="E2348">
        <v>4</v>
      </c>
      <c r="F2348" t="s">
        <v>335</v>
      </c>
      <c r="G2348" t="s">
        <v>7341</v>
      </c>
      <c r="H2348">
        <v>5027</v>
      </c>
      <c r="I2348" t="s">
        <v>3880</v>
      </c>
    </row>
    <row r="2349" spans="1:9">
      <c r="A2349" t="str">
        <f>"0151073 "</f>
        <v xml:space="preserve">0151073 </v>
      </c>
      <c r="B2349" t="s">
        <v>7341</v>
      </c>
      <c r="C2349">
        <v>5030</v>
      </c>
      <c r="D2349" t="s">
        <v>7366</v>
      </c>
      <c r="E2349">
        <v>2</v>
      </c>
      <c r="F2349" t="s">
        <v>3584</v>
      </c>
      <c r="G2349" t="s">
        <v>7341</v>
      </c>
      <c r="H2349">
        <v>5030</v>
      </c>
      <c r="I2349" t="s">
        <v>7367</v>
      </c>
    </row>
    <row r="2350" spans="1:9">
      <c r="A2350" t="str">
        <f>"0151077 "</f>
        <v xml:space="preserve">0151077 </v>
      </c>
      <c r="B2350" t="s">
        <v>7341</v>
      </c>
      <c r="C2350">
        <v>5034</v>
      </c>
      <c r="D2350" t="s">
        <v>7368</v>
      </c>
      <c r="E2350">
        <v>1</v>
      </c>
      <c r="F2350" t="s">
        <v>3593</v>
      </c>
      <c r="G2350" t="s">
        <v>7341</v>
      </c>
      <c r="H2350">
        <v>5034</v>
      </c>
      <c r="I2350" t="s">
        <v>3147</v>
      </c>
    </row>
    <row r="2351" spans="1:9">
      <c r="A2351" t="str">
        <f>"0151088 "</f>
        <v xml:space="preserve">0151088 </v>
      </c>
      <c r="B2351" t="s">
        <v>7341</v>
      </c>
      <c r="C2351">
        <v>5048</v>
      </c>
      <c r="D2351" t="s">
        <v>7369</v>
      </c>
      <c r="E2351">
        <v>3</v>
      </c>
      <c r="F2351" t="s">
        <v>7370</v>
      </c>
      <c r="G2351" t="s">
        <v>7341</v>
      </c>
      <c r="H2351">
        <v>5048</v>
      </c>
      <c r="I2351" t="s">
        <v>3951</v>
      </c>
    </row>
    <row r="2352" spans="1:9">
      <c r="A2352" t="str">
        <f>"0151110 "</f>
        <v xml:space="preserve">0151110 </v>
      </c>
      <c r="B2352" t="s">
        <v>7341</v>
      </c>
      <c r="C2352">
        <v>5083</v>
      </c>
      <c r="D2352" t="s">
        <v>7371</v>
      </c>
      <c r="E2352">
        <v>2</v>
      </c>
      <c r="F2352" t="s">
        <v>7372</v>
      </c>
      <c r="G2352" t="s">
        <v>7341</v>
      </c>
      <c r="H2352">
        <v>5083</v>
      </c>
      <c r="I2352" t="s">
        <v>3920</v>
      </c>
    </row>
    <row r="2353" spans="1:9">
      <c r="A2353" t="str">
        <f>"0151148 "</f>
        <v xml:space="preserve">0151148 </v>
      </c>
      <c r="B2353" t="s">
        <v>7341</v>
      </c>
      <c r="C2353">
        <v>5129</v>
      </c>
      <c r="D2353" t="s">
        <v>7373</v>
      </c>
      <c r="E2353">
        <v>2</v>
      </c>
      <c r="F2353" t="s">
        <v>7374</v>
      </c>
      <c r="G2353" t="s">
        <v>7341</v>
      </c>
      <c r="H2353">
        <v>5129</v>
      </c>
      <c r="I2353" t="s">
        <v>3946</v>
      </c>
    </row>
    <row r="2354" spans="1:9">
      <c r="A2354" t="str">
        <f>"0151235 "</f>
        <v xml:space="preserve">0151235 </v>
      </c>
      <c r="B2354" t="s">
        <v>7341</v>
      </c>
      <c r="C2354" t="s">
        <v>7375</v>
      </c>
      <c r="D2354" t="s">
        <v>7376</v>
      </c>
      <c r="E2354">
        <v>1</v>
      </c>
      <c r="F2354" t="s">
        <v>7377</v>
      </c>
      <c r="G2354" t="s">
        <v>7341</v>
      </c>
      <c r="H2354" t="s">
        <v>7375</v>
      </c>
      <c r="I2354" t="s">
        <v>3155</v>
      </c>
    </row>
    <row r="2355" spans="1:9">
      <c r="A2355" t="str">
        <f>"0151157 "</f>
        <v xml:space="preserve">0151157 </v>
      </c>
      <c r="B2355" t="s">
        <v>7341</v>
      </c>
      <c r="C2355">
        <v>5176</v>
      </c>
      <c r="D2355" t="s">
        <v>7378</v>
      </c>
      <c r="E2355">
        <v>4</v>
      </c>
      <c r="F2355" t="s">
        <v>7379</v>
      </c>
      <c r="G2355" t="s">
        <v>7341</v>
      </c>
      <c r="H2355">
        <v>5176</v>
      </c>
      <c r="I2355" t="s">
        <v>3125</v>
      </c>
    </row>
    <row r="2356" spans="1:9">
      <c r="A2356" t="str">
        <f>"0151259 "</f>
        <v xml:space="preserve">0151259 </v>
      </c>
      <c r="B2356" t="s">
        <v>7341</v>
      </c>
      <c r="C2356" t="s">
        <v>7380</v>
      </c>
      <c r="D2356" t="s">
        <v>7381</v>
      </c>
      <c r="E2356">
        <v>1</v>
      </c>
      <c r="F2356" t="s">
        <v>2057</v>
      </c>
      <c r="G2356" t="s">
        <v>7341</v>
      </c>
      <c r="H2356" t="s">
        <v>7380</v>
      </c>
      <c r="I2356" t="s">
        <v>3186</v>
      </c>
    </row>
    <row r="2357" spans="1:9">
      <c r="A2357" t="str">
        <f>"0151260 "</f>
        <v xml:space="preserve">0151260 </v>
      </c>
      <c r="B2357" t="s">
        <v>7341</v>
      </c>
      <c r="C2357" t="s">
        <v>7382</v>
      </c>
      <c r="D2357" t="s">
        <v>7383</v>
      </c>
      <c r="E2357">
        <v>1</v>
      </c>
      <c r="F2357" t="s">
        <v>7384</v>
      </c>
      <c r="G2357" t="s">
        <v>7341</v>
      </c>
      <c r="H2357" t="s">
        <v>7382</v>
      </c>
      <c r="I2357" t="s">
        <v>3220</v>
      </c>
    </row>
    <row r="2358" spans="1:9">
      <c r="A2358" t="str">
        <f>"0151279 "</f>
        <v xml:space="preserve">0151279 </v>
      </c>
      <c r="B2358" t="s">
        <v>7341</v>
      </c>
      <c r="C2358" t="s">
        <v>7385</v>
      </c>
      <c r="D2358" t="s">
        <v>7386</v>
      </c>
      <c r="E2358">
        <v>1</v>
      </c>
      <c r="F2358" t="s">
        <v>7387</v>
      </c>
      <c r="G2358" t="s">
        <v>7341</v>
      </c>
      <c r="H2358" t="s">
        <v>7385</v>
      </c>
      <c r="I2358" t="s">
        <v>7388</v>
      </c>
    </row>
    <row r="2359" spans="1:9">
      <c r="A2359" t="str">
        <f>"0151282 "</f>
        <v xml:space="preserve">0151282 </v>
      </c>
      <c r="B2359" t="s">
        <v>7341</v>
      </c>
      <c r="C2359" t="s">
        <v>7389</v>
      </c>
      <c r="D2359" t="s">
        <v>7390</v>
      </c>
      <c r="E2359">
        <v>1</v>
      </c>
      <c r="F2359" t="s">
        <v>7391</v>
      </c>
      <c r="G2359" t="s">
        <v>7341</v>
      </c>
      <c r="H2359" t="s">
        <v>7389</v>
      </c>
      <c r="I2359" t="s">
        <v>3002</v>
      </c>
    </row>
    <row r="2360" spans="1:9">
      <c r="A2360" t="str">
        <f>"0151284 "</f>
        <v xml:space="preserve">0151284 </v>
      </c>
      <c r="B2360" t="s">
        <v>7341</v>
      </c>
      <c r="C2360" t="s">
        <v>7392</v>
      </c>
      <c r="D2360" t="s">
        <v>7393</v>
      </c>
      <c r="E2360">
        <v>1</v>
      </c>
      <c r="F2360" t="s">
        <v>7394</v>
      </c>
      <c r="G2360" t="s">
        <v>7341</v>
      </c>
      <c r="H2360" t="s">
        <v>7392</v>
      </c>
      <c r="I2360" t="s">
        <v>3931</v>
      </c>
    </row>
    <row r="2361" spans="1:9">
      <c r="A2361" t="str">
        <f>"0151312 "</f>
        <v xml:space="preserve">0151312 </v>
      </c>
      <c r="B2361" t="s">
        <v>7341</v>
      </c>
      <c r="C2361" t="s">
        <v>7395</v>
      </c>
      <c r="D2361" t="s">
        <v>7396</v>
      </c>
      <c r="E2361" t="s">
        <v>16</v>
      </c>
      <c r="F2361" t="s">
        <v>7397</v>
      </c>
      <c r="G2361" t="s">
        <v>7341</v>
      </c>
      <c r="H2361" t="s">
        <v>7395</v>
      </c>
      <c r="I2361" t="s">
        <v>3236</v>
      </c>
    </row>
    <row r="2362" spans="1:9">
      <c r="A2362" t="str">
        <f>"0151194 "</f>
        <v xml:space="preserve">0151194 </v>
      </c>
      <c r="B2362" t="s">
        <v>7341</v>
      </c>
      <c r="C2362">
        <v>5311</v>
      </c>
      <c r="D2362" t="s">
        <v>7398</v>
      </c>
      <c r="E2362">
        <v>2</v>
      </c>
      <c r="F2362" t="s">
        <v>4039</v>
      </c>
      <c r="G2362" t="s">
        <v>7341</v>
      </c>
      <c r="H2362">
        <v>5311</v>
      </c>
      <c r="I2362" t="s">
        <v>3140</v>
      </c>
    </row>
    <row r="2363" spans="1:9">
      <c r="A2363" t="str">
        <f>"0151320 "</f>
        <v xml:space="preserve">0151320 </v>
      </c>
      <c r="B2363" t="s">
        <v>7341</v>
      </c>
      <c r="C2363" t="s">
        <v>7399</v>
      </c>
      <c r="D2363" t="s">
        <v>7400</v>
      </c>
      <c r="E2363">
        <v>2</v>
      </c>
      <c r="F2363" t="s">
        <v>7401</v>
      </c>
      <c r="G2363" t="s">
        <v>7341</v>
      </c>
      <c r="H2363" t="s">
        <v>7399</v>
      </c>
      <c r="I2363" t="s">
        <v>3272</v>
      </c>
    </row>
    <row r="2364" spans="1:9">
      <c r="A2364" t="str">
        <f>"0151321 "</f>
        <v xml:space="preserve">0151321 </v>
      </c>
      <c r="B2364" t="s">
        <v>7341</v>
      </c>
      <c r="C2364" t="s">
        <v>7402</v>
      </c>
      <c r="D2364" t="s">
        <v>7403</v>
      </c>
      <c r="E2364">
        <v>1</v>
      </c>
      <c r="F2364" t="s">
        <v>7404</v>
      </c>
      <c r="G2364" t="s">
        <v>7341</v>
      </c>
      <c r="H2364" t="s">
        <v>7402</v>
      </c>
      <c r="I2364" t="s">
        <v>3038</v>
      </c>
    </row>
    <row r="2365" spans="1:9">
      <c r="A2365" t="str">
        <f>"0151326 "</f>
        <v xml:space="preserve">0151326 </v>
      </c>
      <c r="B2365" t="s">
        <v>7341</v>
      </c>
      <c r="C2365" t="s">
        <v>7405</v>
      </c>
      <c r="D2365" t="s">
        <v>7406</v>
      </c>
      <c r="E2365">
        <v>1</v>
      </c>
      <c r="F2365" t="s">
        <v>7407</v>
      </c>
      <c r="G2365" t="s">
        <v>7341</v>
      </c>
      <c r="H2365" t="s">
        <v>7405</v>
      </c>
      <c r="I2365" t="s">
        <v>3175</v>
      </c>
    </row>
    <row r="2366" spans="1:9">
      <c r="A2366" t="str">
        <f>"0151339 "</f>
        <v xml:space="preserve">0151339 </v>
      </c>
      <c r="B2366" t="s">
        <v>7341</v>
      </c>
      <c r="C2366" t="s">
        <v>7408</v>
      </c>
      <c r="D2366" t="s">
        <v>7409</v>
      </c>
      <c r="E2366">
        <v>2</v>
      </c>
      <c r="F2366" t="s">
        <v>7410</v>
      </c>
      <c r="G2366" t="s">
        <v>7341</v>
      </c>
      <c r="H2366" t="s">
        <v>7408</v>
      </c>
      <c r="I2366" t="s">
        <v>3179</v>
      </c>
    </row>
    <row r="2367" spans="1:9">
      <c r="A2367" t="str">
        <f>"0151345 "</f>
        <v xml:space="preserve">0151345 </v>
      </c>
      <c r="B2367" t="s">
        <v>7341</v>
      </c>
      <c r="C2367" t="s">
        <v>7411</v>
      </c>
      <c r="D2367" t="s">
        <v>7412</v>
      </c>
      <c r="E2367">
        <v>3</v>
      </c>
      <c r="F2367" t="s">
        <v>7413</v>
      </c>
      <c r="G2367" t="s">
        <v>7341</v>
      </c>
      <c r="H2367" t="s">
        <v>7411</v>
      </c>
      <c r="I2367" t="s">
        <v>4045</v>
      </c>
    </row>
    <row r="2368" spans="1:9">
      <c r="A2368" t="str">
        <f>"0151347 "</f>
        <v xml:space="preserve">0151347 </v>
      </c>
      <c r="B2368" t="s">
        <v>7341</v>
      </c>
      <c r="C2368" t="s">
        <v>7414</v>
      </c>
      <c r="D2368" t="s">
        <v>7415</v>
      </c>
      <c r="E2368">
        <v>2</v>
      </c>
      <c r="F2368" t="s">
        <v>7416</v>
      </c>
      <c r="G2368" t="s">
        <v>7341</v>
      </c>
      <c r="H2368" t="s">
        <v>7414</v>
      </c>
      <c r="I2368" t="s">
        <v>3232</v>
      </c>
    </row>
    <row r="2369" spans="1:9">
      <c r="A2369" t="str">
        <f>"0151392 "</f>
        <v xml:space="preserve">0151392 </v>
      </c>
      <c r="B2369" t="s">
        <v>7341</v>
      </c>
      <c r="C2369" t="s">
        <v>7417</v>
      </c>
      <c r="D2369" t="s">
        <v>7418</v>
      </c>
      <c r="E2369">
        <v>2</v>
      </c>
      <c r="F2369" t="s">
        <v>7419</v>
      </c>
      <c r="G2369" t="s">
        <v>7341</v>
      </c>
      <c r="H2369" t="s">
        <v>7417</v>
      </c>
      <c r="I2369" t="s">
        <v>3209</v>
      </c>
    </row>
    <row r="2370" spans="1:9">
      <c r="A2370" t="str">
        <f>"0151399 "</f>
        <v xml:space="preserve">0151399 </v>
      </c>
      <c r="B2370" t="s">
        <v>7341</v>
      </c>
      <c r="C2370" t="s">
        <v>7420</v>
      </c>
      <c r="D2370" t="s">
        <v>7421</v>
      </c>
      <c r="E2370">
        <v>2</v>
      </c>
      <c r="F2370" t="s">
        <v>7387</v>
      </c>
      <c r="G2370" t="s">
        <v>7341</v>
      </c>
      <c r="H2370" t="s">
        <v>7420</v>
      </c>
      <c r="I2370" t="s">
        <v>7422</v>
      </c>
    </row>
    <row r="2371" spans="1:9">
      <c r="A2371" t="str">
        <f>"0151401 "</f>
        <v xml:space="preserve">0151401 </v>
      </c>
      <c r="B2371" t="s">
        <v>7341</v>
      </c>
      <c r="C2371" t="s">
        <v>7423</v>
      </c>
      <c r="D2371" t="s">
        <v>7424</v>
      </c>
      <c r="E2371">
        <v>2</v>
      </c>
      <c r="F2371" t="s">
        <v>2295</v>
      </c>
      <c r="G2371" t="s">
        <v>7341</v>
      </c>
      <c r="H2371" t="s">
        <v>7423</v>
      </c>
      <c r="I2371" t="s">
        <v>3093</v>
      </c>
    </row>
    <row r="2372" spans="1:9">
      <c r="A2372" t="str">
        <f>"0151412 "</f>
        <v xml:space="preserve">0151412 </v>
      </c>
      <c r="B2372" t="s">
        <v>7341</v>
      </c>
      <c r="C2372" t="s">
        <v>7425</v>
      </c>
      <c r="D2372" t="s">
        <v>7426</v>
      </c>
      <c r="E2372">
        <v>1</v>
      </c>
      <c r="F2372" t="s">
        <v>7427</v>
      </c>
      <c r="G2372" t="s">
        <v>7341</v>
      </c>
      <c r="H2372" t="s">
        <v>7425</v>
      </c>
      <c r="I2372" t="s">
        <v>4053</v>
      </c>
    </row>
    <row r="2373" spans="1:9">
      <c r="A2373" t="str">
        <f>"0151415 "</f>
        <v xml:space="preserve">0151415 </v>
      </c>
      <c r="B2373" t="s">
        <v>7341</v>
      </c>
      <c r="C2373" t="s">
        <v>7428</v>
      </c>
      <c r="D2373" t="s">
        <v>7429</v>
      </c>
      <c r="E2373">
        <v>2</v>
      </c>
      <c r="F2373" t="s">
        <v>7430</v>
      </c>
      <c r="G2373" t="s">
        <v>7341</v>
      </c>
      <c r="H2373" t="s">
        <v>7428</v>
      </c>
      <c r="I2373" t="s">
        <v>4110</v>
      </c>
    </row>
    <row r="2374" spans="1:9">
      <c r="A2374" t="str">
        <f>"0151431 "</f>
        <v xml:space="preserve">0151431 </v>
      </c>
      <c r="B2374" t="s">
        <v>7341</v>
      </c>
      <c r="C2374" t="s">
        <v>7431</v>
      </c>
      <c r="D2374" t="s">
        <v>7432</v>
      </c>
      <c r="E2374">
        <v>2</v>
      </c>
      <c r="F2374" t="s">
        <v>7433</v>
      </c>
      <c r="G2374" t="s">
        <v>7341</v>
      </c>
      <c r="H2374" t="s">
        <v>7431</v>
      </c>
      <c r="I2374" t="s">
        <v>3276</v>
      </c>
    </row>
    <row r="2375" spans="1:9">
      <c r="A2375" t="str">
        <f>"0151449 "</f>
        <v xml:space="preserve">0151449 </v>
      </c>
      <c r="B2375" t="s">
        <v>7341</v>
      </c>
      <c r="C2375" t="s">
        <v>7434</v>
      </c>
      <c r="D2375" t="s">
        <v>7435</v>
      </c>
      <c r="E2375">
        <v>2</v>
      </c>
      <c r="F2375" t="s">
        <v>7436</v>
      </c>
      <c r="G2375" t="s">
        <v>7341</v>
      </c>
      <c r="H2375" t="s">
        <v>7434</v>
      </c>
      <c r="I2375" t="s">
        <v>4100</v>
      </c>
    </row>
    <row r="2376" spans="1:9">
      <c r="A2376" t="str">
        <f>"0151452 "</f>
        <v xml:space="preserve">0151452 </v>
      </c>
      <c r="B2376" t="s">
        <v>7341</v>
      </c>
      <c r="C2376" t="s">
        <v>7437</v>
      </c>
      <c r="D2376" t="s">
        <v>7438</v>
      </c>
      <c r="E2376">
        <v>1</v>
      </c>
      <c r="F2376" t="s">
        <v>5926</v>
      </c>
      <c r="G2376" t="s">
        <v>7341</v>
      </c>
      <c r="H2376" t="s">
        <v>7437</v>
      </c>
      <c r="I2376" t="s">
        <v>3046</v>
      </c>
    </row>
    <row r="2377" spans="1:9">
      <c r="A2377" t="str">
        <f>"0151213 "</f>
        <v xml:space="preserve">0151213 </v>
      </c>
      <c r="B2377" t="s">
        <v>7341</v>
      </c>
      <c r="C2377">
        <v>5539</v>
      </c>
      <c r="D2377" t="s">
        <v>7439</v>
      </c>
      <c r="E2377">
        <v>3</v>
      </c>
      <c r="F2377" t="s">
        <v>7440</v>
      </c>
      <c r="G2377" t="s">
        <v>7341</v>
      </c>
      <c r="H2377">
        <v>5539</v>
      </c>
      <c r="I2377" t="s">
        <v>7441</v>
      </c>
    </row>
    <row r="2378" spans="1:9">
      <c r="A2378" t="str">
        <f>"0151495 "</f>
        <v xml:space="preserve">0151495 </v>
      </c>
      <c r="B2378" t="s">
        <v>7341</v>
      </c>
      <c r="C2378" t="s">
        <v>7442</v>
      </c>
      <c r="D2378" t="s">
        <v>7443</v>
      </c>
      <c r="E2378">
        <v>1</v>
      </c>
      <c r="F2378" t="s">
        <v>7444</v>
      </c>
      <c r="G2378" t="s">
        <v>7341</v>
      </c>
      <c r="H2378" t="s">
        <v>7442</v>
      </c>
      <c r="I2378" t="s">
        <v>3022</v>
      </c>
    </row>
    <row r="2379" spans="1:9">
      <c r="A2379" t="str">
        <f>"0151502 "</f>
        <v xml:space="preserve">0151502 </v>
      </c>
      <c r="B2379" t="s">
        <v>7341</v>
      </c>
      <c r="C2379" t="s">
        <v>7445</v>
      </c>
      <c r="D2379" t="s">
        <v>7446</v>
      </c>
      <c r="E2379">
        <v>1</v>
      </c>
      <c r="F2379" t="s">
        <v>7447</v>
      </c>
      <c r="G2379" t="s">
        <v>7341</v>
      </c>
      <c r="H2379" t="s">
        <v>7445</v>
      </c>
      <c r="I2379" t="s">
        <v>7448</v>
      </c>
    </row>
    <row r="2380" spans="1:9">
      <c r="A2380" t="str">
        <f>"0151511 "</f>
        <v xml:space="preserve">0151511 </v>
      </c>
      <c r="B2380" t="s">
        <v>7341</v>
      </c>
      <c r="C2380" t="s">
        <v>7449</v>
      </c>
      <c r="D2380" t="s">
        <v>7450</v>
      </c>
      <c r="E2380">
        <v>1</v>
      </c>
      <c r="F2380" t="s">
        <v>7451</v>
      </c>
      <c r="G2380" t="s">
        <v>7341</v>
      </c>
      <c r="H2380" t="s">
        <v>7449</v>
      </c>
      <c r="I2380" t="s">
        <v>4138</v>
      </c>
    </row>
    <row r="2381" spans="1:9">
      <c r="A2381" t="str">
        <f>"0151515 "</f>
        <v xml:space="preserve">0151515 </v>
      </c>
      <c r="B2381" t="s">
        <v>7341</v>
      </c>
      <c r="C2381" t="s">
        <v>7452</v>
      </c>
      <c r="D2381" t="s">
        <v>7453</v>
      </c>
      <c r="E2381">
        <v>2</v>
      </c>
      <c r="F2381" t="s">
        <v>7454</v>
      </c>
      <c r="G2381" t="s">
        <v>7341</v>
      </c>
      <c r="H2381" t="s">
        <v>7452</v>
      </c>
      <c r="I2381" t="s">
        <v>3042</v>
      </c>
    </row>
    <row r="2382" spans="1:9">
      <c r="A2382" t="str">
        <f>"0151520 "</f>
        <v xml:space="preserve">0151520 </v>
      </c>
      <c r="B2382" t="s">
        <v>7341</v>
      </c>
      <c r="C2382" t="s">
        <v>7455</v>
      </c>
      <c r="D2382" t="s">
        <v>7456</v>
      </c>
      <c r="E2382">
        <v>2</v>
      </c>
      <c r="F2382" t="s">
        <v>7457</v>
      </c>
      <c r="G2382" t="s">
        <v>7341</v>
      </c>
      <c r="H2382" t="s">
        <v>7455</v>
      </c>
      <c r="I2382" t="s">
        <v>4161</v>
      </c>
    </row>
    <row r="2383" spans="1:9">
      <c r="A2383" t="str">
        <f>"0151521 "</f>
        <v xml:space="preserve">0151521 </v>
      </c>
      <c r="B2383" t="s">
        <v>7341</v>
      </c>
      <c r="C2383" t="s">
        <v>7458</v>
      </c>
      <c r="D2383" t="s">
        <v>7459</v>
      </c>
      <c r="E2383">
        <v>2</v>
      </c>
      <c r="F2383" t="s">
        <v>7460</v>
      </c>
      <c r="G2383" t="s">
        <v>7341</v>
      </c>
      <c r="H2383" t="s">
        <v>7458</v>
      </c>
      <c r="I2383" t="s">
        <v>3090</v>
      </c>
    </row>
    <row r="2384" spans="1:9">
      <c r="A2384" t="str">
        <f>"0151774 "</f>
        <v xml:space="preserve">0151774 </v>
      </c>
      <c r="B2384" t="s">
        <v>7341</v>
      </c>
      <c r="C2384" t="s">
        <v>2036</v>
      </c>
      <c r="D2384" t="s">
        <v>7461</v>
      </c>
      <c r="E2384">
        <v>2</v>
      </c>
      <c r="F2384" t="s">
        <v>7462</v>
      </c>
      <c r="G2384" t="s">
        <v>7341</v>
      </c>
      <c r="H2384" t="s">
        <v>2036</v>
      </c>
      <c r="I2384" t="s">
        <v>2039</v>
      </c>
    </row>
    <row r="2385" spans="1:9">
      <c r="A2385" t="str">
        <f>"0151799 "</f>
        <v xml:space="preserve">0151799 </v>
      </c>
      <c r="B2385" t="s">
        <v>7341</v>
      </c>
      <c r="C2385" t="s">
        <v>7463</v>
      </c>
      <c r="D2385" t="s">
        <v>7464</v>
      </c>
      <c r="E2385">
        <v>4</v>
      </c>
      <c r="F2385" t="s">
        <v>7465</v>
      </c>
      <c r="G2385" t="s">
        <v>7341</v>
      </c>
      <c r="H2385" t="s">
        <v>7463</v>
      </c>
      <c r="I2385" t="s">
        <v>3576</v>
      </c>
    </row>
    <row r="2386" spans="1:9">
      <c r="A2386" t="str">
        <f>"0151817 "</f>
        <v xml:space="preserve">0151817 </v>
      </c>
      <c r="B2386" t="s">
        <v>7341</v>
      </c>
      <c r="C2386" t="s">
        <v>7466</v>
      </c>
      <c r="D2386" t="s">
        <v>7467</v>
      </c>
      <c r="E2386">
        <v>1</v>
      </c>
      <c r="F2386" t="s">
        <v>7468</v>
      </c>
      <c r="G2386" t="s">
        <v>7341</v>
      </c>
      <c r="H2386" t="s">
        <v>7466</v>
      </c>
      <c r="I2386" t="s">
        <v>1899</v>
      </c>
    </row>
    <row r="2387" spans="1:9">
      <c r="A2387" t="str">
        <f>"0151822 "</f>
        <v xml:space="preserve">0151822 </v>
      </c>
      <c r="B2387" t="s">
        <v>7341</v>
      </c>
      <c r="C2387" t="s">
        <v>7469</v>
      </c>
      <c r="D2387" t="s">
        <v>7470</v>
      </c>
      <c r="E2387">
        <v>2</v>
      </c>
      <c r="F2387" t="s">
        <v>7465</v>
      </c>
      <c r="G2387" t="s">
        <v>7341</v>
      </c>
      <c r="H2387" t="s">
        <v>7469</v>
      </c>
      <c r="I2387" t="s">
        <v>2054</v>
      </c>
    </row>
    <row r="2388" spans="1:9">
      <c r="A2388" t="str">
        <f>"0151852 "</f>
        <v xml:space="preserve">0151852 </v>
      </c>
      <c r="B2388" t="s">
        <v>7341</v>
      </c>
      <c r="C2388" t="s">
        <v>2068</v>
      </c>
      <c r="D2388" t="s">
        <v>7471</v>
      </c>
      <c r="E2388">
        <v>1</v>
      </c>
      <c r="F2388" t="s">
        <v>7472</v>
      </c>
      <c r="G2388" t="s">
        <v>7341</v>
      </c>
      <c r="H2388" t="s">
        <v>2068</v>
      </c>
      <c r="I2388" t="s">
        <v>2070</v>
      </c>
    </row>
    <row r="2389" spans="1:9">
      <c r="A2389" t="str">
        <f>"0151891 "</f>
        <v xml:space="preserve">0151891 </v>
      </c>
      <c r="B2389" t="s">
        <v>7341</v>
      </c>
      <c r="C2389" t="s">
        <v>7473</v>
      </c>
      <c r="D2389" t="s">
        <v>7474</v>
      </c>
      <c r="E2389">
        <v>2</v>
      </c>
      <c r="F2389" t="s">
        <v>3495</v>
      </c>
      <c r="G2389" t="s">
        <v>7341</v>
      </c>
      <c r="H2389" t="s">
        <v>7473</v>
      </c>
      <c r="I2389" t="s">
        <v>2085</v>
      </c>
    </row>
    <row r="2390" spans="1:9">
      <c r="A2390" t="str">
        <f>"0151970 "</f>
        <v xml:space="preserve">0151970 </v>
      </c>
      <c r="B2390" t="s">
        <v>7341</v>
      </c>
      <c r="C2390" t="s">
        <v>7475</v>
      </c>
      <c r="D2390" t="s">
        <v>7476</v>
      </c>
      <c r="E2390">
        <v>1</v>
      </c>
      <c r="F2390" t="s">
        <v>7477</v>
      </c>
      <c r="G2390" t="s">
        <v>7341</v>
      </c>
      <c r="H2390" t="s">
        <v>7475</v>
      </c>
    </row>
    <row r="2391" spans="1:9">
      <c r="A2391" t="str">
        <f>"0151711 "</f>
        <v xml:space="preserve">0151711 </v>
      </c>
      <c r="B2391" t="s">
        <v>7341</v>
      </c>
      <c r="C2391" t="s">
        <v>2121</v>
      </c>
      <c r="D2391" t="s">
        <v>7478</v>
      </c>
      <c r="E2391">
        <v>1</v>
      </c>
      <c r="F2391" t="s">
        <v>5290</v>
      </c>
      <c r="G2391" t="s">
        <v>7341</v>
      </c>
      <c r="H2391" t="s">
        <v>2121</v>
      </c>
      <c r="I2391" t="s">
        <v>2124</v>
      </c>
    </row>
    <row r="2392" spans="1:9">
      <c r="A2392" t="str">
        <f>"0151728 "</f>
        <v xml:space="preserve">0151728 </v>
      </c>
      <c r="B2392" t="s">
        <v>7341</v>
      </c>
      <c r="C2392" t="s">
        <v>7479</v>
      </c>
      <c r="D2392" t="s">
        <v>7480</v>
      </c>
      <c r="E2392">
        <v>3</v>
      </c>
      <c r="F2392" t="s">
        <v>3641</v>
      </c>
      <c r="G2392" t="s">
        <v>7341</v>
      </c>
      <c r="H2392" t="s">
        <v>7479</v>
      </c>
      <c r="I2392" t="s">
        <v>1899</v>
      </c>
    </row>
    <row r="2393" spans="1:9">
      <c r="A2393" t="str">
        <f>"0151764 "</f>
        <v xml:space="preserve">0151764 </v>
      </c>
      <c r="B2393" t="s">
        <v>7341</v>
      </c>
      <c r="C2393" t="s">
        <v>7481</v>
      </c>
      <c r="D2393" t="s">
        <v>7482</v>
      </c>
      <c r="E2393">
        <v>4</v>
      </c>
      <c r="F2393" t="s">
        <v>194</v>
      </c>
      <c r="G2393" t="s">
        <v>7341</v>
      </c>
      <c r="H2393" t="s">
        <v>7481</v>
      </c>
      <c r="I2393" t="s">
        <v>7483</v>
      </c>
    </row>
    <row r="2394" spans="1:9">
      <c r="A2394" t="str">
        <f>"0150549 "</f>
        <v xml:space="preserve">0150549 </v>
      </c>
      <c r="B2394" t="s">
        <v>7341</v>
      </c>
      <c r="C2394" t="s">
        <v>7484</v>
      </c>
      <c r="D2394" t="s">
        <v>7485</v>
      </c>
      <c r="E2394">
        <v>1</v>
      </c>
      <c r="F2394" t="s">
        <v>4396</v>
      </c>
      <c r="G2394" t="s">
        <v>7341</v>
      </c>
      <c r="H2394" t="s">
        <v>7484</v>
      </c>
    </row>
    <row r="2395" spans="1:9">
      <c r="A2395" t="str">
        <f>"0150550 "</f>
        <v xml:space="preserve">0150550 </v>
      </c>
      <c r="B2395" t="s">
        <v>7341</v>
      </c>
      <c r="C2395" t="s">
        <v>7486</v>
      </c>
      <c r="D2395" t="s">
        <v>7487</v>
      </c>
      <c r="E2395">
        <v>2</v>
      </c>
      <c r="F2395" t="s">
        <v>7488</v>
      </c>
      <c r="G2395" t="s">
        <v>7341</v>
      </c>
      <c r="H2395" t="s">
        <v>7486</v>
      </c>
    </row>
    <row r="2396" spans="1:9">
      <c r="A2396" t="str">
        <f>"0150551 "</f>
        <v xml:space="preserve">0150551 </v>
      </c>
      <c r="B2396" t="s">
        <v>7341</v>
      </c>
      <c r="C2396" t="s">
        <v>7489</v>
      </c>
      <c r="D2396" t="s">
        <v>7490</v>
      </c>
      <c r="E2396">
        <v>2</v>
      </c>
      <c r="F2396" t="s">
        <v>3342</v>
      </c>
      <c r="G2396" t="s">
        <v>7341</v>
      </c>
      <c r="H2396" t="s">
        <v>7489</v>
      </c>
    </row>
    <row r="2397" spans="1:9">
      <c r="A2397" t="str">
        <f>"0150554 "</f>
        <v xml:space="preserve">0150554 </v>
      </c>
      <c r="B2397" t="s">
        <v>7341</v>
      </c>
      <c r="C2397" t="s">
        <v>7491</v>
      </c>
      <c r="D2397" t="s">
        <v>7492</v>
      </c>
      <c r="E2397">
        <v>3</v>
      </c>
      <c r="F2397" t="s">
        <v>7493</v>
      </c>
      <c r="G2397" t="s">
        <v>7341</v>
      </c>
      <c r="H2397" t="s">
        <v>7491</v>
      </c>
      <c r="I2397" t="s">
        <v>7494</v>
      </c>
    </row>
    <row r="2398" spans="1:9">
      <c r="A2398" t="str">
        <f>"0150555 "</f>
        <v xml:space="preserve">0150555 </v>
      </c>
      <c r="B2398" t="s">
        <v>7341</v>
      </c>
      <c r="C2398" t="s">
        <v>7495</v>
      </c>
      <c r="D2398" t="s">
        <v>7496</v>
      </c>
      <c r="E2398">
        <v>1</v>
      </c>
      <c r="F2398" t="s">
        <v>3385</v>
      </c>
      <c r="G2398" t="s">
        <v>7341</v>
      </c>
      <c r="H2398" t="s">
        <v>7495</v>
      </c>
    </row>
    <row r="2399" spans="1:9">
      <c r="A2399" t="str">
        <f>"0150557 "</f>
        <v xml:space="preserve">0150557 </v>
      </c>
      <c r="B2399" t="s">
        <v>7341</v>
      </c>
      <c r="C2399" t="s">
        <v>7497</v>
      </c>
      <c r="D2399" t="s">
        <v>7498</v>
      </c>
      <c r="E2399">
        <v>2</v>
      </c>
      <c r="F2399" t="s">
        <v>3342</v>
      </c>
      <c r="G2399" t="s">
        <v>7341</v>
      </c>
      <c r="H2399" t="s">
        <v>7497</v>
      </c>
    </row>
    <row r="2400" spans="1:9">
      <c r="A2400" t="str">
        <f>"0150559 "</f>
        <v xml:space="preserve">0150559 </v>
      </c>
      <c r="B2400" t="s">
        <v>7341</v>
      </c>
      <c r="C2400" t="s">
        <v>7499</v>
      </c>
      <c r="D2400" t="s">
        <v>7500</v>
      </c>
      <c r="E2400">
        <v>3</v>
      </c>
      <c r="F2400" t="s">
        <v>2802</v>
      </c>
      <c r="G2400" t="s">
        <v>7341</v>
      </c>
      <c r="H2400" t="s">
        <v>7499</v>
      </c>
    </row>
    <row r="2401" spans="1:9">
      <c r="A2401" t="str">
        <f>"0150560 "</f>
        <v xml:space="preserve">0150560 </v>
      </c>
      <c r="B2401" t="s">
        <v>7341</v>
      </c>
      <c r="C2401" t="s">
        <v>7501</v>
      </c>
      <c r="D2401" t="s">
        <v>7502</v>
      </c>
      <c r="E2401">
        <v>2</v>
      </c>
      <c r="F2401" t="s">
        <v>2791</v>
      </c>
      <c r="G2401" t="s">
        <v>7341</v>
      </c>
      <c r="H2401" t="s">
        <v>7501</v>
      </c>
    </row>
    <row r="2402" spans="1:9">
      <c r="A2402" t="str">
        <f>"0150561 "</f>
        <v xml:space="preserve">0150561 </v>
      </c>
      <c r="B2402" t="s">
        <v>7341</v>
      </c>
      <c r="C2402" t="s">
        <v>7503</v>
      </c>
      <c r="D2402" t="s">
        <v>7504</v>
      </c>
      <c r="E2402">
        <v>1</v>
      </c>
      <c r="F2402" t="s">
        <v>2802</v>
      </c>
      <c r="G2402" t="s">
        <v>7341</v>
      </c>
      <c r="H2402" t="s">
        <v>7503</v>
      </c>
    </row>
    <row r="2403" spans="1:9">
      <c r="A2403" t="str">
        <f>"0150562 "</f>
        <v xml:space="preserve">0150562 </v>
      </c>
      <c r="B2403" t="s">
        <v>7341</v>
      </c>
      <c r="C2403" t="s">
        <v>7505</v>
      </c>
      <c r="D2403" t="s">
        <v>7506</v>
      </c>
      <c r="E2403">
        <v>1</v>
      </c>
      <c r="F2403" t="s">
        <v>7507</v>
      </c>
      <c r="G2403" t="s">
        <v>7341</v>
      </c>
      <c r="H2403" t="s">
        <v>7505</v>
      </c>
    </row>
    <row r="2404" spans="1:9">
      <c r="A2404" t="str">
        <f>"0150563 "</f>
        <v xml:space="preserve">0150563 </v>
      </c>
      <c r="B2404" t="s">
        <v>7341</v>
      </c>
      <c r="C2404" t="s">
        <v>7508</v>
      </c>
      <c r="D2404" t="s">
        <v>7509</v>
      </c>
      <c r="E2404" t="s">
        <v>16</v>
      </c>
      <c r="F2404" t="s">
        <v>5447</v>
      </c>
      <c r="G2404" t="s">
        <v>7341</v>
      </c>
      <c r="H2404" t="s">
        <v>7508</v>
      </c>
      <c r="I2404" t="s">
        <v>7510</v>
      </c>
    </row>
    <row r="2405" spans="1:9">
      <c r="A2405" t="str">
        <f>"0150564 "</f>
        <v xml:space="preserve">0150564 </v>
      </c>
      <c r="B2405" t="s">
        <v>7341</v>
      </c>
      <c r="C2405" t="s">
        <v>7511</v>
      </c>
      <c r="D2405" t="s">
        <v>7512</v>
      </c>
      <c r="E2405">
        <v>2</v>
      </c>
      <c r="F2405" t="s">
        <v>7513</v>
      </c>
      <c r="G2405" t="s">
        <v>7341</v>
      </c>
      <c r="H2405" t="s">
        <v>7511</v>
      </c>
    </row>
    <row r="2406" spans="1:9">
      <c r="A2406" t="str">
        <f>"0150566 "</f>
        <v xml:space="preserve">0150566 </v>
      </c>
      <c r="B2406" t="s">
        <v>7341</v>
      </c>
      <c r="C2406" t="s">
        <v>7514</v>
      </c>
      <c r="D2406" t="s">
        <v>7515</v>
      </c>
      <c r="E2406">
        <v>1</v>
      </c>
      <c r="F2406" t="s">
        <v>7516</v>
      </c>
      <c r="G2406" t="s">
        <v>7341</v>
      </c>
      <c r="H2406" t="s">
        <v>7514</v>
      </c>
    </row>
    <row r="2407" spans="1:9">
      <c r="A2407" t="str">
        <f>"0150567 "</f>
        <v xml:space="preserve">0150567 </v>
      </c>
      <c r="B2407" t="s">
        <v>7341</v>
      </c>
      <c r="C2407" t="s">
        <v>7517</v>
      </c>
      <c r="D2407" t="s">
        <v>7518</v>
      </c>
      <c r="E2407">
        <v>3</v>
      </c>
      <c r="F2407" t="s">
        <v>3453</v>
      </c>
      <c r="G2407" t="s">
        <v>7341</v>
      </c>
      <c r="H2407" t="s">
        <v>7517</v>
      </c>
      <c r="I2407" t="s">
        <v>7519</v>
      </c>
    </row>
    <row r="2408" spans="1:9">
      <c r="A2408" t="str">
        <f>"0150568 "</f>
        <v xml:space="preserve">0150568 </v>
      </c>
      <c r="B2408" t="s">
        <v>7341</v>
      </c>
      <c r="C2408" t="s">
        <v>7520</v>
      </c>
      <c r="D2408" t="s">
        <v>7521</v>
      </c>
      <c r="E2408">
        <v>2</v>
      </c>
      <c r="F2408" t="s">
        <v>3351</v>
      </c>
      <c r="G2408" t="s">
        <v>7341</v>
      </c>
      <c r="H2408" t="s">
        <v>7520</v>
      </c>
    </row>
    <row r="2409" spans="1:9">
      <c r="A2409" t="str">
        <f>"0150569 "</f>
        <v xml:space="preserve">0150569 </v>
      </c>
      <c r="B2409" t="s">
        <v>7341</v>
      </c>
      <c r="C2409" t="s">
        <v>7522</v>
      </c>
      <c r="D2409" t="s">
        <v>7523</v>
      </c>
      <c r="E2409">
        <v>2</v>
      </c>
      <c r="F2409" t="s">
        <v>7524</v>
      </c>
      <c r="G2409" t="s">
        <v>7341</v>
      </c>
      <c r="H2409" t="s">
        <v>7522</v>
      </c>
    </row>
    <row r="2410" spans="1:9">
      <c r="A2410" t="str">
        <f>"0150575 "</f>
        <v xml:space="preserve">0150575 </v>
      </c>
      <c r="B2410" t="s">
        <v>7341</v>
      </c>
      <c r="C2410" t="s">
        <v>7525</v>
      </c>
      <c r="D2410" t="s">
        <v>7526</v>
      </c>
      <c r="E2410">
        <v>2</v>
      </c>
      <c r="F2410" t="s">
        <v>7527</v>
      </c>
      <c r="G2410" t="s">
        <v>7341</v>
      </c>
      <c r="H2410" t="s">
        <v>7525</v>
      </c>
    </row>
    <row r="2411" spans="1:9">
      <c r="A2411" t="str">
        <f>"0150686 "</f>
        <v xml:space="preserve">0150686 </v>
      </c>
      <c r="B2411" t="s">
        <v>7341</v>
      </c>
      <c r="C2411" t="s">
        <v>7528</v>
      </c>
      <c r="D2411" t="s">
        <v>7529</v>
      </c>
      <c r="E2411">
        <v>1</v>
      </c>
      <c r="F2411" t="s">
        <v>7530</v>
      </c>
      <c r="G2411" t="s">
        <v>7341</v>
      </c>
      <c r="H2411" t="s">
        <v>7528</v>
      </c>
    </row>
    <row r="2412" spans="1:9">
      <c r="A2412" t="str">
        <f>"0150583 "</f>
        <v xml:space="preserve">0150583 </v>
      </c>
      <c r="B2412" t="s">
        <v>7341</v>
      </c>
      <c r="C2412" t="s">
        <v>7531</v>
      </c>
      <c r="D2412" t="s">
        <v>7532</v>
      </c>
      <c r="E2412">
        <v>5</v>
      </c>
      <c r="F2412" t="s">
        <v>7533</v>
      </c>
      <c r="G2412" t="s">
        <v>7341</v>
      </c>
      <c r="H2412" t="s">
        <v>7531</v>
      </c>
    </row>
    <row r="2413" spans="1:9">
      <c r="A2413" t="str">
        <f>"0150584 "</f>
        <v xml:space="preserve">0150584 </v>
      </c>
      <c r="B2413" t="s">
        <v>7341</v>
      </c>
      <c r="C2413" t="s">
        <v>7534</v>
      </c>
      <c r="D2413" t="s">
        <v>7535</v>
      </c>
      <c r="E2413">
        <v>4</v>
      </c>
      <c r="F2413" t="s">
        <v>7536</v>
      </c>
      <c r="G2413" t="s">
        <v>7341</v>
      </c>
      <c r="H2413" t="s">
        <v>7534</v>
      </c>
      <c r="I2413" t="s">
        <v>3339</v>
      </c>
    </row>
    <row r="2414" spans="1:9">
      <c r="A2414" t="str">
        <f>"0150586 "</f>
        <v xml:space="preserve">0150586 </v>
      </c>
      <c r="B2414" t="s">
        <v>7341</v>
      </c>
      <c r="C2414" t="s">
        <v>7537</v>
      </c>
      <c r="D2414" t="s">
        <v>7538</v>
      </c>
      <c r="E2414">
        <v>2</v>
      </c>
      <c r="F2414" t="s">
        <v>7513</v>
      </c>
      <c r="G2414" t="s">
        <v>7341</v>
      </c>
      <c r="H2414" t="s">
        <v>7537</v>
      </c>
    </row>
    <row r="2415" spans="1:9">
      <c r="A2415" t="str">
        <f>"0150588 "</f>
        <v xml:space="preserve">0150588 </v>
      </c>
      <c r="B2415" t="s">
        <v>7341</v>
      </c>
      <c r="C2415" t="s">
        <v>7539</v>
      </c>
      <c r="D2415" t="s">
        <v>7540</v>
      </c>
      <c r="E2415">
        <v>2</v>
      </c>
      <c r="F2415" t="s">
        <v>3370</v>
      </c>
      <c r="G2415" t="s">
        <v>7341</v>
      </c>
      <c r="H2415" t="s">
        <v>7539</v>
      </c>
      <c r="I2415" t="s">
        <v>3364</v>
      </c>
    </row>
    <row r="2416" spans="1:9">
      <c r="A2416" t="str">
        <f>"0150590 "</f>
        <v xml:space="preserve">0150590 </v>
      </c>
      <c r="B2416" t="s">
        <v>7341</v>
      </c>
      <c r="C2416" t="s">
        <v>7541</v>
      </c>
      <c r="D2416" t="s">
        <v>7542</v>
      </c>
      <c r="E2416">
        <v>1</v>
      </c>
      <c r="F2416" t="s">
        <v>5010</v>
      </c>
      <c r="G2416" t="s">
        <v>7341</v>
      </c>
      <c r="H2416" t="s">
        <v>7541</v>
      </c>
    </row>
    <row r="2417" spans="1:8">
      <c r="A2417" t="str">
        <f>"0150594 "</f>
        <v xml:space="preserve">0150594 </v>
      </c>
      <c r="B2417" t="s">
        <v>7341</v>
      </c>
      <c r="C2417" t="s">
        <v>7543</v>
      </c>
      <c r="D2417" t="s">
        <v>7544</v>
      </c>
      <c r="E2417">
        <v>2</v>
      </c>
      <c r="F2417" t="s">
        <v>3385</v>
      </c>
      <c r="G2417" t="s">
        <v>7341</v>
      </c>
      <c r="H2417" t="s">
        <v>7543</v>
      </c>
    </row>
    <row r="2418" spans="1:8">
      <c r="A2418" t="str">
        <f>"0150601 "</f>
        <v xml:space="preserve">0150601 </v>
      </c>
      <c r="B2418" t="s">
        <v>7341</v>
      </c>
      <c r="C2418" t="s">
        <v>7545</v>
      </c>
      <c r="D2418" t="s">
        <v>7546</v>
      </c>
      <c r="E2418">
        <v>1</v>
      </c>
      <c r="F2418" t="s">
        <v>7547</v>
      </c>
      <c r="G2418" t="s">
        <v>7341</v>
      </c>
      <c r="H2418" t="s">
        <v>7545</v>
      </c>
    </row>
    <row r="2419" spans="1:8">
      <c r="A2419" t="str">
        <f>"0150603 "</f>
        <v xml:space="preserve">0150603 </v>
      </c>
      <c r="B2419" t="s">
        <v>7341</v>
      </c>
      <c r="C2419" t="s">
        <v>7548</v>
      </c>
      <c r="D2419" t="s">
        <v>7549</v>
      </c>
      <c r="E2419">
        <v>1</v>
      </c>
      <c r="F2419" t="s">
        <v>7550</v>
      </c>
      <c r="G2419" t="s">
        <v>7341</v>
      </c>
      <c r="H2419" t="s">
        <v>7548</v>
      </c>
    </row>
    <row r="2420" spans="1:8">
      <c r="A2420" t="str">
        <f>"0150605 "</f>
        <v xml:space="preserve">0150605 </v>
      </c>
      <c r="B2420" t="s">
        <v>7341</v>
      </c>
      <c r="C2420" t="s">
        <v>7551</v>
      </c>
      <c r="D2420" t="s">
        <v>7552</v>
      </c>
      <c r="E2420">
        <v>1</v>
      </c>
      <c r="F2420" t="s">
        <v>3403</v>
      </c>
      <c r="G2420" t="s">
        <v>7341</v>
      </c>
      <c r="H2420" t="s">
        <v>7551</v>
      </c>
    </row>
    <row r="2421" spans="1:8">
      <c r="A2421" t="str">
        <f>"0150607 "</f>
        <v xml:space="preserve">0150607 </v>
      </c>
      <c r="B2421" t="s">
        <v>7341</v>
      </c>
      <c r="C2421" t="s">
        <v>7553</v>
      </c>
      <c r="D2421" t="s">
        <v>7554</v>
      </c>
      <c r="E2421">
        <v>1</v>
      </c>
      <c r="F2421" t="s">
        <v>3379</v>
      </c>
      <c r="G2421" t="s">
        <v>7341</v>
      </c>
      <c r="H2421" t="s">
        <v>7553</v>
      </c>
    </row>
    <row r="2422" spans="1:8">
      <c r="A2422" t="str">
        <f>"0150608 "</f>
        <v xml:space="preserve">0150608 </v>
      </c>
      <c r="B2422" t="s">
        <v>7341</v>
      </c>
      <c r="C2422" t="s">
        <v>7555</v>
      </c>
      <c r="D2422" t="s">
        <v>7556</v>
      </c>
      <c r="E2422">
        <v>1</v>
      </c>
      <c r="F2422" t="s">
        <v>3379</v>
      </c>
      <c r="G2422" t="s">
        <v>7341</v>
      </c>
      <c r="H2422" t="s">
        <v>7555</v>
      </c>
    </row>
    <row r="2423" spans="1:8">
      <c r="A2423" t="str">
        <f>"0150611 "</f>
        <v xml:space="preserve">0150611 </v>
      </c>
      <c r="B2423" t="s">
        <v>7341</v>
      </c>
      <c r="C2423" t="s">
        <v>7557</v>
      </c>
      <c r="D2423" t="s">
        <v>7558</v>
      </c>
      <c r="E2423">
        <v>2</v>
      </c>
      <c r="F2423" t="s">
        <v>3414</v>
      </c>
      <c r="G2423" t="s">
        <v>7341</v>
      </c>
      <c r="H2423" t="s">
        <v>7557</v>
      </c>
    </row>
    <row r="2424" spans="1:8">
      <c r="A2424" t="str">
        <f>"0150615 "</f>
        <v xml:space="preserve">0150615 </v>
      </c>
      <c r="B2424" t="s">
        <v>7341</v>
      </c>
      <c r="C2424" t="s">
        <v>7559</v>
      </c>
      <c r="D2424" t="s">
        <v>7560</v>
      </c>
      <c r="E2424">
        <v>3</v>
      </c>
      <c r="F2424" t="s">
        <v>5010</v>
      </c>
      <c r="G2424" t="s">
        <v>7341</v>
      </c>
      <c r="H2424" t="s">
        <v>7559</v>
      </c>
    </row>
    <row r="2425" spans="1:8">
      <c r="A2425" t="str">
        <f>"0150623 "</f>
        <v xml:space="preserve">0150623 </v>
      </c>
      <c r="B2425" t="s">
        <v>7341</v>
      </c>
      <c r="C2425" t="s">
        <v>7561</v>
      </c>
      <c r="D2425" t="s">
        <v>7562</v>
      </c>
      <c r="E2425">
        <v>3</v>
      </c>
      <c r="F2425" t="s">
        <v>6115</v>
      </c>
      <c r="G2425" t="s">
        <v>7341</v>
      </c>
      <c r="H2425" t="s">
        <v>7561</v>
      </c>
    </row>
    <row r="2426" spans="1:8">
      <c r="A2426" t="str">
        <f>"0150626 "</f>
        <v xml:space="preserve">0150626 </v>
      </c>
      <c r="B2426" t="s">
        <v>7341</v>
      </c>
      <c r="C2426" t="s">
        <v>7563</v>
      </c>
      <c r="D2426" t="s">
        <v>7564</v>
      </c>
      <c r="E2426">
        <v>2</v>
      </c>
      <c r="F2426" t="s">
        <v>7565</v>
      </c>
      <c r="G2426" t="s">
        <v>7341</v>
      </c>
      <c r="H2426" t="s">
        <v>7563</v>
      </c>
    </row>
    <row r="2427" spans="1:8">
      <c r="A2427" t="str">
        <f>"0150628 "</f>
        <v xml:space="preserve">0150628 </v>
      </c>
      <c r="B2427" t="s">
        <v>7341</v>
      </c>
      <c r="C2427" t="s">
        <v>7566</v>
      </c>
      <c r="D2427" t="s">
        <v>7567</v>
      </c>
      <c r="E2427">
        <v>4</v>
      </c>
      <c r="F2427" t="s">
        <v>3527</v>
      </c>
      <c r="G2427" t="s">
        <v>7341</v>
      </c>
      <c r="H2427" t="s">
        <v>7566</v>
      </c>
    </row>
    <row r="2428" spans="1:8">
      <c r="A2428" t="str">
        <f>"0150632 "</f>
        <v xml:space="preserve">0150632 </v>
      </c>
      <c r="B2428" t="s">
        <v>7341</v>
      </c>
      <c r="C2428" t="s">
        <v>7568</v>
      </c>
      <c r="D2428" t="s">
        <v>7569</v>
      </c>
      <c r="E2428">
        <v>2</v>
      </c>
      <c r="F2428" t="s">
        <v>3428</v>
      </c>
      <c r="G2428" t="s">
        <v>7341</v>
      </c>
      <c r="H2428" t="s">
        <v>7568</v>
      </c>
    </row>
    <row r="2429" spans="1:8">
      <c r="A2429" t="str">
        <f>"0150633 "</f>
        <v xml:space="preserve">0150633 </v>
      </c>
      <c r="B2429" t="s">
        <v>7341</v>
      </c>
      <c r="C2429" t="s">
        <v>7570</v>
      </c>
      <c r="D2429" t="s">
        <v>7571</v>
      </c>
      <c r="E2429">
        <v>4</v>
      </c>
      <c r="F2429" t="s">
        <v>7572</v>
      </c>
      <c r="G2429" t="s">
        <v>7341</v>
      </c>
      <c r="H2429" t="s">
        <v>7570</v>
      </c>
    </row>
    <row r="2430" spans="1:8">
      <c r="A2430" t="str">
        <f>"0150634 "</f>
        <v xml:space="preserve">0150634 </v>
      </c>
      <c r="B2430" t="s">
        <v>7341</v>
      </c>
      <c r="C2430" t="s">
        <v>7573</v>
      </c>
      <c r="D2430" t="s">
        <v>7574</v>
      </c>
      <c r="E2430">
        <v>2</v>
      </c>
      <c r="F2430" t="s">
        <v>7575</v>
      </c>
      <c r="G2430" t="s">
        <v>7341</v>
      </c>
      <c r="H2430" t="s">
        <v>7573</v>
      </c>
    </row>
    <row r="2431" spans="1:8">
      <c r="A2431" t="str">
        <f>"0150635 "</f>
        <v xml:space="preserve">0150635 </v>
      </c>
      <c r="B2431" t="s">
        <v>7341</v>
      </c>
      <c r="C2431" t="s">
        <v>7576</v>
      </c>
      <c r="D2431" t="s">
        <v>7577</v>
      </c>
      <c r="E2431">
        <v>5</v>
      </c>
      <c r="F2431" t="s">
        <v>7578</v>
      </c>
      <c r="G2431" t="s">
        <v>7341</v>
      </c>
      <c r="H2431" t="s">
        <v>7576</v>
      </c>
    </row>
    <row r="2432" spans="1:8">
      <c r="A2432" t="str">
        <f>"0150636 "</f>
        <v xml:space="preserve">0150636 </v>
      </c>
      <c r="B2432" t="s">
        <v>7341</v>
      </c>
      <c r="C2432" t="s">
        <v>7579</v>
      </c>
      <c r="D2432" t="s">
        <v>7580</v>
      </c>
      <c r="E2432">
        <v>2</v>
      </c>
      <c r="F2432" t="s">
        <v>3514</v>
      </c>
      <c r="G2432" t="s">
        <v>7341</v>
      </c>
      <c r="H2432" t="s">
        <v>7579</v>
      </c>
    </row>
    <row r="2433" spans="1:9">
      <c r="A2433" t="str">
        <f>"0150637 "</f>
        <v xml:space="preserve">0150637 </v>
      </c>
      <c r="B2433" t="s">
        <v>7341</v>
      </c>
      <c r="C2433" t="s">
        <v>7581</v>
      </c>
      <c r="D2433" t="s">
        <v>7582</v>
      </c>
      <c r="E2433">
        <v>2</v>
      </c>
      <c r="F2433" t="s">
        <v>12</v>
      </c>
      <c r="G2433" t="s">
        <v>7341</v>
      </c>
      <c r="H2433" t="s">
        <v>7581</v>
      </c>
      <c r="I2433" t="s">
        <v>1899</v>
      </c>
    </row>
    <row r="2434" spans="1:9">
      <c r="A2434" t="str">
        <f>"0150638 "</f>
        <v xml:space="preserve">0150638 </v>
      </c>
      <c r="B2434" t="s">
        <v>7341</v>
      </c>
      <c r="C2434" t="s">
        <v>7583</v>
      </c>
      <c r="D2434" t="s">
        <v>7584</v>
      </c>
      <c r="E2434">
        <v>1</v>
      </c>
      <c r="F2434" t="s">
        <v>7585</v>
      </c>
      <c r="G2434" t="s">
        <v>7341</v>
      </c>
      <c r="H2434" t="s">
        <v>7583</v>
      </c>
    </row>
    <row r="2435" spans="1:9">
      <c r="A2435" t="str">
        <f>"0150639 "</f>
        <v xml:space="preserve">0150639 </v>
      </c>
      <c r="B2435" t="s">
        <v>7341</v>
      </c>
      <c r="C2435" t="s">
        <v>7586</v>
      </c>
      <c r="D2435" t="s">
        <v>7587</v>
      </c>
      <c r="E2435">
        <v>3</v>
      </c>
      <c r="F2435" t="s">
        <v>5197</v>
      </c>
      <c r="G2435" t="s">
        <v>7341</v>
      </c>
      <c r="H2435" t="s">
        <v>7586</v>
      </c>
      <c r="I2435" t="s">
        <v>1899</v>
      </c>
    </row>
    <row r="2436" spans="1:9">
      <c r="A2436" t="str">
        <f>"0150640 "</f>
        <v xml:space="preserve">0150640 </v>
      </c>
      <c r="B2436" t="s">
        <v>7341</v>
      </c>
      <c r="C2436" t="s">
        <v>7588</v>
      </c>
      <c r="D2436" t="s">
        <v>7589</v>
      </c>
      <c r="E2436">
        <v>3</v>
      </c>
      <c r="F2436" t="s">
        <v>7527</v>
      </c>
      <c r="G2436" t="s">
        <v>7341</v>
      </c>
      <c r="H2436" t="s">
        <v>7588</v>
      </c>
      <c r="I2436" t="s">
        <v>1899</v>
      </c>
    </row>
    <row r="2437" spans="1:9">
      <c r="A2437" t="str">
        <f>"0150641 "</f>
        <v xml:space="preserve">0150641 </v>
      </c>
      <c r="B2437" t="s">
        <v>7341</v>
      </c>
      <c r="C2437" t="s">
        <v>7590</v>
      </c>
      <c r="D2437" t="s">
        <v>7591</v>
      </c>
      <c r="E2437">
        <v>2</v>
      </c>
      <c r="F2437" t="s">
        <v>3440</v>
      </c>
      <c r="G2437" t="s">
        <v>7341</v>
      </c>
      <c r="H2437" t="s">
        <v>7590</v>
      </c>
    </row>
    <row r="2438" spans="1:9">
      <c r="A2438" t="str">
        <f>"0150642 "</f>
        <v xml:space="preserve">0150642 </v>
      </c>
      <c r="B2438" t="s">
        <v>7341</v>
      </c>
      <c r="C2438" t="s">
        <v>7592</v>
      </c>
      <c r="D2438" t="s">
        <v>7593</v>
      </c>
      <c r="E2438">
        <v>2</v>
      </c>
      <c r="F2438" t="s">
        <v>3425</v>
      </c>
      <c r="G2438" t="s">
        <v>7341</v>
      </c>
      <c r="H2438" t="s">
        <v>7592</v>
      </c>
      <c r="I2438" t="s">
        <v>1899</v>
      </c>
    </row>
    <row r="2439" spans="1:9">
      <c r="A2439" t="str">
        <f>"0150643 "</f>
        <v xml:space="preserve">0150643 </v>
      </c>
      <c r="B2439" t="s">
        <v>7341</v>
      </c>
      <c r="C2439" t="s">
        <v>7594</v>
      </c>
      <c r="D2439" t="s">
        <v>7595</v>
      </c>
      <c r="E2439">
        <v>2</v>
      </c>
      <c r="F2439" t="s">
        <v>23</v>
      </c>
      <c r="G2439" t="s">
        <v>7341</v>
      </c>
      <c r="H2439" t="s">
        <v>7594</v>
      </c>
      <c r="I2439" t="s">
        <v>2908</v>
      </c>
    </row>
    <row r="2440" spans="1:9">
      <c r="A2440" t="str">
        <f>"0150644 "</f>
        <v xml:space="preserve">0150644 </v>
      </c>
      <c r="B2440" t="s">
        <v>7341</v>
      </c>
      <c r="C2440" t="s">
        <v>7596</v>
      </c>
      <c r="D2440" t="s">
        <v>7597</v>
      </c>
      <c r="E2440">
        <v>1</v>
      </c>
      <c r="F2440" t="s">
        <v>7598</v>
      </c>
      <c r="G2440" t="s">
        <v>7341</v>
      </c>
      <c r="H2440" t="s">
        <v>7596</v>
      </c>
      <c r="I2440" t="s">
        <v>1899</v>
      </c>
    </row>
    <row r="2441" spans="1:9">
      <c r="A2441" t="str">
        <f>"0150647 "</f>
        <v xml:space="preserve">0150647 </v>
      </c>
      <c r="B2441" t="s">
        <v>7341</v>
      </c>
      <c r="C2441" t="s">
        <v>7599</v>
      </c>
      <c r="D2441" t="s">
        <v>7600</v>
      </c>
      <c r="E2441">
        <v>2</v>
      </c>
      <c r="F2441" t="s">
        <v>7601</v>
      </c>
      <c r="G2441" t="s">
        <v>7341</v>
      </c>
      <c r="H2441" t="s">
        <v>7599</v>
      </c>
    </row>
    <row r="2442" spans="1:9">
      <c r="A2442" t="str">
        <f>"0150649 "</f>
        <v xml:space="preserve">0150649 </v>
      </c>
      <c r="B2442" t="s">
        <v>7341</v>
      </c>
      <c r="C2442" t="s">
        <v>7602</v>
      </c>
      <c r="D2442" t="s">
        <v>7603</v>
      </c>
      <c r="E2442">
        <v>2</v>
      </c>
      <c r="F2442" t="s">
        <v>3885</v>
      </c>
      <c r="G2442" t="s">
        <v>7341</v>
      </c>
      <c r="H2442" t="s">
        <v>7602</v>
      </c>
    </row>
    <row r="2443" spans="1:9">
      <c r="A2443" t="str">
        <f>"0150650 "</f>
        <v xml:space="preserve">0150650 </v>
      </c>
      <c r="B2443" t="s">
        <v>7341</v>
      </c>
      <c r="C2443" t="s">
        <v>7604</v>
      </c>
      <c r="D2443" t="s">
        <v>7605</v>
      </c>
      <c r="E2443">
        <v>2</v>
      </c>
      <c r="F2443" t="s">
        <v>7606</v>
      </c>
      <c r="G2443" t="s">
        <v>7341</v>
      </c>
      <c r="H2443" t="s">
        <v>7604</v>
      </c>
    </row>
    <row r="2444" spans="1:9">
      <c r="A2444" t="str">
        <f>"0150652 "</f>
        <v xml:space="preserve">0150652 </v>
      </c>
      <c r="B2444" t="s">
        <v>7341</v>
      </c>
      <c r="C2444" t="s">
        <v>7607</v>
      </c>
      <c r="D2444" t="s">
        <v>7608</v>
      </c>
      <c r="E2444">
        <v>1</v>
      </c>
      <c r="F2444" t="s">
        <v>7609</v>
      </c>
      <c r="G2444" t="s">
        <v>7341</v>
      </c>
      <c r="H2444" t="s">
        <v>7607</v>
      </c>
      <c r="I2444" t="s">
        <v>1899</v>
      </c>
    </row>
    <row r="2445" spans="1:9">
      <c r="A2445" t="str">
        <f>"0150459 "</f>
        <v xml:space="preserve">0150459 </v>
      </c>
      <c r="B2445" t="s">
        <v>7341</v>
      </c>
      <c r="C2445" t="s">
        <v>7610</v>
      </c>
      <c r="D2445" t="s">
        <v>7611</v>
      </c>
      <c r="E2445">
        <v>1</v>
      </c>
      <c r="F2445" t="s">
        <v>7612</v>
      </c>
      <c r="G2445" t="s">
        <v>7341</v>
      </c>
      <c r="H2445" t="s">
        <v>7610</v>
      </c>
    </row>
    <row r="2446" spans="1:9">
      <c r="A2446" t="str">
        <f>"0150460 "</f>
        <v xml:space="preserve">0150460 </v>
      </c>
      <c r="B2446" t="s">
        <v>7341</v>
      </c>
      <c r="C2446" t="s">
        <v>7613</v>
      </c>
      <c r="D2446" t="s">
        <v>7614</v>
      </c>
      <c r="E2446">
        <v>1</v>
      </c>
      <c r="F2446" t="s">
        <v>5010</v>
      </c>
      <c r="G2446" t="s">
        <v>7341</v>
      </c>
      <c r="H2446" t="s">
        <v>7613</v>
      </c>
    </row>
    <row r="2447" spans="1:9">
      <c r="A2447" t="str">
        <f>"0151850 "</f>
        <v xml:space="preserve">0151850 </v>
      </c>
      <c r="B2447" t="s">
        <v>7341</v>
      </c>
      <c r="C2447" t="s">
        <v>2155</v>
      </c>
      <c r="D2447" t="s">
        <v>7615</v>
      </c>
      <c r="E2447">
        <v>1</v>
      </c>
      <c r="F2447" t="s">
        <v>7616</v>
      </c>
      <c r="G2447" t="s">
        <v>7341</v>
      </c>
      <c r="H2447" t="s">
        <v>2155</v>
      </c>
      <c r="I2447" t="s">
        <v>2158</v>
      </c>
    </row>
    <row r="2448" spans="1:9">
      <c r="A2448" t="str">
        <f>"0146679 "</f>
        <v xml:space="preserve">0146679 </v>
      </c>
      <c r="B2448" t="s">
        <v>7341</v>
      </c>
      <c r="C2448" t="s">
        <v>7617</v>
      </c>
      <c r="D2448" t="s">
        <v>7618</v>
      </c>
      <c r="E2448">
        <v>4</v>
      </c>
      <c r="F2448" t="s">
        <v>7619</v>
      </c>
      <c r="G2448" t="s">
        <v>7341</v>
      </c>
      <c r="H2448" t="str">
        <f>"3225-00052"</f>
        <v>3225-00052</v>
      </c>
      <c r="I2448" t="s">
        <v>7620</v>
      </c>
    </row>
    <row r="2449" spans="1:9">
      <c r="A2449" t="str">
        <f>"0152161 "</f>
        <v xml:space="preserve">0152161 </v>
      </c>
      <c r="B2449" t="s">
        <v>7341</v>
      </c>
      <c r="C2449" t="s">
        <v>7621</v>
      </c>
      <c r="D2449" t="s">
        <v>7622</v>
      </c>
      <c r="E2449">
        <v>1</v>
      </c>
      <c r="F2449" t="s">
        <v>7623</v>
      </c>
      <c r="G2449" t="s">
        <v>7341</v>
      </c>
      <c r="H2449" t="s">
        <v>7621</v>
      </c>
      <c r="I2449" t="s">
        <v>2170</v>
      </c>
    </row>
    <row r="2450" spans="1:9">
      <c r="A2450" t="str">
        <f>"0151792 "</f>
        <v xml:space="preserve">0151792 </v>
      </c>
      <c r="B2450" t="s">
        <v>7341</v>
      </c>
      <c r="C2450" t="s">
        <v>7624</v>
      </c>
      <c r="D2450" t="s">
        <v>7625</v>
      </c>
      <c r="E2450">
        <v>2</v>
      </c>
      <c r="F2450" t="s">
        <v>3950</v>
      </c>
      <c r="G2450" t="s">
        <v>7341</v>
      </c>
      <c r="H2450" t="s">
        <v>7624</v>
      </c>
      <c r="I2450" t="s">
        <v>2181</v>
      </c>
    </row>
    <row r="2451" spans="1:9">
      <c r="A2451" t="str">
        <f>"0151801 "</f>
        <v xml:space="preserve">0151801 </v>
      </c>
      <c r="B2451" t="s">
        <v>7341</v>
      </c>
      <c r="C2451" t="s">
        <v>2189</v>
      </c>
      <c r="D2451" t="s">
        <v>7626</v>
      </c>
      <c r="E2451">
        <v>1</v>
      </c>
      <c r="F2451" t="s">
        <v>3846</v>
      </c>
      <c r="G2451" t="s">
        <v>7341</v>
      </c>
      <c r="H2451" t="s">
        <v>2189</v>
      </c>
      <c r="I2451" t="s">
        <v>2192</v>
      </c>
    </row>
    <row r="2452" spans="1:9">
      <c r="A2452" t="str">
        <f>"0151804 "</f>
        <v xml:space="preserve">0151804 </v>
      </c>
      <c r="B2452" t="s">
        <v>7341</v>
      </c>
      <c r="C2452" t="s">
        <v>7627</v>
      </c>
      <c r="D2452" t="s">
        <v>7628</v>
      </c>
      <c r="E2452">
        <v>1</v>
      </c>
      <c r="F2452" t="s">
        <v>3813</v>
      </c>
      <c r="G2452" t="s">
        <v>7341</v>
      </c>
      <c r="H2452" t="s">
        <v>7627</v>
      </c>
      <c r="I2452" t="s">
        <v>2196</v>
      </c>
    </row>
    <row r="2453" spans="1:9">
      <c r="A2453" t="str">
        <f>"0151818 "</f>
        <v xml:space="preserve">0151818 </v>
      </c>
      <c r="B2453" t="s">
        <v>7341</v>
      </c>
      <c r="C2453" t="s">
        <v>7629</v>
      </c>
      <c r="D2453" t="s">
        <v>7630</v>
      </c>
      <c r="E2453">
        <v>2</v>
      </c>
      <c r="F2453" t="s">
        <v>3495</v>
      </c>
      <c r="G2453" t="s">
        <v>7341</v>
      </c>
      <c r="H2453" t="s">
        <v>7629</v>
      </c>
      <c r="I2453" t="s">
        <v>7631</v>
      </c>
    </row>
    <row r="2454" spans="1:9">
      <c r="A2454" t="str">
        <f>"0151827 "</f>
        <v xml:space="preserve">0151827 </v>
      </c>
      <c r="B2454" t="s">
        <v>7341</v>
      </c>
      <c r="C2454" t="s">
        <v>2221</v>
      </c>
      <c r="D2454" t="s">
        <v>7632</v>
      </c>
      <c r="E2454">
        <v>1</v>
      </c>
      <c r="F2454" t="s">
        <v>7633</v>
      </c>
      <c r="G2454" t="s">
        <v>7341</v>
      </c>
      <c r="H2454" t="s">
        <v>2221</v>
      </c>
      <c r="I2454" t="s">
        <v>2223</v>
      </c>
    </row>
    <row r="2455" spans="1:9">
      <c r="A2455" t="str">
        <f>"0151832 "</f>
        <v xml:space="preserve">0151832 </v>
      </c>
      <c r="B2455" t="s">
        <v>7341</v>
      </c>
      <c r="C2455" t="s">
        <v>7634</v>
      </c>
      <c r="D2455" t="s">
        <v>7635</v>
      </c>
      <c r="E2455">
        <v>1</v>
      </c>
      <c r="F2455" t="s">
        <v>7636</v>
      </c>
      <c r="G2455" t="s">
        <v>7341</v>
      </c>
      <c r="H2455" t="s">
        <v>7634</v>
      </c>
      <c r="I2455" t="s">
        <v>7637</v>
      </c>
    </row>
    <row r="2456" spans="1:9">
      <c r="A2456" t="str">
        <f>"0151851 "</f>
        <v xml:space="preserve">0151851 </v>
      </c>
      <c r="B2456" t="s">
        <v>7341</v>
      </c>
      <c r="C2456" t="s">
        <v>2239</v>
      </c>
      <c r="D2456" t="s">
        <v>7638</v>
      </c>
      <c r="E2456">
        <v>1</v>
      </c>
      <c r="F2456" t="s">
        <v>7639</v>
      </c>
      <c r="G2456" t="s">
        <v>7341</v>
      </c>
      <c r="H2456" t="s">
        <v>2239</v>
      </c>
      <c r="I2456" t="s">
        <v>2242</v>
      </c>
    </row>
    <row r="2457" spans="1:9">
      <c r="A2457" t="str">
        <f>"0151916 "</f>
        <v xml:space="preserve">0151916 </v>
      </c>
      <c r="B2457" t="s">
        <v>7341</v>
      </c>
      <c r="C2457" t="s">
        <v>2293</v>
      </c>
      <c r="D2457" t="s">
        <v>7640</v>
      </c>
      <c r="E2457">
        <v>2</v>
      </c>
      <c r="F2457" t="s">
        <v>6381</v>
      </c>
      <c r="G2457" t="s">
        <v>7341</v>
      </c>
      <c r="H2457" t="s">
        <v>2293</v>
      </c>
      <c r="I2457" t="s">
        <v>2296</v>
      </c>
    </row>
    <row r="2458" spans="1:9">
      <c r="A2458" t="str">
        <f>"0151923 "</f>
        <v xml:space="preserve">0151923 </v>
      </c>
      <c r="B2458" t="s">
        <v>7341</v>
      </c>
      <c r="C2458" t="s">
        <v>7641</v>
      </c>
      <c r="D2458" t="s">
        <v>7642</v>
      </c>
      <c r="E2458">
        <v>2</v>
      </c>
      <c r="F2458" t="s">
        <v>7643</v>
      </c>
      <c r="G2458" t="s">
        <v>7341</v>
      </c>
      <c r="H2458" t="s">
        <v>7641</v>
      </c>
      <c r="I2458" t="s">
        <v>3701</v>
      </c>
    </row>
    <row r="2459" spans="1:9">
      <c r="A2459" t="str">
        <f>"0151939 "</f>
        <v xml:space="preserve">0151939 </v>
      </c>
      <c r="B2459" t="s">
        <v>7341</v>
      </c>
      <c r="C2459" t="s">
        <v>7644</v>
      </c>
      <c r="D2459" t="s">
        <v>7645</v>
      </c>
      <c r="E2459">
        <v>2</v>
      </c>
      <c r="F2459" t="s">
        <v>5713</v>
      </c>
      <c r="G2459" t="s">
        <v>7341</v>
      </c>
      <c r="H2459" t="s">
        <v>7644</v>
      </c>
    </row>
    <row r="2460" spans="1:9">
      <c r="A2460" t="str">
        <f>"0151948 "</f>
        <v xml:space="preserve">0151948 </v>
      </c>
      <c r="B2460" t="s">
        <v>7341</v>
      </c>
      <c r="C2460" t="s">
        <v>2329</v>
      </c>
      <c r="D2460" t="s">
        <v>7646</v>
      </c>
      <c r="E2460">
        <v>2</v>
      </c>
      <c r="F2460" t="s">
        <v>7647</v>
      </c>
      <c r="G2460" t="s">
        <v>7341</v>
      </c>
      <c r="H2460" t="s">
        <v>2329</v>
      </c>
      <c r="I2460" t="s">
        <v>2331</v>
      </c>
    </row>
    <row r="2461" spans="1:9">
      <c r="A2461" t="str">
        <f>"0151990 "</f>
        <v xml:space="preserve">0151990 </v>
      </c>
      <c r="B2461" t="s">
        <v>7341</v>
      </c>
      <c r="C2461" t="s">
        <v>2386</v>
      </c>
      <c r="D2461" t="s">
        <v>7648</v>
      </c>
      <c r="E2461">
        <v>2</v>
      </c>
      <c r="F2461" t="s">
        <v>7649</v>
      </c>
      <c r="G2461" t="s">
        <v>7341</v>
      </c>
      <c r="H2461" t="s">
        <v>2386</v>
      </c>
      <c r="I2461" t="s">
        <v>2389</v>
      </c>
    </row>
    <row r="2462" spans="1:9">
      <c r="A2462" t="str">
        <f>"0152003 "</f>
        <v xml:space="preserve">0152003 </v>
      </c>
      <c r="B2462" t="s">
        <v>7341</v>
      </c>
      <c r="C2462" t="s">
        <v>3745</v>
      </c>
      <c r="D2462" t="s">
        <v>7650</v>
      </c>
      <c r="E2462">
        <v>1</v>
      </c>
      <c r="F2462" t="s">
        <v>7651</v>
      </c>
      <c r="G2462" t="s">
        <v>7341</v>
      </c>
      <c r="H2462" t="s">
        <v>3745</v>
      </c>
      <c r="I2462" t="s">
        <v>7652</v>
      </c>
    </row>
    <row r="2463" spans="1:9">
      <c r="A2463" t="str">
        <f>"0152008 "</f>
        <v xml:space="preserve">0152008 </v>
      </c>
      <c r="B2463" t="s">
        <v>7341</v>
      </c>
      <c r="C2463" t="s">
        <v>7653</v>
      </c>
      <c r="D2463" t="s">
        <v>7654</v>
      </c>
      <c r="E2463">
        <v>2</v>
      </c>
      <c r="F2463" t="s">
        <v>7655</v>
      </c>
      <c r="G2463" t="s">
        <v>7341</v>
      </c>
      <c r="H2463" t="s">
        <v>7653</v>
      </c>
      <c r="I2463" t="s">
        <v>2405</v>
      </c>
    </row>
    <row r="2464" spans="1:9">
      <c r="A2464" t="str">
        <f>"0152011 "</f>
        <v xml:space="preserve">0152011 </v>
      </c>
      <c r="B2464" t="s">
        <v>7341</v>
      </c>
      <c r="C2464" t="s">
        <v>3752</v>
      </c>
      <c r="D2464" t="s">
        <v>7656</v>
      </c>
      <c r="E2464">
        <v>2</v>
      </c>
      <c r="F2464" t="s">
        <v>3780</v>
      </c>
      <c r="G2464" t="s">
        <v>7341</v>
      </c>
      <c r="H2464" t="s">
        <v>3752</v>
      </c>
    </row>
    <row r="2465" spans="1:9">
      <c r="A2465" t="str">
        <f>"0152020 "</f>
        <v xml:space="preserve">0152020 </v>
      </c>
      <c r="B2465" t="s">
        <v>7341</v>
      </c>
      <c r="C2465" t="s">
        <v>2422</v>
      </c>
      <c r="D2465" t="s">
        <v>7657</v>
      </c>
      <c r="E2465" t="s">
        <v>16</v>
      </c>
      <c r="F2465" t="s">
        <v>7658</v>
      </c>
      <c r="G2465" t="s">
        <v>7341</v>
      </c>
      <c r="H2465" t="s">
        <v>2422</v>
      </c>
      <c r="I2465" t="s">
        <v>7659</v>
      </c>
    </row>
    <row r="2466" spans="1:9">
      <c r="A2466" t="str">
        <f>"0152157 "</f>
        <v xml:space="preserve">0152157 </v>
      </c>
      <c r="B2466" t="s">
        <v>7341</v>
      </c>
      <c r="C2466" t="s">
        <v>7660</v>
      </c>
      <c r="D2466" t="s">
        <v>7661</v>
      </c>
      <c r="E2466">
        <v>1</v>
      </c>
      <c r="F2466" t="s">
        <v>7643</v>
      </c>
      <c r="G2466" t="s">
        <v>7341</v>
      </c>
      <c r="H2466" t="s">
        <v>7660</v>
      </c>
      <c r="I2466" t="s">
        <v>7662</v>
      </c>
    </row>
    <row r="2467" spans="1:9">
      <c r="A2467" t="str">
        <f>"0152025 "</f>
        <v xml:space="preserve">0152025 </v>
      </c>
      <c r="B2467" t="s">
        <v>7341</v>
      </c>
      <c r="C2467" t="s">
        <v>7663</v>
      </c>
      <c r="D2467" t="s">
        <v>7664</v>
      </c>
      <c r="E2467">
        <v>4</v>
      </c>
      <c r="F2467" t="s">
        <v>3738</v>
      </c>
      <c r="G2467" t="s">
        <v>7341</v>
      </c>
      <c r="H2467" t="s">
        <v>7663</v>
      </c>
      <c r="I2467" t="s">
        <v>3760</v>
      </c>
    </row>
    <row r="2468" spans="1:9">
      <c r="A2468" t="str">
        <f>"0150736 "</f>
        <v xml:space="preserve">0150736 </v>
      </c>
      <c r="B2468" t="s">
        <v>7341</v>
      </c>
      <c r="C2468" t="s">
        <v>7665</v>
      </c>
      <c r="D2468" t="s">
        <v>7666</v>
      </c>
      <c r="E2468">
        <v>1</v>
      </c>
      <c r="F2468" t="s">
        <v>7667</v>
      </c>
      <c r="G2468" t="s">
        <v>7341</v>
      </c>
      <c r="H2468" t="s">
        <v>7665</v>
      </c>
      <c r="I2468" t="s">
        <v>2444</v>
      </c>
    </row>
    <row r="2469" spans="1:9">
      <c r="A2469" t="str">
        <f>"0152042 "</f>
        <v xml:space="preserve">0152042 </v>
      </c>
      <c r="B2469" t="s">
        <v>7341</v>
      </c>
      <c r="C2469" t="s">
        <v>2445</v>
      </c>
      <c r="D2469" t="s">
        <v>7668</v>
      </c>
      <c r="E2469">
        <v>1</v>
      </c>
      <c r="F2469" t="s">
        <v>7669</v>
      </c>
      <c r="G2469" t="s">
        <v>7341</v>
      </c>
      <c r="H2469" t="s">
        <v>2445</v>
      </c>
      <c r="I2469" t="s">
        <v>2448</v>
      </c>
    </row>
    <row r="2470" spans="1:9">
      <c r="A2470" t="str">
        <f>"0152044 "</f>
        <v xml:space="preserve">0152044 </v>
      </c>
      <c r="B2470" t="s">
        <v>7341</v>
      </c>
      <c r="C2470" t="s">
        <v>3762</v>
      </c>
      <c r="D2470" t="s">
        <v>7670</v>
      </c>
      <c r="E2470">
        <v>2</v>
      </c>
      <c r="F2470" t="s">
        <v>7671</v>
      </c>
      <c r="G2470" t="s">
        <v>7341</v>
      </c>
      <c r="H2470" t="s">
        <v>3762</v>
      </c>
      <c r="I2470" t="s">
        <v>1899</v>
      </c>
    </row>
    <row r="2471" spans="1:9">
      <c r="A2471" t="str">
        <f>"0152054 "</f>
        <v xml:space="preserve">0152054 </v>
      </c>
      <c r="B2471" t="s">
        <v>7341</v>
      </c>
      <c r="C2471" t="s">
        <v>7672</v>
      </c>
      <c r="D2471" t="s">
        <v>7673</v>
      </c>
      <c r="E2471">
        <v>1</v>
      </c>
      <c r="F2471" t="s">
        <v>7674</v>
      </c>
      <c r="G2471" t="s">
        <v>7341</v>
      </c>
      <c r="H2471" t="s">
        <v>7672</v>
      </c>
      <c r="I2471" t="s">
        <v>7675</v>
      </c>
    </row>
    <row r="2472" spans="1:9">
      <c r="A2472" t="str">
        <f>"0152055 "</f>
        <v xml:space="preserve">0152055 </v>
      </c>
      <c r="B2472" t="s">
        <v>7341</v>
      </c>
      <c r="C2472" t="s">
        <v>7676</v>
      </c>
      <c r="D2472" t="s">
        <v>7677</v>
      </c>
      <c r="E2472">
        <v>2</v>
      </c>
      <c r="F2472" t="s">
        <v>7678</v>
      </c>
      <c r="G2472" t="s">
        <v>7341</v>
      </c>
      <c r="H2472" t="s">
        <v>7676</v>
      </c>
      <c r="I2472" t="s">
        <v>2468</v>
      </c>
    </row>
    <row r="2473" spans="1:9">
      <c r="A2473" t="str">
        <f>"0152062 "</f>
        <v xml:space="preserve">0152062 </v>
      </c>
      <c r="B2473" t="s">
        <v>7341</v>
      </c>
      <c r="C2473" t="s">
        <v>7679</v>
      </c>
      <c r="D2473" t="s">
        <v>7680</v>
      </c>
      <c r="E2473">
        <v>2</v>
      </c>
      <c r="F2473" t="s">
        <v>7681</v>
      </c>
      <c r="G2473" t="s">
        <v>7341</v>
      </c>
      <c r="H2473" t="s">
        <v>7679</v>
      </c>
      <c r="I2473" t="s">
        <v>1899</v>
      </c>
    </row>
    <row r="2474" spans="1:9">
      <c r="A2474" t="str">
        <f>"0152084 "</f>
        <v xml:space="preserve">0152084 </v>
      </c>
      <c r="B2474" t="s">
        <v>7341</v>
      </c>
      <c r="C2474" t="s">
        <v>2508</v>
      </c>
      <c r="D2474" t="s">
        <v>7682</v>
      </c>
      <c r="E2474">
        <v>2</v>
      </c>
      <c r="F2474" t="s">
        <v>7683</v>
      </c>
      <c r="G2474" t="s">
        <v>7341</v>
      </c>
      <c r="H2474" t="s">
        <v>2508</v>
      </c>
      <c r="I2474" t="s">
        <v>2511</v>
      </c>
    </row>
    <row r="2475" spans="1:9">
      <c r="A2475" t="str">
        <f>"0152264 "</f>
        <v xml:space="preserve">0152264 </v>
      </c>
      <c r="B2475" t="s">
        <v>7341</v>
      </c>
      <c r="C2475" t="s">
        <v>7684</v>
      </c>
      <c r="D2475" t="s">
        <v>7685</v>
      </c>
      <c r="E2475">
        <v>2</v>
      </c>
      <c r="F2475" t="s">
        <v>7686</v>
      </c>
      <c r="G2475" t="s">
        <v>7341</v>
      </c>
      <c r="H2475" t="s">
        <v>7684</v>
      </c>
    </row>
    <row r="2476" spans="1:9">
      <c r="A2476" t="str">
        <f>"0151662 "</f>
        <v xml:space="preserve">0151662 </v>
      </c>
      <c r="B2476" t="s">
        <v>7341</v>
      </c>
      <c r="C2476" t="s">
        <v>7687</v>
      </c>
      <c r="D2476" t="s">
        <v>7688</v>
      </c>
      <c r="E2476">
        <v>1</v>
      </c>
      <c r="F2476" t="s">
        <v>3595</v>
      </c>
      <c r="G2476" t="s">
        <v>7341</v>
      </c>
      <c r="H2476" t="s">
        <v>7687</v>
      </c>
      <c r="I2476" t="s">
        <v>7689</v>
      </c>
    </row>
    <row r="2477" spans="1:9">
      <c r="A2477" t="str">
        <f>"0152160 "</f>
        <v xml:space="preserve">0152160 </v>
      </c>
      <c r="B2477" t="s">
        <v>7341</v>
      </c>
      <c r="C2477" t="s">
        <v>7690</v>
      </c>
      <c r="D2477" t="s">
        <v>7691</v>
      </c>
      <c r="E2477">
        <v>1</v>
      </c>
      <c r="F2477" t="s">
        <v>4020</v>
      </c>
      <c r="G2477" t="s">
        <v>7341</v>
      </c>
      <c r="H2477" t="s">
        <v>7690</v>
      </c>
      <c r="I2477" t="s">
        <v>3825</v>
      </c>
    </row>
    <row r="2478" spans="1:9">
      <c r="A2478" t="str">
        <f>"0152254 "</f>
        <v xml:space="preserve">0152254 </v>
      </c>
      <c r="B2478" t="s">
        <v>7341</v>
      </c>
      <c r="C2478" t="s">
        <v>7692</v>
      </c>
      <c r="D2478" t="s">
        <v>7693</v>
      </c>
      <c r="E2478">
        <v>2</v>
      </c>
      <c r="F2478" t="s">
        <v>7694</v>
      </c>
      <c r="G2478" t="s">
        <v>7341</v>
      </c>
      <c r="H2478" t="s">
        <v>7692</v>
      </c>
    </row>
    <row r="2479" spans="1:9">
      <c r="A2479" t="str">
        <f>"0151739 "</f>
        <v xml:space="preserve">0151739 </v>
      </c>
      <c r="B2479" t="s">
        <v>7341</v>
      </c>
      <c r="C2479" t="s">
        <v>2557</v>
      </c>
      <c r="D2479" t="s">
        <v>7695</v>
      </c>
      <c r="E2479">
        <v>2</v>
      </c>
      <c r="F2479" t="s">
        <v>7696</v>
      </c>
      <c r="G2479" t="s">
        <v>7341</v>
      </c>
      <c r="H2479" t="s">
        <v>2557</v>
      </c>
      <c r="I2479" t="s">
        <v>2559</v>
      </c>
    </row>
    <row r="2480" spans="1:9">
      <c r="A2480" t="str">
        <f>"0152194 "</f>
        <v xml:space="preserve">0152194 </v>
      </c>
      <c r="B2480" t="s">
        <v>7341</v>
      </c>
      <c r="C2480" t="s">
        <v>3841</v>
      </c>
      <c r="D2480" t="s">
        <v>7697</v>
      </c>
      <c r="E2480">
        <v>3</v>
      </c>
      <c r="F2480" t="s">
        <v>4071</v>
      </c>
      <c r="G2480" t="s">
        <v>7341</v>
      </c>
      <c r="H2480" t="s">
        <v>3841</v>
      </c>
      <c r="I2480" t="s">
        <v>1899</v>
      </c>
    </row>
    <row r="2481" spans="1:9">
      <c r="A2481" t="str">
        <f>"0152213 "</f>
        <v xml:space="preserve">0152213 </v>
      </c>
      <c r="B2481" t="s">
        <v>7341</v>
      </c>
      <c r="C2481" t="s">
        <v>7698</v>
      </c>
      <c r="D2481" t="s">
        <v>7699</v>
      </c>
      <c r="E2481">
        <v>2</v>
      </c>
      <c r="F2481" t="s">
        <v>7700</v>
      </c>
      <c r="G2481" t="s">
        <v>7341</v>
      </c>
      <c r="H2481" t="s">
        <v>7698</v>
      </c>
      <c r="I2481" t="s">
        <v>7701</v>
      </c>
    </row>
    <row r="2482" spans="1:9">
      <c r="A2482" t="str">
        <f>"0151833 "</f>
        <v xml:space="preserve">0151833 </v>
      </c>
      <c r="B2482" t="s">
        <v>7341</v>
      </c>
      <c r="C2482" t="s">
        <v>3844</v>
      </c>
      <c r="D2482" t="s">
        <v>7702</v>
      </c>
      <c r="E2482">
        <v>2</v>
      </c>
      <c r="F2482" t="s">
        <v>7703</v>
      </c>
      <c r="G2482" t="s">
        <v>7341</v>
      </c>
      <c r="H2482" t="s">
        <v>3844</v>
      </c>
    </row>
    <row r="2483" spans="1:9">
      <c r="A2483" t="str">
        <f>"0152240 "</f>
        <v xml:space="preserve">0152240 </v>
      </c>
      <c r="B2483" t="s">
        <v>7341</v>
      </c>
      <c r="C2483" t="s">
        <v>7704</v>
      </c>
      <c r="D2483" t="s">
        <v>7705</v>
      </c>
      <c r="E2483">
        <v>2</v>
      </c>
      <c r="F2483" t="s">
        <v>7706</v>
      </c>
      <c r="G2483" t="s">
        <v>7341</v>
      </c>
      <c r="H2483" t="s">
        <v>7704</v>
      </c>
      <c r="I2483" t="s">
        <v>7707</v>
      </c>
    </row>
    <row r="2484" spans="1:9">
      <c r="A2484" t="str">
        <f>"0152167 "</f>
        <v xml:space="preserve">0152167 </v>
      </c>
      <c r="B2484" t="s">
        <v>7341</v>
      </c>
      <c r="C2484" t="s">
        <v>3851</v>
      </c>
      <c r="D2484" t="s">
        <v>7708</v>
      </c>
      <c r="E2484">
        <v>1</v>
      </c>
      <c r="F2484" t="s">
        <v>7709</v>
      </c>
      <c r="G2484" t="s">
        <v>7341</v>
      </c>
      <c r="H2484" t="s">
        <v>3851</v>
      </c>
      <c r="I2484" t="s">
        <v>3853</v>
      </c>
    </row>
    <row r="2485" spans="1:9">
      <c r="A2485" t="str">
        <f>"0152026 "</f>
        <v xml:space="preserve">0152026 </v>
      </c>
      <c r="B2485" t="s">
        <v>7341</v>
      </c>
      <c r="C2485" t="s">
        <v>7710</v>
      </c>
      <c r="D2485" t="s">
        <v>7711</v>
      </c>
      <c r="E2485">
        <v>1</v>
      </c>
      <c r="F2485" t="s">
        <v>7712</v>
      </c>
      <c r="G2485" t="s">
        <v>7341</v>
      </c>
      <c r="H2485" t="s">
        <v>7710</v>
      </c>
    </row>
    <row r="2486" spans="1:9">
      <c r="A2486" t="str">
        <f>"0152241 "</f>
        <v xml:space="preserve">0152241 </v>
      </c>
      <c r="B2486" t="s">
        <v>7341</v>
      </c>
      <c r="C2486" t="s">
        <v>7713</v>
      </c>
      <c r="D2486" t="s">
        <v>7714</v>
      </c>
      <c r="E2486">
        <v>2</v>
      </c>
      <c r="F2486" t="s">
        <v>7715</v>
      </c>
      <c r="G2486" t="s">
        <v>7341</v>
      </c>
      <c r="H2486" t="s">
        <v>7713</v>
      </c>
      <c r="I2486" t="s">
        <v>3864</v>
      </c>
    </row>
    <row r="2487" spans="1:9">
      <c r="A2487" t="str">
        <f>"0152242 "</f>
        <v xml:space="preserve">0152242 </v>
      </c>
      <c r="B2487" t="s">
        <v>7341</v>
      </c>
      <c r="C2487" t="s">
        <v>7716</v>
      </c>
      <c r="D2487" t="s">
        <v>7717</v>
      </c>
      <c r="E2487">
        <v>2</v>
      </c>
      <c r="F2487" t="s">
        <v>7718</v>
      </c>
      <c r="G2487" t="s">
        <v>7341</v>
      </c>
      <c r="H2487" t="s">
        <v>7716</v>
      </c>
    </row>
    <row r="2488" spans="1:9">
      <c r="A2488" t="str">
        <f>"0152060 "</f>
        <v xml:space="preserve">0152060 </v>
      </c>
      <c r="B2488" t="s">
        <v>7341</v>
      </c>
      <c r="C2488" t="s">
        <v>7719</v>
      </c>
      <c r="D2488" t="s">
        <v>7720</v>
      </c>
      <c r="E2488">
        <v>2</v>
      </c>
      <c r="F2488" t="s">
        <v>7721</v>
      </c>
      <c r="G2488" t="s">
        <v>7341</v>
      </c>
      <c r="H2488" t="s">
        <v>7719</v>
      </c>
      <c r="I2488" t="s">
        <v>3868</v>
      </c>
    </row>
    <row r="2489" spans="1:9">
      <c r="A2489" t="str">
        <f>"0146680 "</f>
        <v xml:space="preserve">0146680 </v>
      </c>
      <c r="B2489" t="s">
        <v>7341</v>
      </c>
      <c r="C2489" t="s">
        <v>7722</v>
      </c>
      <c r="D2489" t="s">
        <v>7723</v>
      </c>
      <c r="E2489" t="s">
        <v>16</v>
      </c>
      <c r="F2489" t="s">
        <v>7724</v>
      </c>
      <c r="G2489" t="s">
        <v>7341</v>
      </c>
      <c r="H2489" t="str">
        <f>"3225-00053"</f>
        <v>3225-00053</v>
      </c>
      <c r="I2489" t="s">
        <v>7725</v>
      </c>
    </row>
    <row r="2490" spans="1:9">
      <c r="A2490" t="str">
        <f>"0149785 "</f>
        <v xml:space="preserve">0149785 </v>
      </c>
      <c r="B2490" t="s">
        <v>7341</v>
      </c>
      <c r="C2490" t="s">
        <v>7726</v>
      </c>
      <c r="D2490" t="s">
        <v>7727</v>
      </c>
      <c r="E2490" t="s">
        <v>16</v>
      </c>
      <c r="F2490" t="s">
        <v>7728</v>
      </c>
      <c r="G2490" t="s">
        <v>7341</v>
      </c>
      <c r="H2490" t="s">
        <v>7726</v>
      </c>
      <c r="I2490" t="s">
        <v>7729</v>
      </c>
    </row>
    <row r="2491" spans="1:9">
      <c r="A2491" t="str">
        <f>"0149805 "</f>
        <v xml:space="preserve">0149805 </v>
      </c>
      <c r="B2491" t="s">
        <v>7341</v>
      </c>
      <c r="C2491" t="s">
        <v>7730</v>
      </c>
      <c r="D2491" t="s">
        <v>7731</v>
      </c>
      <c r="E2491">
        <v>1</v>
      </c>
      <c r="F2491" t="s">
        <v>7732</v>
      </c>
      <c r="G2491" t="s">
        <v>7341</v>
      </c>
      <c r="H2491" t="s">
        <v>7730</v>
      </c>
      <c r="I2491" t="s">
        <v>7733</v>
      </c>
    </row>
    <row r="2492" spans="1:9">
      <c r="A2492" t="str">
        <f>"0149811 "</f>
        <v xml:space="preserve">0149811 </v>
      </c>
      <c r="B2492" t="s">
        <v>7341</v>
      </c>
      <c r="C2492" t="s">
        <v>7734</v>
      </c>
      <c r="D2492" t="s">
        <v>7735</v>
      </c>
      <c r="E2492">
        <v>2</v>
      </c>
      <c r="F2492" t="s">
        <v>7736</v>
      </c>
      <c r="G2492" t="s">
        <v>7341</v>
      </c>
      <c r="H2492" t="s">
        <v>7734</v>
      </c>
      <c r="I2492" t="s">
        <v>7737</v>
      </c>
    </row>
    <row r="2493" spans="1:9">
      <c r="A2493" t="str">
        <f>"0149832 "</f>
        <v xml:space="preserve">0149832 </v>
      </c>
      <c r="B2493" t="s">
        <v>7341</v>
      </c>
      <c r="C2493" t="s">
        <v>7738</v>
      </c>
      <c r="D2493" t="s">
        <v>7739</v>
      </c>
      <c r="E2493">
        <v>4</v>
      </c>
      <c r="F2493" t="s">
        <v>7740</v>
      </c>
      <c r="G2493" t="s">
        <v>7341</v>
      </c>
      <c r="H2493" t="s">
        <v>7738</v>
      </c>
      <c r="I2493" t="s">
        <v>7741</v>
      </c>
    </row>
    <row r="2494" spans="1:9">
      <c r="A2494" t="str">
        <f>"0149840 "</f>
        <v xml:space="preserve">0149840 </v>
      </c>
      <c r="B2494" t="s">
        <v>7341</v>
      </c>
      <c r="C2494" t="s">
        <v>7742</v>
      </c>
      <c r="D2494" t="s">
        <v>7743</v>
      </c>
      <c r="E2494" t="s">
        <v>16</v>
      </c>
      <c r="F2494" t="s">
        <v>7744</v>
      </c>
      <c r="G2494" t="s">
        <v>7341</v>
      </c>
      <c r="H2494" t="s">
        <v>7742</v>
      </c>
      <c r="I2494" t="s">
        <v>7745</v>
      </c>
    </row>
    <row r="2495" spans="1:9">
      <c r="A2495" t="str">
        <f>"0149842 "</f>
        <v xml:space="preserve">0149842 </v>
      </c>
      <c r="B2495" t="s">
        <v>7341</v>
      </c>
      <c r="C2495" t="s">
        <v>7746</v>
      </c>
      <c r="D2495" t="s">
        <v>7747</v>
      </c>
      <c r="E2495">
        <v>1</v>
      </c>
      <c r="F2495" t="s">
        <v>7748</v>
      </c>
      <c r="G2495" t="s">
        <v>7341</v>
      </c>
      <c r="H2495" t="s">
        <v>7746</v>
      </c>
      <c r="I2495" t="s">
        <v>7749</v>
      </c>
    </row>
    <row r="2496" spans="1:9">
      <c r="A2496" t="str">
        <f>"0149847 "</f>
        <v xml:space="preserve">0149847 </v>
      </c>
      <c r="B2496" t="s">
        <v>7341</v>
      </c>
      <c r="C2496" t="s">
        <v>7750</v>
      </c>
      <c r="D2496" t="s">
        <v>7751</v>
      </c>
      <c r="E2496">
        <v>2</v>
      </c>
      <c r="F2496" t="s">
        <v>7752</v>
      </c>
      <c r="G2496" t="s">
        <v>7341</v>
      </c>
      <c r="H2496" t="s">
        <v>7750</v>
      </c>
      <c r="I2496" t="s">
        <v>7753</v>
      </c>
    </row>
    <row r="2497" spans="1:9">
      <c r="A2497" t="str">
        <f>"0149870 "</f>
        <v xml:space="preserve">0149870 </v>
      </c>
      <c r="B2497" t="s">
        <v>7341</v>
      </c>
      <c r="C2497" t="s">
        <v>7754</v>
      </c>
      <c r="D2497" t="s">
        <v>7755</v>
      </c>
      <c r="E2497">
        <v>4</v>
      </c>
      <c r="F2497" t="s">
        <v>7756</v>
      </c>
      <c r="G2497" t="s">
        <v>7341</v>
      </c>
      <c r="H2497" t="s">
        <v>7754</v>
      </c>
      <c r="I2497" t="s">
        <v>7757</v>
      </c>
    </row>
    <row r="2498" spans="1:9">
      <c r="A2498" t="str">
        <f>"0149874 "</f>
        <v xml:space="preserve">0149874 </v>
      </c>
      <c r="B2498" t="s">
        <v>7341</v>
      </c>
      <c r="C2498" t="s">
        <v>7758</v>
      </c>
      <c r="D2498" t="s">
        <v>7759</v>
      </c>
      <c r="E2498" t="s">
        <v>16</v>
      </c>
      <c r="F2498" t="s">
        <v>7760</v>
      </c>
      <c r="G2498" t="s">
        <v>7341</v>
      </c>
      <c r="H2498" t="s">
        <v>7758</v>
      </c>
      <c r="I2498" t="s">
        <v>7761</v>
      </c>
    </row>
    <row r="2499" spans="1:9">
      <c r="A2499" t="str">
        <f>"0149883 "</f>
        <v xml:space="preserve">0149883 </v>
      </c>
      <c r="B2499" t="s">
        <v>7341</v>
      </c>
      <c r="C2499" t="s">
        <v>7762</v>
      </c>
      <c r="D2499" t="s">
        <v>7763</v>
      </c>
      <c r="E2499">
        <v>4</v>
      </c>
      <c r="F2499" t="s">
        <v>7764</v>
      </c>
      <c r="G2499" t="s">
        <v>7341</v>
      </c>
      <c r="H2499" t="s">
        <v>7762</v>
      </c>
      <c r="I2499" t="s">
        <v>7765</v>
      </c>
    </row>
    <row r="2500" spans="1:9">
      <c r="A2500" t="str">
        <f>"0149888 "</f>
        <v xml:space="preserve">0149888 </v>
      </c>
      <c r="B2500" t="s">
        <v>7341</v>
      </c>
      <c r="C2500" t="s">
        <v>7766</v>
      </c>
      <c r="D2500" t="s">
        <v>7767</v>
      </c>
      <c r="E2500">
        <v>1</v>
      </c>
      <c r="F2500" t="s">
        <v>7768</v>
      </c>
      <c r="G2500" t="s">
        <v>7341</v>
      </c>
      <c r="H2500" t="s">
        <v>7766</v>
      </c>
      <c r="I2500" t="s">
        <v>7769</v>
      </c>
    </row>
    <row r="2501" spans="1:9">
      <c r="A2501" t="str">
        <f>"0149893 "</f>
        <v xml:space="preserve">0149893 </v>
      </c>
      <c r="B2501" t="s">
        <v>7341</v>
      </c>
      <c r="C2501" t="s">
        <v>7770</v>
      </c>
      <c r="D2501" t="s">
        <v>7771</v>
      </c>
      <c r="E2501">
        <v>2</v>
      </c>
      <c r="F2501" t="s">
        <v>7772</v>
      </c>
      <c r="G2501" t="s">
        <v>7341</v>
      </c>
      <c r="H2501" t="s">
        <v>7770</v>
      </c>
      <c r="I2501" t="s">
        <v>7773</v>
      </c>
    </row>
    <row r="2502" spans="1:9">
      <c r="A2502" t="str">
        <f>"0149908 "</f>
        <v xml:space="preserve">0149908 </v>
      </c>
      <c r="B2502" t="s">
        <v>7341</v>
      </c>
      <c r="C2502" t="s">
        <v>7774</v>
      </c>
      <c r="D2502" t="s">
        <v>7775</v>
      </c>
      <c r="E2502">
        <v>2</v>
      </c>
      <c r="F2502" t="s">
        <v>7776</v>
      </c>
      <c r="G2502" t="s">
        <v>7341</v>
      </c>
      <c r="H2502" t="s">
        <v>7774</v>
      </c>
      <c r="I2502" t="s">
        <v>7777</v>
      </c>
    </row>
    <row r="2503" spans="1:9">
      <c r="A2503" t="str">
        <f>"0149912 "</f>
        <v xml:space="preserve">0149912 </v>
      </c>
      <c r="B2503" t="s">
        <v>7341</v>
      </c>
      <c r="C2503" t="s">
        <v>7778</v>
      </c>
      <c r="D2503" t="s">
        <v>7779</v>
      </c>
      <c r="E2503">
        <v>1</v>
      </c>
      <c r="F2503" t="s">
        <v>7780</v>
      </c>
      <c r="G2503" t="s">
        <v>7341</v>
      </c>
      <c r="H2503" t="s">
        <v>7778</v>
      </c>
      <c r="I2503" t="s">
        <v>7781</v>
      </c>
    </row>
    <row r="2504" spans="1:9">
      <c r="A2504" t="str">
        <f>"0149921 "</f>
        <v xml:space="preserve">0149921 </v>
      </c>
      <c r="B2504" t="s">
        <v>7341</v>
      </c>
      <c r="C2504" t="s">
        <v>7782</v>
      </c>
      <c r="D2504" t="s">
        <v>7783</v>
      </c>
      <c r="E2504">
        <v>1</v>
      </c>
      <c r="F2504" t="s">
        <v>7784</v>
      </c>
      <c r="G2504" t="s">
        <v>7341</v>
      </c>
      <c r="H2504" t="s">
        <v>7782</v>
      </c>
      <c r="I2504" t="s">
        <v>7785</v>
      </c>
    </row>
    <row r="2505" spans="1:9">
      <c r="A2505" t="str">
        <f>"0149923 "</f>
        <v xml:space="preserve">0149923 </v>
      </c>
      <c r="B2505" t="s">
        <v>7341</v>
      </c>
      <c r="C2505" t="s">
        <v>7786</v>
      </c>
      <c r="D2505" t="s">
        <v>7787</v>
      </c>
      <c r="E2505">
        <v>1</v>
      </c>
      <c r="F2505" t="s">
        <v>4267</v>
      </c>
      <c r="G2505" t="s">
        <v>7341</v>
      </c>
      <c r="H2505" t="s">
        <v>7786</v>
      </c>
      <c r="I2505" t="s">
        <v>7788</v>
      </c>
    </row>
    <row r="2506" spans="1:9">
      <c r="A2506" t="str">
        <f>"0149926 "</f>
        <v xml:space="preserve">0149926 </v>
      </c>
      <c r="B2506" t="s">
        <v>7341</v>
      </c>
      <c r="C2506" t="s">
        <v>7789</v>
      </c>
      <c r="D2506" t="s">
        <v>7790</v>
      </c>
      <c r="E2506">
        <v>1</v>
      </c>
      <c r="F2506" t="s">
        <v>7791</v>
      </c>
      <c r="G2506" t="s">
        <v>7341</v>
      </c>
      <c r="H2506" t="s">
        <v>7789</v>
      </c>
      <c r="I2506" t="s">
        <v>7792</v>
      </c>
    </row>
    <row r="2507" spans="1:9">
      <c r="A2507" t="str">
        <f>"0149934 "</f>
        <v xml:space="preserve">0149934 </v>
      </c>
      <c r="B2507" t="s">
        <v>7341</v>
      </c>
      <c r="C2507" t="s">
        <v>7793</v>
      </c>
      <c r="D2507" t="s">
        <v>7794</v>
      </c>
      <c r="E2507">
        <v>1</v>
      </c>
      <c r="F2507" t="s">
        <v>7795</v>
      </c>
      <c r="G2507" t="s">
        <v>7341</v>
      </c>
      <c r="H2507" t="s">
        <v>7793</v>
      </c>
      <c r="I2507" t="s">
        <v>7796</v>
      </c>
    </row>
    <row r="2508" spans="1:9">
      <c r="A2508" t="str">
        <f>"0149939 "</f>
        <v xml:space="preserve">0149939 </v>
      </c>
      <c r="B2508" t="s">
        <v>7341</v>
      </c>
      <c r="C2508" t="s">
        <v>7797</v>
      </c>
      <c r="D2508" t="s">
        <v>7798</v>
      </c>
      <c r="E2508">
        <v>2</v>
      </c>
      <c r="F2508" t="s">
        <v>7799</v>
      </c>
      <c r="G2508" t="s">
        <v>7341</v>
      </c>
      <c r="H2508" t="s">
        <v>7797</v>
      </c>
      <c r="I2508" t="s">
        <v>7800</v>
      </c>
    </row>
    <row r="2509" spans="1:9">
      <c r="A2509" t="str">
        <f>"0149941 "</f>
        <v xml:space="preserve">0149941 </v>
      </c>
      <c r="B2509" t="s">
        <v>7341</v>
      </c>
      <c r="C2509" t="s">
        <v>7801</v>
      </c>
      <c r="D2509" t="s">
        <v>7802</v>
      </c>
      <c r="E2509">
        <v>1</v>
      </c>
      <c r="F2509" t="s">
        <v>7803</v>
      </c>
      <c r="G2509" t="s">
        <v>7341</v>
      </c>
      <c r="H2509" t="s">
        <v>7801</v>
      </c>
      <c r="I2509" t="s">
        <v>7804</v>
      </c>
    </row>
    <row r="2510" spans="1:9">
      <c r="A2510" t="str">
        <f>"0149942 "</f>
        <v xml:space="preserve">0149942 </v>
      </c>
      <c r="B2510" t="s">
        <v>7341</v>
      </c>
      <c r="C2510" t="s">
        <v>7805</v>
      </c>
      <c r="D2510" t="s">
        <v>7806</v>
      </c>
      <c r="E2510">
        <v>1</v>
      </c>
      <c r="F2510" t="s">
        <v>7807</v>
      </c>
      <c r="G2510" t="s">
        <v>7341</v>
      </c>
      <c r="H2510" t="s">
        <v>7805</v>
      </c>
      <c r="I2510" t="s">
        <v>7808</v>
      </c>
    </row>
    <row r="2511" spans="1:9">
      <c r="A2511" t="str">
        <f>"0149957 "</f>
        <v xml:space="preserve">0149957 </v>
      </c>
      <c r="B2511" t="s">
        <v>7341</v>
      </c>
      <c r="C2511" t="s">
        <v>7809</v>
      </c>
      <c r="D2511" t="s">
        <v>7810</v>
      </c>
      <c r="E2511">
        <v>2</v>
      </c>
      <c r="F2511" t="s">
        <v>7811</v>
      </c>
      <c r="G2511" t="s">
        <v>7341</v>
      </c>
      <c r="H2511" t="s">
        <v>7809</v>
      </c>
      <c r="I2511" t="s">
        <v>7812</v>
      </c>
    </row>
    <row r="2512" spans="1:9">
      <c r="A2512" t="str">
        <f>"0149976 "</f>
        <v xml:space="preserve">0149976 </v>
      </c>
      <c r="B2512" t="s">
        <v>7341</v>
      </c>
      <c r="C2512" t="s">
        <v>7813</v>
      </c>
      <c r="D2512" t="s">
        <v>7814</v>
      </c>
      <c r="E2512">
        <v>2</v>
      </c>
      <c r="F2512" t="s">
        <v>7815</v>
      </c>
      <c r="G2512" t="s">
        <v>7341</v>
      </c>
      <c r="H2512" t="s">
        <v>7813</v>
      </c>
      <c r="I2512" t="s">
        <v>7816</v>
      </c>
    </row>
    <row r="2513" spans="1:9">
      <c r="A2513" t="str">
        <f>"0150140 "</f>
        <v xml:space="preserve">0150140 </v>
      </c>
      <c r="B2513" t="s">
        <v>7341</v>
      </c>
      <c r="C2513" t="s">
        <v>7817</v>
      </c>
      <c r="D2513" t="s">
        <v>7818</v>
      </c>
      <c r="E2513">
        <v>2</v>
      </c>
      <c r="F2513" t="s">
        <v>7819</v>
      </c>
      <c r="G2513" t="s">
        <v>7341</v>
      </c>
      <c r="H2513" t="s">
        <v>7817</v>
      </c>
      <c r="I2513" t="s">
        <v>4268</v>
      </c>
    </row>
    <row r="2514" spans="1:9">
      <c r="A2514" t="str">
        <f>"0150154 "</f>
        <v xml:space="preserve">0150154 </v>
      </c>
      <c r="B2514" t="s">
        <v>7341</v>
      </c>
      <c r="C2514" t="s">
        <v>7820</v>
      </c>
      <c r="D2514" t="s">
        <v>7821</v>
      </c>
      <c r="E2514">
        <v>4</v>
      </c>
      <c r="F2514" t="s">
        <v>7822</v>
      </c>
      <c r="G2514" t="s">
        <v>7341</v>
      </c>
      <c r="H2514" t="s">
        <v>7820</v>
      </c>
      <c r="I2514" t="s">
        <v>7823</v>
      </c>
    </row>
    <row r="2515" spans="1:9">
      <c r="A2515" t="str">
        <f>"0158781 "</f>
        <v xml:space="preserve">0158781 </v>
      </c>
      <c r="B2515" t="s">
        <v>7341</v>
      </c>
      <c r="C2515" t="s">
        <v>7824</v>
      </c>
      <c r="D2515" t="s">
        <v>7825</v>
      </c>
      <c r="E2515">
        <v>2</v>
      </c>
      <c r="F2515" t="s">
        <v>7826</v>
      </c>
      <c r="G2515" t="s">
        <v>7341</v>
      </c>
      <c r="H2515" t="s">
        <v>7824</v>
      </c>
      <c r="I2515" t="s">
        <v>7827</v>
      </c>
    </row>
    <row r="2516" spans="1:9">
      <c r="A2516" t="str">
        <f>"0149997 "</f>
        <v xml:space="preserve">0149997 </v>
      </c>
      <c r="B2516" t="s">
        <v>7341</v>
      </c>
      <c r="C2516" t="s">
        <v>7828</v>
      </c>
      <c r="D2516" t="s">
        <v>7829</v>
      </c>
      <c r="E2516">
        <v>1</v>
      </c>
      <c r="F2516" t="s">
        <v>7830</v>
      </c>
      <c r="G2516" t="s">
        <v>7341</v>
      </c>
      <c r="H2516" t="s">
        <v>7828</v>
      </c>
      <c r="I2516" t="s">
        <v>7831</v>
      </c>
    </row>
    <row r="2517" spans="1:9">
      <c r="A2517" t="str">
        <f>"0150026 "</f>
        <v xml:space="preserve">0150026 </v>
      </c>
      <c r="B2517" t="s">
        <v>7341</v>
      </c>
      <c r="C2517" t="s">
        <v>7832</v>
      </c>
      <c r="D2517" t="s">
        <v>7833</v>
      </c>
      <c r="E2517">
        <v>2</v>
      </c>
      <c r="F2517" t="s">
        <v>7834</v>
      </c>
      <c r="G2517" t="s">
        <v>7341</v>
      </c>
      <c r="H2517" t="s">
        <v>7832</v>
      </c>
      <c r="I2517" t="s">
        <v>7835</v>
      </c>
    </row>
    <row r="2518" spans="1:9">
      <c r="A2518" t="str">
        <f>"0150037 "</f>
        <v xml:space="preserve">0150037 </v>
      </c>
      <c r="B2518" t="s">
        <v>7341</v>
      </c>
      <c r="C2518" t="s">
        <v>7836</v>
      </c>
      <c r="D2518" t="s">
        <v>7837</v>
      </c>
      <c r="E2518">
        <v>1</v>
      </c>
      <c r="F2518" t="s">
        <v>7838</v>
      </c>
      <c r="G2518" t="s">
        <v>7341</v>
      </c>
      <c r="H2518" t="s">
        <v>7836</v>
      </c>
      <c r="I2518" t="s">
        <v>7839</v>
      </c>
    </row>
    <row r="2519" spans="1:9">
      <c r="A2519" t="str">
        <f>"0159318 "</f>
        <v xml:space="preserve">0159318 </v>
      </c>
      <c r="B2519" t="s">
        <v>7341</v>
      </c>
      <c r="C2519" t="s">
        <v>7840</v>
      </c>
      <c r="D2519" t="s">
        <v>7841</v>
      </c>
      <c r="E2519">
        <v>1</v>
      </c>
      <c r="F2519" t="s">
        <v>7842</v>
      </c>
      <c r="G2519" t="s">
        <v>7341</v>
      </c>
      <c r="H2519" t="s">
        <v>7840</v>
      </c>
      <c r="I2519" t="s">
        <v>7843</v>
      </c>
    </row>
    <row r="2520" spans="1:9">
      <c r="A2520" t="str">
        <f>"0150060 "</f>
        <v xml:space="preserve">0150060 </v>
      </c>
      <c r="B2520" t="s">
        <v>7341</v>
      </c>
      <c r="C2520" t="s">
        <v>7844</v>
      </c>
      <c r="D2520" t="s">
        <v>7845</v>
      </c>
      <c r="E2520">
        <v>4</v>
      </c>
      <c r="F2520" t="s">
        <v>7846</v>
      </c>
      <c r="G2520" t="s">
        <v>7341</v>
      </c>
      <c r="H2520" t="s">
        <v>7844</v>
      </c>
      <c r="I2520" t="s">
        <v>7847</v>
      </c>
    </row>
    <row r="2521" spans="1:9">
      <c r="A2521" t="str">
        <f>"0150062 "</f>
        <v xml:space="preserve">0150062 </v>
      </c>
      <c r="B2521" t="s">
        <v>7341</v>
      </c>
      <c r="C2521" t="s">
        <v>7848</v>
      </c>
      <c r="D2521" t="s">
        <v>7849</v>
      </c>
      <c r="E2521">
        <v>2</v>
      </c>
      <c r="F2521" t="s">
        <v>7850</v>
      </c>
      <c r="G2521" t="s">
        <v>7341</v>
      </c>
      <c r="H2521" t="s">
        <v>7848</v>
      </c>
      <c r="I2521" t="s">
        <v>7851</v>
      </c>
    </row>
    <row r="2522" spans="1:9">
      <c r="A2522" t="str">
        <f>"0150084 "</f>
        <v xml:space="preserve">0150084 </v>
      </c>
      <c r="B2522" t="s">
        <v>7341</v>
      </c>
      <c r="C2522" t="s">
        <v>7852</v>
      </c>
      <c r="D2522" t="s">
        <v>7853</v>
      </c>
      <c r="E2522">
        <v>1</v>
      </c>
      <c r="F2522" t="s">
        <v>7807</v>
      </c>
      <c r="G2522" t="s">
        <v>7341</v>
      </c>
      <c r="H2522" t="s">
        <v>7852</v>
      </c>
      <c r="I2522" t="s">
        <v>7854</v>
      </c>
    </row>
    <row r="2523" spans="1:9">
      <c r="A2523" t="str">
        <f>"0150091 "</f>
        <v xml:space="preserve">0150091 </v>
      </c>
      <c r="B2523" t="s">
        <v>7341</v>
      </c>
      <c r="C2523" t="s">
        <v>7855</v>
      </c>
      <c r="D2523" t="s">
        <v>7856</v>
      </c>
      <c r="E2523">
        <v>1</v>
      </c>
      <c r="F2523" t="s">
        <v>7857</v>
      </c>
      <c r="G2523" t="s">
        <v>7341</v>
      </c>
      <c r="H2523" t="s">
        <v>7855</v>
      </c>
      <c r="I2523" t="s">
        <v>7858</v>
      </c>
    </row>
    <row r="2524" spans="1:9">
      <c r="A2524" t="str">
        <f>"0150093 "</f>
        <v xml:space="preserve">0150093 </v>
      </c>
      <c r="B2524" t="s">
        <v>7341</v>
      </c>
      <c r="C2524" t="s">
        <v>7859</v>
      </c>
      <c r="D2524" t="s">
        <v>7860</v>
      </c>
      <c r="E2524">
        <v>1</v>
      </c>
      <c r="F2524" t="s">
        <v>7861</v>
      </c>
      <c r="G2524" t="s">
        <v>7341</v>
      </c>
      <c r="H2524" t="s">
        <v>7859</v>
      </c>
      <c r="I2524" t="s">
        <v>7862</v>
      </c>
    </row>
    <row r="2525" spans="1:9">
      <c r="A2525" t="str">
        <f>"0150104 "</f>
        <v xml:space="preserve">0150104 </v>
      </c>
      <c r="B2525" t="s">
        <v>7341</v>
      </c>
      <c r="C2525" t="s">
        <v>7863</v>
      </c>
      <c r="D2525" t="s">
        <v>7864</v>
      </c>
      <c r="E2525">
        <v>1</v>
      </c>
      <c r="F2525" t="s">
        <v>7865</v>
      </c>
      <c r="G2525" t="s">
        <v>7341</v>
      </c>
      <c r="H2525" t="s">
        <v>7863</v>
      </c>
      <c r="I2525" t="s">
        <v>7866</v>
      </c>
    </row>
    <row r="2526" spans="1:9">
      <c r="A2526" t="str">
        <f>"0150108 "</f>
        <v xml:space="preserve">0150108 </v>
      </c>
      <c r="B2526" t="s">
        <v>7341</v>
      </c>
      <c r="C2526" t="s">
        <v>7867</v>
      </c>
      <c r="D2526" t="s">
        <v>7868</v>
      </c>
      <c r="E2526">
        <v>1</v>
      </c>
      <c r="F2526" t="s">
        <v>7869</v>
      </c>
      <c r="G2526" t="s">
        <v>7341</v>
      </c>
      <c r="H2526" t="s">
        <v>7867</v>
      </c>
      <c r="I2526" t="s">
        <v>7870</v>
      </c>
    </row>
    <row r="2527" spans="1:9">
      <c r="A2527" t="str">
        <f>"0150119 "</f>
        <v xml:space="preserve">0150119 </v>
      </c>
      <c r="B2527" t="s">
        <v>7341</v>
      </c>
      <c r="C2527" t="s">
        <v>7871</v>
      </c>
      <c r="D2527" t="s">
        <v>7872</v>
      </c>
      <c r="E2527">
        <v>1</v>
      </c>
      <c r="F2527" t="s">
        <v>7873</v>
      </c>
      <c r="G2527" t="s">
        <v>7341</v>
      </c>
      <c r="H2527" t="s">
        <v>7871</v>
      </c>
      <c r="I2527" t="s">
        <v>7874</v>
      </c>
    </row>
    <row r="2528" spans="1:9">
      <c r="A2528" t="str">
        <f>"0150191 "</f>
        <v xml:space="preserve">0150191 </v>
      </c>
      <c r="B2528" t="s">
        <v>7341</v>
      </c>
      <c r="C2528" t="s">
        <v>7875</v>
      </c>
      <c r="D2528" t="s">
        <v>7876</v>
      </c>
      <c r="E2528">
        <v>1</v>
      </c>
      <c r="F2528" t="s">
        <v>7877</v>
      </c>
      <c r="G2528" t="s">
        <v>7341</v>
      </c>
      <c r="H2528" t="s">
        <v>7875</v>
      </c>
      <c r="I2528" t="s">
        <v>7878</v>
      </c>
    </row>
    <row r="2529" spans="1:9">
      <c r="A2529" t="str">
        <f>"0150205 "</f>
        <v xml:space="preserve">0150205 </v>
      </c>
      <c r="B2529" t="s">
        <v>7341</v>
      </c>
      <c r="C2529" t="s">
        <v>7879</v>
      </c>
      <c r="D2529" t="s">
        <v>7880</v>
      </c>
      <c r="E2529">
        <v>1</v>
      </c>
      <c r="F2529" t="s">
        <v>7881</v>
      </c>
      <c r="G2529" t="s">
        <v>7341</v>
      </c>
      <c r="H2529" t="s">
        <v>7879</v>
      </c>
      <c r="I2529" t="s">
        <v>7882</v>
      </c>
    </row>
    <row r="2530" spans="1:9">
      <c r="A2530" t="str">
        <f>"0150222 "</f>
        <v xml:space="preserve">0150222 </v>
      </c>
      <c r="B2530" t="s">
        <v>7341</v>
      </c>
      <c r="C2530" t="s">
        <v>7883</v>
      </c>
      <c r="D2530" t="s">
        <v>7884</v>
      </c>
      <c r="E2530">
        <v>1</v>
      </c>
      <c r="F2530" t="s">
        <v>7885</v>
      </c>
      <c r="G2530" t="s">
        <v>7341</v>
      </c>
      <c r="H2530" t="s">
        <v>7883</v>
      </c>
      <c r="I2530" t="s">
        <v>7886</v>
      </c>
    </row>
    <row r="2531" spans="1:9">
      <c r="A2531" t="str">
        <f>"0150255 "</f>
        <v xml:space="preserve">0150255 </v>
      </c>
      <c r="B2531" t="s">
        <v>7341</v>
      </c>
      <c r="C2531" t="s">
        <v>7887</v>
      </c>
      <c r="D2531" t="s">
        <v>7888</v>
      </c>
      <c r="E2531">
        <v>1</v>
      </c>
      <c r="F2531" t="s">
        <v>7889</v>
      </c>
      <c r="G2531" t="s">
        <v>7341</v>
      </c>
      <c r="H2531" t="s">
        <v>7887</v>
      </c>
      <c r="I2531" t="s">
        <v>7890</v>
      </c>
    </row>
    <row r="2532" spans="1:9">
      <c r="A2532" t="str">
        <f>"0151044 "</f>
        <v xml:space="preserve">0151044 </v>
      </c>
      <c r="B2532" t="s">
        <v>7341</v>
      </c>
      <c r="C2532" t="s">
        <v>7891</v>
      </c>
      <c r="D2532" t="s">
        <v>7892</v>
      </c>
      <c r="E2532">
        <v>2</v>
      </c>
      <c r="F2532" t="s">
        <v>7893</v>
      </c>
      <c r="G2532" t="s">
        <v>7341</v>
      </c>
      <c r="H2532" t="s">
        <v>7891</v>
      </c>
      <c r="I2532" t="s">
        <v>7894</v>
      </c>
    </row>
    <row r="2533" spans="1:9">
      <c r="A2533" t="str">
        <f>"0148977 "</f>
        <v xml:space="preserve">0148977 </v>
      </c>
      <c r="B2533" t="s">
        <v>7341</v>
      </c>
      <c r="C2533" t="s">
        <v>7895</v>
      </c>
      <c r="D2533" t="s">
        <v>7896</v>
      </c>
      <c r="E2533">
        <v>2</v>
      </c>
      <c r="F2533" t="s">
        <v>7897</v>
      </c>
      <c r="G2533" t="s">
        <v>7341</v>
      </c>
      <c r="H2533" t="s">
        <v>7895</v>
      </c>
      <c r="I2533" t="s">
        <v>7898</v>
      </c>
    </row>
    <row r="2534" spans="1:9">
      <c r="A2534" t="str">
        <f>"0148979 "</f>
        <v xml:space="preserve">0148979 </v>
      </c>
      <c r="B2534" t="s">
        <v>7341</v>
      </c>
      <c r="C2534" t="s">
        <v>7899</v>
      </c>
      <c r="D2534" t="s">
        <v>7900</v>
      </c>
      <c r="E2534">
        <v>2</v>
      </c>
      <c r="F2534" t="s">
        <v>7901</v>
      </c>
      <c r="G2534" t="s">
        <v>7341</v>
      </c>
      <c r="H2534" t="s">
        <v>7899</v>
      </c>
      <c r="I2534" t="s">
        <v>7902</v>
      </c>
    </row>
    <row r="2535" spans="1:9">
      <c r="A2535" t="str">
        <f>"0148996 "</f>
        <v xml:space="preserve">0148996 </v>
      </c>
      <c r="B2535" t="s">
        <v>7341</v>
      </c>
      <c r="C2535" t="s">
        <v>7903</v>
      </c>
      <c r="D2535" t="s">
        <v>7904</v>
      </c>
      <c r="E2535">
        <v>1</v>
      </c>
      <c r="F2535" t="s">
        <v>4134</v>
      </c>
      <c r="G2535" t="s">
        <v>7341</v>
      </c>
      <c r="H2535" t="s">
        <v>7903</v>
      </c>
      <c r="I2535" t="s">
        <v>7905</v>
      </c>
    </row>
    <row r="2536" spans="1:9">
      <c r="A2536" t="str">
        <f>"0149028 "</f>
        <v xml:space="preserve">0149028 </v>
      </c>
      <c r="B2536" t="s">
        <v>7341</v>
      </c>
      <c r="C2536" t="s">
        <v>7906</v>
      </c>
      <c r="D2536" t="s">
        <v>7907</v>
      </c>
      <c r="E2536">
        <v>1</v>
      </c>
      <c r="F2536" t="s">
        <v>7908</v>
      </c>
      <c r="G2536" t="s">
        <v>7341</v>
      </c>
      <c r="H2536" t="s">
        <v>7906</v>
      </c>
      <c r="I2536" t="s">
        <v>7909</v>
      </c>
    </row>
    <row r="2537" spans="1:9">
      <c r="A2537" t="str">
        <f>"0149047 "</f>
        <v xml:space="preserve">0149047 </v>
      </c>
      <c r="B2537" t="s">
        <v>7341</v>
      </c>
      <c r="C2537" t="s">
        <v>7910</v>
      </c>
      <c r="D2537" t="s">
        <v>7911</v>
      </c>
      <c r="E2537">
        <v>1</v>
      </c>
      <c r="F2537" t="s">
        <v>7912</v>
      </c>
      <c r="G2537" t="s">
        <v>7341</v>
      </c>
      <c r="H2537" t="s">
        <v>7910</v>
      </c>
      <c r="I2537" t="s">
        <v>7913</v>
      </c>
    </row>
    <row r="2538" spans="1:9">
      <c r="A2538" t="str">
        <f>"0149061 "</f>
        <v xml:space="preserve">0149061 </v>
      </c>
      <c r="B2538" t="s">
        <v>7341</v>
      </c>
      <c r="C2538" t="s">
        <v>7914</v>
      </c>
      <c r="D2538" t="s">
        <v>7915</v>
      </c>
      <c r="E2538">
        <v>2</v>
      </c>
      <c r="F2538" t="s">
        <v>7916</v>
      </c>
      <c r="G2538" t="s">
        <v>7341</v>
      </c>
      <c r="H2538" t="s">
        <v>7914</v>
      </c>
      <c r="I2538" t="s">
        <v>7917</v>
      </c>
    </row>
    <row r="2539" spans="1:9">
      <c r="A2539" t="str">
        <f>"0149064 "</f>
        <v xml:space="preserve">0149064 </v>
      </c>
      <c r="B2539" t="s">
        <v>7341</v>
      </c>
      <c r="C2539" t="s">
        <v>7918</v>
      </c>
      <c r="D2539" t="s">
        <v>7919</v>
      </c>
      <c r="E2539">
        <v>1</v>
      </c>
      <c r="F2539" t="s">
        <v>7623</v>
      </c>
      <c r="G2539" t="s">
        <v>7341</v>
      </c>
      <c r="H2539" t="s">
        <v>7918</v>
      </c>
      <c r="I2539" t="s">
        <v>7920</v>
      </c>
    </row>
    <row r="2540" spans="1:9">
      <c r="A2540" t="str">
        <f>"0149075 "</f>
        <v xml:space="preserve">0149075 </v>
      </c>
      <c r="B2540" t="s">
        <v>7341</v>
      </c>
      <c r="C2540" t="s">
        <v>7921</v>
      </c>
      <c r="D2540" t="s">
        <v>7922</v>
      </c>
      <c r="E2540">
        <v>1</v>
      </c>
      <c r="F2540" t="s">
        <v>7923</v>
      </c>
      <c r="G2540" t="s">
        <v>7341</v>
      </c>
      <c r="H2540" t="s">
        <v>7921</v>
      </c>
      <c r="I2540" t="s">
        <v>7924</v>
      </c>
    </row>
    <row r="2541" spans="1:9">
      <c r="A2541" t="str">
        <f>"0156161 "</f>
        <v xml:space="preserve">0156161 </v>
      </c>
      <c r="B2541" t="s">
        <v>7341</v>
      </c>
      <c r="C2541" t="s">
        <v>7925</v>
      </c>
      <c r="D2541" t="s">
        <v>7926</v>
      </c>
      <c r="E2541">
        <v>1</v>
      </c>
      <c r="F2541" t="s">
        <v>7927</v>
      </c>
      <c r="G2541" t="s">
        <v>7341</v>
      </c>
      <c r="H2541" t="s">
        <v>7925</v>
      </c>
      <c r="I2541" t="s">
        <v>7928</v>
      </c>
    </row>
    <row r="2542" spans="1:9">
      <c r="A2542" t="str">
        <f>"0156122 "</f>
        <v xml:space="preserve">0156122 </v>
      </c>
      <c r="B2542" t="s">
        <v>7341</v>
      </c>
      <c r="C2542" t="s">
        <v>7929</v>
      </c>
      <c r="D2542" t="s">
        <v>7930</v>
      </c>
      <c r="E2542">
        <v>1</v>
      </c>
      <c r="F2542" t="s">
        <v>7931</v>
      </c>
      <c r="G2542" t="s">
        <v>7341</v>
      </c>
      <c r="H2542" t="s">
        <v>7929</v>
      </c>
      <c r="I2542" t="s">
        <v>7932</v>
      </c>
    </row>
    <row r="2543" spans="1:9">
      <c r="A2543" t="str">
        <f>"0158795 "</f>
        <v xml:space="preserve">0158795 </v>
      </c>
      <c r="B2543" t="s">
        <v>7341</v>
      </c>
      <c r="C2543" t="s">
        <v>7933</v>
      </c>
      <c r="D2543" t="s">
        <v>7934</v>
      </c>
      <c r="E2543">
        <v>1</v>
      </c>
      <c r="F2543" t="s">
        <v>3606</v>
      </c>
      <c r="G2543" t="s">
        <v>7341</v>
      </c>
      <c r="H2543" t="s">
        <v>7933</v>
      </c>
      <c r="I2543" t="s">
        <v>7935</v>
      </c>
    </row>
    <row r="2544" spans="1:9">
      <c r="A2544" t="str">
        <f>"0148830 "</f>
        <v xml:space="preserve">0148830 </v>
      </c>
      <c r="B2544" t="s">
        <v>7341</v>
      </c>
      <c r="C2544" t="s">
        <v>7936</v>
      </c>
      <c r="D2544" t="s">
        <v>7937</v>
      </c>
      <c r="E2544">
        <v>2</v>
      </c>
      <c r="F2544" t="s">
        <v>3776</v>
      </c>
      <c r="G2544" t="s">
        <v>7341</v>
      </c>
      <c r="H2544" t="s">
        <v>7936</v>
      </c>
      <c r="I2544" t="s">
        <v>7938</v>
      </c>
    </row>
    <row r="2545" spans="1:9">
      <c r="A2545" t="str">
        <f>"0149181 "</f>
        <v xml:space="preserve">0149181 </v>
      </c>
      <c r="B2545" t="s">
        <v>7341</v>
      </c>
      <c r="C2545" t="s">
        <v>7939</v>
      </c>
      <c r="D2545" t="s">
        <v>7940</v>
      </c>
      <c r="E2545">
        <v>1</v>
      </c>
      <c r="F2545" t="s">
        <v>7941</v>
      </c>
      <c r="G2545" t="s">
        <v>7341</v>
      </c>
      <c r="H2545" t="s">
        <v>7939</v>
      </c>
      <c r="I2545" t="s">
        <v>7942</v>
      </c>
    </row>
    <row r="2546" spans="1:9">
      <c r="A2546" t="str">
        <f>"0149182 "</f>
        <v xml:space="preserve">0149182 </v>
      </c>
      <c r="B2546" t="s">
        <v>7341</v>
      </c>
      <c r="C2546" t="s">
        <v>7943</v>
      </c>
      <c r="D2546" t="s">
        <v>7944</v>
      </c>
      <c r="E2546">
        <v>1</v>
      </c>
      <c r="F2546" t="s">
        <v>7945</v>
      </c>
      <c r="G2546" t="s">
        <v>7341</v>
      </c>
      <c r="H2546" t="s">
        <v>7943</v>
      </c>
      <c r="I2546" t="s">
        <v>7946</v>
      </c>
    </row>
    <row r="2547" spans="1:9">
      <c r="A2547" t="str">
        <f>"0149191 "</f>
        <v xml:space="preserve">0149191 </v>
      </c>
      <c r="B2547" t="s">
        <v>7341</v>
      </c>
      <c r="C2547" t="s">
        <v>7947</v>
      </c>
      <c r="D2547" t="s">
        <v>7948</v>
      </c>
      <c r="E2547">
        <v>1</v>
      </c>
      <c r="F2547" t="s">
        <v>7949</v>
      </c>
      <c r="G2547" t="s">
        <v>7341</v>
      </c>
      <c r="H2547" t="s">
        <v>7947</v>
      </c>
      <c r="I2547" t="s">
        <v>7950</v>
      </c>
    </row>
    <row r="2548" spans="1:9">
      <c r="A2548" t="str">
        <f>"0149230 "</f>
        <v xml:space="preserve">0149230 </v>
      </c>
      <c r="B2548" t="s">
        <v>7341</v>
      </c>
      <c r="C2548" t="s">
        <v>7951</v>
      </c>
      <c r="D2548" t="s">
        <v>7952</v>
      </c>
      <c r="E2548">
        <v>2</v>
      </c>
      <c r="F2548" t="s">
        <v>7953</v>
      </c>
      <c r="G2548" t="s">
        <v>7341</v>
      </c>
      <c r="H2548" t="s">
        <v>7951</v>
      </c>
      <c r="I2548" t="s">
        <v>7924</v>
      </c>
    </row>
    <row r="2549" spans="1:9">
      <c r="A2549" t="str">
        <f>"0149243 "</f>
        <v xml:space="preserve">0149243 </v>
      </c>
      <c r="B2549" t="s">
        <v>7341</v>
      </c>
      <c r="C2549" t="s">
        <v>7954</v>
      </c>
      <c r="D2549" t="s">
        <v>7955</v>
      </c>
      <c r="E2549">
        <v>3</v>
      </c>
      <c r="F2549" t="s">
        <v>7956</v>
      </c>
      <c r="G2549" t="s">
        <v>7341</v>
      </c>
      <c r="H2549" t="s">
        <v>7954</v>
      </c>
      <c r="I2549" t="s">
        <v>7957</v>
      </c>
    </row>
    <row r="2550" spans="1:9">
      <c r="A2550" t="str">
        <f>"0149268 "</f>
        <v xml:space="preserve">0149268 </v>
      </c>
      <c r="B2550" t="s">
        <v>7341</v>
      </c>
      <c r="C2550" t="s">
        <v>7958</v>
      </c>
      <c r="D2550" t="s">
        <v>7959</v>
      </c>
      <c r="E2550">
        <v>2</v>
      </c>
      <c r="F2550" t="s">
        <v>7960</v>
      </c>
      <c r="G2550" t="s">
        <v>7341</v>
      </c>
      <c r="H2550" t="s">
        <v>7958</v>
      </c>
      <c r="I2550" t="s">
        <v>7961</v>
      </c>
    </row>
    <row r="2551" spans="1:9">
      <c r="A2551" t="str">
        <f>"0149280 "</f>
        <v xml:space="preserve">0149280 </v>
      </c>
      <c r="B2551" t="s">
        <v>7341</v>
      </c>
      <c r="C2551" t="s">
        <v>7962</v>
      </c>
      <c r="D2551" t="s">
        <v>7963</v>
      </c>
      <c r="E2551">
        <v>1</v>
      </c>
      <c r="F2551" t="s">
        <v>7964</v>
      </c>
      <c r="G2551" t="s">
        <v>7341</v>
      </c>
      <c r="H2551" t="s">
        <v>7962</v>
      </c>
      <c r="I2551" t="s">
        <v>7965</v>
      </c>
    </row>
    <row r="2552" spans="1:9">
      <c r="A2552" t="str">
        <f>"0149281 "</f>
        <v xml:space="preserve">0149281 </v>
      </c>
      <c r="B2552" t="s">
        <v>7341</v>
      </c>
      <c r="C2552" t="s">
        <v>7966</v>
      </c>
      <c r="D2552" t="s">
        <v>7967</v>
      </c>
      <c r="E2552">
        <v>3</v>
      </c>
      <c r="F2552" t="s">
        <v>7968</v>
      </c>
      <c r="G2552" t="s">
        <v>7341</v>
      </c>
      <c r="H2552" t="s">
        <v>7966</v>
      </c>
      <c r="I2552" t="s">
        <v>7969</v>
      </c>
    </row>
    <row r="2553" spans="1:9">
      <c r="A2553" t="str">
        <f>"0149284 "</f>
        <v xml:space="preserve">0149284 </v>
      </c>
      <c r="B2553" t="s">
        <v>7341</v>
      </c>
      <c r="C2553" t="s">
        <v>7970</v>
      </c>
      <c r="D2553" t="s">
        <v>7971</v>
      </c>
      <c r="E2553">
        <v>2</v>
      </c>
      <c r="F2553" t="s">
        <v>7972</v>
      </c>
      <c r="G2553" t="s">
        <v>7341</v>
      </c>
      <c r="H2553" t="s">
        <v>7970</v>
      </c>
      <c r="I2553" t="s">
        <v>7973</v>
      </c>
    </row>
    <row r="2554" spans="1:9">
      <c r="A2554" t="str">
        <f>"0149289 "</f>
        <v xml:space="preserve">0149289 </v>
      </c>
      <c r="B2554" t="s">
        <v>7341</v>
      </c>
      <c r="C2554" t="s">
        <v>7974</v>
      </c>
      <c r="D2554" t="s">
        <v>7975</v>
      </c>
      <c r="E2554">
        <v>1</v>
      </c>
      <c r="F2554" t="s">
        <v>7976</v>
      </c>
      <c r="G2554" t="s">
        <v>7341</v>
      </c>
      <c r="H2554" t="s">
        <v>7974</v>
      </c>
      <c r="I2554" t="s">
        <v>7977</v>
      </c>
    </row>
    <row r="2555" spans="1:9">
      <c r="A2555" t="str">
        <f>"0149298 "</f>
        <v xml:space="preserve">0149298 </v>
      </c>
      <c r="B2555" t="s">
        <v>7341</v>
      </c>
      <c r="C2555" t="s">
        <v>7978</v>
      </c>
      <c r="D2555" t="s">
        <v>7979</v>
      </c>
      <c r="E2555">
        <v>2</v>
      </c>
      <c r="F2555" t="s">
        <v>7980</v>
      </c>
      <c r="G2555" t="s">
        <v>7341</v>
      </c>
      <c r="H2555" t="s">
        <v>7978</v>
      </c>
      <c r="I2555" t="s">
        <v>7981</v>
      </c>
    </row>
    <row r="2556" spans="1:9">
      <c r="A2556" t="str">
        <f>"0149299 "</f>
        <v xml:space="preserve">0149299 </v>
      </c>
      <c r="B2556" t="s">
        <v>7341</v>
      </c>
      <c r="C2556" t="s">
        <v>7982</v>
      </c>
      <c r="D2556" t="s">
        <v>7983</v>
      </c>
      <c r="E2556">
        <v>1</v>
      </c>
      <c r="F2556" t="s">
        <v>7984</v>
      </c>
      <c r="G2556" t="s">
        <v>7341</v>
      </c>
      <c r="H2556" t="s">
        <v>7982</v>
      </c>
      <c r="I2556" t="s">
        <v>7985</v>
      </c>
    </row>
    <row r="2557" spans="1:9">
      <c r="A2557" t="str">
        <f>"0149301 "</f>
        <v xml:space="preserve">0149301 </v>
      </c>
      <c r="B2557" t="s">
        <v>7341</v>
      </c>
      <c r="C2557" t="s">
        <v>7986</v>
      </c>
      <c r="D2557" t="s">
        <v>7987</v>
      </c>
      <c r="E2557">
        <v>1</v>
      </c>
      <c r="F2557" t="s">
        <v>7988</v>
      </c>
      <c r="G2557" t="s">
        <v>7341</v>
      </c>
      <c r="H2557" t="s">
        <v>7986</v>
      </c>
      <c r="I2557" t="s">
        <v>7989</v>
      </c>
    </row>
    <row r="2558" spans="1:9">
      <c r="A2558" t="str">
        <f>"0149306 "</f>
        <v xml:space="preserve">0149306 </v>
      </c>
      <c r="B2558" t="s">
        <v>7341</v>
      </c>
      <c r="C2558" t="s">
        <v>7990</v>
      </c>
      <c r="D2558" t="s">
        <v>7991</v>
      </c>
      <c r="E2558">
        <v>1</v>
      </c>
      <c r="F2558" t="s">
        <v>7992</v>
      </c>
      <c r="G2558" t="s">
        <v>7341</v>
      </c>
      <c r="H2558" t="s">
        <v>7990</v>
      </c>
      <c r="I2558" t="s">
        <v>7993</v>
      </c>
    </row>
    <row r="2559" spans="1:9">
      <c r="A2559" t="str">
        <f>"0149322 "</f>
        <v xml:space="preserve">0149322 </v>
      </c>
      <c r="B2559" t="s">
        <v>7341</v>
      </c>
      <c r="C2559" t="s">
        <v>7994</v>
      </c>
      <c r="D2559" t="s">
        <v>7995</v>
      </c>
      <c r="E2559">
        <v>1</v>
      </c>
      <c r="F2559" t="s">
        <v>7996</v>
      </c>
      <c r="G2559" t="s">
        <v>7341</v>
      </c>
      <c r="H2559" t="s">
        <v>7994</v>
      </c>
      <c r="I2559" t="s">
        <v>7997</v>
      </c>
    </row>
    <row r="2560" spans="1:9">
      <c r="A2560" t="str">
        <f>"0149385 "</f>
        <v xml:space="preserve">0149385 </v>
      </c>
      <c r="B2560" t="s">
        <v>7341</v>
      </c>
      <c r="C2560" t="s">
        <v>7998</v>
      </c>
      <c r="D2560" t="s">
        <v>7999</v>
      </c>
      <c r="E2560">
        <v>1</v>
      </c>
      <c r="F2560" t="s">
        <v>8000</v>
      </c>
      <c r="G2560" t="s">
        <v>7341</v>
      </c>
      <c r="H2560" t="s">
        <v>7998</v>
      </c>
      <c r="I2560" t="s">
        <v>8001</v>
      </c>
    </row>
    <row r="2561" spans="1:9">
      <c r="A2561" t="str">
        <f>"0149399 "</f>
        <v xml:space="preserve">0149399 </v>
      </c>
      <c r="B2561" t="s">
        <v>7341</v>
      </c>
      <c r="C2561" t="s">
        <v>8002</v>
      </c>
      <c r="D2561" t="s">
        <v>8003</v>
      </c>
      <c r="E2561">
        <v>2</v>
      </c>
      <c r="F2561" t="s">
        <v>8004</v>
      </c>
      <c r="G2561" t="s">
        <v>7341</v>
      </c>
      <c r="H2561" t="s">
        <v>8002</v>
      </c>
      <c r="I2561" t="s">
        <v>8005</v>
      </c>
    </row>
    <row r="2562" spans="1:9">
      <c r="A2562" t="str">
        <f>"0149431 "</f>
        <v xml:space="preserve">0149431 </v>
      </c>
      <c r="B2562" t="s">
        <v>7341</v>
      </c>
      <c r="C2562" t="s">
        <v>8006</v>
      </c>
      <c r="D2562" t="s">
        <v>8007</v>
      </c>
      <c r="E2562">
        <v>1</v>
      </c>
      <c r="F2562" t="s">
        <v>8008</v>
      </c>
      <c r="G2562" t="s">
        <v>7341</v>
      </c>
      <c r="H2562" t="s">
        <v>8006</v>
      </c>
      <c r="I2562" t="s">
        <v>8009</v>
      </c>
    </row>
    <row r="2563" spans="1:9">
      <c r="A2563" t="str">
        <f>"0149437 "</f>
        <v xml:space="preserve">0149437 </v>
      </c>
      <c r="B2563" t="s">
        <v>7341</v>
      </c>
      <c r="C2563" t="s">
        <v>8010</v>
      </c>
      <c r="D2563" t="s">
        <v>8011</v>
      </c>
      <c r="E2563">
        <v>1</v>
      </c>
      <c r="F2563" t="s">
        <v>8012</v>
      </c>
      <c r="G2563" t="s">
        <v>7341</v>
      </c>
      <c r="H2563" t="s">
        <v>8010</v>
      </c>
      <c r="I2563" t="s">
        <v>8013</v>
      </c>
    </row>
    <row r="2564" spans="1:9">
      <c r="A2564" t="str">
        <f>"0148636 "</f>
        <v xml:space="preserve">0148636 </v>
      </c>
      <c r="B2564" t="s">
        <v>7341</v>
      </c>
      <c r="C2564" t="s">
        <v>8014</v>
      </c>
      <c r="D2564" t="s">
        <v>8015</v>
      </c>
      <c r="E2564">
        <v>1</v>
      </c>
      <c r="F2564" t="s">
        <v>8016</v>
      </c>
      <c r="G2564" t="s">
        <v>7341</v>
      </c>
      <c r="H2564" t="s">
        <v>8014</v>
      </c>
      <c r="I2564" t="s">
        <v>8017</v>
      </c>
    </row>
    <row r="2565" spans="1:9">
      <c r="A2565" t="str">
        <f>"0154010 "</f>
        <v xml:space="preserve">0154010 </v>
      </c>
      <c r="B2565" t="s">
        <v>7341</v>
      </c>
      <c r="C2565" t="s">
        <v>8018</v>
      </c>
      <c r="D2565" t="s">
        <v>8019</v>
      </c>
      <c r="E2565">
        <v>2</v>
      </c>
      <c r="F2565" t="s">
        <v>8020</v>
      </c>
      <c r="G2565" t="s">
        <v>7341</v>
      </c>
      <c r="H2565" t="s">
        <v>8018</v>
      </c>
      <c r="I2565" t="s">
        <v>8021</v>
      </c>
    </row>
    <row r="2566" spans="1:9">
      <c r="A2566" t="str">
        <f>"0148639 "</f>
        <v xml:space="preserve">0148639 </v>
      </c>
      <c r="B2566" t="s">
        <v>7341</v>
      </c>
      <c r="C2566" t="s">
        <v>8022</v>
      </c>
      <c r="D2566" t="s">
        <v>8023</v>
      </c>
      <c r="E2566">
        <v>2</v>
      </c>
      <c r="F2566" t="s">
        <v>8024</v>
      </c>
      <c r="G2566" t="s">
        <v>7341</v>
      </c>
      <c r="H2566" t="s">
        <v>8022</v>
      </c>
      <c r="I2566" t="s">
        <v>8025</v>
      </c>
    </row>
    <row r="2567" spans="1:9">
      <c r="A2567" t="str">
        <f>"0154011 "</f>
        <v xml:space="preserve">0154011 </v>
      </c>
      <c r="B2567" t="s">
        <v>7341</v>
      </c>
      <c r="C2567" t="s">
        <v>8026</v>
      </c>
      <c r="D2567" t="s">
        <v>8027</v>
      </c>
      <c r="E2567">
        <v>1</v>
      </c>
      <c r="F2567" t="s">
        <v>8028</v>
      </c>
      <c r="G2567" t="s">
        <v>7341</v>
      </c>
      <c r="H2567" t="s">
        <v>8026</v>
      </c>
      <c r="I2567" t="s">
        <v>4222</v>
      </c>
    </row>
    <row r="2568" spans="1:9">
      <c r="A2568" t="str">
        <f>"0156132 "</f>
        <v xml:space="preserve">0156132 </v>
      </c>
      <c r="B2568" t="s">
        <v>7341</v>
      </c>
      <c r="C2568" t="s">
        <v>8029</v>
      </c>
      <c r="D2568" t="s">
        <v>8030</v>
      </c>
      <c r="E2568">
        <v>1</v>
      </c>
      <c r="F2568" t="s">
        <v>8031</v>
      </c>
      <c r="G2568" t="s">
        <v>7341</v>
      </c>
      <c r="H2568" t="s">
        <v>8029</v>
      </c>
      <c r="I2568" t="s">
        <v>8032</v>
      </c>
    </row>
    <row r="2569" spans="1:9">
      <c r="A2569" t="str">
        <f>"0148674 "</f>
        <v xml:space="preserve">0148674 </v>
      </c>
      <c r="B2569" t="s">
        <v>7341</v>
      </c>
      <c r="C2569" t="s">
        <v>8033</v>
      </c>
      <c r="D2569" t="s">
        <v>8034</v>
      </c>
      <c r="E2569">
        <v>1</v>
      </c>
      <c r="F2569" t="s">
        <v>8035</v>
      </c>
      <c r="G2569" t="s">
        <v>7341</v>
      </c>
      <c r="H2569" t="s">
        <v>8033</v>
      </c>
      <c r="I2569" t="s">
        <v>8036</v>
      </c>
    </row>
    <row r="2570" spans="1:9">
      <c r="A2570" t="str">
        <f>"0148630 "</f>
        <v xml:space="preserve">0148630 </v>
      </c>
      <c r="B2570" t="s">
        <v>7341</v>
      </c>
      <c r="C2570" t="s">
        <v>8037</v>
      </c>
      <c r="D2570" t="s">
        <v>8038</v>
      </c>
      <c r="E2570">
        <v>3</v>
      </c>
      <c r="F2570" t="s">
        <v>8039</v>
      </c>
      <c r="G2570" t="s">
        <v>7341</v>
      </c>
      <c r="H2570" t="s">
        <v>8037</v>
      </c>
      <c r="I2570" t="s">
        <v>8040</v>
      </c>
    </row>
    <row r="2571" spans="1:9">
      <c r="A2571" t="str">
        <f>"0148631 "</f>
        <v xml:space="preserve">0148631 </v>
      </c>
      <c r="B2571" t="s">
        <v>7341</v>
      </c>
      <c r="C2571" t="s">
        <v>8041</v>
      </c>
      <c r="D2571" t="s">
        <v>8042</v>
      </c>
      <c r="E2571">
        <v>1</v>
      </c>
      <c r="F2571" t="s">
        <v>2388</v>
      </c>
      <c r="G2571" t="s">
        <v>7341</v>
      </c>
      <c r="H2571" t="s">
        <v>8041</v>
      </c>
      <c r="I2571" t="s">
        <v>8043</v>
      </c>
    </row>
    <row r="2572" spans="1:9">
      <c r="A2572" t="str">
        <f>"0148645 "</f>
        <v xml:space="preserve">0148645 </v>
      </c>
      <c r="B2572" t="s">
        <v>7341</v>
      </c>
      <c r="C2572" t="s">
        <v>8044</v>
      </c>
      <c r="D2572" t="s">
        <v>8045</v>
      </c>
      <c r="E2572">
        <v>1</v>
      </c>
      <c r="F2572" t="s">
        <v>8046</v>
      </c>
      <c r="G2572" t="s">
        <v>7341</v>
      </c>
      <c r="H2572" t="s">
        <v>8044</v>
      </c>
      <c r="I2572" t="s">
        <v>8047</v>
      </c>
    </row>
    <row r="2573" spans="1:9">
      <c r="A2573" t="str">
        <f>"0231352 "</f>
        <v xml:space="preserve">0231352 </v>
      </c>
      <c r="B2573" t="s">
        <v>7341</v>
      </c>
      <c r="C2573" t="s">
        <v>8048</v>
      </c>
      <c r="D2573" t="s">
        <v>8049</v>
      </c>
      <c r="E2573">
        <v>1</v>
      </c>
      <c r="F2573" t="s">
        <v>8050</v>
      </c>
      <c r="G2573" t="s">
        <v>7341</v>
      </c>
      <c r="H2573" t="s">
        <v>8048</v>
      </c>
      <c r="I2573" t="s">
        <v>8051</v>
      </c>
    </row>
    <row r="2574" spans="1:9">
      <c r="A2574" t="str">
        <f>"0156128 "</f>
        <v xml:space="preserve">0156128 </v>
      </c>
      <c r="B2574" t="s">
        <v>7341</v>
      </c>
      <c r="C2574" t="s">
        <v>8052</v>
      </c>
      <c r="D2574" t="s">
        <v>8053</v>
      </c>
      <c r="E2574">
        <v>2</v>
      </c>
      <c r="F2574" t="s">
        <v>8054</v>
      </c>
      <c r="G2574" t="s">
        <v>7341</v>
      </c>
      <c r="H2574" t="s">
        <v>8052</v>
      </c>
      <c r="I2574" t="s">
        <v>8055</v>
      </c>
    </row>
    <row r="2575" spans="1:9">
      <c r="A2575" t="str">
        <f>"0148668 "</f>
        <v xml:space="preserve">0148668 </v>
      </c>
      <c r="B2575" t="s">
        <v>7341</v>
      </c>
      <c r="C2575" t="s">
        <v>8056</v>
      </c>
      <c r="D2575" t="s">
        <v>8057</v>
      </c>
      <c r="E2575">
        <v>1</v>
      </c>
      <c r="F2575" t="s">
        <v>8058</v>
      </c>
      <c r="G2575" t="s">
        <v>7341</v>
      </c>
      <c r="H2575" t="s">
        <v>8056</v>
      </c>
      <c r="I2575" t="s">
        <v>8059</v>
      </c>
    </row>
    <row r="2576" spans="1:9">
      <c r="A2576" t="str">
        <f>"0148660 "</f>
        <v xml:space="preserve">0148660 </v>
      </c>
      <c r="B2576" t="s">
        <v>7341</v>
      </c>
      <c r="C2576" t="s">
        <v>8060</v>
      </c>
      <c r="D2576" t="s">
        <v>8061</v>
      </c>
      <c r="E2576">
        <v>1</v>
      </c>
      <c r="F2576" t="s">
        <v>8062</v>
      </c>
      <c r="G2576" t="s">
        <v>7341</v>
      </c>
      <c r="H2576" t="s">
        <v>8060</v>
      </c>
      <c r="I2576" t="s">
        <v>8063</v>
      </c>
    </row>
    <row r="2577" spans="1:9">
      <c r="A2577" t="str">
        <f>"0148522 "</f>
        <v xml:space="preserve">0148522 </v>
      </c>
      <c r="B2577" t="s">
        <v>7341</v>
      </c>
      <c r="C2577" t="s">
        <v>8064</v>
      </c>
      <c r="D2577" t="s">
        <v>8065</v>
      </c>
      <c r="E2577">
        <v>1</v>
      </c>
      <c r="F2577" t="s">
        <v>8066</v>
      </c>
      <c r="G2577" t="s">
        <v>7341</v>
      </c>
      <c r="H2577" t="s">
        <v>8064</v>
      </c>
      <c r="I2577" t="s">
        <v>8067</v>
      </c>
    </row>
    <row r="2578" spans="1:9">
      <c r="A2578" t="str">
        <f>"0148549 "</f>
        <v xml:space="preserve">0148549 </v>
      </c>
      <c r="B2578" t="s">
        <v>7341</v>
      </c>
      <c r="C2578" t="s">
        <v>8068</v>
      </c>
      <c r="D2578" t="s">
        <v>8069</v>
      </c>
      <c r="E2578">
        <v>1</v>
      </c>
      <c r="F2578" t="s">
        <v>8070</v>
      </c>
      <c r="G2578" t="s">
        <v>7341</v>
      </c>
      <c r="H2578" t="s">
        <v>8068</v>
      </c>
      <c r="I2578" t="s">
        <v>8071</v>
      </c>
    </row>
    <row r="2579" spans="1:9">
      <c r="A2579" t="str">
        <f>"0148552 "</f>
        <v xml:space="preserve">0148552 </v>
      </c>
      <c r="B2579" t="s">
        <v>7341</v>
      </c>
      <c r="C2579" t="s">
        <v>8072</v>
      </c>
      <c r="D2579" t="s">
        <v>8073</v>
      </c>
      <c r="E2579">
        <v>1</v>
      </c>
      <c r="F2579" t="s">
        <v>8074</v>
      </c>
      <c r="G2579" t="s">
        <v>7341</v>
      </c>
      <c r="H2579" t="s">
        <v>8072</v>
      </c>
      <c r="I2579" t="s">
        <v>8075</v>
      </c>
    </row>
    <row r="2580" spans="1:9">
      <c r="A2580" t="str">
        <f>"0148572 "</f>
        <v xml:space="preserve">0148572 </v>
      </c>
      <c r="B2580" t="s">
        <v>7341</v>
      </c>
      <c r="C2580" t="s">
        <v>8076</v>
      </c>
      <c r="D2580" t="s">
        <v>8077</v>
      </c>
      <c r="E2580">
        <v>2</v>
      </c>
      <c r="F2580" t="s">
        <v>8078</v>
      </c>
      <c r="G2580" t="s">
        <v>7341</v>
      </c>
      <c r="H2580" t="s">
        <v>8076</v>
      </c>
      <c r="I2580" t="s">
        <v>8079</v>
      </c>
    </row>
    <row r="2581" spans="1:9">
      <c r="A2581" t="str">
        <f>"0148575 "</f>
        <v xml:space="preserve">0148575 </v>
      </c>
      <c r="B2581" t="s">
        <v>7341</v>
      </c>
      <c r="C2581" t="s">
        <v>8080</v>
      </c>
      <c r="D2581" t="s">
        <v>8081</v>
      </c>
      <c r="E2581">
        <v>1</v>
      </c>
      <c r="F2581" t="s">
        <v>8082</v>
      </c>
      <c r="G2581" t="s">
        <v>7341</v>
      </c>
      <c r="H2581" t="s">
        <v>8080</v>
      </c>
      <c r="I2581" t="s">
        <v>8083</v>
      </c>
    </row>
    <row r="2582" spans="1:9">
      <c r="A2582" t="str">
        <f>"0148579 "</f>
        <v xml:space="preserve">0148579 </v>
      </c>
      <c r="B2582" t="s">
        <v>7341</v>
      </c>
      <c r="C2582" t="s">
        <v>8084</v>
      </c>
      <c r="D2582" t="s">
        <v>8085</v>
      </c>
      <c r="E2582">
        <v>2</v>
      </c>
      <c r="F2582" t="s">
        <v>8086</v>
      </c>
      <c r="G2582" t="s">
        <v>7341</v>
      </c>
      <c r="H2582" t="s">
        <v>8084</v>
      </c>
      <c r="I2582" t="s">
        <v>8087</v>
      </c>
    </row>
    <row r="2583" spans="1:9">
      <c r="A2583" t="str">
        <f>"0148580 "</f>
        <v xml:space="preserve">0148580 </v>
      </c>
      <c r="B2583" t="s">
        <v>7341</v>
      </c>
      <c r="C2583" t="s">
        <v>8088</v>
      </c>
      <c r="D2583" t="s">
        <v>8089</v>
      </c>
      <c r="E2583">
        <v>2</v>
      </c>
      <c r="F2583" t="s">
        <v>8090</v>
      </c>
      <c r="G2583" t="s">
        <v>7341</v>
      </c>
      <c r="H2583" t="s">
        <v>8088</v>
      </c>
      <c r="I2583" t="s">
        <v>8091</v>
      </c>
    </row>
    <row r="2584" spans="1:9">
      <c r="A2584" t="str">
        <f>"0148600 "</f>
        <v xml:space="preserve">0148600 </v>
      </c>
      <c r="B2584" t="s">
        <v>7341</v>
      </c>
      <c r="C2584" t="s">
        <v>8092</v>
      </c>
      <c r="D2584" t="s">
        <v>8093</v>
      </c>
      <c r="E2584">
        <v>1</v>
      </c>
      <c r="F2584" t="s">
        <v>8094</v>
      </c>
      <c r="G2584" t="s">
        <v>7341</v>
      </c>
      <c r="H2584" t="s">
        <v>8092</v>
      </c>
      <c r="I2584" t="s">
        <v>8095</v>
      </c>
    </row>
    <row r="2585" spans="1:9">
      <c r="A2585" t="str">
        <f>"0253114 "</f>
        <v xml:space="preserve">0253114 </v>
      </c>
      <c r="B2585" t="s">
        <v>8096</v>
      </c>
      <c r="C2585" t="s">
        <v>8097</v>
      </c>
      <c r="D2585" t="s">
        <v>8098</v>
      </c>
      <c r="E2585">
        <v>1</v>
      </c>
      <c r="F2585" t="s">
        <v>8099</v>
      </c>
      <c r="G2585" t="s">
        <v>8096</v>
      </c>
      <c r="H2585">
        <v>210036</v>
      </c>
      <c r="I2585" t="s">
        <v>8100</v>
      </c>
    </row>
    <row r="2586" spans="1:9">
      <c r="A2586" t="str">
        <f>"0253138 "</f>
        <v xml:space="preserve">0253138 </v>
      </c>
      <c r="B2586" t="s">
        <v>8096</v>
      </c>
      <c r="C2586" t="s">
        <v>8101</v>
      </c>
      <c r="D2586" t="s">
        <v>8102</v>
      </c>
      <c r="E2586">
        <v>1</v>
      </c>
      <c r="F2586" t="s">
        <v>8103</v>
      </c>
      <c r="G2586" t="s">
        <v>8096</v>
      </c>
      <c r="H2586">
        <v>210104</v>
      </c>
      <c r="I2586" t="s">
        <v>8104</v>
      </c>
    </row>
    <row r="2587" spans="1:9">
      <c r="A2587" t="str">
        <f>"0253179 "</f>
        <v xml:space="preserve">0253179 </v>
      </c>
      <c r="B2587" t="s">
        <v>8096</v>
      </c>
      <c r="C2587" t="s">
        <v>8105</v>
      </c>
      <c r="D2587" t="s">
        <v>8106</v>
      </c>
      <c r="E2587">
        <v>1</v>
      </c>
      <c r="F2587" t="s">
        <v>8107</v>
      </c>
      <c r="G2587" t="s">
        <v>8096</v>
      </c>
      <c r="H2587">
        <v>211012</v>
      </c>
      <c r="I2587" t="s">
        <v>8108</v>
      </c>
    </row>
    <row r="2588" spans="1:9">
      <c r="A2588" t="str">
        <f>"0253180 "</f>
        <v xml:space="preserve">0253180 </v>
      </c>
      <c r="B2588" t="s">
        <v>8096</v>
      </c>
      <c r="C2588" t="s">
        <v>8109</v>
      </c>
      <c r="D2588" t="s">
        <v>8110</v>
      </c>
      <c r="E2588">
        <v>1</v>
      </c>
      <c r="F2588" t="s">
        <v>8111</v>
      </c>
      <c r="G2588" t="s">
        <v>8096</v>
      </c>
      <c r="H2588">
        <v>211014</v>
      </c>
      <c r="I2588" t="s">
        <v>8112</v>
      </c>
    </row>
    <row r="2589" spans="1:9">
      <c r="A2589" t="str">
        <f>"0253205 "</f>
        <v xml:space="preserve">0253205 </v>
      </c>
      <c r="B2589" t="s">
        <v>8096</v>
      </c>
      <c r="C2589" t="s">
        <v>8113</v>
      </c>
      <c r="D2589" t="s">
        <v>8114</v>
      </c>
      <c r="E2589">
        <v>1</v>
      </c>
      <c r="F2589" t="s">
        <v>8115</v>
      </c>
      <c r="G2589" t="s">
        <v>8096</v>
      </c>
      <c r="H2589">
        <v>218046</v>
      </c>
      <c r="I2589" t="s">
        <v>8116</v>
      </c>
    </row>
    <row r="2590" spans="1:9">
      <c r="A2590" t="str">
        <f>"0253220 "</f>
        <v xml:space="preserve">0253220 </v>
      </c>
      <c r="B2590" t="s">
        <v>8096</v>
      </c>
      <c r="C2590" t="s">
        <v>8117</v>
      </c>
      <c r="D2590" t="s">
        <v>8118</v>
      </c>
      <c r="E2590">
        <v>1</v>
      </c>
      <c r="F2590" t="s">
        <v>8119</v>
      </c>
      <c r="G2590" t="s">
        <v>8096</v>
      </c>
      <c r="H2590">
        <v>218264</v>
      </c>
      <c r="I2590" t="s">
        <v>8120</v>
      </c>
    </row>
    <row r="2591" spans="1:9">
      <c r="A2591" t="str">
        <f>"0253221 "</f>
        <v xml:space="preserve">0253221 </v>
      </c>
      <c r="B2591" t="s">
        <v>8096</v>
      </c>
      <c r="C2591" t="s">
        <v>8121</v>
      </c>
      <c r="D2591" t="s">
        <v>8122</v>
      </c>
      <c r="E2591">
        <v>1</v>
      </c>
      <c r="F2591" t="s">
        <v>8123</v>
      </c>
      <c r="G2591" t="s">
        <v>8096</v>
      </c>
      <c r="H2591">
        <v>218271</v>
      </c>
      <c r="I2591" t="s">
        <v>8124</v>
      </c>
    </row>
    <row r="2592" spans="1:9">
      <c r="A2592" t="str">
        <f>"0253441 "</f>
        <v xml:space="preserve">0253441 </v>
      </c>
      <c r="B2592" t="s">
        <v>8096</v>
      </c>
      <c r="C2592" t="s">
        <v>8125</v>
      </c>
      <c r="D2592" t="s">
        <v>8126</v>
      </c>
      <c r="E2592">
        <v>1</v>
      </c>
      <c r="F2592" t="s">
        <v>8127</v>
      </c>
      <c r="G2592" t="s">
        <v>8096</v>
      </c>
      <c r="H2592">
        <v>250353</v>
      </c>
      <c r="I2592" t="s">
        <v>8128</v>
      </c>
    </row>
    <row r="2593" spans="1:9">
      <c r="A2593" t="str">
        <f>"0253442 "</f>
        <v xml:space="preserve">0253442 </v>
      </c>
      <c r="B2593" t="s">
        <v>8096</v>
      </c>
      <c r="C2593" t="s">
        <v>8129</v>
      </c>
      <c r="D2593" t="s">
        <v>8130</v>
      </c>
      <c r="E2593">
        <v>1</v>
      </c>
      <c r="F2593" t="s">
        <v>8131</v>
      </c>
      <c r="G2593" t="s">
        <v>8096</v>
      </c>
      <c r="H2593">
        <v>250354</v>
      </c>
      <c r="I2593" t="s">
        <v>8132</v>
      </c>
    </row>
    <row r="2594" spans="1:9">
      <c r="A2594" t="str">
        <f>"0253496 "</f>
        <v xml:space="preserve">0253496 </v>
      </c>
      <c r="B2594" t="s">
        <v>8096</v>
      </c>
      <c r="C2594" t="s">
        <v>8133</v>
      </c>
      <c r="D2594" t="s">
        <v>8134</v>
      </c>
      <c r="E2594">
        <v>1</v>
      </c>
      <c r="F2594" t="s">
        <v>8135</v>
      </c>
      <c r="G2594" t="s">
        <v>8096</v>
      </c>
      <c r="H2594">
        <v>261004</v>
      </c>
      <c r="I2594" t="s">
        <v>8136</v>
      </c>
    </row>
    <row r="2595" spans="1:9">
      <c r="A2595" t="str">
        <f>"0253504 "</f>
        <v xml:space="preserve">0253504 </v>
      </c>
      <c r="B2595" t="s">
        <v>8096</v>
      </c>
      <c r="C2595" t="s">
        <v>8137</v>
      </c>
      <c r="D2595" t="s">
        <v>8138</v>
      </c>
      <c r="E2595">
        <v>1</v>
      </c>
      <c r="F2595" t="s">
        <v>8139</v>
      </c>
      <c r="G2595" t="s">
        <v>8096</v>
      </c>
      <c r="H2595">
        <v>261045</v>
      </c>
      <c r="I2595" t="s">
        <v>8140</v>
      </c>
    </row>
    <row r="2596" spans="1:9">
      <c r="A2596" t="str">
        <f>"0253554 "</f>
        <v xml:space="preserve">0253554 </v>
      </c>
      <c r="B2596" t="s">
        <v>8096</v>
      </c>
      <c r="C2596" t="s">
        <v>8141</v>
      </c>
      <c r="D2596" t="s">
        <v>8142</v>
      </c>
      <c r="E2596">
        <v>1</v>
      </c>
      <c r="F2596" t="s">
        <v>8143</v>
      </c>
      <c r="G2596" t="s">
        <v>8096</v>
      </c>
      <c r="H2596">
        <v>299151</v>
      </c>
      <c r="I2596" t="s">
        <v>8144</v>
      </c>
    </row>
    <row r="2597" spans="1:9">
      <c r="A2597" t="str">
        <f>"0254302 "</f>
        <v xml:space="preserve">0254302 </v>
      </c>
      <c r="B2597" t="s">
        <v>8096</v>
      </c>
      <c r="C2597" t="s">
        <v>8145</v>
      </c>
      <c r="D2597" t="s">
        <v>8146</v>
      </c>
      <c r="E2597">
        <v>1</v>
      </c>
      <c r="F2597" t="s">
        <v>8147</v>
      </c>
      <c r="G2597" t="s">
        <v>8096</v>
      </c>
      <c r="H2597">
        <v>603001</v>
      </c>
      <c r="I2597" t="s">
        <v>8148</v>
      </c>
    </row>
    <row r="2598" spans="1:9">
      <c r="A2598" t="str">
        <f>"0254309 "</f>
        <v xml:space="preserve">0254309 </v>
      </c>
      <c r="B2598" t="s">
        <v>8096</v>
      </c>
      <c r="C2598" t="s">
        <v>8149</v>
      </c>
      <c r="D2598" t="s">
        <v>8150</v>
      </c>
      <c r="E2598">
        <v>1</v>
      </c>
      <c r="F2598" t="s">
        <v>8151</v>
      </c>
      <c r="G2598" t="s">
        <v>8096</v>
      </c>
      <c r="H2598">
        <v>603008</v>
      </c>
      <c r="I2598" t="s">
        <v>8152</v>
      </c>
    </row>
    <row r="2599" spans="1:9">
      <c r="A2599" t="str">
        <f>"0254311 "</f>
        <v xml:space="preserve">0254311 </v>
      </c>
      <c r="B2599" t="s">
        <v>8096</v>
      </c>
      <c r="C2599" t="s">
        <v>8153</v>
      </c>
      <c r="D2599" t="s">
        <v>8154</v>
      </c>
      <c r="E2599">
        <v>2</v>
      </c>
      <c r="F2599" t="s">
        <v>8155</v>
      </c>
      <c r="G2599" t="s">
        <v>8096</v>
      </c>
      <c r="H2599">
        <v>603011</v>
      </c>
      <c r="I2599" t="s">
        <v>8156</v>
      </c>
    </row>
    <row r="2600" spans="1:9">
      <c r="A2600" t="str">
        <f>"0254318 "</f>
        <v xml:space="preserve">0254318 </v>
      </c>
      <c r="B2600" t="s">
        <v>8096</v>
      </c>
      <c r="C2600" t="s">
        <v>8157</v>
      </c>
      <c r="D2600" t="s">
        <v>8158</v>
      </c>
      <c r="E2600">
        <v>1</v>
      </c>
      <c r="F2600" t="s">
        <v>8159</v>
      </c>
      <c r="G2600" t="s">
        <v>8096</v>
      </c>
      <c r="H2600">
        <v>612001</v>
      </c>
      <c r="I2600" t="s">
        <v>8160</v>
      </c>
    </row>
    <row r="2601" spans="1:9">
      <c r="A2601" t="str">
        <f>"0254323 "</f>
        <v xml:space="preserve">0254323 </v>
      </c>
      <c r="B2601" t="s">
        <v>8096</v>
      </c>
      <c r="C2601" t="s">
        <v>8161</v>
      </c>
      <c r="D2601" t="s">
        <v>8162</v>
      </c>
      <c r="E2601">
        <v>1</v>
      </c>
      <c r="F2601" t="s">
        <v>8163</v>
      </c>
      <c r="G2601" t="s">
        <v>8096</v>
      </c>
      <c r="H2601">
        <v>618001</v>
      </c>
      <c r="I2601" t="s">
        <v>8164</v>
      </c>
    </row>
    <row r="2602" spans="1:9">
      <c r="A2602" t="str">
        <f>"0254333 "</f>
        <v xml:space="preserve">0254333 </v>
      </c>
      <c r="B2602" t="s">
        <v>8096</v>
      </c>
      <c r="C2602" t="s">
        <v>8165</v>
      </c>
      <c r="D2602" t="s">
        <v>8166</v>
      </c>
      <c r="E2602">
        <v>1</v>
      </c>
      <c r="F2602" t="s">
        <v>8167</v>
      </c>
      <c r="G2602" t="s">
        <v>8096</v>
      </c>
      <c r="H2602">
        <v>644002</v>
      </c>
      <c r="I2602" t="s">
        <v>8168</v>
      </c>
    </row>
    <row r="2603" spans="1:9">
      <c r="A2603" t="str">
        <f>"0254335 "</f>
        <v xml:space="preserve">0254335 </v>
      </c>
      <c r="B2603" t="s">
        <v>8096</v>
      </c>
      <c r="C2603" t="s">
        <v>8169</v>
      </c>
      <c r="D2603" t="s">
        <v>8170</v>
      </c>
      <c r="E2603">
        <v>1</v>
      </c>
      <c r="F2603" t="s">
        <v>8171</v>
      </c>
      <c r="G2603" t="s">
        <v>8096</v>
      </c>
      <c r="H2603">
        <v>644004</v>
      </c>
      <c r="I2603" t="s">
        <v>8172</v>
      </c>
    </row>
    <row r="2604" spans="1:9">
      <c r="A2604" t="str">
        <f>"0254336 "</f>
        <v xml:space="preserve">0254336 </v>
      </c>
      <c r="B2604" t="s">
        <v>8096</v>
      </c>
      <c r="C2604" t="s">
        <v>8173</v>
      </c>
      <c r="D2604" t="s">
        <v>8174</v>
      </c>
      <c r="E2604">
        <v>1</v>
      </c>
      <c r="F2604" t="s">
        <v>8175</v>
      </c>
      <c r="G2604" t="s">
        <v>8096</v>
      </c>
      <c r="H2604">
        <v>644005</v>
      </c>
      <c r="I2604" t="s">
        <v>8176</v>
      </c>
    </row>
    <row r="2605" spans="1:9">
      <c r="A2605" t="str">
        <f>"0254339 "</f>
        <v xml:space="preserve">0254339 </v>
      </c>
      <c r="B2605" t="s">
        <v>8096</v>
      </c>
      <c r="C2605" t="s">
        <v>8177</v>
      </c>
      <c r="D2605" t="s">
        <v>8178</v>
      </c>
      <c r="E2605">
        <v>2</v>
      </c>
      <c r="F2605" t="s">
        <v>8179</v>
      </c>
      <c r="G2605" t="s">
        <v>8096</v>
      </c>
      <c r="H2605">
        <v>648002</v>
      </c>
      <c r="I2605" t="s">
        <v>8180</v>
      </c>
    </row>
    <row r="2606" spans="1:9">
      <c r="A2606" t="str">
        <f>"0254340 "</f>
        <v xml:space="preserve">0254340 </v>
      </c>
      <c r="B2606" t="s">
        <v>8096</v>
      </c>
      <c r="C2606" t="s">
        <v>8181</v>
      </c>
      <c r="D2606" t="s">
        <v>8182</v>
      </c>
      <c r="E2606">
        <v>1</v>
      </c>
      <c r="F2606" t="s">
        <v>8183</v>
      </c>
      <c r="G2606" t="s">
        <v>8096</v>
      </c>
      <c r="H2606">
        <v>648004</v>
      </c>
      <c r="I2606" t="s">
        <v>8184</v>
      </c>
    </row>
    <row r="2607" spans="1:9">
      <c r="A2607" t="str">
        <f>"0254345 "</f>
        <v xml:space="preserve">0254345 </v>
      </c>
      <c r="B2607" t="s">
        <v>8096</v>
      </c>
      <c r="C2607" t="s">
        <v>8185</v>
      </c>
      <c r="D2607" t="s">
        <v>8186</v>
      </c>
      <c r="E2607">
        <v>1</v>
      </c>
      <c r="F2607" t="s">
        <v>8155</v>
      </c>
      <c r="G2607" t="s">
        <v>8096</v>
      </c>
      <c r="H2607">
        <v>654003</v>
      </c>
      <c r="I2607" t="s">
        <v>8187</v>
      </c>
    </row>
    <row r="2608" spans="1:9">
      <c r="A2608" t="str">
        <f>"0254346 "</f>
        <v xml:space="preserve">0254346 </v>
      </c>
      <c r="B2608" t="s">
        <v>8096</v>
      </c>
      <c r="C2608" t="s">
        <v>8188</v>
      </c>
      <c r="D2608" t="s">
        <v>8189</v>
      </c>
      <c r="E2608">
        <v>1</v>
      </c>
      <c r="F2608" t="s">
        <v>8190</v>
      </c>
      <c r="G2608" t="s">
        <v>8096</v>
      </c>
      <c r="H2608">
        <v>654004</v>
      </c>
      <c r="I2608" t="s">
        <v>8191</v>
      </c>
    </row>
    <row r="2609" spans="1:9">
      <c r="A2609" t="str">
        <f>"0254349 "</f>
        <v xml:space="preserve">0254349 </v>
      </c>
      <c r="B2609" t="s">
        <v>8096</v>
      </c>
      <c r="C2609" t="s">
        <v>8192</v>
      </c>
      <c r="D2609" t="s">
        <v>8193</v>
      </c>
      <c r="E2609">
        <v>1</v>
      </c>
      <c r="F2609" t="s">
        <v>8194</v>
      </c>
      <c r="G2609" t="s">
        <v>8096</v>
      </c>
      <c r="H2609">
        <v>661001</v>
      </c>
      <c r="I2609" t="s">
        <v>8195</v>
      </c>
    </row>
    <row r="2610" spans="1:9">
      <c r="A2610" t="str">
        <f>"0254350 "</f>
        <v xml:space="preserve">0254350 </v>
      </c>
      <c r="B2610" t="s">
        <v>8096</v>
      </c>
      <c r="C2610" t="s">
        <v>8196</v>
      </c>
      <c r="D2610" t="s">
        <v>8197</v>
      </c>
      <c r="E2610">
        <v>2</v>
      </c>
      <c r="F2610" t="s">
        <v>8198</v>
      </c>
      <c r="G2610" t="s">
        <v>8096</v>
      </c>
      <c r="H2610">
        <v>661002</v>
      </c>
      <c r="I2610" t="s">
        <v>8199</v>
      </c>
    </row>
    <row r="2611" spans="1:9">
      <c r="A2611" t="str">
        <f>"0254351 "</f>
        <v xml:space="preserve">0254351 </v>
      </c>
      <c r="B2611" t="s">
        <v>8096</v>
      </c>
      <c r="C2611" t="s">
        <v>8200</v>
      </c>
      <c r="D2611" t="s">
        <v>8201</v>
      </c>
      <c r="E2611">
        <v>1</v>
      </c>
      <c r="F2611" t="s">
        <v>8202</v>
      </c>
      <c r="G2611" t="s">
        <v>8096</v>
      </c>
      <c r="H2611">
        <v>661003</v>
      </c>
      <c r="I2611" t="s">
        <v>8203</v>
      </c>
    </row>
    <row r="2612" spans="1:9">
      <c r="A2612" t="str">
        <f>"0254353 "</f>
        <v xml:space="preserve">0254353 </v>
      </c>
      <c r="B2612" t="s">
        <v>8096</v>
      </c>
      <c r="C2612" t="s">
        <v>8204</v>
      </c>
      <c r="D2612" t="s">
        <v>8205</v>
      </c>
      <c r="E2612">
        <v>2</v>
      </c>
      <c r="F2612" t="s">
        <v>8206</v>
      </c>
      <c r="G2612" t="s">
        <v>8096</v>
      </c>
      <c r="H2612">
        <v>661011</v>
      </c>
      <c r="I2612" t="s">
        <v>8207</v>
      </c>
    </row>
    <row r="2613" spans="1:9">
      <c r="A2613" t="str">
        <f>"0254354 "</f>
        <v xml:space="preserve">0254354 </v>
      </c>
      <c r="B2613" t="s">
        <v>8096</v>
      </c>
      <c r="C2613" t="s">
        <v>8208</v>
      </c>
      <c r="D2613" t="s">
        <v>8209</v>
      </c>
      <c r="E2613">
        <v>1</v>
      </c>
      <c r="F2613" t="s">
        <v>8210</v>
      </c>
      <c r="G2613" t="s">
        <v>8096</v>
      </c>
      <c r="H2613">
        <v>661020</v>
      </c>
      <c r="I2613" t="s">
        <v>8211</v>
      </c>
    </row>
    <row r="2614" spans="1:9">
      <c r="A2614" t="str">
        <f>"0254358 "</f>
        <v xml:space="preserve">0254358 </v>
      </c>
      <c r="B2614" t="s">
        <v>8096</v>
      </c>
      <c r="C2614" t="s">
        <v>8212</v>
      </c>
      <c r="D2614" t="s">
        <v>8213</v>
      </c>
      <c r="E2614">
        <v>2</v>
      </c>
      <c r="F2614" t="s">
        <v>8214</v>
      </c>
      <c r="G2614" t="s">
        <v>8096</v>
      </c>
      <c r="H2614">
        <v>661044</v>
      </c>
      <c r="I2614" t="s">
        <v>8215</v>
      </c>
    </row>
    <row r="2615" spans="1:9">
      <c r="A2615" t="str">
        <f>"0254360 "</f>
        <v xml:space="preserve">0254360 </v>
      </c>
      <c r="B2615" t="s">
        <v>8096</v>
      </c>
      <c r="C2615" t="s">
        <v>8216</v>
      </c>
      <c r="D2615" t="s">
        <v>8217</v>
      </c>
      <c r="E2615">
        <v>2</v>
      </c>
      <c r="F2615" t="s">
        <v>8155</v>
      </c>
      <c r="G2615" t="s">
        <v>8096</v>
      </c>
      <c r="H2615">
        <v>699025</v>
      </c>
      <c r="I2615" t="s">
        <v>8218</v>
      </c>
    </row>
    <row r="2616" spans="1:9">
      <c r="A2616" t="str">
        <f>"0254364 "</f>
        <v xml:space="preserve">0254364 </v>
      </c>
      <c r="B2616" t="s">
        <v>8096</v>
      </c>
      <c r="C2616" t="s">
        <v>8219</v>
      </c>
      <c r="D2616" t="s">
        <v>8220</v>
      </c>
      <c r="E2616">
        <v>1</v>
      </c>
      <c r="F2616" t="s">
        <v>8221</v>
      </c>
      <c r="G2616" t="s">
        <v>8096</v>
      </c>
      <c r="H2616">
        <v>699148</v>
      </c>
      <c r="I2616" t="s">
        <v>8222</v>
      </c>
    </row>
    <row r="2617" spans="1:9">
      <c r="A2617" t="str">
        <f>"0254365 "</f>
        <v xml:space="preserve">0254365 </v>
      </c>
      <c r="B2617" t="s">
        <v>8096</v>
      </c>
      <c r="C2617" t="s">
        <v>8223</v>
      </c>
      <c r="D2617" t="s">
        <v>8224</v>
      </c>
      <c r="E2617">
        <v>2</v>
      </c>
      <c r="F2617" t="s">
        <v>8225</v>
      </c>
      <c r="G2617" t="s">
        <v>8096</v>
      </c>
      <c r="H2617">
        <v>700102</v>
      </c>
      <c r="I2617" t="s">
        <v>8226</v>
      </c>
    </row>
    <row r="2618" spans="1:9">
      <c r="A2618" t="str">
        <f>"0254366 "</f>
        <v xml:space="preserve">0254366 </v>
      </c>
      <c r="B2618" t="s">
        <v>8096</v>
      </c>
      <c r="C2618" t="s">
        <v>8227</v>
      </c>
      <c r="D2618" t="s">
        <v>8228</v>
      </c>
      <c r="E2618">
        <v>2</v>
      </c>
      <c r="F2618" t="s">
        <v>8229</v>
      </c>
      <c r="G2618" t="s">
        <v>8096</v>
      </c>
      <c r="H2618">
        <v>700105</v>
      </c>
      <c r="I2618" t="s">
        <v>8230</v>
      </c>
    </row>
    <row r="2619" spans="1:9">
      <c r="A2619" t="str">
        <f>"0254367 "</f>
        <v xml:space="preserve">0254367 </v>
      </c>
      <c r="B2619" t="s">
        <v>8096</v>
      </c>
      <c r="C2619" t="s">
        <v>8231</v>
      </c>
      <c r="D2619" t="s">
        <v>8232</v>
      </c>
      <c r="E2619">
        <v>2</v>
      </c>
      <c r="F2619" t="s">
        <v>8233</v>
      </c>
      <c r="G2619" t="s">
        <v>8096</v>
      </c>
      <c r="H2619">
        <v>700108</v>
      </c>
      <c r="I2619" t="s">
        <v>8234</v>
      </c>
    </row>
    <row r="2620" spans="1:9">
      <c r="A2620" t="str">
        <f>"0254368 "</f>
        <v xml:space="preserve">0254368 </v>
      </c>
      <c r="B2620" t="s">
        <v>8096</v>
      </c>
      <c r="C2620" t="s">
        <v>8235</v>
      </c>
      <c r="D2620" t="s">
        <v>8236</v>
      </c>
      <c r="E2620">
        <v>2</v>
      </c>
      <c r="F2620" t="s">
        <v>8237</v>
      </c>
      <c r="G2620" t="s">
        <v>8096</v>
      </c>
      <c r="H2620">
        <v>700109</v>
      </c>
      <c r="I2620" t="s">
        <v>8238</v>
      </c>
    </row>
    <row r="2621" spans="1:9">
      <c r="A2621" t="str">
        <f>"0254370 "</f>
        <v xml:space="preserve">0254370 </v>
      </c>
      <c r="B2621" t="s">
        <v>8096</v>
      </c>
      <c r="C2621" t="s">
        <v>8239</v>
      </c>
      <c r="D2621" t="s">
        <v>8240</v>
      </c>
      <c r="E2621">
        <v>2</v>
      </c>
      <c r="F2621" t="s">
        <v>8241</v>
      </c>
      <c r="G2621" t="s">
        <v>8096</v>
      </c>
      <c r="H2621">
        <v>700112</v>
      </c>
      <c r="I2621" t="s">
        <v>8242</v>
      </c>
    </row>
    <row r="2622" spans="1:9">
      <c r="A2622" t="str">
        <f>"0254371 "</f>
        <v xml:space="preserve">0254371 </v>
      </c>
      <c r="B2622" t="s">
        <v>8096</v>
      </c>
      <c r="C2622" t="s">
        <v>8243</v>
      </c>
      <c r="D2622" t="s">
        <v>8244</v>
      </c>
      <c r="E2622">
        <v>2</v>
      </c>
      <c r="F2622" t="s">
        <v>8245</v>
      </c>
      <c r="G2622" t="s">
        <v>8096</v>
      </c>
      <c r="H2622">
        <v>700116</v>
      </c>
      <c r="I2622" t="s">
        <v>8246</v>
      </c>
    </row>
    <row r="2623" spans="1:9">
      <c r="A2623" t="str">
        <f>"0254372 "</f>
        <v xml:space="preserve">0254372 </v>
      </c>
      <c r="B2623" t="s">
        <v>8096</v>
      </c>
      <c r="C2623" t="s">
        <v>8247</v>
      </c>
      <c r="D2623" t="s">
        <v>8248</v>
      </c>
      <c r="E2623">
        <v>2</v>
      </c>
      <c r="F2623" t="s">
        <v>8233</v>
      </c>
      <c r="G2623" t="s">
        <v>8096</v>
      </c>
      <c r="H2623">
        <v>700117</v>
      </c>
      <c r="I2623" t="s">
        <v>8249</v>
      </c>
    </row>
    <row r="2624" spans="1:9">
      <c r="A2624" t="str">
        <f>"0254373 "</f>
        <v xml:space="preserve">0254373 </v>
      </c>
      <c r="B2624" t="s">
        <v>8096</v>
      </c>
      <c r="C2624" t="s">
        <v>8250</v>
      </c>
      <c r="D2624" t="s">
        <v>8251</v>
      </c>
      <c r="E2624">
        <v>2</v>
      </c>
      <c r="F2624" t="s">
        <v>8233</v>
      </c>
      <c r="G2624" t="s">
        <v>8096</v>
      </c>
      <c r="H2624">
        <v>700120</v>
      </c>
      <c r="I2624" t="s">
        <v>8252</v>
      </c>
    </row>
    <row r="2625" spans="1:9">
      <c r="A2625" t="str">
        <f>"0254374 "</f>
        <v xml:space="preserve">0254374 </v>
      </c>
      <c r="B2625" t="s">
        <v>8096</v>
      </c>
      <c r="C2625" t="s">
        <v>8253</v>
      </c>
      <c r="D2625" t="s">
        <v>8254</v>
      </c>
      <c r="E2625">
        <v>2</v>
      </c>
      <c r="F2625" t="s">
        <v>8255</v>
      </c>
      <c r="G2625" t="s">
        <v>8096</v>
      </c>
      <c r="H2625">
        <v>700124</v>
      </c>
      <c r="I2625" t="s">
        <v>8256</v>
      </c>
    </row>
    <row r="2626" spans="1:9">
      <c r="A2626" t="str">
        <f>"0254375 "</f>
        <v xml:space="preserve">0254375 </v>
      </c>
      <c r="B2626" t="s">
        <v>8096</v>
      </c>
      <c r="C2626" t="s">
        <v>8257</v>
      </c>
      <c r="D2626" t="s">
        <v>8258</v>
      </c>
      <c r="E2626">
        <v>2</v>
      </c>
      <c r="F2626" t="s">
        <v>8259</v>
      </c>
      <c r="G2626" t="s">
        <v>8096</v>
      </c>
      <c r="H2626">
        <v>700127</v>
      </c>
      <c r="I2626" t="s">
        <v>8260</v>
      </c>
    </row>
    <row r="2627" spans="1:9">
      <c r="A2627" t="str">
        <f>"0254376 "</f>
        <v xml:space="preserve">0254376 </v>
      </c>
      <c r="B2627" t="s">
        <v>8096</v>
      </c>
      <c r="C2627" t="s">
        <v>8261</v>
      </c>
      <c r="D2627" t="s">
        <v>8262</v>
      </c>
      <c r="E2627">
        <v>1</v>
      </c>
      <c r="F2627" t="s">
        <v>8263</v>
      </c>
      <c r="G2627" t="s">
        <v>8096</v>
      </c>
      <c r="H2627">
        <v>700129</v>
      </c>
      <c r="I2627" t="s">
        <v>8264</v>
      </c>
    </row>
    <row r="2628" spans="1:9">
      <c r="A2628" t="str">
        <f>"0254377 "</f>
        <v xml:space="preserve">0254377 </v>
      </c>
      <c r="B2628" t="s">
        <v>8096</v>
      </c>
      <c r="C2628" t="s">
        <v>8265</v>
      </c>
      <c r="D2628" t="s">
        <v>8266</v>
      </c>
      <c r="E2628">
        <v>1</v>
      </c>
      <c r="F2628" t="s">
        <v>8267</v>
      </c>
      <c r="G2628" t="s">
        <v>8096</v>
      </c>
      <c r="H2628">
        <v>700130</v>
      </c>
      <c r="I2628" t="s">
        <v>8268</v>
      </c>
    </row>
    <row r="2629" spans="1:9">
      <c r="A2629" t="str">
        <f>"0254378 "</f>
        <v xml:space="preserve">0254378 </v>
      </c>
      <c r="B2629" t="s">
        <v>8096</v>
      </c>
      <c r="C2629" t="s">
        <v>8269</v>
      </c>
      <c r="D2629" t="s">
        <v>8270</v>
      </c>
      <c r="E2629">
        <v>2</v>
      </c>
      <c r="F2629" t="s">
        <v>8229</v>
      </c>
      <c r="G2629" t="s">
        <v>8096</v>
      </c>
      <c r="H2629">
        <v>700133</v>
      </c>
      <c r="I2629" t="s">
        <v>8271</v>
      </c>
    </row>
    <row r="2630" spans="1:9">
      <c r="A2630" t="str">
        <f>"0254381 "</f>
        <v xml:space="preserve">0254381 </v>
      </c>
      <c r="B2630" t="s">
        <v>8096</v>
      </c>
      <c r="C2630" t="s">
        <v>8272</v>
      </c>
      <c r="D2630" t="s">
        <v>8273</v>
      </c>
      <c r="E2630">
        <v>1</v>
      </c>
      <c r="F2630" t="s">
        <v>8274</v>
      </c>
      <c r="G2630" t="s">
        <v>8096</v>
      </c>
      <c r="H2630">
        <v>760007</v>
      </c>
      <c r="I2630" t="s">
        <v>8275</v>
      </c>
    </row>
    <row r="2631" spans="1:9">
      <c r="A2631" t="str">
        <f>"0254383 "</f>
        <v xml:space="preserve">0254383 </v>
      </c>
      <c r="B2631" t="s">
        <v>8096</v>
      </c>
      <c r="C2631" t="s">
        <v>8276</v>
      </c>
      <c r="D2631" t="s">
        <v>8277</v>
      </c>
      <c r="E2631">
        <v>2</v>
      </c>
      <c r="F2631" t="s">
        <v>8278</v>
      </c>
      <c r="G2631" t="s">
        <v>8096</v>
      </c>
      <c r="H2631">
        <v>760015</v>
      </c>
      <c r="I2631" t="s">
        <v>8279</v>
      </c>
    </row>
    <row r="2632" spans="1:9">
      <c r="A2632" t="str">
        <f>"0254384 "</f>
        <v xml:space="preserve">0254384 </v>
      </c>
      <c r="B2632" t="s">
        <v>8096</v>
      </c>
      <c r="C2632" t="s">
        <v>8280</v>
      </c>
      <c r="D2632" t="s">
        <v>8281</v>
      </c>
      <c r="E2632">
        <v>2</v>
      </c>
      <c r="F2632" t="s">
        <v>8282</v>
      </c>
      <c r="G2632" t="s">
        <v>8096</v>
      </c>
      <c r="H2632">
        <v>760020</v>
      </c>
      <c r="I2632" t="s">
        <v>8283</v>
      </c>
    </row>
    <row r="2633" spans="1:9">
      <c r="A2633" t="str">
        <f>"0254387 "</f>
        <v xml:space="preserve">0254387 </v>
      </c>
      <c r="B2633" t="s">
        <v>8096</v>
      </c>
      <c r="C2633" t="s">
        <v>8284</v>
      </c>
      <c r="D2633" t="s">
        <v>8285</v>
      </c>
      <c r="E2633">
        <v>2</v>
      </c>
      <c r="F2633" t="s">
        <v>8286</v>
      </c>
      <c r="G2633" t="s">
        <v>8096</v>
      </c>
      <c r="H2633">
        <v>760039</v>
      </c>
      <c r="I2633" t="s">
        <v>8287</v>
      </c>
    </row>
    <row r="2634" spans="1:9">
      <c r="A2634" t="str">
        <f>"0254391 "</f>
        <v xml:space="preserve">0254391 </v>
      </c>
      <c r="B2634" t="s">
        <v>8096</v>
      </c>
      <c r="C2634" t="s">
        <v>8288</v>
      </c>
      <c r="D2634" t="s">
        <v>8289</v>
      </c>
      <c r="E2634">
        <v>1</v>
      </c>
      <c r="F2634" t="s">
        <v>8290</v>
      </c>
      <c r="G2634" t="s">
        <v>8096</v>
      </c>
      <c r="H2634">
        <v>760043</v>
      </c>
      <c r="I2634" t="s">
        <v>8291</v>
      </c>
    </row>
    <row r="2635" spans="1:9">
      <c r="A2635" t="str">
        <f>"0254394 "</f>
        <v xml:space="preserve">0254394 </v>
      </c>
      <c r="B2635" t="s">
        <v>8096</v>
      </c>
      <c r="C2635" t="s">
        <v>8292</v>
      </c>
      <c r="D2635" t="s">
        <v>8293</v>
      </c>
      <c r="E2635">
        <v>2</v>
      </c>
      <c r="F2635" t="s">
        <v>8294</v>
      </c>
      <c r="G2635" t="s">
        <v>8096</v>
      </c>
      <c r="H2635">
        <v>760052</v>
      </c>
      <c r="I2635" t="s">
        <v>8295</v>
      </c>
    </row>
    <row r="2636" spans="1:9">
      <c r="A2636" t="str">
        <f>"0254401 "</f>
        <v xml:space="preserve">0254401 </v>
      </c>
      <c r="B2636" t="s">
        <v>8096</v>
      </c>
      <c r="C2636" t="s">
        <v>8296</v>
      </c>
      <c r="D2636" t="s">
        <v>8297</v>
      </c>
      <c r="E2636">
        <v>2</v>
      </c>
      <c r="F2636" t="s">
        <v>8298</v>
      </c>
      <c r="G2636" t="s">
        <v>8096</v>
      </c>
      <c r="H2636">
        <v>760071</v>
      </c>
      <c r="I2636" t="s">
        <v>8299</v>
      </c>
    </row>
    <row r="2637" spans="1:9">
      <c r="A2637" t="str">
        <f>"0254408 "</f>
        <v xml:space="preserve">0254408 </v>
      </c>
      <c r="B2637" t="s">
        <v>8096</v>
      </c>
      <c r="C2637" t="s">
        <v>8300</v>
      </c>
      <c r="D2637" t="s">
        <v>8301</v>
      </c>
      <c r="E2637">
        <v>2</v>
      </c>
      <c r="F2637" t="s">
        <v>8302</v>
      </c>
      <c r="G2637" t="s">
        <v>8096</v>
      </c>
      <c r="H2637">
        <v>760101</v>
      </c>
      <c r="I2637" t="s">
        <v>8303</v>
      </c>
    </row>
    <row r="2638" spans="1:9">
      <c r="A2638" t="str">
        <f>"0254410 "</f>
        <v xml:space="preserve">0254410 </v>
      </c>
      <c r="B2638" t="s">
        <v>8096</v>
      </c>
      <c r="C2638" t="s">
        <v>8304</v>
      </c>
      <c r="D2638" t="s">
        <v>8305</v>
      </c>
      <c r="E2638">
        <v>2</v>
      </c>
      <c r="F2638" t="s">
        <v>8306</v>
      </c>
      <c r="G2638" t="s">
        <v>8096</v>
      </c>
      <c r="H2638">
        <v>760105</v>
      </c>
      <c r="I2638" t="s">
        <v>8307</v>
      </c>
    </row>
    <row r="2639" spans="1:9">
      <c r="A2639" t="str">
        <f>"0254411 "</f>
        <v xml:space="preserve">0254411 </v>
      </c>
      <c r="B2639" t="s">
        <v>8096</v>
      </c>
      <c r="C2639" t="s">
        <v>8308</v>
      </c>
      <c r="D2639" t="s">
        <v>8309</v>
      </c>
      <c r="E2639">
        <v>1</v>
      </c>
      <c r="F2639" t="s">
        <v>8310</v>
      </c>
      <c r="G2639" t="s">
        <v>8096</v>
      </c>
      <c r="H2639">
        <v>760107</v>
      </c>
      <c r="I2639" t="s">
        <v>8311</v>
      </c>
    </row>
    <row r="2640" spans="1:9">
      <c r="A2640" t="str">
        <f>"0254414 "</f>
        <v xml:space="preserve">0254414 </v>
      </c>
      <c r="B2640" t="s">
        <v>8096</v>
      </c>
      <c r="C2640" t="s">
        <v>8312</v>
      </c>
      <c r="D2640" t="s">
        <v>8313</v>
      </c>
      <c r="E2640">
        <v>1</v>
      </c>
      <c r="F2640" t="s">
        <v>8286</v>
      </c>
      <c r="G2640" t="s">
        <v>8096</v>
      </c>
      <c r="H2640">
        <v>760110</v>
      </c>
      <c r="I2640" t="s">
        <v>8314</v>
      </c>
    </row>
    <row r="2641" spans="1:9">
      <c r="A2641" t="str">
        <f>"0254415 "</f>
        <v xml:space="preserve">0254415 </v>
      </c>
      <c r="B2641" t="s">
        <v>8096</v>
      </c>
      <c r="C2641" t="s">
        <v>8315</v>
      </c>
      <c r="D2641" t="s">
        <v>8316</v>
      </c>
      <c r="E2641">
        <v>2</v>
      </c>
      <c r="F2641" t="s">
        <v>8317</v>
      </c>
      <c r="G2641" t="s">
        <v>8096</v>
      </c>
      <c r="H2641">
        <v>760113</v>
      </c>
      <c r="I2641" t="s">
        <v>8318</v>
      </c>
    </row>
    <row r="2642" spans="1:9">
      <c r="A2642" t="str">
        <f>"0254418 "</f>
        <v xml:space="preserve">0254418 </v>
      </c>
      <c r="B2642" t="s">
        <v>8096</v>
      </c>
      <c r="C2642" t="s">
        <v>8319</v>
      </c>
      <c r="D2642" t="s">
        <v>8320</v>
      </c>
      <c r="E2642">
        <v>1</v>
      </c>
      <c r="F2642" t="s">
        <v>8321</v>
      </c>
      <c r="G2642" t="s">
        <v>8096</v>
      </c>
      <c r="H2642">
        <v>760116</v>
      </c>
      <c r="I2642" t="s">
        <v>8322</v>
      </c>
    </row>
    <row r="2643" spans="1:9">
      <c r="A2643" t="str">
        <f>"0254419 "</f>
        <v xml:space="preserve">0254419 </v>
      </c>
      <c r="B2643" t="s">
        <v>8096</v>
      </c>
      <c r="C2643" t="s">
        <v>8323</v>
      </c>
      <c r="D2643" t="s">
        <v>8324</v>
      </c>
      <c r="E2643">
        <v>1</v>
      </c>
      <c r="F2643" t="s">
        <v>8325</v>
      </c>
      <c r="G2643" t="s">
        <v>8096</v>
      </c>
      <c r="H2643">
        <v>760119</v>
      </c>
      <c r="I2643" t="s">
        <v>8326</v>
      </c>
    </row>
    <row r="2644" spans="1:9">
      <c r="A2644" t="str">
        <f>"0254421 "</f>
        <v xml:space="preserve">0254421 </v>
      </c>
      <c r="B2644" t="s">
        <v>8096</v>
      </c>
      <c r="C2644" t="s">
        <v>8327</v>
      </c>
      <c r="D2644" t="s">
        <v>8328</v>
      </c>
      <c r="E2644">
        <v>2</v>
      </c>
      <c r="F2644" t="s">
        <v>8286</v>
      </c>
      <c r="G2644" t="s">
        <v>8096</v>
      </c>
      <c r="H2644">
        <v>760123</v>
      </c>
      <c r="I2644" t="s">
        <v>8329</v>
      </c>
    </row>
    <row r="2645" spans="1:9">
      <c r="A2645" t="str">
        <f>"0254424 "</f>
        <v xml:space="preserve">0254424 </v>
      </c>
      <c r="B2645" t="s">
        <v>8096</v>
      </c>
      <c r="C2645" t="s">
        <v>8330</v>
      </c>
      <c r="D2645" t="s">
        <v>8331</v>
      </c>
      <c r="E2645">
        <v>2</v>
      </c>
      <c r="F2645" t="s">
        <v>8332</v>
      </c>
      <c r="G2645" t="s">
        <v>8096</v>
      </c>
      <c r="H2645">
        <v>760132</v>
      </c>
      <c r="I2645" t="s">
        <v>8333</v>
      </c>
    </row>
    <row r="2646" spans="1:9">
      <c r="A2646" t="str">
        <f>"0254425 "</f>
        <v xml:space="preserve">0254425 </v>
      </c>
      <c r="B2646" t="s">
        <v>8096</v>
      </c>
      <c r="C2646" t="s">
        <v>8334</v>
      </c>
      <c r="D2646" t="s">
        <v>8335</v>
      </c>
      <c r="E2646">
        <v>2</v>
      </c>
      <c r="F2646" t="s">
        <v>8336</v>
      </c>
      <c r="G2646" t="s">
        <v>8096</v>
      </c>
      <c r="H2646">
        <v>760133</v>
      </c>
      <c r="I2646" t="s">
        <v>8337</v>
      </c>
    </row>
    <row r="2647" spans="1:9">
      <c r="A2647" t="str">
        <f>"0254429 "</f>
        <v xml:space="preserve">0254429 </v>
      </c>
      <c r="B2647" t="s">
        <v>8096</v>
      </c>
      <c r="C2647" t="s">
        <v>8338</v>
      </c>
      <c r="D2647" t="s">
        <v>8339</v>
      </c>
      <c r="E2647">
        <v>1</v>
      </c>
      <c r="F2647" t="s">
        <v>8340</v>
      </c>
      <c r="G2647" t="s">
        <v>8096</v>
      </c>
      <c r="H2647">
        <v>760137</v>
      </c>
      <c r="I2647" t="s">
        <v>8341</v>
      </c>
    </row>
    <row r="2648" spans="1:9">
      <c r="A2648" t="str">
        <f>"0254430 "</f>
        <v xml:space="preserve">0254430 </v>
      </c>
      <c r="B2648" t="s">
        <v>8096</v>
      </c>
      <c r="C2648" t="s">
        <v>8342</v>
      </c>
      <c r="D2648" t="s">
        <v>8343</v>
      </c>
      <c r="E2648">
        <v>1</v>
      </c>
      <c r="F2648" t="s">
        <v>8340</v>
      </c>
      <c r="G2648" t="s">
        <v>8096</v>
      </c>
      <c r="H2648">
        <v>760138</v>
      </c>
      <c r="I2648" t="s">
        <v>8344</v>
      </c>
    </row>
    <row r="2649" spans="1:9">
      <c r="A2649" t="str">
        <f>"0254431 "</f>
        <v xml:space="preserve">0254431 </v>
      </c>
      <c r="B2649" t="s">
        <v>8096</v>
      </c>
      <c r="C2649" t="s">
        <v>8345</v>
      </c>
      <c r="D2649" t="s">
        <v>8346</v>
      </c>
      <c r="E2649">
        <v>1</v>
      </c>
      <c r="F2649" t="s">
        <v>8347</v>
      </c>
      <c r="G2649" t="s">
        <v>8096</v>
      </c>
      <c r="H2649">
        <v>760140</v>
      </c>
      <c r="I2649" t="s">
        <v>8348</v>
      </c>
    </row>
    <row r="2650" spans="1:9">
      <c r="A2650" t="str">
        <f>"0254432 "</f>
        <v xml:space="preserve">0254432 </v>
      </c>
      <c r="B2650" t="s">
        <v>8096</v>
      </c>
      <c r="C2650" t="s">
        <v>8349</v>
      </c>
      <c r="D2650" t="s">
        <v>8350</v>
      </c>
      <c r="E2650">
        <v>1</v>
      </c>
      <c r="F2650" t="s">
        <v>8347</v>
      </c>
      <c r="G2650" t="s">
        <v>8096</v>
      </c>
      <c r="H2650">
        <v>760141</v>
      </c>
      <c r="I2650" t="s">
        <v>8351</v>
      </c>
    </row>
    <row r="2651" spans="1:9">
      <c r="A2651" t="str">
        <f>"0254433 "</f>
        <v xml:space="preserve">0254433 </v>
      </c>
      <c r="B2651" t="s">
        <v>8096</v>
      </c>
      <c r="C2651" t="s">
        <v>8352</v>
      </c>
      <c r="D2651" t="s">
        <v>8353</v>
      </c>
      <c r="E2651">
        <v>1</v>
      </c>
      <c r="F2651" t="s">
        <v>8354</v>
      </c>
      <c r="G2651" t="s">
        <v>8096</v>
      </c>
      <c r="H2651">
        <v>760142</v>
      </c>
      <c r="I2651" t="s">
        <v>8355</v>
      </c>
    </row>
    <row r="2652" spans="1:9">
      <c r="A2652" t="str">
        <f>"0254434 "</f>
        <v xml:space="preserve">0254434 </v>
      </c>
      <c r="B2652" t="s">
        <v>8096</v>
      </c>
      <c r="C2652" t="s">
        <v>8356</v>
      </c>
      <c r="D2652" t="s">
        <v>8357</v>
      </c>
      <c r="E2652">
        <v>1</v>
      </c>
      <c r="F2652" t="s">
        <v>8358</v>
      </c>
      <c r="G2652" t="s">
        <v>8096</v>
      </c>
      <c r="H2652">
        <v>760143</v>
      </c>
      <c r="I2652" t="s">
        <v>8359</v>
      </c>
    </row>
    <row r="2653" spans="1:9">
      <c r="A2653" t="str">
        <f>"0254435 "</f>
        <v xml:space="preserve">0254435 </v>
      </c>
      <c r="B2653" t="s">
        <v>8096</v>
      </c>
      <c r="C2653" t="s">
        <v>8360</v>
      </c>
      <c r="D2653" t="s">
        <v>8361</v>
      </c>
      <c r="E2653">
        <v>1</v>
      </c>
      <c r="F2653" t="s">
        <v>8362</v>
      </c>
      <c r="G2653" t="s">
        <v>8096</v>
      </c>
      <c r="H2653">
        <v>760144</v>
      </c>
      <c r="I2653" t="s">
        <v>8363</v>
      </c>
    </row>
    <row r="2654" spans="1:9">
      <c r="A2654" t="str">
        <f>"0254437 "</f>
        <v xml:space="preserve">0254437 </v>
      </c>
      <c r="B2654" t="s">
        <v>8096</v>
      </c>
      <c r="C2654" t="s">
        <v>8364</v>
      </c>
      <c r="D2654" t="s">
        <v>8365</v>
      </c>
      <c r="E2654">
        <v>1</v>
      </c>
      <c r="F2654" t="s">
        <v>8366</v>
      </c>
      <c r="G2654" t="s">
        <v>8096</v>
      </c>
      <c r="H2654">
        <v>760146</v>
      </c>
      <c r="I2654" t="s">
        <v>8367</v>
      </c>
    </row>
    <row r="2655" spans="1:9">
      <c r="A2655" t="str">
        <f>"0254438 "</f>
        <v xml:space="preserve">0254438 </v>
      </c>
      <c r="B2655" t="s">
        <v>8096</v>
      </c>
      <c r="C2655" t="s">
        <v>8368</v>
      </c>
      <c r="D2655" t="s">
        <v>8369</v>
      </c>
      <c r="E2655">
        <v>1</v>
      </c>
      <c r="F2655" t="s">
        <v>8370</v>
      </c>
      <c r="G2655" t="s">
        <v>8096</v>
      </c>
      <c r="H2655">
        <v>760147</v>
      </c>
      <c r="I2655" t="s">
        <v>8371</v>
      </c>
    </row>
    <row r="2656" spans="1:9">
      <c r="A2656" t="str">
        <f>"0254439 "</f>
        <v xml:space="preserve">0254439 </v>
      </c>
      <c r="B2656" t="s">
        <v>8096</v>
      </c>
      <c r="C2656" t="s">
        <v>8372</v>
      </c>
      <c r="D2656" t="s">
        <v>8373</v>
      </c>
      <c r="E2656">
        <v>2</v>
      </c>
      <c r="F2656" t="s">
        <v>8374</v>
      </c>
      <c r="G2656" t="s">
        <v>8096</v>
      </c>
      <c r="H2656">
        <v>760149</v>
      </c>
      <c r="I2656" t="s">
        <v>8375</v>
      </c>
    </row>
    <row r="2657" spans="1:9">
      <c r="A2657" t="str">
        <f>"0254440 "</f>
        <v xml:space="preserve">0254440 </v>
      </c>
      <c r="B2657" t="s">
        <v>8096</v>
      </c>
      <c r="C2657" t="s">
        <v>8376</v>
      </c>
      <c r="D2657" t="s">
        <v>8377</v>
      </c>
      <c r="E2657">
        <v>1</v>
      </c>
      <c r="F2657" t="s">
        <v>8378</v>
      </c>
      <c r="G2657" t="s">
        <v>8096</v>
      </c>
      <c r="H2657">
        <v>760150</v>
      </c>
      <c r="I2657" t="s">
        <v>8379</v>
      </c>
    </row>
    <row r="2658" spans="1:9">
      <c r="A2658" t="str">
        <f>"0254443 "</f>
        <v xml:space="preserve">0254443 </v>
      </c>
      <c r="B2658" t="s">
        <v>8096</v>
      </c>
      <c r="C2658" t="s">
        <v>8380</v>
      </c>
      <c r="D2658" t="s">
        <v>8381</v>
      </c>
      <c r="E2658">
        <v>2</v>
      </c>
      <c r="F2658" t="s">
        <v>8382</v>
      </c>
      <c r="G2658" t="s">
        <v>8096</v>
      </c>
      <c r="H2658">
        <v>760154</v>
      </c>
      <c r="I2658" t="s">
        <v>8383</v>
      </c>
    </row>
    <row r="2659" spans="1:9">
      <c r="A2659" t="str">
        <f>"0254444 "</f>
        <v xml:space="preserve">0254444 </v>
      </c>
      <c r="B2659" t="s">
        <v>8096</v>
      </c>
      <c r="C2659" t="s">
        <v>8384</v>
      </c>
      <c r="D2659" t="s">
        <v>8385</v>
      </c>
      <c r="E2659">
        <v>1</v>
      </c>
      <c r="F2659" t="s">
        <v>8386</v>
      </c>
      <c r="G2659" t="s">
        <v>8096</v>
      </c>
      <c r="H2659">
        <v>760155</v>
      </c>
      <c r="I2659" t="s">
        <v>8387</v>
      </c>
    </row>
    <row r="2660" spans="1:9">
      <c r="A2660" t="str">
        <f>"0254447 "</f>
        <v xml:space="preserve">0254447 </v>
      </c>
      <c r="B2660" t="s">
        <v>8096</v>
      </c>
      <c r="C2660" t="s">
        <v>8388</v>
      </c>
      <c r="D2660" t="s">
        <v>8389</v>
      </c>
      <c r="E2660">
        <v>2</v>
      </c>
      <c r="F2660" t="s">
        <v>8390</v>
      </c>
      <c r="G2660" t="s">
        <v>8096</v>
      </c>
      <c r="H2660">
        <v>760161</v>
      </c>
      <c r="I2660" t="s">
        <v>8391</v>
      </c>
    </row>
    <row r="2661" spans="1:9">
      <c r="A2661" t="str">
        <f>"0254448 "</f>
        <v xml:space="preserve">0254448 </v>
      </c>
      <c r="B2661" t="s">
        <v>8096</v>
      </c>
      <c r="C2661" t="s">
        <v>8392</v>
      </c>
      <c r="D2661" t="s">
        <v>8393</v>
      </c>
      <c r="E2661">
        <v>2</v>
      </c>
      <c r="F2661" t="s">
        <v>8394</v>
      </c>
      <c r="G2661" t="s">
        <v>8096</v>
      </c>
      <c r="H2661">
        <v>760162</v>
      </c>
      <c r="I2661" t="s">
        <v>8395</v>
      </c>
    </row>
    <row r="2662" spans="1:9">
      <c r="A2662" t="str">
        <f>"0254449 "</f>
        <v xml:space="preserve">0254449 </v>
      </c>
      <c r="B2662" t="s">
        <v>8096</v>
      </c>
      <c r="C2662" t="s">
        <v>8396</v>
      </c>
      <c r="D2662" t="s">
        <v>8397</v>
      </c>
      <c r="E2662">
        <v>2</v>
      </c>
      <c r="F2662" t="s">
        <v>8398</v>
      </c>
      <c r="G2662" t="s">
        <v>8096</v>
      </c>
      <c r="H2662">
        <v>760163</v>
      </c>
      <c r="I2662" t="s">
        <v>8399</v>
      </c>
    </row>
    <row r="2663" spans="1:9">
      <c r="A2663" t="str">
        <f>"0254450 "</f>
        <v xml:space="preserve">0254450 </v>
      </c>
      <c r="B2663" t="s">
        <v>8096</v>
      </c>
      <c r="C2663" t="s">
        <v>8400</v>
      </c>
      <c r="D2663" t="s">
        <v>8401</v>
      </c>
      <c r="E2663">
        <v>2</v>
      </c>
      <c r="F2663" t="s">
        <v>8402</v>
      </c>
      <c r="G2663" t="s">
        <v>8096</v>
      </c>
      <c r="H2663">
        <v>760164</v>
      </c>
      <c r="I2663" t="s">
        <v>8403</v>
      </c>
    </row>
    <row r="2664" spans="1:9">
      <c r="A2664" t="str">
        <f>"0254452 "</f>
        <v xml:space="preserve">0254452 </v>
      </c>
      <c r="B2664" t="s">
        <v>8096</v>
      </c>
      <c r="C2664" t="s">
        <v>8404</v>
      </c>
      <c r="D2664" t="s">
        <v>8405</v>
      </c>
      <c r="E2664">
        <v>2</v>
      </c>
      <c r="F2664" t="s">
        <v>5751</v>
      </c>
      <c r="G2664" t="s">
        <v>8096</v>
      </c>
      <c r="H2664">
        <v>760166</v>
      </c>
      <c r="I2664" t="s">
        <v>8406</v>
      </c>
    </row>
    <row r="2665" spans="1:9">
      <c r="A2665" t="str">
        <f>"0254453 "</f>
        <v xml:space="preserve">0254453 </v>
      </c>
      <c r="B2665" t="s">
        <v>8096</v>
      </c>
      <c r="C2665" t="s">
        <v>8407</v>
      </c>
      <c r="D2665" t="s">
        <v>8408</v>
      </c>
      <c r="E2665">
        <v>1</v>
      </c>
      <c r="F2665" t="s">
        <v>8409</v>
      </c>
      <c r="G2665" t="s">
        <v>8096</v>
      </c>
      <c r="H2665">
        <v>760167</v>
      </c>
      <c r="I2665" t="s">
        <v>8410</v>
      </c>
    </row>
    <row r="2666" spans="1:9">
      <c r="A2666" t="str">
        <f>"0254455 "</f>
        <v xml:space="preserve">0254455 </v>
      </c>
      <c r="B2666" t="s">
        <v>8096</v>
      </c>
      <c r="C2666" t="s">
        <v>8411</v>
      </c>
      <c r="D2666" t="s">
        <v>8412</v>
      </c>
      <c r="E2666">
        <v>1</v>
      </c>
      <c r="F2666" t="s">
        <v>8413</v>
      </c>
      <c r="G2666" t="s">
        <v>8096</v>
      </c>
      <c r="H2666">
        <v>760169</v>
      </c>
      <c r="I2666" t="s">
        <v>8414</v>
      </c>
    </row>
    <row r="2667" spans="1:9">
      <c r="A2667" t="str">
        <f>"0254456 "</f>
        <v xml:space="preserve">0254456 </v>
      </c>
      <c r="B2667" t="s">
        <v>8096</v>
      </c>
      <c r="C2667" t="s">
        <v>8415</v>
      </c>
      <c r="D2667" t="s">
        <v>8416</v>
      </c>
      <c r="E2667">
        <v>1</v>
      </c>
      <c r="F2667" t="s">
        <v>5014</v>
      </c>
      <c r="G2667" t="s">
        <v>8096</v>
      </c>
      <c r="H2667">
        <v>760171</v>
      </c>
      <c r="I2667" t="s">
        <v>8417</v>
      </c>
    </row>
    <row r="2668" spans="1:9">
      <c r="A2668" t="str">
        <f>"0254457 "</f>
        <v xml:space="preserve">0254457 </v>
      </c>
      <c r="B2668" t="s">
        <v>8096</v>
      </c>
      <c r="C2668" t="s">
        <v>8418</v>
      </c>
      <c r="D2668" t="s">
        <v>8419</v>
      </c>
      <c r="E2668">
        <v>2</v>
      </c>
      <c r="F2668" t="s">
        <v>8336</v>
      </c>
      <c r="G2668" t="s">
        <v>8096</v>
      </c>
      <c r="H2668">
        <v>760173</v>
      </c>
      <c r="I2668" t="s">
        <v>8420</v>
      </c>
    </row>
    <row r="2669" spans="1:9">
      <c r="A2669" t="str">
        <f>"0254458 "</f>
        <v xml:space="preserve">0254458 </v>
      </c>
      <c r="B2669" t="s">
        <v>8096</v>
      </c>
      <c r="C2669" t="s">
        <v>8421</v>
      </c>
      <c r="D2669" t="s">
        <v>8422</v>
      </c>
      <c r="E2669">
        <v>1</v>
      </c>
      <c r="F2669" t="s">
        <v>8423</v>
      </c>
      <c r="G2669" t="s">
        <v>8096</v>
      </c>
      <c r="H2669">
        <v>760177</v>
      </c>
      <c r="I2669" t="s">
        <v>8424</v>
      </c>
    </row>
    <row r="2670" spans="1:9">
      <c r="A2670" t="str">
        <f>"0254459 "</f>
        <v xml:space="preserve">0254459 </v>
      </c>
      <c r="B2670" t="s">
        <v>8096</v>
      </c>
      <c r="C2670" t="s">
        <v>8425</v>
      </c>
      <c r="D2670" t="s">
        <v>8426</v>
      </c>
      <c r="E2670">
        <v>1</v>
      </c>
      <c r="F2670" t="s">
        <v>8402</v>
      </c>
      <c r="G2670" t="s">
        <v>8096</v>
      </c>
      <c r="H2670">
        <v>760179</v>
      </c>
      <c r="I2670" t="s">
        <v>8427</v>
      </c>
    </row>
    <row r="2671" spans="1:9">
      <c r="A2671" t="str">
        <f>"0254462 "</f>
        <v xml:space="preserve">0254462 </v>
      </c>
      <c r="B2671" t="s">
        <v>8096</v>
      </c>
      <c r="C2671" t="s">
        <v>8428</v>
      </c>
      <c r="D2671" t="s">
        <v>8429</v>
      </c>
      <c r="E2671">
        <v>2</v>
      </c>
      <c r="F2671" t="s">
        <v>8286</v>
      </c>
      <c r="G2671" t="s">
        <v>8096</v>
      </c>
      <c r="H2671">
        <v>760185</v>
      </c>
      <c r="I2671" t="s">
        <v>8430</v>
      </c>
    </row>
    <row r="2672" spans="1:9">
      <c r="A2672" t="str">
        <f>"0254463 "</f>
        <v xml:space="preserve">0254463 </v>
      </c>
      <c r="B2672" t="s">
        <v>8096</v>
      </c>
      <c r="C2672" t="s">
        <v>8431</v>
      </c>
      <c r="D2672" t="s">
        <v>8432</v>
      </c>
      <c r="E2672">
        <v>1</v>
      </c>
      <c r="F2672" t="s">
        <v>8433</v>
      </c>
      <c r="G2672" t="s">
        <v>8096</v>
      </c>
      <c r="H2672">
        <v>760186</v>
      </c>
      <c r="I2672" t="s">
        <v>8434</v>
      </c>
    </row>
    <row r="2673" spans="1:9">
      <c r="A2673" t="str">
        <f>"0254464 "</f>
        <v xml:space="preserve">0254464 </v>
      </c>
      <c r="B2673" t="s">
        <v>8096</v>
      </c>
      <c r="C2673" t="s">
        <v>8435</v>
      </c>
      <c r="D2673" t="s">
        <v>8436</v>
      </c>
      <c r="E2673">
        <v>2</v>
      </c>
      <c r="F2673" t="s">
        <v>5747</v>
      </c>
      <c r="G2673" t="s">
        <v>8096</v>
      </c>
      <c r="H2673">
        <v>780025</v>
      </c>
      <c r="I2673" t="s">
        <v>8437</v>
      </c>
    </row>
    <row r="2674" spans="1:9">
      <c r="A2674" t="str">
        <f>"0254466 "</f>
        <v xml:space="preserve">0254466 </v>
      </c>
      <c r="B2674" t="s">
        <v>8096</v>
      </c>
      <c r="C2674" t="s">
        <v>8438</v>
      </c>
      <c r="D2674" t="s">
        <v>8439</v>
      </c>
      <c r="E2674">
        <v>1</v>
      </c>
      <c r="F2674" t="s">
        <v>8440</v>
      </c>
      <c r="G2674" t="s">
        <v>8096</v>
      </c>
      <c r="H2674">
        <v>780028</v>
      </c>
      <c r="I2674" t="s">
        <v>8441</v>
      </c>
    </row>
    <row r="2675" spans="1:9">
      <c r="A2675" t="str">
        <f>"0254467 "</f>
        <v xml:space="preserve">0254467 </v>
      </c>
      <c r="B2675" t="s">
        <v>8096</v>
      </c>
      <c r="C2675" t="s">
        <v>8442</v>
      </c>
      <c r="D2675" t="s">
        <v>8443</v>
      </c>
      <c r="E2675">
        <v>1</v>
      </c>
      <c r="F2675" t="s">
        <v>8444</v>
      </c>
      <c r="G2675" t="s">
        <v>8096</v>
      </c>
      <c r="H2675">
        <v>780029</v>
      </c>
      <c r="I2675" t="s">
        <v>8445</v>
      </c>
    </row>
    <row r="2676" spans="1:9">
      <c r="A2676" t="str">
        <f>"0254477 "</f>
        <v xml:space="preserve">0254477 </v>
      </c>
      <c r="B2676" t="s">
        <v>8096</v>
      </c>
      <c r="C2676" t="s">
        <v>8446</v>
      </c>
      <c r="D2676" t="s">
        <v>8447</v>
      </c>
      <c r="E2676">
        <v>1</v>
      </c>
      <c r="F2676" t="s">
        <v>8448</v>
      </c>
      <c r="G2676" t="s">
        <v>8096</v>
      </c>
      <c r="H2676">
        <v>780091</v>
      </c>
      <c r="I2676" t="s">
        <v>8449</v>
      </c>
    </row>
    <row r="2677" spans="1:9">
      <c r="A2677" t="str">
        <f>"0254482 "</f>
        <v xml:space="preserve">0254482 </v>
      </c>
      <c r="B2677" t="s">
        <v>8096</v>
      </c>
      <c r="C2677" t="s">
        <v>8450</v>
      </c>
      <c r="D2677" t="s">
        <v>8451</v>
      </c>
      <c r="E2677">
        <v>1</v>
      </c>
      <c r="F2677" t="s">
        <v>8452</v>
      </c>
      <c r="G2677" t="s">
        <v>8096</v>
      </c>
      <c r="H2677">
        <v>780102</v>
      </c>
      <c r="I2677" t="s">
        <v>8453</v>
      </c>
    </row>
    <row r="2678" spans="1:9">
      <c r="A2678" t="str">
        <f>"0254484 "</f>
        <v xml:space="preserve">0254484 </v>
      </c>
      <c r="B2678" t="s">
        <v>8096</v>
      </c>
      <c r="C2678" t="s">
        <v>8454</v>
      </c>
      <c r="D2678" t="s">
        <v>8455</v>
      </c>
      <c r="E2678">
        <v>1</v>
      </c>
      <c r="F2678" t="s">
        <v>8456</v>
      </c>
      <c r="G2678" t="s">
        <v>8096</v>
      </c>
      <c r="H2678">
        <v>780106</v>
      </c>
      <c r="I2678" t="s">
        <v>8457</v>
      </c>
    </row>
    <row r="2679" spans="1:9">
      <c r="A2679" t="str">
        <f>"0254485 "</f>
        <v xml:space="preserve">0254485 </v>
      </c>
      <c r="B2679" t="s">
        <v>8096</v>
      </c>
      <c r="C2679" t="s">
        <v>8458</v>
      </c>
      <c r="D2679" t="s">
        <v>8459</v>
      </c>
      <c r="E2679">
        <v>1</v>
      </c>
      <c r="F2679" t="s">
        <v>8460</v>
      </c>
      <c r="G2679" t="s">
        <v>8096</v>
      </c>
      <c r="H2679">
        <v>780110</v>
      </c>
      <c r="I2679" t="s">
        <v>8461</v>
      </c>
    </row>
    <row r="2680" spans="1:9">
      <c r="A2680" t="str">
        <f>"0254487 "</f>
        <v xml:space="preserve">0254487 </v>
      </c>
      <c r="B2680" t="s">
        <v>8096</v>
      </c>
      <c r="C2680" t="s">
        <v>8462</v>
      </c>
      <c r="D2680" t="s">
        <v>8463</v>
      </c>
      <c r="E2680">
        <v>2</v>
      </c>
      <c r="F2680" t="s">
        <v>8464</v>
      </c>
      <c r="G2680" t="s">
        <v>8096</v>
      </c>
      <c r="H2680">
        <v>780112</v>
      </c>
      <c r="I2680" t="s">
        <v>8465</v>
      </c>
    </row>
    <row r="2681" spans="1:9">
      <c r="A2681" t="str">
        <f>"0254488 "</f>
        <v xml:space="preserve">0254488 </v>
      </c>
      <c r="B2681" t="s">
        <v>8096</v>
      </c>
      <c r="C2681" t="s">
        <v>8466</v>
      </c>
      <c r="D2681" t="s">
        <v>8467</v>
      </c>
      <c r="E2681">
        <v>2</v>
      </c>
      <c r="F2681" t="s">
        <v>8468</v>
      </c>
      <c r="G2681" t="s">
        <v>8096</v>
      </c>
      <c r="H2681">
        <v>780113</v>
      </c>
      <c r="I2681" t="s">
        <v>8469</v>
      </c>
    </row>
    <row r="2682" spans="1:9">
      <c r="A2682" t="str">
        <f>"0254491 "</f>
        <v xml:space="preserve">0254491 </v>
      </c>
      <c r="B2682" t="s">
        <v>8096</v>
      </c>
      <c r="C2682" t="s">
        <v>8470</v>
      </c>
      <c r="D2682" t="s">
        <v>8471</v>
      </c>
      <c r="E2682">
        <v>2</v>
      </c>
      <c r="F2682" t="s">
        <v>8472</v>
      </c>
      <c r="G2682" t="s">
        <v>8096</v>
      </c>
      <c r="H2682">
        <v>780116</v>
      </c>
      <c r="I2682" t="s">
        <v>8473</v>
      </c>
    </row>
    <row r="2683" spans="1:9">
      <c r="A2683" t="str">
        <f>"0254493 "</f>
        <v xml:space="preserve">0254493 </v>
      </c>
      <c r="B2683" t="s">
        <v>8096</v>
      </c>
      <c r="C2683" t="s">
        <v>8474</v>
      </c>
      <c r="D2683" t="s">
        <v>8475</v>
      </c>
      <c r="E2683">
        <v>1</v>
      </c>
      <c r="F2683" t="s">
        <v>8476</v>
      </c>
      <c r="G2683" t="s">
        <v>8096</v>
      </c>
      <c r="H2683">
        <v>780118</v>
      </c>
      <c r="I2683" t="s">
        <v>8477</v>
      </c>
    </row>
    <row r="2684" spans="1:9">
      <c r="A2684" t="str">
        <f>"0254497 "</f>
        <v xml:space="preserve">0254497 </v>
      </c>
      <c r="B2684" t="s">
        <v>8096</v>
      </c>
      <c r="C2684" t="s">
        <v>8478</v>
      </c>
      <c r="D2684" t="s">
        <v>8479</v>
      </c>
      <c r="E2684">
        <v>2</v>
      </c>
      <c r="F2684" t="s">
        <v>5751</v>
      </c>
      <c r="G2684" t="s">
        <v>8096</v>
      </c>
      <c r="H2684">
        <v>780122</v>
      </c>
      <c r="I2684" t="s">
        <v>8480</v>
      </c>
    </row>
    <row r="2685" spans="1:9">
      <c r="A2685" t="str">
        <f>"0254500 "</f>
        <v xml:space="preserve">0254500 </v>
      </c>
      <c r="B2685" t="s">
        <v>8096</v>
      </c>
      <c r="C2685" t="s">
        <v>8481</v>
      </c>
      <c r="D2685" t="s">
        <v>8482</v>
      </c>
      <c r="E2685">
        <v>2</v>
      </c>
      <c r="F2685" t="s">
        <v>8483</v>
      </c>
      <c r="G2685" t="s">
        <v>8096</v>
      </c>
      <c r="H2685">
        <v>780125</v>
      </c>
      <c r="I2685" t="s">
        <v>8484</v>
      </c>
    </row>
    <row r="2686" spans="1:9">
      <c r="A2686" t="str">
        <f>"0254502 "</f>
        <v xml:space="preserve">0254502 </v>
      </c>
      <c r="B2686" t="s">
        <v>8096</v>
      </c>
      <c r="C2686" t="s">
        <v>8485</v>
      </c>
      <c r="D2686" t="s">
        <v>8486</v>
      </c>
      <c r="E2686">
        <v>2</v>
      </c>
      <c r="F2686" t="s">
        <v>8321</v>
      </c>
      <c r="G2686" t="s">
        <v>8096</v>
      </c>
      <c r="H2686">
        <v>780127</v>
      </c>
      <c r="I2686" t="s">
        <v>8487</v>
      </c>
    </row>
    <row r="2687" spans="1:9">
      <c r="A2687" t="str">
        <f>"0254509 "</f>
        <v xml:space="preserve">0254509 </v>
      </c>
      <c r="B2687" t="s">
        <v>8096</v>
      </c>
      <c r="C2687" t="s">
        <v>8488</v>
      </c>
      <c r="D2687" t="s">
        <v>8489</v>
      </c>
      <c r="E2687">
        <v>2</v>
      </c>
      <c r="F2687" t="s">
        <v>8245</v>
      </c>
      <c r="G2687" t="s">
        <v>8096</v>
      </c>
      <c r="H2687">
        <v>780140</v>
      </c>
      <c r="I2687" t="s">
        <v>8490</v>
      </c>
    </row>
    <row r="2688" spans="1:9">
      <c r="A2688" t="str">
        <f>"0254510 "</f>
        <v xml:space="preserve">0254510 </v>
      </c>
      <c r="B2688" t="s">
        <v>8096</v>
      </c>
      <c r="C2688" t="s">
        <v>8491</v>
      </c>
      <c r="D2688" t="s">
        <v>8492</v>
      </c>
      <c r="E2688">
        <v>1</v>
      </c>
      <c r="F2688" t="s">
        <v>8493</v>
      </c>
      <c r="G2688" t="s">
        <v>8096</v>
      </c>
      <c r="H2688">
        <v>780141</v>
      </c>
      <c r="I2688" t="s">
        <v>8494</v>
      </c>
    </row>
    <row r="2689" spans="1:9">
      <c r="A2689" t="str">
        <f>"0254512 "</f>
        <v xml:space="preserve">0254512 </v>
      </c>
      <c r="B2689" t="s">
        <v>8096</v>
      </c>
      <c r="C2689" t="s">
        <v>8495</v>
      </c>
      <c r="D2689" t="s">
        <v>8496</v>
      </c>
      <c r="E2689">
        <v>1</v>
      </c>
      <c r="F2689" t="s">
        <v>8497</v>
      </c>
      <c r="G2689" t="s">
        <v>8096</v>
      </c>
      <c r="H2689">
        <v>780143</v>
      </c>
      <c r="I2689" t="s">
        <v>8498</v>
      </c>
    </row>
    <row r="2690" spans="1:9">
      <c r="A2690" t="str">
        <f>"0254515 "</f>
        <v xml:space="preserve">0254515 </v>
      </c>
      <c r="B2690" t="s">
        <v>8096</v>
      </c>
      <c r="C2690" t="s">
        <v>8499</v>
      </c>
      <c r="D2690" t="s">
        <v>8500</v>
      </c>
      <c r="E2690">
        <v>1</v>
      </c>
      <c r="F2690" t="s">
        <v>8501</v>
      </c>
      <c r="G2690" t="s">
        <v>8096</v>
      </c>
      <c r="H2690">
        <v>780146</v>
      </c>
      <c r="I2690" t="s">
        <v>8502</v>
      </c>
    </row>
    <row r="2691" spans="1:9">
      <c r="A2691" t="str">
        <f>"0254523 "</f>
        <v xml:space="preserve">0254523 </v>
      </c>
      <c r="B2691" t="s">
        <v>8096</v>
      </c>
      <c r="C2691" t="s">
        <v>8503</v>
      </c>
      <c r="D2691" t="s">
        <v>8504</v>
      </c>
      <c r="E2691">
        <v>1</v>
      </c>
      <c r="F2691" t="s">
        <v>8233</v>
      </c>
      <c r="G2691" t="s">
        <v>8096</v>
      </c>
      <c r="H2691">
        <v>780172</v>
      </c>
      <c r="I2691" t="s">
        <v>8505</v>
      </c>
    </row>
    <row r="2692" spans="1:9">
      <c r="A2692" t="str">
        <f>"0254525 "</f>
        <v xml:space="preserve">0254525 </v>
      </c>
      <c r="B2692" t="s">
        <v>8096</v>
      </c>
      <c r="C2692" t="s">
        <v>8506</v>
      </c>
      <c r="D2692" t="s">
        <v>8507</v>
      </c>
      <c r="E2692">
        <v>1</v>
      </c>
      <c r="F2692" t="s">
        <v>8497</v>
      </c>
      <c r="G2692" t="s">
        <v>8096</v>
      </c>
      <c r="H2692">
        <v>780175</v>
      </c>
      <c r="I2692" t="s">
        <v>8508</v>
      </c>
    </row>
    <row r="2693" spans="1:9">
      <c r="A2693" t="str">
        <f>"0254528 "</f>
        <v xml:space="preserve">0254528 </v>
      </c>
      <c r="B2693" t="s">
        <v>8096</v>
      </c>
      <c r="C2693" t="s">
        <v>8509</v>
      </c>
      <c r="D2693" t="s">
        <v>8510</v>
      </c>
      <c r="E2693">
        <v>2</v>
      </c>
      <c r="F2693" t="s">
        <v>8511</v>
      </c>
      <c r="G2693" t="s">
        <v>8096</v>
      </c>
      <c r="H2693">
        <v>780179</v>
      </c>
      <c r="I2693" t="s">
        <v>8512</v>
      </c>
    </row>
    <row r="2694" spans="1:9">
      <c r="A2694" t="str">
        <f>"0254530 "</f>
        <v xml:space="preserve">0254530 </v>
      </c>
      <c r="B2694" t="s">
        <v>8096</v>
      </c>
      <c r="C2694" t="s">
        <v>8513</v>
      </c>
      <c r="D2694" t="s">
        <v>8514</v>
      </c>
      <c r="E2694">
        <v>1</v>
      </c>
      <c r="F2694" t="s">
        <v>8515</v>
      </c>
      <c r="G2694" t="s">
        <v>8096</v>
      </c>
      <c r="H2694">
        <v>780181</v>
      </c>
      <c r="I2694" t="s">
        <v>8516</v>
      </c>
    </row>
    <row r="2695" spans="1:9">
      <c r="A2695" t="str">
        <f>"0254532 "</f>
        <v xml:space="preserve">0254532 </v>
      </c>
      <c r="B2695" t="s">
        <v>8096</v>
      </c>
      <c r="C2695" t="s">
        <v>8517</v>
      </c>
      <c r="D2695" t="s">
        <v>8518</v>
      </c>
      <c r="E2695">
        <v>2</v>
      </c>
      <c r="F2695" t="s">
        <v>8519</v>
      </c>
      <c r="G2695" t="s">
        <v>8096</v>
      </c>
      <c r="H2695">
        <v>780186</v>
      </c>
      <c r="I2695" t="s">
        <v>8520</v>
      </c>
    </row>
    <row r="2696" spans="1:9">
      <c r="A2696" t="str">
        <f>"0254539 "</f>
        <v xml:space="preserve">0254539 </v>
      </c>
      <c r="B2696" t="s">
        <v>8096</v>
      </c>
      <c r="C2696" t="s">
        <v>8521</v>
      </c>
      <c r="D2696" t="s">
        <v>8522</v>
      </c>
      <c r="E2696">
        <v>2</v>
      </c>
      <c r="F2696" t="s">
        <v>8483</v>
      </c>
      <c r="G2696" t="s">
        <v>8096</v>
      </c>
      <c r="H2696">
        <v>780211</v>
      </c>
      <c r="I2696" t="s">
        <v>8523</v>
      </c>
    </row>
    <row r="2697" spans="1:9">
      <c r="A2697" t="str">
        <f>"0254540 "</f>
        <v xml:space="preserve">0254540 </v>
      </c>
      <c r="B2697" t="s">
        <v>8096</v>
      </c>
      <c r="C2697" t="s">
        <v>8524</v>
      </c>
      <c r="D2697" t="s">
        <v>8525</v>
      </c>
      <c r="E2697">
        <v>1</v>
      </c>
      <c r="F2697" t="s">
        <v>8526</v>
      </c>
      <c r="G2697" t="s">
        <v>8096</v>
      </c>
      <c r="H2697">
        <v>780212</v>
      </c>
      <c r="I2697" t="s">
        <v>8527</v>
      </c>
    </row>
    <row r="2698" spans="1:9">
      <c r="A2698" t="str">
        <f>"0254545 "</f>
        <v xml:space="preserve">0254545 </v>
      </c>
      <c r="B2698" t="s">
        <v>8096</v>
      </c>
      <c r="C2698" t="s">
        <v>8528</v>
      </c>
      <c r="D2698" t="s">
        <v>8529</v>
      </c>
      <c r="E2698">
        <v>2</v>
      </c>
      <c r="F2698" t="s">
        <v>8530</v>
      </c>
      <c r="G2698" t="s">
        <v>8096</v>
      </c>
      <c r="H2698">
        <v>780221</v>
      </c>
      <c r="I2698" t="s">
        <v>8531</v>
      </c>
    </row>
    <row r="2699" spans="1:9">
      <c r="A2699" t="str">
        <f>"0254546 "</f>
        <v xml:space="preserve">0254546 </v>
      </c>
      <c r="B2699" t="s">
        <v>8096</v>
      </c>
      <c r="C2699" t="s">
        <v>8532</v>
      </c>
      <c r="D2699" t="s">
        <v>8533</v>
      </c>
      <c r="E2699">
        <v>2</v>
      </c>
      <c r="F2699" t="s">
        <v>8402</v>
      </c>
      <c r="G2699" t="s">
        <v>8096</v>
      </c>
      <c r="H2699">
        <v>780222</v>
      </c>
      <c r="I2699" t="s">
        <v>8534</v>
      </c>
    </row>
    <row r="2700" spans="1:9">
      <c r="A2700" t="str">
        <f>"0254550 "</f>
        <v xml:space="preserve">0254550 </v>
      </c>
      <c r="B2700" t="s">
        <v>8096</v>
      </c>
      <c r="C2700" t="s">
        <v>8535</v>
      </c>
      <c r="D2700" t="s">
        <v>8536</v>
      </c>
      <c r="E2700">
        <v>2</v>
      </c>
      <c r="F2700" t="s">
        <v>8237</v>
      </c>
      <c r="G2700" t="s">
        <v>8096</v>
      </c>
      <c r="H2700">
        <v>780229</v>
      </c>
      <c r="I2700" t="s">
        <v>8537</v>
      </c>
    </row>
    <row r="2701" spans="1:9">
      <c r="A2701" t="str">
        <f>"0254551 "</f>
        <v xml:space="preserve">0254551 </v>
      </c>
      <c r="B2701" t="s">
        <v>8096</v>
      </c>
      <c r="C2701" t="s">
        <v>8538</v>
      </c>
      <c r="D2701" t="s">
        <v>8539</v>
      </c>
      <c r="E2701">
        <v>2</v>
      </c>
      <c r="F2701" t="s">
        <v>8444</v>
      </c>
      <c r="G2701" t="s">
        <v>8096</v>
      </c>
      <c r="H2701">
        <v>780230</v>
      </c>
      <c r="I2701" t="s">
        <v>8540</v>
      </c>
    </row>
    <row r="2702" spans="1:9">
      <c r="A2702" t="str">
        <f>"0254557 "</f>
        <v xml:space="preserve">0254557 </v>
      </c>
      <c r="B2702" t="s">
        <v>8096</v>
      </c>
      <c r="C2702" t="s">
        <v>8541</v>
      </c>
      <c r="D2702" t="s">
        <v>8542</v>
      </c>
      <c r="E2702">
        <v>1</v>
      </c>
      <c r="F2702" t="s">
        <v>8543</v>
      </c>
      <c r="G2702" t="s">
        <v>8096</v>
      </c>
      <c r="H2702">
        <v>780240</v>
      </c>
      <c r="I2702" t="s">
        <v>8544</v>
      </c>
    </row>
    <row r="2703" spans="1:9">
      <c r="A2703" t="str">
        <f>"0254560 "</f>
        <v xml:space="preserve">0254560 </v>
      </c>
      <c r="B2703" t="s">
        <v>8096</v>
      </c>
      <c r="C2703" t="s">
        <v>8545</v>
      </c>
      <c r="D2703" t="s">
        <v>8546</v>
      </c>
      <c r="E2703">
        <v>2</v>
      </c>
      <c r="F2703" t="s">
        <v>1526</v>
      </c>
      <c r="G2703" t="s">
        <v>8096</v>
      </c>
      <c r="H2703">
        <v>780253</v>
      </c>
      <c r="I2703" t="s">
        <v>8547</v>
      </c>
    </row>
    <row r="2704" spans="1:9">
      <c r="A2704" t="str">
        <f>"0254564 "</f>
        <v xml:space="preserve">0254564 </v>
      </c>
      <c r="B2704" t="s">
        <v>8096</v>
      </c>
      <c r="C2704" t="s">
        <v>8548</v>
      </c>
      <c r="D2704" t="s">
        <v>8549</v>
      </c>
      <c r="E2704">
        <v>2</v>
      </c>
      <c r="F2704" t="s">
        <v>8493</v>
      </c>
      <c r="G2704" t="s">
        <v>8096</v>
      </c>
      <c r="H2704">
        <v>780259</v>
      </c>
      <c r="I2704" t="s">
        <v>8550</v>
      </c>
    </row>
    <row r="2705" spans="1:9">
      <c r="A2705" t="str">
        <f>"0254566 "</f>
        <v xml:space="preserve">0254566 </v>
      </c>
      <c r="B2705" t="s">
        <v>8096</v>
      </c>
      <c r="C2705" t="s">
        <v>8551</v>
      </c>
      <c r="D2705" t="s">
        <v>8552</v>
      </c>
      <c r="E2705">
        <v>1</v>
      </c>
      <c r="F2705" t="s">
        <v>8497</v>
      </c>
      <c r="G2705" t="s">
        <v>8096</v>
      </c>
      <c r="H2705">
        <v>780261</v>
      </c>
      <c r="I2705" t="s">
        <v>8553</v>
      </c>
    </row>
    <row r="2706" spans="1:9">
      <c r="A2706" t="str">
        <f>"0254567 "</f>
        <v xml:space="preserve">0254567 </v>
      </c>
      <c r="B2706" t="s">
        <v>8096</v>
      </c>
      <c r="C2706" t="s">
        <v>8554</v>
      </c>
      <c r="D2706" t="s">
        <v>8555</v>
      </c>
      <c r="E2706">
        <v>1</v>
      </c>
      <c r="F2706" t="s">
        <v>8556</v>
      </c>
      <c r="G2706" t="s">
        <v>8096</v>
      </c>
      <c r="H2706">
        <v>780263</v>
      </c>
      <c r="I2706" t="s">
        <v>8557</v>
      </c>
    </row>
    <row r="2707" spans="1:9">
      <c r="A2707" t="str">
        <f>"0254568 "</f>
        <v xml:space="preserve">0254568 </v>
      </c>
      <c r="B2707" t="s">
        <v>8096</v>
      </c>
      <c r="C2707" t="s">
        <v>8558</v>
      </c>
      <c r="D2707" t="s">
        <v>8559</v>
      </c>
      <c r="E2707">
        <v>1</v>
      </c>
      <c r="F2707" t="s">
        <v>8409</v>
      </c>
      <c r="G2707" t="s">
        <v>8096</v>
      </c>
      <c r="H2707">
        <v>780267</v>
      </c>
      <c r="I2707" t="s">
        <v>8560</v>
      </c>
    </row>
    <row r="2708" spans="1:9">
      <c r="A2708" t="str">
        <f>"0254572 "</f>
        <v xml:space="preserve">0254572 </v>
      </c>
      <c r="B2708" t="s">
        <v>8096</v>
      </c>
      <c r="C2708" t="s">
        <v>8561</v>
      </c>
      <c r="D2708" t="s">
        <v>8562</v>
      </c>
      <c r="E2708">
        <v>1</v>
      </c>
      <c r="F2708" t="s">
        <v>8563</v>
      </c>
      <c r="G2708" t="s">
        <v>8096</v>
      </c>
      <c r="H2708">
        <v>780274</v>
      </c>
      <c r="I2708" t="s">
        <v>8564</v>
      </c>
    </row>
    <row r="2709" spans="1:9">
      <c r="A2709" t="str">
        <f>"0254573 "</f>
        <v xml:space="preserve">0254573 </v>
      </c>
      <c r="B2709" t="s">
        <v>8096</v>
      </c>
      <c r="C2709" t="s">
        <v>8565</v>
      </c>
      <c r="D2709" t="s">
        <v>8566</v>
      </c>
      <c r="E2709">
        <v>1</v>
      </c>
      <c r="F2709" t="s">
        <v>8567</v>
      </c>
      <c r="G2709" t="s">
        <v>8096</v>
      </c>
      <c r="H2709">
        <v>780275</v>
      </c>
      <c r="I2709" t="s">
        <v>8568</v>
      </c>
    </row>
    <row r="2710" spans="1:9">
      <c r="A2710" t="str">
        <f>"0254574 "</f>
        <v xml:space="preserve">0254574 </v>
      </c>
      <c r="B2710" t="s">
        <v>8096</v>
      </c>
      <c r="C2710" t="s">
        <v>8569</v>
      </c>
      <c r="D2710" t="s">
        <v>8570</v>
      </c>
      <c r="E2710">
        <v>1</v>
      </c>
      <c r="F2710" t="s">
        <v>8556</v>
      </c>
      <c r="G2710" t="s">
        <v>8096</v>
      </c>
      <c r="H2710">
        <v>780276</v>
      </c>
      <c r="I2710" t="s">
        <v>8571</v>
      </c>
    </row>
    <row r="2711" spans="1:9">
      <c r="A2711" t="str">
        <f>"0254576 "</f>
        <v xml:space="preserve">0254576 </v>
      </c>
      <c r="B2711" t="s">
        <v>8096</v>
      </c>
      <c r="C2711" t="s">
        <v>8572</v>
      </c>
      <c r="D2711" t="s">
        <v>8573</v>
      </c>
      <c r="E2711">
        <v>1</v>
      </c>
      <c r="F2711" t="s">
        <v>8282</v>
      </c>
      <c r="G2711" t="s">
        <v>8096</v>
      </c>
      <c r="H2711">
        <v>780280</v>
      </c>
      <c r="I2711" t="s">
        <v>8574</v>
      </c>
    </row>
    <row r="2712" spans="1:9">
      <c r="A2712" t="str">
        <f>"0254577 "</f>
        <v xml:space="preserve">0254577 </v>
      </c>
      <c r="B2712" t="s">
        <v>8096</v>
      </c>
      <c r="C2712" t="s">
        <v>8575</v>
      </c>
      <c r="D2712" t="s">
        <v>8576</v>
      </c>
      <c r="E2712">
        <v>1</v>
      </c>
      <c r="F2712" t="s">
        <v>8366</v>
      </c>
      <c r="G2712" t="s">
        <v>8096</v>
      </c>
      <c r="H2712">
        <v>780281</v>
      </c>
      <c r="I2712" t="s">
        <v>8577</v>
      </c>
    </row>
    <row r="2713" spans="1:9">
      <c r="A2713" t="str">
        <f>"0254579 "</f>
        <v xml:space="preserve">0254579 </v>
      </c>
      <c r="B2713" t="s">
        <v>8096</v>
      </c>
      <c r="C2713" t="s">
        <v>8578</v>
      </c>
      <c r="D2713" t="s">
        <v>8579</v>
      </c>
      <c r="E2713">
        <v>1</v>
      </c>
      <c r="F2713" t="s">
        <v>8245</v>
      </c>
      <c r="G2713" t="s">
        <v>8096</v>
      </c>
      <c r="H2713">
        <v>780283</v>
      </c>
      <c r="I2713" t="s">
        <v>8580</v>
      </c>
    </row>
    <row r="2714" spans="1:9">
      <c r="A2714" t="str">
        <f>"0254582 "</f>
        <v xml:space="preserve">0254582 </v>
      </c>
      <c r="B2714" t="s">
        <v>8096</v>
      </c>
      <c r="C2714" t="s">
        <v>8581</v>
      </c>
      <c r="D2714" t="s">
        <v>8582</v>
      </c>
      <c r="E2714">
        <v>1</v>
      </c>
      <c r="F2714" t="s">
        <v>8583</v>
      </c>
      <c r="G2714" t="s">
        <v>8096</v>
      </c>
      <c r="H2714">
        <v>780287</v>
      </c>
      <c r="I2714" t="s">
        <v>8584</v>
      </c>
    </row>
    <row r="2715" spans="1:9">
      <c r="A2715" t="str">
        <f>"0254583 "</f>
        <v xml:space="preserve">0254583 </v>
      </c>
      <c r="B2715" t="s">
        <v>8096</v>
      </c>
      <c r="C2715" t="s">
        <v>8585</v>
      </c>
      <c r="D2715" t="s">
        <v>8586</v>
      </c>
      <c r="E2715">
        <v>2</v>
      </c>
      <c r="F2715" t="s">
        <v>8556</v>
      </c>
      <c r="G2715" t="s">
        <v>8096</v>
      </c>
      <c r="H2715">
        <v>780290</v>
      </c>
      <c r="I2715" t="s">
        <v>8587</v>
      </c>
    </row>
    <row r="2716" spans="1:9">
      <c r="A2716" t="str">
        <f>"0254589 "</f>
        <v xml:space="preserve">0254589 </v>
      </c>
      <c r="B2716" t="s">
        <v>8096</v>
      </c>
      <c r="C2716" t="s">
        <v>8588</v>
      </c>
      <c r="D2716" t="s">
        <v>8589</v>
      </c>
      <c r="E2716">
        <v>2</v>
      </c>
      <c r="F2716" t="s">
        <v>8590</v>
      </c>
      <c r="G2716" t="s">
        <v>8096</v>
      </c>
      <c r="H2716">
        <v>780306</v>
      </c>
      <c r="I2716" t="s">
        <v>8591</v>
      </c>
    </row>
    <row r="2717" spans="1:9">
      <c r="A2717" t="str">
        <f>"0254591 "</f>
        <v xml:space="preserve">0254591 </v>
      </c>
      <c r="B2717" t="s">
        <v>8096</v>
      </c>
      <c r="C2717" t="s">
        <v>8592</v>
      </c>
      <c r="D2717" t="s">
        <v>8593</v>
      </c>
      <c r="E2717">
        <v>1</v>
      </c>
      <c r="F2717" t="s">
        <v>8594</v>
      </c>
      <c r="G2717" t="s">
        <v>8096</v>
      </c>
      <c r="H2717">
        <v>780340</v>
      </c>
      <c r="I2717" t="s">
        <v>8595</v>
      </c>
    </row>
    <row r="2718" spans="1:9">
      <c r="A2718" t="str">
        <f>"0254592 "</f>
        <v xml:space="preserve">0254592 </v>
      </c>
      <c r="B2718" t="s">
        <v>8096</v>
      </c>
      <c r="C2718" t="s">
        <v>8596</v>
      </c>
      <c r="D2718" t="s">
        <v>8597</v>
      </c>
      <c r="E2718">
        <v>2</v>
      </c>
      <c r="F2718" t="s">
        <v>8598</v>
      </c>
      <c r="G2718" t="s">
        <v>8096</v>
      </c>
      <c r="H2718">
        <v>780341</v>
      </c>
      <c r="I2718" t="s">
        <v>8599</v>
      </c>
    </row>
    <row r="2719" spans="1:9">
      <c r="A2719" t="str">
        <f>"0254593 "</f>
        <v xml:space="preserve">0254593 </v>
      </c>
      <c r="B2719" t="s">
        <v>8096</v>
      </c>
      <c r="C2719" t="s">
        <v>8600</v>
      </c>
      <c r="D2719" t="s">
        <v>8601</v>
      </c>
      <c r="E2719">
        <v>2</v>
      </c>
      <c r="F2719" t="s">
        <v>8602</v>
      </c>
      <c r="G2719" t="s">
        <v>8096</v>
      </c>
      <c r="H2719">
        <v>780342</v>
      </c>
      <c r="I2719" t="s">
        <v>8603</v>
      </c>
    </row>
    <row r="2720" spans="1:9">
      <c r="A2720" t="str">
        <f>"0254596 "</f>
        <v xml:space="preserve">0254596 </v>
      </c>
      <c r="B2720" t="s">
        <v>8096</v>
      </c>
      <c r="C2720" t="s">
        <v>8604</v>
      </c>
      <c r="D2720" t="s">
        <v>8605</v>
      </c>
      <c r="E2720">
        <v>1</v>
      </c>
      <c r="F2720" t="s">
        <v>8468</v>
      </c>
      <c r="G2720" t="s">
        <v>8096</v>
      </c>
      <c r="H2720">
        <v>780346</v>
      </c>
      <c r="I2720" t="s">
        <v>8606</v>
      </c>
    </row>
    <row r="2721" spans="1:9">
      <c r="A2721" t="str">
        <f>"0254597 "</f>
        <v xml:space="preserve">0254597 </v>
      </c>
      <c r="B2721" t="s">
        <v>8096</v>
      </c>
      <c r="C2721" t="s">
        <v>8607</v>
      </c>
      <c r="D2721" t="s">
        <v>8608</v>
      </c>
      <c r="E2721">
        <v>2</v>
      </c>
      <c r="F2721" t="s">
        <v>8609</v>
      </c>
      <c r="G2721" t="s">
        <v>8096</v>
      </c>
      <c r="H2721">
        <v>780348</v>
      </c>
      <c r="I2721" t="s">
        <v>8610</v>
      </c>
    </row>
    <row r="2722" spans="1:9">
      <c r="A2722" t="str">
        <f>"0254599 "</f>
        <v xml:space="preserve">0254599 </v>
      </c>
      <c r="B2722" t="s">
        <v>8096</v>
      </c>
      <c r="C2722" t="s">
        <v>8611</v>
      </c>
      <c r="D2722" t="s">
        <v>8612</v>
      </c>
      <c r="E2722">
        <v>2</v>
      </c>
      <c r="F2722" t="s">
        <v>1526</v>
      </c>
      <c r="G2722" t="s">
        <v>8096</v>
      </c>
      <c r="H2722">
        <v>780361</v>
      </c>
      <c r="I2722" t="s">
        <v>8613</v>
      </c>
    </row>
    <row r="2723" spans="1:9">
      <c r="A2723" t="str">
        <f>"0254600 "</f>
        <v xml:space="preserve">0254600 </v>
      </c>
      <c r="B2723" t="s">
        <v>8096</v>
      </c>
      <c r="C2723" t="s">
        <v>8614</v>
      </c>
      <c r="D2723" t="s">
        <v>8615</v>
      </c>
      <c r="E2723">
        <v>2</v>
      </c>
      <c r="F2723" t="s">
        <v>8497</v>
      </c>
      <c r="G2723" t="s">
        <v>8096</v>
      </c>
      <c r="H2723">
        <v>780362</v>
      </c>
      <c r="I2723" t="s">
        <v>8616</v>
      </c>
    </row>
    <row r="2724" spans="1:9">
      <c r="A2724" t="str">
        <f>"0254601 "</f>
        <v xml:space="preserve">0254601 </v>
      </c>
      <c r="B2724" t="s">
        <v>8096</v>
      </c>
      <c r="C2724" t="s">
        <v>8617</v>
      </c>
      <c r="D2724" t="s">
        <v>8618</v>
      </c>
      <c r="E2724">
        <v>1</v>
      </c>
      <c r="F2724" t="s">
        <v>8440</v>
      </c>
      <c r="G2724" t="s">
        <v>8096</v>
      </c>
      <c r="H2724">
        <v>780364</v>
      </c>
      <c r="I2724" t="s">
        <v>8619</v>
      </c>
    </row>
    <row r="2725" spans="1:9">
      <c r="A2725" t="str">
        <f>"0254602 "</f>
        <v xml:space="preserve">0254602 </v>
      </c>
      <c r="B2725" t="s">
        <v>8096</v>
      </c>
      <c r="C2725" t="s">
        <v>8620</v>
      </c>
      <c r="D2725" t="s">
        <v>8621</v>
      </c>
      <c r="E2725">
        <v>1</v>
      </c>
      <c r="F2725" t="s">
        <v>8622</v>
      </c>
      <c r="G2725" t="s">
        <v>8096</v>
      </c>
      <c r="H2725">
        <v>780365</v>
      </c>
      <c r="I2725" t="s">
        <v>8623</v>
      </c>
    </row>
    <row r="2726" spans="1:9">
      <c r="A2726" t="str">
        <f>"0254603 "</f>
        <v xml:space="preserve">0254603 </v>
      </c>
      <c r="B2726" t="s">
        <v>8096</v>
      </c>
      <c r="C2726" t="s">
        <v>8624</v>
      </c>
      <c r="D2726" t="s">
        <v>8625</v>
      </c>
      <c r="E2726">
        <v>1</v>
      </c>
      <c r="F2726" t="s">
        <v>8456</v>
      </c>
      <c r="G2726" t="s">
        <v>8096</v>
      </c>
      <c r="H2726">
        <v>780369</v>
      </c>
      <c r="I2726" t="s">
        <v>8626</v>
      </c>
    </row>
    <row r="2727" spans="1:9">
      <c r="A2727" t="str">
        <f>"0254604 "</f>
        <v xml:space="preserve">0254604 </v>
      </c>
      <c r="B2727" t="s">
        <v>8096</v>
      </c>
      <c r="C2727" t="s">
        <v>8627</v>
      </c>
      <c r="D2727" t="s">
        <v>8628</v>
      </c>
      <c r="E2727">
        <v>1</v>
      </c>
      <c r="F2727" t="s">
        <v>8556</v>
      </c>
      <c r="G2727" t="s">
        <v>8096</v>
      </c>
      <c r="H2727">
        <v>780371</v>
      </c>
      <c r="I2727" t="s">
        <v>8629</v>
      </c>
    </row>
    <row r="2728" spans="1:9">
      <c r="A2728" t="str">
        <f>"0254605 "</f>
        <v xml:space="preserve">0254605 </v>
      </c>
      <c r="B2728" t="s">
        <v>8096</v>
      </c>
      <c r="C2728" t="s">
        <v>8630</v>
      </c>
      <c r="D2728" t="s">
        <v>8631</v>
      </c>
      <c r="E2728">
        <v>2</v>
      </c>
      <c r="F2728" t="s">
        <v>8476</v>
      </c>
      <c r="G2728" t="s">
        <v>8096</v>
      </c>
      <c r="H2728">
        <v>780374</v>
      </c>
      <c r="I2728" t="s">
        <v>8632</v>
      </c>
    </row>
    <row r="2729" spans="1:9">
      <c r="A2729" t="str">
        <f>"0254606 "</f>
        <v xml:space="preserve">0254606 </v>
      </c>
      <c r="B2729" t="s">
        <v>8096</v>
      </c>
      <c r="C2729" t="s">
        <v>8633</v>
      </c>
      <c r="D2729" t="s">
        <v>8634</v>
      </c>
      <c r="E2729">
        <v>1</v>
      </c>
      <c r="F2729" t="s">
        <v>8635</v>
      </c>
      <c r="G2729" t="s">
        <v>8096</v>
      </c>
      <c r="H2729">
        <v>780375</v>
      </c>
      <c r="I2729" t="s">
        <v>8636</v>
      </c>
    </row>
    <row r="2730" spans="1:9">
      <c r="A2730" t="str">
        <f>"0254607 "</f>
        <v xml:space="preserve">0254607 </v>
      </c>
      <c r="B2730" t="s">
        <v>8096</v>
      </c>
      <c r="C2730" t="s">
        <v>8637</v>
      </c>
      <c r="D2730" t="s">
        <v>8638</v>
      </c>
      <c r="E2730">
        <v>2</v>
      </c>
      <c r="F2730" t="s">
        <v>8639</v>
      </c>
      <c r="G2730" t="s">
        <v>8096</v>
      </c>
      <c r="H2730">
        <v>780377</v>
      </c>
      <c r="I2730" t="s">
        <v>8640</v>
      </c>
    </row>
    <row r="2731" spans="1:9">
      <c r="A2731" t="str">
        <f>"0254608 "</f>
        <v xml:space="preserve">0254608 </v>
      </c>
      <c r="B2731" t="s">
        <v>8096</v>
      </c>
      <c r="C2731" t="s">
        <v>8641</v>
      </c>
      <c r="D2731" t="s">
        <v>8642</v>
      </c>
      <c r="E2731">
        <v>2</v>
      </c>
      <c r="F2731" t="s">
        <v>8643</v>
      </c>
      <c r="G2731" t="s">
        <v>8096</v>
      </c>
      <c r="H2731">
        <v>780378</v>
      </c>
      <c r="I2731" t="s">
        <v>8644</v>
      </c>
    </row>
    <row r="2732" spans="1:9">
      <c r="A2732" t="str">
        <f>"0254609 "</f>
        <v xml:space="preserve">0254609 </v>
      </c>
      <c r="B2732" t="s">
        <v>8096</v>
      </c>
      <c r="C2732" t="s">
        <v>8645</v>
      </c>
      <c r="D2732" t="s">
        <v>8646</v>
      </c>
      <c r="E2732">
        <v>1</v>
      </c>
      <c r="F2732" t="s">
        <v>8647</v>
      </c>
      <c r="G2732" t="s">
        <v>8096</v>
      </c>
      <c r="H2732">
        <v>780379</v>
      </c>
      <c r="I2732" t="s">
        <v>8648</v>
      </c>
    </row>
    <row r="2733" spans="1:9">
      <c r="A2733" t="str">
        <f>"0254610 "</f>
        <v xml:space="preserve">0254610 </v>
      </c>
      <c r="B2733" t="s">
        <v>8096</v>
      </c>
      <c r="C2733" t="s">
        <v>8649</v>
      </c>
      <c r="D2733" t="s">
        <v>8650</v>
      </c>
      <c r="E2733">
        <v>1</v>
      </c>
      <c r="F2733" t="s">
        <v>8468</v>
      </c>
      <c r="G2733" t="s">
        <v>8096</v>
      </c>
      <c r="H2733">
        <v>780380</v>
      </c>
      <c r="I2733" t="s">
        <v>8651</v>
      </c>
    </row>
    <row r="2734" spans="1:9">
      <c r="A2734" t="str">
        <f>"0254612 "</f>
        <v xml:space="preserve">0254612 </v>
      </c>
      <c r="B2734" t="s">
        <v>8096</v>
      </c>
      <c r="C2734" t="s">
        <v>8652</v>
      </c>
      <c r="D2734" t="s">
        <v>8653</v>
      </c>
      <c r="E2734">
        <v>2</v>
      </c>
      <c r="F2734" t="s">
        <v>8398</v>
      </c>
      <c r="G2734" t="s">
        <v>8096</v>
      </c>
      <c r="H2734">
        <v>780385</v>
      </c>
      <c r="I2734" t="s">
        <v>8654</v>
      </c>
    </row>
    <row r="2735" spans="1:9">
      <c r="A2735" t="str">
        <f>"0254614 "</f>
        <v xml:space="preserve">0254614 </v>
      </c>
      <c r="B2735" t="s">
        <v>8096</v>
      </c>
      <c r="C2735" t="s">
        <v>8655</v>
      </c>
      <c r="D2735" t="s">
        <v>8656</v>
      </c>
      <c r="E2735">
        <v>1</v>
      </c>
      <c r="F2735" t="s">
        <v>8657</v>
      </c>
      <c r="G2735" t="s">
        <v>8096</v>
      </c>
      <c r="H2735">
        <v>780387</v>
      </c>
      <c r="I2735" t="s">
        <v>8658</v>
      </c>
    </row>
    <row r="2736" spans="1:9">
      <c r="A2736" t="str">
        <f>"0254615 "</f>
        <v xml:space="preserve">0254615 </v>
      </c>
      <c r="B2736" t="s">
        <v>8096</v>
      </c>
      <c r="C2736" t="s">
        <v>8659</v>
      </c>
      <c r="D2736" t="s">
        <v>8660</v>
      </c>
      <c r="E2736">
        <v>1</v>
      </c>
      <c r="F2736" t="s">
        <v>8263</v>
      </c>
      <c r="G2736" t="s">
        <v>8096</v>
      </c>
      <c r="H2736">
        <v>780388</v>
      </c>
      <c r="I2736" t="s">
        <v>8661</v>
      </c>
    </row>
    <row r="2737" spans="1:9">
      <c r="A2737" t="str">
        <f>"0254616 "</f>
        <v xml:space="preserve">0254616 </v>
      </c>
      <c r="B2737" t="s">
        <v>8096</v>
      </c>
      <c r="C2737" t="s">
        <v>8662</v>
      </c>
      <c r="D2737" t="s">
        <v>8663</v>
      </c>
      <c r="E2737">
        <v>1</v>
      </c>
      <c r="F2737" t="s">
        <v>5322</v>
      </c>
      <c r="G2737" t="s">
        <v>8096</v>
      </c>
      <c r="H2737">
        <v>780389</v>
      </c>
      <c r="I2737" t="s">
        <v>8664</v>
      </c>
    </row>
    <row r="2738" spans="1:9">
      <c r="A2738" t="str">
        <f>"0254617 "</f>
        <v xml:space="preserve">0254617 </v>
      </c>
      <c r="B2738" t="s">
        <v>8096</v>
      </c>
      <c r="C2738" t="s">
        <v>8665</v>
      </c>
      <c r="D2738" t="s">
        <v>8666</v>
      </c>
      <c r="E2738">
        <v>1</v>
      </c>
      <c r="F2738" t="s">
        <v>5747</v>
      </c>
      <c r="G2738" t="s">
        <v>8096</v>
      </c>
      <c r="H2738">
        <v>780390</v>
      </c>
      <c r="I2738" t="s">
        <v>8667</v>
      </c>
    </row>
    <row r="2739" spans="1:9">
      <c r="A2739" t="str">
        <f>"0254618 "</f>
        <v xml:space="preserve">0254618 </v>
      </c>
      <c r="B2739" t="s">
        <v>8096</v>
      </c>
      <c r="C2739" t="s">
        <v>8668</v>
      </c>
      <c r="D2739" t="s">
        <v>8669</v>
      </c>
      <c r="E2739">
        <v>2</v>
      </c>
      <c r="F2739" t="s">
        <v>8286</v>
      </c>
      <c r="G2739" t="s">
        <v>8096</v>
      </c>
      <c r="H2739">
        <v>780392</v>
      </c>
      <c r="I2739" t="s">
        <v>8670</v>
      </c>
    </row>
    <row r="2740" spans="1:9">
      <c r="A2740" t="str">
        <f>"0254619 "</f>
        <v xml:space="preserve">0254619 </v>
      </c>
      <c r="B2740" t="s">
        <v>8096</v>
      </c>
      <c r="C2740" t="s">
        <v>8671</v>
      </c>
      <c r="D2740" t="s">
        <v>8672</v>
      </c>
      <c r="E2740">
        <v>2</v>
      </c>
      <c r="F2740" t="s">
        <v>8452</v>
      </c>
      <c r="G2740" t="s">
        <v>8096</v>
      </c>
      <c r="H2740">
        <v>780393</v>
      </c>
      <c r="I2740" t="s">
        <v>8673</v>
      </c>
    </row>
    <row r="2741" spans="1:9">
      <c r="A2741" t="str">
        <f>"0254620 "</f>
        <v xml:space="preserve">0254620 </v>
      </c>
      <c r="B2741" t="s">
        <v>8096</v>
      </c>
      <c r="C2741" t="s">
        <v>8674</v>
      </c>
      <c r="D2741" t="s">
        <v>8675</v>
      </c>
      <c r="E2741">
        <v>1</v>
      </c>
      <c r="F2741" t="s">
        <v>8233</v>
      </c>
      <c r="G2741" t="s">
        <v>8096</v>
      </c>
      <c r="H2741">
        <v>780394</v>
      </c>
      <c r="I2741" t="s">
        <v>8676</v>
      </c>
    </row>
    <row r="2742" spans="1:9">
      <c r="A2742" t="str">
        <f>"0254622 "</f>
        <v xml:space="preserve">0254622 </v>
      </c>
      <c r="B2742" t="s">
        <v>8096</v>
      </c>
      <c r="C2742" t="s">
        <v>8677</v>
      </c>
      <c r="D2742" t="s">
        <v>8678</v>
      </c>
      <c r="E2742">
        <v>2</v>
      </c>
      <c r="F2742" t="s">
        <v>5747</v>
      </c>
      <c r="G2742" t="s">
        <v>8096</v>
      </c>
      <c r="H2742">
        <v>780398</v>
      </c>
      <c r="I2742" t="s">
        <v>8679</v>
      </c>
    </row>
    <row r="2743" spans="1:9">
      <c r="A2743" t="str">
        <f>"0254623 "</f>
        <v xml:space="preserve">0254623 </v>
      </c>
      <c r="B2743" t="s">
        <v>8096</v>
      </c>
      <c r="C2743" t="s">
        <v>8680</v>
      </c>
      <c r="D2743" t="s">
        <v>8681</v>
      </c>
      <c r="E2743">
        <v>1</v>
      </c>
      <c r="F2743" t="s">
        <v>8682</v>
      </c>
      <c r="G2743" t="s">
        <v>8096</v>
      </c>
      <c r="H2743">
        <v>780399</v>
      </c>
      <c r="I2743" t="s">
        <v>8683</v>
      </c>
    </row>
    <row r="2744" spans="1:9">
      <c r="A2744" t="str">
        <f>"0254624 "</f>
        <v xml:space="preserve">0254624 </v>
      </c>
      <c r="B2744" t="s">
        <v>8096</v>
      </c>
      <c r="C2744" t="s">
        <v>8684</v>
      </c>
      <c r="D2744" t="s">
        <v>8685</v>
      </c>
      <c r="E2744">
        <v>1</v>
      </c>
      <c r="F2744" t="s">
        <v>8501</v>
      </c>
      <c r="G2744" t="s">
        <v>8096</v>
      </c>
      <c r="H2744">
        <v>780400</v>
      </c>
      <c r="I2744" t="s">
        <v>8686</v>
      </c>
    </row>
    <row r="2745" spans="1:9">
      <c r="A2745" t="str">
        <f>"0254625 "</f>
        <v xml:space="preserve">0254625 </v>
      </c>
      <c r="B2745" t="s">
        <v>8096</v>
      </c>
      <c r="C2745" t="s">
        <v>8687</v>
      </c>
      <c r="D2745" t="s">
        <v>8688</v>
      </c>
      <c r="E2745">
        <v>1</v>
      </c>
      <c r="F2745" t="s">
        <v>8689</v>
      </c>
      <c r="G2745" t="s">
        <v>8096</v>
      </c>
      <c r="H2745">
        <v>780401</v>
      </c>
      <c r="I2745" t="s">
        <v>8690</v>
      </c>
    </row>
    <row r="2746" spans="1:9">
      <c r="A2746" t="str">
        <f>"0254626 "</f>
        <v xml:space="preserve">0254626 </v>
      </c>
      <c r="B2746" t="s">
        <v>8096</v>
      </c>
      <c r="C2746" t="s">
        <v>8691</v>
      </c>
      <c r="D2746" t="s">
        <v>8692</v>
      </c>
      <c r="E2746">
        <v>1</v>
      </c>
      <c r="F2746" t="s">
        <v>8336</v>
      </c>
      <c r="G2746" t="s">
        <v>8096</v>
      </c>
      <c r="H2746">
        <v>780402</v>
      </c>
      <c r="I2746" t="s">
        <v>8693</v>
      </c>
    </row>
    <row r="2747" spans="1:9">
      <c r="A2747" t="str">
        <f>"0254627 "</f>
        <v xml:space="preserve">0254627 </v>
      </c>
      <c r="B2747" t="s">
        <v>8096</v>
      </c>
      <c r="C2747" t="s">
        <v>8694</v>
      </c>
      <c r="D2747" t="s">
        <v>8695</v>
      </c>
      <c r="E2747">
        <v>1</v>
      </c>
      <c r="F2747" t="s">
        <v>8233</v>
      </c>
      <c r="G2747" t="s">
        <v>8096</v>
      </c>
      <c r="H2747">
        <v>780403</v>
      </c>
      <c r="I2747" t="s">
        <v>8696</v>
      </c>
    </row>
    <row r="2748" spans="1:9">
      <c r="A2748" t="str">
        <f>"0254628 "</f>
        <v xml:space="preserve">0254628 </v>
      </c>
      <c r="B2748" t="s">
        <v>8096</v>
      </c>
      <c r="C2748" t="s">
        <v>8697</v>
      </c>
      <c r="D2748" t="s">
        <v>8698</v>
      </c>
      <c r="E2748">
        <v>1</v>
      </c>
      <c r="F2748" t="s">
        <v>8602</v>
      </c>
      <c r="G2748" t="s">
        <v>8096</v>
      </c>
      <c r="H2748">
        <v>780405</v>
      </c>
      <c r="I2748" t="s">
        <v>8699</v>
      </c>
    </row>
    <row r="2749" spans="1:9">
      <c r="A2749" t="str">
        <f>"0254631 "</f>
        <v xml:space="preserve">0254631 </v>
      </c>
      <c r="B2749" t="s">
        <v>8096</v>
      </c>
      <c r="C2749" t="s">
        <v>8700</v>
      </c>
      <c r="D2749" t="s">
        <v>8701</v>
      </c>
      <c r="E2749">
        <v>1</v>
      </c>
      <c r="F2749" t="s">
        <v>8306</v>
      </c>
      <c r="G2749" t="s">
        <v>8096</v>
      </c>
      <c r="H2749">
        <v>780411</v>
      </c>
      <c r="I2749" t="s">
        <v>8702</v>
      </c>
    </row>
    <row r="2750" spans="1:9">
      <c r="A2750" t="str">
        <f>"0254632 "</f>
        <v xml:space="preserve">0254632 </v>
      </c>
      <c r="B2750" t="s">
        <v>8096</v>
      </c>
      <c r="C2750" t="s">
        <v>8703</v>
      </c>
      <c r="D2750" t="s">
        <v>8704</v>
      </c>
      <c r="E2750">
        <v>1</v>
      </c>
      <c r="F2750" t="s">
        <v>8705</v>
      </c>
      <c r="G2750" t="s">
        <v>8096</v>
      </c>
      <c r="H2750">
        <v>780412</v>
      </c>
      <c r="I2750" t="s">
        <v>8706</v>
      </c>
    </row>
    <row r="2751" spans="1:9">
      <c r="A2751" t="str">
        <f>"0254634 "</f>
        <v xml:space="preserve">0254634 </v>
      </c>
      <c r="B2751" t="s">
        <v>8096</v>
      </c>
      <c r="C2751" t="s">
        <v>8707</v>
      </c>
      <c r="D2751" t="s">
        <v>8708</v>
      </c>
      <c r="E2751">
        <v>1</v>
      </c>
      <c r="F2751" t="s">
        <v>8402</v>
      </c>
      <c r="G2751" t="s">
        <v>8096</v>
      </c>
      <c r="H2751">
        <v>780414</v>
      </c>
      <c r="I2751" t="s">
        <v>8709</v>
      </c>
    </row>
    <row r="2752" spans="1:9">
      <c r="A2752" t="str">
        <f>"0254638 "</f>
        <v xml:space="preserve">0254638 </v>
      </c>
      <c r="B2752" t="s">
        <v>8096</v>
      </c>
      <c r="C2752" t="s">
        <v>8710</v>
      </c>
      <c r="D2752" t="s">
        <v>8711</v>
      </c>
      <c r="E2752">
        <v>1</v>
      </c>
      <c r="F2752" t="s">
        <v>8263</v>
      </c>
      <c r="G2752" t="s">
        <v>8096</v>
      </c>
      <c r="H2752">
        <v>780425</v>
      </c>
      <c r="I2752" t="s">
        <v>8712</v>
      </c>
    </row>
    <row r="2753" spans="1:9">
      <c r="A2753" t="str">
        <f>"0254639 "</f>
        <v xml:space="preserve">0254639 </v>
      </c>
      <c r="B2753" t="s">
        <v>8096</v>
      </c>
      <c r="C2753" t="s">
        <v>8713</v>
      </c>
      <c r="D2753" t="s">
        <v>8714</v>
      </c>
      <c r="E2753">
        <v>1</v>
      </c>
      <c r="F2753" t="s">
        <v>8448</v>
      </c>
      <c r="G2753" t="s">
        <v>8096</v>
      </c>
      <c r="H2753">
        <v>780429</v>
      </c>
      <c r="I2753" t="s">
        <v>8715</v>
      </c>
    </row>
    <row r="2754" spans="1:9">
      <c r="A2754" t="str">
        <f>"0254640 "</f>
        <v xml:space="preserve">0254640 </v>
      </c>
      <c r="B2754" t="s">
        <v>8096</v>
      </c>
      <c r="C2754" t="s">
        <v>8716</v>
      </c>
      <c r="D2754" t="s">
        <v>8717</v>
      </c>
      <c r="E2754">
        <v>1</v>
      </c>
      <c r="F2754" t="s">
        <v>8594</v>
      </c>
      <c r="G2754" t="s">
        <v>8096</v>
      </c>
      <c r="H2754">
        <v>780430</v>
      </c>
      <c r="I2754" t="s">
        <v>8718</v>
      </c>
    </row>
    <row r="2755" spans="1:9">
      <c r="A2755" t="str">
        <f>"0254641 "</f>
        <v xml:space="preserve">0254641 </v>
      </c>
      <c r="B2755" t="s">
        <v>8096</v>
      </c>
      <c r="C2755" t="s">
        <v>8719</v>
      </c>
      <c r="D2755" t="s">
        <v>8720</v>
      </c>
      <c r="E2755">
        <v>1</v>
      </c>
      <c r="F2755" t="s">
        <v>8721</v>
      </c>
      <c r="G2755" t="s">
        <v>8096</v>
      </c>
      <c r="H2755">
        <v>780431</v>
      </c>
      <c r="I2755" t="s">
        <v>8722</v>
      </c>
    </row>
    <row r="2756" spans="1:9">
      <c r="A2756" t="str">
        <f>"0254660 "</f>
        <v xml:space="preserve">0254660 </v>
      </c>
      <c r="B2756" t="s">
        <v>8096</v>
      </c>
      <c r="C2756" t="s">
        <v>8723</v>
      </c>
      <c r="D2756" t="s">
        <v>8724</v>
      </c>
      <c r="E2756">
        <v>2</v>
      </c>
      <c r="F2756" t="s">
        <v>8725</v>
      </c>
      <c r="G2756" t="s">
        <v>8096</v>
      </c>
      <c r="H2756">
        <v>802018</v>
      </c>
      <c r="I2756" t="s">
        <v>8726</v>
      </c>
    </row>
    <row r="2757" spans="1:9">
      <c r="A2757" t="str">
        <f>"0254665 "</f>
        <v xml:space="preserve">0254665 </v>
      </c>
      <c r="B2757" t="s">
        <v>8096</v>
      </c>
      <c r="C2757" t="s">
        <v>8727</v>
      </c>
      <c r="D2757" t="s">
        <v>8728</v>
      </c>
      <c r="E2757">
        <v>1</v>
      </c>
      <c r="F2757" t="s">
        <v>8729</v>
      </c>
      <c r="G2757" t="s">
        <v>8096</v>
      </c>
      <c r="H2757">
        <v>803004</v>
      </c>
      <c r="I2757" t="s">
        <v>8730</v>
      </c>
    </row>
    <row r="2758" spans="1:9">
      <c r="A2758" t="str">
        <f>"0254669 "</f>
        <v xml:space="preserve">0254669 </v>
      </c>
      <c r="B2758" t="s">
        <v>8096</v>
      </c>
      <c r="C2758" t="s">
        <v>8731</v>
      </c>
      <c r="D2758" t="s">
        <v>8732</v>
      </c>
      <c r="E2758">
        <v>1</v>
      </c>
      <c r="F2758" t="s">
        <v>8733</v>
      </c>
      <c r="G2758" t="s">
        <v>8096</v>
      </c>
      <c r="H2758">
        <v>803008</v>
      </c>
      <c r="I2758" t="s">
        <v>8734</v>
      </c>
    </row>
    <row r="2759" spans="1:9">
      <c r="A2759" t="str">
        <f>"0254670 "</f>
        <v xml:space="preserve">0254670 </v>
      </c>
      <c r="B2759" t="s">
        <v>8096</v>
      </c>
      <c r="C2759" t="s">
        <v>8735</v>
      </c>
      <c r="D2759" t="s">
        <v>8736</v>
      </c>
      <c r="E2759">
        <v>1</v>
      </c>
      <c r="F2759" t="s">
        <v>8737</v>
      </c>
      <c r="G2759" t="s">
        <v>8096</v>
      </c>
      <c r="H2759">
        <v>803009</v>
      </c>
      <c r="I2759" t="s">
        <v>8738</v>
      </c>
    </row>
    <row r="2760" spans="1:9">
      <c r="A2760" t="str">
        <f>"0254671 "</f>
        <v xml:space="preserve">0254671 </v>
      </c>
      <c r="B2760" t="s">
        <v>8096</v>
      </c>
      <c r="C2760" t="s">
        <v>8739</v>
      </c>
      <c r="D2760" t="s">
        <v>8740</v>
      </c>
      <c r="E2760">
        <v>1</v>
      </c>
      <c r="F2760" t="s">
        <v>8741</v>
      </c>
      <c r="G2760" t="s">
        <v>8096</v>
      </c>
      <c r="H2760">
        <v>803012</v>
      </c>
      <c r="I2760" t="s">
        <v>8742</v>
      </c>
    </row>
    <row r="2761" spans="1:9">
      <c r="A2761" t="str">
        <f>"0254673 "</f>
        <v xml:space="preserve">0254673 </v>
      </c>
      <c r="B2761" t="s">
        <v>8096</v>
      </c>
      <c r="C2761" t="s">
        <v>8743</v>
      </c>
      <c r="D2761" t="s">
        <v>8744</v>
      </c>
      <c r="E2761">
        <v>1</v>
      </c>
      <c r="F2761" t="s">
        <v>8745</v>
      </c>
      <c r="G2761" t="s">
        <v>8096</v>
      </c>
      <c r="H2761">
        <v>803014</v>
      </c>
      <c r="I2761" t="s">
        <v>8746</v>
      </c>
    </row>
    <row r="2762" spans="1:9">
      <c r="A2762" t="str">
        <f>"0254675 "</f>
        <v xml:space="preserve">0254675 </v>
      </c>
      <c r="B2762" t="s">
        <v>8096</v>
      </c>
      <c r="C2762" t="s">
        <v>8747</v>
      </c>
      <c r="D2762" t="s">
        <v>8748</v>
      </c>
      <c r="E2762">
        <v>2</v>
      </c>
      <c r="F2762" t="s">
        <v>8749</v>
      </c>
      <c r="G2762" t="s">
        <v>8096</v>
      </c>
      <c r="H2762">
        <v>803016</v>
      </c>
      <c r="I2762" t="s">
        <v>8750</v>
      </c>
    </row>
    <row r="2763" spans="1:9">
      <c r="A2763" t="str">
        <f>"0254676 "</f>
        <v xml:space="preserve">0254676 </v>
      </c>
      <c r="B2763" t="s">
        <v>8096</v>
      </c>
      <c r="C2763" t="s">
        <v>8751</v>
      </c>
      <c r="D2763" t="s">
        <v>8752</v>
      </c>
      <c r="E2763">
        <v>2</v>
      </c>
      <c r="F2763" t="s">
        <v>8753</v>
      </c>
      <c r="G2763" t="s">
        <v>8096</v>
      </c>
      <c r="H2763">
        <v>803017</v>
      </c>
      <c r="I2763" t="s">
        <v>8754</v>
      </c>
    </row>
    <row r="2764" spans="1:9">
      <c r="A2764" t="str">
        <f>"0254679 "</f>
        <v xml:space="preserve">0254679 </v>
      </c>
      <c r="B2764" t="s">
        <v>8096</v>
      </c>
      <c r="C2764" t="s">
        <v>8755</v>
      </c>
      <c r="D2764" t="s">
        <v>8756</v>
      </c>
      <c r="E2764">
        <v>1</v>
      </c>
      <c r="F2764" t="s">
        <v>8757</v>
      </c>
      <c r="G2764" t="s">
        <v>8096</v>
      </c>
      <c r="H2764">
        <v>803020</v>
      </c>
      <c r="I2764" t="s">
        <v>8758</v>
      </c>
    </row>
    <row r="2765" spans="1:9">
      <c r="A2765" t="str">
        <f>"0254680 "</f>
        <v xml:space="preserve">0254680 </v>
      </c>
      <c r="B2765" t="s">
        <v>8096</v>
      </c>
      <c r="C2765" t="s">
        <v>8759</v>
      </c>
      <c r="D2765" t="s">
        <v>8760</v>
      </c>
      <c r="E2765">
        <v>2</v>
      </c>
      <c r="F2765" t="s">
        <v>8761</v>
      </c>
      <c r="G2765" t="s">
        <v>8096</v>
      </c>
      <c r="H2765">
        <v>803021</v>
      </c>
      <c r="I2765" t="s">
        <v>8762</v>
      </c>
    </row>
    <row r="2766" spans="1:9">
      <c r="A2766" t="str">
        <f>"0254683 "</f>
        <v xml:space="preserve">0254683 </v>
      </c>
      <c r="B2766" t="s">
        <v>8096</v>
      </c>
      <c r="C2766" t="s">
        <v>8763</v>
      </c>
      <c r="D2766" t="s">
        <v>8764</v>
      </c>
      <c r="E2766">
        <v>2</v>
      </c>
      <c r="F2766" t="s">
        <v>8737</v>
      </c>
      <c r="G2766" t="s">
        <v>8096</v>
      </c>
      <c r="H2766">
        <v>803024</v>
      </c>
      <c r="I2766" t="s">
        <v>8765</v>
      </c>
    </row>
    <row r="2767" spans="1:9">
      <c r="A2767" t="str">
        <f>"0254685 "</f>
        <v xml:space="preserve">0254685 </v>
      </c>
      <c r="B2767" t="s">
        <v>8096</v>
      </c>
      <c r="C2767" t="s">
        <v>8766</v>
      </c>
      <c r="D2767" t="s">
        <v>8767</v>
      </c>
      <c r="E2767">
        <v>1</v>
      </c>
      <c r="F2767" t="s">
        <v>8171</v>
      </c>
      <c r="G2767" t="s">
        <v>8096</v>
      </c>
      <c r="H2767">
        <v>803026</v>
      </c>
      <c r="I2767" t="s">
        <v>8768</v>
      </c>
    </row>
    <row r="2768" spans="1:9">
      <c r="A2768" t="str">
        <f>"0254690 "</f>
        <v xml:space="preserve">0254690 </v>
      </c>
      <c r="B2768" t="s">
        <v>8096</v>
      </c>
      <c r="C2768" t="s">
        <v>8769</v>
      </c>
      <c r="D2768" t="s">
        <v>8770</v>
      </c>
      <c r="E2768">
        <v>2</v>
      </c>
      <c r="F2768" t="s">
        <v>8771</v>
      </c>
      <c r="G2768" t="s">
        <v>8096</v>
      </c>
      <c r="H2768">
        <v>803033</v>
      </c>
      <c r="I2768" t="s">
        <v>8772</v>
      </c>
    </row>
    <row r="2769" spans="1:9">
      <c r="A2769" t="str">
        <f>"0254692 "</f>
        <v xml:space="preserve">0254692 </v>
      </c>
      <c r="B2769" t="s">
        <v>8096</v>
      </c>
      <c r="C2769" t="s">
        <v>8773</v>
      </c>
      <c r="D2769" t="s">
        <v>8774</v>
      </c>
      <c r="E2769">
        <v>2</v>
      </c>
      <c r="F2769" t="s">
        <v>8198</v>
      </c>
      <c r="G2769" t="s">
        <v>8096</v>
      </c>
      <c r="H2769">
        <v>803035</v>
      </c>
      <c r="I2769" t="s">
        <v>8775</v>
      </c>
    </row>
    <row r="2770" spans="1:9">
      <c r="A2770" t="str">
        <f>"0254693 "</f>
        <v xml:space="preserve">0254693 </v>
      </c>
      <c r="B2770" t="s">
        <v>8096</v>
      </c>
      <c r="C2770" t="s">
        <v>8776</v>
      </c>
      <c r="D2770" t="s">
        <v>8777</v>
      </c>
      <c r="E2770">
        <v>1</v>
      </c>
      <c r="F2770" t="s">
        <v>8147</v>
      </c>
      <c r="G2770" t="s">
        <v>8096</v>
      </c>
      <c r="H2770">
        <v>803036</v>
      </c>
      <c r="I2770" t="s">
        <v>8778</v>
      </c>
    </row>
    <row r="2771" spans="1:9">
      <c r="A2771" t="str">
        <f>"0254695 "</f>
        <v xml:space="preserve">0254695 </v>
      </c>
      <c r="B2771" t="s">
        <v>8096</v>
      </c>
      <c r="C2771" t="s">
        <v>8779</v>
      </c>
      <c r="D2771" t="s">
        <v>8780</v>
      </c>
      <c r="E2771">
        <v>1</v>
      </c>
      <c r="F2771" t="s">
        <v>8781</v>
      </c>
      <c r="G2771" t="s">
        <v>8096</v>
      </c>
      <c r="H2771">
        <v>803051</v>
      </c>
      <c r="I2771" t="s">
        <v>8782</v>
      </c>
    </row>
    <row r="2772" spans="1:9">
      <c r="A2772" t="str">
        <f>"0254696 "</f>
        <v xml:space="preserve">0254696 </v>
      </c>
      <c r="B2772" t="s">
        <v>8096</v>
      </c>
      <c r="C2772" t="s">
        <v>8783</v>
      </c>
      <c r="D2772" t="s">
        <v>8784</v>
      </c>
      <c r="E2772">
        <v>2</v>
      </c>
      <c r="F2772" t="s">
        <v>8785</v>
      </c>
      <c r="G2772" t="s">
        <v>8096</v>
      </c>
      <c r="H2772">
        <v>803058</v>
      </c>
      <c r="I2772" t="s">
        <v>8786</v>
      </c>
    </row>
    <row r="2773" spans="1:9">
      <c r="A2773" t="str">
        <f>"0254698 "</f>
        <v xml:space="preserve">0254698 </v>
      </c>
      <c r="B2773" t="s">
        <v>8096</v>
      </c>
      <c r="C2773" t="s">
        <v>8787</v>
      </c>
      <c r="D2773" t="s">
        <v>8788</v>
      </c>
      <c r="E2773">
        <v>1</v>
      </c>
      <c r="F2773" t="s">
        <v>8789</v>
      </c>
      <c r="G2773" t="s">
        <v>8096</v>
      </c>
      <c r="H2773">
        <v>803067</v>
      </c>
      <c r="I2773" t="s">
        <v>8790</v>
      </c>
    </row>
    <row r="2774" spans="1:9">
      <c r="A2774" t="str">
        <f>"0254700 "</f>
        <v xml:space="preserve">0254700 </v>
      </c>
      <c r="B2774" t="s">
        <v>8096</v>
      </c>
      <c r="C2774" t="s">
        <v>8791</v>
      </c>
      <c r="D2774" t="s">
        <v>8792</v>
      </c>
      <c r="E2774">
        <v>2</v>
      </c>
      <c r="F2774" t="s">
        <v>8793</v>
      </c>
      <c r="G2774" t="s">
        <v>8096</v>
      </c>
      <c r="H2774">
        <v>803077</v>
      </c>
      <c r="I2774" t="s">
        <v>8794</v>
      </c>
    </row>
    <row r="2775" spans="1:9">
      <c r="A2775" t="str">
        <f>"0254703 "</f>
        <v xml:space="preserve">0254703 </v>
      </c>
      <c r="B2775" t="s">
        <v>8096</v>
      </c>
      <c r="C2775" t="s">
        <v>8795</v>
      </c>
      <c r="D2775" t="s">
        <v>8796</v>
      </c>
      <c r="E2775">
        <v>1</v>
      </c>
      <c r="F2775" t="s">
        <v>8797</v>
      </c>
      <c r="G2775" t="s">
        <v>8096</v>
      </c>
      <c r="H2775">
        <v>803086</v>
      </c>
      <c r="I2775" t="s">
        <v>8798</v>
      </c>
    </row>
    <row r="2776" spans="1:9">
      <c r="A2776" t="str">
        <f>"0254704 "</f>
        <v xml:space="preserve">0254704 </v>
      </c>
      <c r="B2776" t="s">
        <v>8096</v>
      </c>
      <c r="C2776" t="s">
        <v>8799</v>
      </c>
      <c r="D2776" t="s">
        <v>8800</v>
      </c>
      <c r="E2776">
        <v>1</v>
      </c>
      <c r="F2776" t="s">
        <v>8801</v>
      </c>
      <c r="G2776" t="s">
        <v>8096</v>
      </c>
      <c r="H2776">
        <v>803087</v>
      </c>
      <c r="I2776" t="s">
        <v>8802</v>
      </c>
    </row>
    <row r="2777" spans="1:9">
      <c r="A2777" t="str">
        <f>"0254706 "</f>
        <v xml:space="preserve">0254706 </v>
      </c>
      <c r="B2777" t="s">
        <v>8096</v>
      </c>
      <c r="C2777" t="s">
        <v>8803</v>
      </c>
      <c r="D2777" t="s">
        <v>8804</v>
      </c>
      <c r="E2777">
        <v>1</v>
      </c>
      <c r="F2777" t="s">
        <v>8805</v>
      </c>
      <c r="G2777" t="s">
        <v>8096</v>
      </c>
      <c r="H2777">
        <v>803092</v>
      </c>
      <c r="I2777" t="s">
        <v>8806</v>
      </c>
    </row>
    <row r="2778" spans="1:9">
      <c r="A2778" t="str">
        <f>"0254708 "</f>
        <v xml:space="preserve">0254708 </v>
      </c>
      <c r="B2778" t="s">
        <v>8096</v>
      </c>
      <c r="C2778" t="s">
        <v>8807</v>
      </c>
      <c r="D2778" t="s">
        <v>8808</v>
      </c>
      <c r="E2778">
        <v>1</v>
      </c>
      <c r="F2778" t="s">
        <v>8809</v>
      </c>
      <c r="G2778" t="s">
        <v>8096</v>
      </c>
      <c r="H2778">
        <v>805001</v>
      </c>
      <c r="I2778" t="s">
        <v>8810</v>
      </c>
    </row>
    <row r="2779" spans="1:9">
      <c r="A2779" t="str">
        <f>"0254709 "</f>
        <v xml:space="preserve">0254709 </v>
      </c>
      <c r="B2779" t="s">
        <v>8096</v>
      </c>
      <c r="C2779" t="s">
        <v>8811</v>
      </c>
      <c r="D2779" t="s">
        <v>8812</v>
      </c>
      <c r="E2779">
        <v>1</v>
      </c>
      <c r="F2779" t="s">
        <v>8813</v>
      </c>
      <c r="G2779" t="s">
        <v>8096</v>
      </c>
      <c r="H2779">
        <v>805007</v>
      </c>
      <c r="I2779" t="s">
        <v>8814</v>
      </c>
    </row>
    <row r="2780" spans="1:9">
      <c r="A2780" t="str">
        <f>"0254715 "</f>
        <v xml:space="preserve">0254715 </v>
      </c>
      <c r="B2780" t="s">
        <v>8096</v>
      </c>
      <c r="C2780" t="s">
        <v>8815</v>
      </c>
      <c r="D2780" t="s">
        <v>8816</v>
      </c>
      <c r="E2780">
        <v>4</v>
      </c>
      <c r="F2780" t="s">
        <v>8147</v>
      </c>
      <c r="G2780" t="s">
        <v>8096</v>
      </c>
      <c r="H2780">
        <v>808021</v>
      </c>
      <c r="I2780" t="s">
        <v>8817</v>
      </c>
    </row>
    <row r="2781" spans="1:9">
      <c r="A2781" t="str">
        <f>"0254718 "</f>
        <v xml:space="preserve">0254718 </v>
      </c>
      <c r="B2781" t="s">
        <v>8096</v>
      </c>
      <c r="C2781" t="s">
        <v>8818</v>
      </c>
      <c r="D2781" t="s">
        <v>8819</v>
      </c>
      <c r="E2781">
        <v>1</v>
      </c>
      <c r="F2781" t="s">
        <v>8202</v>
      </c>
      <c r="G2781" t="s">
        <v>8096</v>
      </c>
      <c r="H2781">
        <v>809002</v>
      </c>
      <c r="I2781" t="s">
        <v>8820</v>
      </c>
    </row>
    <row r="2782" spans="1:9">
      <c r="A2782" t="str">
        <f>"0254720 "</f>
        <v xml:space="preserve">0254720 </v>
      </c>
      <c r="B2782" t="s">
        <v>8096</v>
      </c>
      <c r="C2782" t="s">
        <v>8821</v>
      </c>
      <c r="D2782" t="s">
        <v>8822</v>
      </c>
      <c r="E2782">
        <v>1</v>
      </c>
      <c r="F2782" t="s">
        <v>8823</v>
      </c>
      <c r="G2782" t="s">
        <v>8096</v>
      </c>
      <c r="H2782">
        <v>809004</v>
      </c>
      <c r="I2782" t="s">
        <v>8824</v>
      </c>
    </row>
    <row r="2783" spans="1:9">
      <c r="A2783" t="str">
        <f>"0254727 "</f>
        <v xml:space="preserve">0254727 </v>
      </c>
      <c r="B2783" t="s">
        <v>8096</v>
      </c>
      <c r="C2783" t="s">
        <v>8825</v>
      </c>
      <c r="D2783" t="s">
        <v>8826</v>
      </c>
      <c r="E2783">
        <v>1</v>
      </c>
      <c r="F2783" t="s">
        <v>8827</v>
      </c>
      <c r="G2783" t="s">
        <v>8096</v>
      </c>
      <c r="H2783">
        <v>810002</v>
      </c>
      <c r="I2783" t="s">
        <v>8828</v>
      </c>
    </row>
    <row r="2784" spans="1:9">
      <c r="A2784" t="str">
        <f>"0254734 "</f>
        <v xml:space="preserve">0254734 </v>
      </c>
      <c r="B2784" t="s">
        <v>8096</v>
      </c>
      <c r="C2784" t="s">
        <v>8829</v>
      </c>
      <c r="D2784" t="s">
        <v>8830</v>
      </c>
      <c r="E2784">
        <v>1</v>
      </c>
      <c r="F2784" t="s">
        <v>8831</v>
      </c>
      <c r="G2784" t="s">
        <v>8096</v>
      </c>
      <c r="H2784">
        <v>810010</v>
      </c>
      <c r="I2784" t="s">
        <v>8832</v>
      </c>
    </row>
    <row r="2785" spans="1:9">
      <c r="A2785" t="str">
        <f>"0254735 "</f>
        <v xml:space="preserve">0254735 </v>
      </c>
      <c r="B2785" t="s">
        <v>8096</v>
      </c>
      <c r="C2785" t="s">
        <v>8833</v>
      </c>
      <c r="D2785" t="s">
        <v>8834</v>
      </c>
      <c r="E2785">
        <v>1</v>
      </c>
      <c r="F2785" t="s">
        <v>8835</v>
      </c>
      <c r="G2785" t="s">
        <v>8096</v>
      </c>
      <c r="H2785">
        <v>810011</v>
      </c>
      <c r="I2785" t="s">
        <v>8836</v>
      </c>
    </row>
    <row r="2786" spans="1:9">
      <c r="A2786" t="str">
        <f>"0254737 "</f>
        <v xml:space="preserve">0254737 </v>
      </c>
      <c r="B2786" t="s">
        <v>8096</v>
      </c>
      <c r="C2786" t="s">
        <v>8837</v>
      </c>
      <c r="D2786" t="s">
        <v>8838</v>
      </c>
      <c r="E2786">
        <v>2</v>
      </c>
      <c r="F2786" t="s">
        <v>8839</v>
      </c>
      <c r="G2786" t="s">
        <v>8096</v>
      </c>
      <c r="H2786">
        <v>810013</v>
      </c>
      <c r="I2786" t="s">
        <v>8840</v>
      </c>
    </row>
    <row r="2787" spans="1:9">
      <c r="A2787" t="str">
        <f>"0254742 "</f>
        <v xml:space="preserve">0254742 </v>
      </c>
      <c r="B2787" t="s">
        <v>8096</v>
      </c>
      <c r="C2787" t="s">
        <v>8841</v>
      </c>
      <c r="D2787" t="s">
        <v>8842</v>
      </c>
      <c r="E2787">
        <v>2</v>
      </c>
      <c r="F2787" t="s">
        <v>8843</v>
      </c>
      <c r="G2787" t="s">
        <v>8096</v>
      </c>
      <c r="H2787">
        <v>810018</v>
      </c>
      <c r="I2787" t="s">
        <v>8844</v>
      </c>
    </row>
    <row r="2788" spans="1:9">
      <c r="A2788" t="str">
        <f>"0254748 "</f>
        <v xml:space="preserve">0254748 </v>
      </c>
      <c r="B2788" t="s">
        <v>8096</v>
      </c>
      <c r="C2788" t="s">
        <v>8845</v>
      </c>
      <c r="D2788" t="s">
        <v>8846</v>
      </c>
      <c r="E2788">
        <v>1</v>
      </c>
      <c r="F2788" t="s">
        <v>8831</v>
      </c>
      <c r="G2788" t="s">
        <v>8096</v>
      </c>
      <c r="H2788">
        <v>810026</v>
      </c>
      <c r="I2788" t="s">
        <v>8847</v>
      </c>
    </row>
    <row r="2789" spans="1:9">
      <c r="A2789" t="str">
        <f>"0254750 "</f>
        <v xml:space="preserve">0254750 </v>
      </c>
      <c r="B2789" t="s">
        <v>8096</v>
      </c>
      <c r="C2789" t="s">
        <v>8848</v>
      </c>
      <c r="D2789" t="s">
        <v>8849</v>
      </c>
      <c r="E2789">
        <v>1</v>
      </c>
      <c r="F2789" t="s">
        <v>8147</v>
      </c>
      <c r="G2789" t="s">
        <v>8096</v>
      </c>
      <c r="H2789">
        <v>810028</v>
      </c>
      <c r="I2789" t="s">
        <v>8850</v>
      </c>
    </row>
    <row r="2790" spans="1:9">
      <c r="A2790" t="str">
        <f>"0254754 "</f>
        <v xml:space="preserve">0254754 </v>
      </c>
      <c r="B2790" t="s">
        <v>8096</v>
      </c>
      <c r="C2790" t="s">
        <v>8851</v>
      </c>
      <c r="D2790" t="s">
        <v>8852</v>
      </c>
      <c r="E2790">
        <v>1</v>
      </c>
      <c r="F2790" t="s">
        <v>8198</v>
      </c>
      <c r="G2790" t="s">
        <v>8096</v>
      </c>
      <c r="H2790">
        <v>810051</v>
      </c>
      <c r="I2790" t="s">
        <v>8853</v>
      </c>
    </row>
    <row r="2791" spans="1:9">
      <c r="A2791" t="str">
        <f>"0254755 "</f>
        <v xml:space="preserve">0254755 </v>
      </c>
      <c r="B2791" t="s">
        <v>8096</v>
      </c>
      <c r="C2791" t="s">
        <v>8854</v>
      </c>
      <c r="D2791" t="s">
        <v>8855</v>
      </c>
      <c r="E2791">
        <v>1</v>
      </c>
      <c r="F2791" t="s">
        <v>8856</v>
      </c>
      <c r="G2791" t="s">
        <v>8096</v>
      </c>
      <c r="H2791">
        <v>810052</v>
      </c>
      <c r="I2791" t="s">
        <v>8857</v>
      </c>
    </row>
    <row r="2792" spans="1:9">
      <c r="A2792" t="str">
        <f>"0254756 "</f>
        <v xml:space="preserve">0254756 </v>
      </c>
      <c r="B2792" t="s">
        <v>8096</v>
      </c>
      <c r="C2792" t="s">
        <v>8858</v>
      </c>
      <c r="D2792" t="s">
        <v>8859</v>
      </c>
      <c r="E2792">
        <v>1</v>
      </c>
      <c r="F2792" t="s">
        <v>8860</v>
      </c>
      <c r="G2792" t="s">
        <v>8096</v>
      </c>
      <c r="H2792">
        <v>810053</v>
      </c>
      <c r="I2792" t="s">
        <v>8861</v>
      </c>
    </row>
    <row r="2793" spans="1:9">
      <c r="A2793" t="str">
        <f>"0254759 "</f>
        <v xml:space="preserve">0254759 </v>
      </c>
      <c r="B2793" t="s">
        <v>8096</v>
      </c>
      <c r="C2793" t="s">
        <v>8862</v>
      </c>
      <c r="D2793" t="s">
        <v>8863</v>
      </c>
      <c r="E2793">
        <v>2</v>
      </c>
      <c r="F2793" t="s">
        <v>8864</v>
      </c>
      <c r="G2793" t="s">
        <v>8096</v>
      </c>
      <c r="H2793">
        <v>810067</v>
      </c>
      <c r="I2793" t="s">
        <v>8865</v>
      </c>
    </row>
    <row r="2794" spans="1:9">
      <c r="A2794" t="str">
        <f>"0254763 "</f>
        <v xml:space="preserve">0254763 </v>
      </c>
      <c r="B2794" t="s">
        <v>8096</v>
      </c>
      <c r="C2794" t="s">
        <v>8866</v>
      </c>
      <c r="D2794" t="s">
        <v>8867</v>
      </c>
      <c r="E2794">
        <v>1</v>
      </c>
      <c r="F2794" t="s">
        <v>8868</v>
      </c>
      <c r="G2794" t="s">
        <v>8096</v>
      </c>
      <c r="H2794">
        <v>810086</v>
      </c>
      <c r="I2794" t="s">
        <v>8869</v>
      </c>
    </row>
    <row r="2795" spans="1:9">
      <c r="A2795" t="str">
        <f>"0254765 "</f>
        <v xml:space="preserve">0254765 </v>
      </c>
      <c r="B2795" t="s">
        <v>8096</v>
      </c>
      <c r="C2795" t="s">
        <v>8870</v>
      </c>
      <c r="D2795" t="s">
        <v>8871</v>
      </c>
      <c r="E2795">
        <v>1</v>
      </c>
      <c r="F2795" t="s">
        <v>8872</v>
      </c>
      <c r="G2795" t="s">
        <v>8096</v>
      </c>
      <c r="H2795">
        <v>810098</v>
      </c>
      <c r="I2795" t="s">
        <v>8873</v>
      </c>
    </row>
    <row r="2796" spans="1:9">
      <c r="A2796" t="str">
        <f>"0254767 "</f>
        <v xml:space="preserve">0254767 </v>
      </c>
      <c r="B2796" t="s">
        <v>8096</v>
      </c>
      <c r="C2796" t="s">
        <v>8874</v>
      </c>
      <c r="D2796" t="s">
        <v>8875</v>
      </c>
      <c r="E2796">
        <v>2</v>
      </c>
      <c r="F2796" t="s">
        <v>8876</v>
      </c>
      <c r="G2796" t="s">
        <v>8096</v>
      </c>
      <c r="H2796">
        <v>812001</v>
      </c>
      <c r="I2796" t="s">
        <v>8877</v>
      </c>
    </row>
    <row r="2797" spans="1:9">
      <c r="A2797" t="str">
        <f>"0254770 "</f>
        <v xml:space="preserve">0254770 </v>
      </c>
      <c r="B2797" t="s">
        <v>8096</v>
      </c>
      <c r="C2797" t="s">
        <v>8878</v>
      </c>
      <c r="D2797" t="s">
        <v>8879</v>
      </c>
      <c r="E2797">
        <v>2</v>
      </c>
      <c r="F2797" t="s">
        <v>8880</v>
      </c>
      <c r="G2797" t="s">
        <v>8096</v>
      </c>
      <c r="H2797">
        <v>812006</v>
      </c>
      <c r="I2797" t="s">
        <v>8881</v>
      </c>
    </row>
    <row r="2798" spans="1:9">
      <c r="A2798" t="str">
        <f>"0254772 "</f>
        <v xml:space="preserve">0254772 </v>
      </c>
      <c r="B2798" t="s">
        <v>8096</v>
      </c>
      <c r="C2798" t="s">
        <v>8882</v>
      </c>
      <c r="D2798" t="s">
        <v>8883</v>
      </c>
      <c r="E2798">
        <v>1</v>
      </c>
      <c r="F2798" t="s">
        <v>8884</v>
      </c>
      <c r="G2798" t="s">
        <v>8096</v>
      </c>
      <c r="H2798">
        <v>812009</v>
      </c>
      <c r="I2798" t="s">
        <v>8885</v>
      </c>
    </row>
    <row r="2799" spans="1:9">
      <c r="A2799" t="str">
        <f>"0254776 "</f>
        <v xml:space="preserve">0254776 </v>
      </c>
      <c r="B2799" t="s">
        <v>8096</v>
      </c>
      <c r="C2799" t="s">
        <v>8886</v>
      </c>
      <c r="D2799" t="s">
        <v>8887</v>
      </c>
      <c r="E2799">
        <v>2</v>
      </c>
      <c r="F2799" t="s">
        <v>8888</v>
      </c>
      <c r="G2799" t="s">
        <v>8096</v>
      </c>
      <c r="H2799">
        <v>812021</v>
      </c>
      <c r="I2799" t="s">
        <v>8889</v>
      </c>
    </row>
    <row r="2800" spans="1:9">
      <c r="A2800" t="str">
        <f>"0254777 "</f>
        <v xml:space="preserve">0254777 </v>
      </c>
      <c r="B2800" t="s">
        <v>8096</v>
      </c>
      <c r="C2800" t="s">
        <v>8890</v>
      </c>
      <c r="D2800" t="s">
        <v>8891</v>
      </c>
      <c r="E2800">
        <v>2</v>
      </c>
      <c r="F2800" t="s">
        <v>8892</v>
      </c>
      <c r="G2800" t="s">
        <v>8096</v>
      </c>
      <c r="H2800">
        <v>812023</v>
      </c>
      <c r="I2800" t="s">
        <v>8893</v>
      </c>
    </row>
    <row r="2801" spans="1:9">
      <c r="A2801" t="str">
        <f>"0254778 "</f>
        <v xml:space="preserve">0254778 </v>
      </c>
      <c r="B2801" t="s">
        <v>8096</v>
      </c>
      <c r="C2801" t="s">
        <v>8894</v>
      </c>
      <c r="D2801" t="s">
        <v>8895</v>
      </c>
      <c r="E2801">
        <v>2</v>
      </c>
      <c r="F2801" t="s">
        <v>8202</v>
      </c>
      <c r="G2801" t="s">
        <v>8096</v>
      </c>
      <c r="H2801">
        <v>812027</v>
      </c>
      <c r="I2801" t="s">
        <v>8896</v>
      </c>
    </row>
    <row r="2802" spans="1:9">
      <c r="A2802" t="str">
        <f>"0254779 "</f>
        <v xml:space="preserve">0254779 </v>
      </c>
      <c r="B2802" t="s">
        <v>8096</v>
      </c>
      <c r="C2802" t="s">
        <v>8897</v>
      </c>
      <c r="D2802" t="s">
        <v>8898</v>
      </c>
      <c r="E2802">
        <v>1</v>
      </c>
      <c r="F2802" t="s">
        <v>8899</v>
      </c>
      <c r="G2802" t="s">
        <v>8096</v>
      </c>
      <c r="H2802">
        <v>812028</v>
      </c>
      <c r="I2802" t="s">
        <v>8900</v>
      </c>
    </row>
    <row r="2803" spans="1:9">
      <c r="A2803" t="str">
        <f>"0254790 "</f>
        <v xml:space="preserve">0254790 </v>
      </c>
      <c r="B2803" t="s">
        <v>8096</v>
      </c>
      <c r="C2803" t="s">
        <v>8901</v>
      </c>
      <c r="D2803" t="s">
        <v>8902</v>
      </c>
      <c r="E2803">
        <v>2</v>
      </c>
      <c r="F2803" t="s">
        <v>8903</v>
      </c>
      <c r="G2803" t="s">
        <v>8096</v>
      </c>
      <c r="H2803">
        <v>814030</v>
      </c>
      <c r="I2803" t="s">
        <v>8904</v>
      </c>
    </row>
    <row r="2804" spans="1:9">
      <c r="A2804" t="str">
        <f>"0254796 "</f>
        <v xml:space="preserve">0254796 </v>
      </c>
      <c r="B2804" t="s">
        <v>8096</v>
      </c>
      <c r="C2804" t="s">
        <v>8905</v>
      </c>
      <c r="D2804" t="s">
        <v>8906</v>
      </c>
      <c r="E2804">
        <v>1</v>
      </c>
      <c r="F2804" t="s">
        <v>8907</v>
      </c>
      <c r="G2804" t="s">
        <v>8096</v>
      </c>
      <c r="H2804">
        <v>817001</v>
      </c>
      <c r="I2804" t="s">
        <v>8908</v>
      </c>
    </row>
    <row r="2805" spans="1:9">
      <c r="A2805" t="str">
        <f>"0254798 "</f>
        <v xml:space="preserve">0254798 </v>
      </c>
      <c r="B2805" t="s">
        <v>8096</v>
      </c>
      <c r="C2805" t="s">
        <v>8909</v>
      </c>
      <c r="D2805" t="s">
        <v>8910</v>
      </c>
      <c r="E2805">
        <v>1</v>
      </c>
      <c r="F2805" t="s">
        <v>8202</v>
      </c>
      <c r="G2805" t="s">
        <v>8096</v>
      </c>
      <c r="H2805">
        <v>817004</v>
      </c>
      <c r="I2805" t="s">
        <v>8911</v>
      </c>
    </row>
    <row r="2806" spans="1:9">
      <c r="A2806" t="str">
        <f>"0254801 "</f>
        <v xml:space="preserve">0254801 </v>
      </c>
      <c r="B2806" t="s">
        <v>8096</v>
      </c>
      <c r="C2806" t="s">
        <v>8912</v>
      </c>
      <c r="D2806" t="s">
        <v>8913</v>
      </c>
      <c r="E2806">
        <v>2</v>
      </c>
      <c r="F2806" t="s">
        <v>8914</v>
      </c>
      <c r="G2806" t="s">
        <v>8096</v>
      </c>
      <c r="H2806">
        <v>817007</v>
      </c>
      <c r="I2806" t="s">
        <v>8915</v>
      </c>
    </row>
    <row r="2807" spans="1:9">
      <c r="A2807" t="str">
        <f>"0254813 "</f>
        <v xml:space="preserve">0254813 </v>
      </c>
      <c r="B2807" t="s">
        <v>8096</v>
      </c>
      <c r="C2807" t="s">
        <v>8916</v>
      </c>
      <c r="D2807" t="s">
        <v>8917</v>
      </c>
      <c r="E2807">
        <v>1</v>
      </c>
      <c r="F2807" t="s">
        <v>8823</v>
      </c>
      <c r="G2807" t="s">
        <v>8096</v>
      </c>
      <c r="H2807">
        <v>817019</v>
      </c>
      <c r="I2807" t="s">
        <v>8918</v>
      </c>
    </row>
    <row r="2808" spans="1:9">
      <c r="A2808" t="str">
        <f>"0254819 "</f>
        <v xml:space="preserve">0254819 </v>
      </c>
      <c r="B2808" t="s">
        <v>8096</v>
      </c>
      <c r="C2808" t="s">
        <v>8919</v>
      </c>
      <c r="D2808" t="s">
        <v>8920</v>
      </c>
      <c r="E2808">
        <v>1</v>
      </c>
      <c r="F2808" t="s">
        <v>8860</v>
      </c>
      <c r="G2808" t="s">
        <v>8096</v>
      </c>
      <c r="H2808">
        <v>817026</v>
      </c>
      <c r="I2808" t="s">
        <v>8921</v>
      </c>
    </row>
    <row r="2809" spans="1:9">
      <c r="A2809" t="str">
        <f>"0254823 "</f>
        <v xml:space="preserve">0254823 </v>
      </c>
      <c r="B2809" t="s">
        <v>8096</v>
      </c>
      <c r="C2809" t="s">
        <v>8922</v>
      </c>
      <c r="D2809" t="s">
        <v>8923</v>
      </c>
      <c r="E2809">
        <v>1</v>
      </c>
      <c r="F2809" t="s">
        <v>8924</v>
      </c>
      <c r="G2809" t="s">
        <v>8096</v>
      </c>
      <c r="H2809">
        <v>817031</v>
      </c>
      <c r="I2809" t="s">
        <v>8925</v>
      </c>
    </row>
    <row r="2810" spans="1:9">
      <c r="A2810" t="str">
        <f>"0254830 "</f>
        <v xml:space="preserve">0254830 </v>
      </c>
      <c r="B2810" t="s">
        <v>8096</v>
      </c>
      <c r="C2810" t="s">
        <v>8926</v>
      </c>
      <c r="D2810" t="s">
        <v>8927</v>
      </c>
      <c r="E2810">
        <v>1</v>
      </c>
      <c r="F2810" t="s">
        <v>8928</v>
      </c>
      <c r="G2810" t="s">
        <v>8096</v>
      </c>
      <c r="H2810">
        <v>817043</v>
      </c>
      <c r="I2810" t="s">
        <v>8929</v>
      </c>
    </row>
    <row r="2811" spans="1:9">
      <c r="A2811" t="str">
        <f>"0254832 "</f>
        <v xml:space="preserve">0254832 </v>
      </c>
      <c r="B2811" t="s">
        <v>8096</v>
      </c>
      <c r="C2811" t="s">
        <v>8930</v>
      </c>
      <c r="D2811" t="s">
        <v>8931</v>
      </c>
      <c r="E2811">
        <v>2</v>
      </c>
      <c r="F2811" t="s">
        <v>8932</v>
      </c>
      <c r="G2811" t="s">
        <v>8096</v>
      </c>
      <c r="H2811">
        <v>817045</v>
      </c>
      <c r="I2811" t="s">
        <v>8933</v>
      </c>
    </row>
    <row r="2812" spans="1:9">
      <c r="A2812" t="str">
        <f>"0254834 "</f>
        <v xml:space="preserve">0254834 </v>
      </c>
      <c r="B2812" t="s">
        <v>8096</v>
      </c>
      <c r="C2812" t="s">
        <v>8934</v>
      </c>
      <c r="D2812" t="s">
        <v>8935</v>
      </c>
      <c r="E2812">
        <v>1</v>
      </c>
      <c r="F2812" t="s">
        <v>8936</v>
      </c>
      <c r="G2812" t="s">
        <v>8096</v>
      </c>
      <c r="H2812">
        <v>817051</v>
      </c>
      <c r="I2812" t="s">
        <v>8937</v>
      </c>
    </row>
    <row r="2813" spans="1:9">
      <c r="A2813" t="str">
        <f>"0254837 "</f>
        <v xml:space="preserve">0254837 </v>
      </c>
      <c r="B2813" t="s">
        <v>8096</v>
      </c>
      <c r="C2813" t="s">
        <v>8938</v>
      </c>
      <c r="D2813" t="s">
        <v>8939</v>
      </c>
      <c r="E2813">
        <v>2</v>
      </c>
      <c r="F2813" t="s">
        <v>8940</v>
      </c>
      <c r="G2813" t="s">
        <v>8096</v>
      </c>
      <c r="H2813">
        <v>817055</v>
      </c>
      <c r="I2813" t="s">
        <v>8941</v>
      </c>
    </row>
    <row r="2814" spans="1:9">
      <c r="A2814" t="str">
        <f>"0254838 "</f>
        <v xml:space="preserve">0254838 </v>
      </c>
      <c r="B2814" t="s">
        <v>8096</v>
      </c>
      <c r="C2814" t="s">
        <v>8942</v>
      </c>
      <c r="D2814" t="s">
        <v>8943</v>
      </c>
      <c r="E2814">
        <v>1</v>
      </c>
      <c r="F2814" t="s">
        <v>8944</v>
      </c>
      <c r="G2814" t="s">
        <v>8096</v>
      </c>
      <c r="H2814">
        <v>817060</v>
      </c>
      <c r="I2814" t="s">
        <v>8945</v>
      </c>
    </row>
    <row r="2815" spans="1:9">
      <c r="A2815" t="str">
        <f>"0254841 "</f>
        <v xml:space="preserve">0254841 </v>
      </c>
      <c r="B2815" t="s">
        <v>8096</v>
      </c>
      <c r="C2815" t="s">
        <v>8946</v>
      </c>
      <c r="D2815" t="s">
        <v>8947</v>
      </c>
      <c r="E2815">
        <v>1</v>
      </c>
      <c r="F2815" t="s">
        <v>8948</v>
      </c>
      <c r="G2815" t="s">
        <v>8096</v>
      </c>
      <c r="H2815">
        <v>818001</v>
      </c>
      <c r="I2815" t="s">
        <v>8949</v>
      </c>
    </row>
    <row r="2816" spans="1:9">
      <c r="A2816" t="str">
        <f>"0254842 "</f>
        <v xml:space="preserve">0254842 </v>
      </c>
      <c r="B2816" t="s">
        <v>8096</v>
      </c>
      <c r="C2816" t="s">
        <v>8950</v>
      </c>
      <c r="D2816" t="s">
        <v>8951</v>
      </c>
      <c r="E2816">
        <v>1</v>
      </c>
      <c r="F2816" t="s">
        <v>8952</v>
      </c>
      <c r="G2816" t="s">
        <v>8096</v>
      </c>
      <c r="H2816">
        <v>818002</v>
      </c>
      <c r="I2816" t="s">
        <v>8953</v>
      </c>
    </row>
    <row r="2817" spans="1:9">
      <c r="A2817" t="str">
        <f>"0254844 "</f>
        <v xml:space="preserve">0254844 </v>
      </c>
      <c r="B2817" t="s">
        <v>8096</v>
      </c>
      <c r="C2817" t="s">
        <v>8954</v>
      </c>
      <c r="D2817" t="s">
        <v>8955</v>
      </c>
      <c r="E2817">
        <v>1</v>
      </c>
      <c r="F2817" t="s">
        <v>8956</v>
      </c>
      <c r="G2817" t="s">
        <v>8096</v>
      </c>
      <c r="H2817">
        <v>818004</v>
      </c>
      <c r="I2817" t="s">
        <v>8957</v>
      </c>
    </row>
    <row r="2818" spans="1:9">
      <c r="A2818" t="str">
        <f>"0254846 "</f>
        <v xml:space="preserve">0254846 </v>
      </c>
      <c r="B2818" t="s">
        <v>8096</v>
      </c>
      <c r="C2818" t="s">
        <v>8958</v>
      </c>
      <c r="D2818" t="s">
        <v>8959</v>
      </c>
      <c r="E2818">
        <v>1</v>
      </c>
      <c r="F2818" t="s">
        <v>8960</v>
      </c>
      <c r="G2818" t="s">
        <v>8096</v>
      </c>
      <c r="H2818">
        <v>818006</v>
      </c>
      <c r="I2818" t="s">
        <v>8961</v>
      </c>
    </row>
    <row r="2819" spans="1:9">
      <c r="A2819" t="str">
        <f>"0254847 "</f>
        <v xml:space="preserve">0254847 </v>
      </c>
      <c r="B2819" t="s">
        <v>8096</v>
      </c>
      <c r="C2819" t="s">
        <v>8962</v>
      </c>
      <c r="D2819" t="s">
        <v>8963</v>
      </c>
      <c r="E2819">
        <v>1</v>
      </c>
      <c r="F2819" t="s">
        <v>8179</v>
      </c>
      <c r="G2819" t="s">
        <v>8096</v>
      </c>
      <c r="H2819">
        <v>818007</v>
      </c>
      <c r="I2819" t="s">
        <v>8964</v>
      </c>
    </row>
    <row r="2820" spans="1:9">
      <c r="A2820" t="str">
        <f>"0254849 "</f>
        <v xml:space="preserve">0254849 </v>
      </c>
      <c r="B2820" t="s">
        <v>8096</v>
      </c>
      <c r="C2820" t="s">
        <v>8965</v>
      </c>
      <c r="D2820" t="s">
        <v>8966</v>
      </c>
      <c r="E2820">
        <v>2</v>
      </c>
      <c r="F2820" t="s">
        <v>8823</v>
      </c>
      <c r="G2820" t="s">
        <v>8096</v>
      </c>
      <c r="H2820">
        <v>818009</v>
      </c>
      <c r="I2820" t="s">
        <v>8967</v>
      </c>
    </row>
    <row r="2821" spans="1:9">
      <c r="A2821" t="str">
        <f>"0254851 "</f>
        <v xml:space="preserve">0254851 </v>
      </c>
      <c r="B2821" t="s">
        <v>8096</v>
      </c>
      <c r="C2821" t="s">
        <v>8968</v>
      </c>
      <c r="D2821" t="s">
        <v>8969</v>
      </c>
      <c r="E2821">
        <v>1</v>
      </c>
      <c r="F2821" t="s">
        <v>8785</v>
      </c>
      <c r="G2821" t="s">
        <v>8096</v>
      </c>
      <c r="H2821">
        <v>818011</v>
      </c>
      <c r="I2821" t="s">
        <v>8970</v>
      </c>
    </row>
    <row r="2822" spans="1:9">
      <c r="A2822" t="str">
        <f>"0254853 "</f>
        <v xml:space="preserve">0254853 </v>
      </c>
      <c r="B2822" t="s">
        <v>8096</v>
      </c>
      <c r="C2822" t="s">
        <v>8971</v>
      </c>
      <c r="D2822" t="s">
        <v>8972</v>
      </c>
      <c r="E2822">
        <v>2</v>
      </c>
      <c r="F2822" t="s">
        <v>8823</v>
      </c>
      <c r="G2822" t="s">
        <v>8096</v>
      </c>
      <c r="H2822">
        <v>818013</v>
      </c>
      <c r="I2822" t="s">
        <v>8973</v>
      </c>
    </row>
    <row r="2823" spans="1:9">
      <c r="A2823" t="str">
        <f>"0254854 "</f>
        <v xml:space="preserve">0254854 </v>
      </c>
      <c r="B2823" t="s">
        <v>8096</v>
      </c>
      <c r="C2823" t="s">
        <v>8974</v>
      </c>
      <c r="D2823" t="s">
        <v>8975</v>
      </c>
      <c r="E2823">
        <v>2</v>
      </c>
      <c r="F2823" t="s">
        <v>8899</v>
      </c>
      <c r="G2823" t="s">
        <v>8096</v>
      </c>
      <c r="H2823">
        <v>818014</v>
      </c>
      <c r="I2823" t="s">
        <v>8976</v>
      </c>
    </row>
    <row r="2824" spans="1:9">
      <c r="A2824" t="str">
        <f>"0254857 "</f>
        <v xml:space="preserve">0254857 </v>
      </c>
      <c r="B2824" t="s">
        <v>8096</v>
      </c>
      <c r="C2824" t="s">
        <v>8977</v>
      </c>
      <c r="D2824" t="s">
        <v>8978</v>
      </c>
      <c r="E2824">
        <v>1</v>
      </c>
      <c r="F2824" t="s">
        <v>8979</v>
      </c>
      <c r="G2824" t="s">
        <v>8096</v>
      </c>
      <c r="H2824">
        <v>818017</v>
      </c>
      <c r="I2824" t="s">
        <v>8980</v>
      </c>
    </row>
    <row r="2825" spans="1:9">
      <c r="A2825" t="str">
        <f>"0254859 "</f>
        <v xml:space="preserve">0254859 </v>
      </c>
      <c r="B2825" t="s">
        <v>8096</v>
      </c>
      <c r="C2825" t="s">
        <v>8981</v>
      </c>
      <c r="D2825" t="s">
        <v>8982</v>
      </c>
      <c r="E2825">
        <v>1</v>
      </c>
      <c r="F2825" t="s">
        <v>8163</v>
      </c>
      <c r="G2825" t="s">
        <v>8096</v>
      </c>
      <c r="H2825">
        <v>818019</v>
      </c>
      <c r="I2825" t="s">
        <v>8983</v>
      </c>
    </row>
    <row r="2826" spans="1:9">
      <c r="A2826" t="str">
        <f>"0254860 "</f>
        <v xml:space="preserve">0254860 </v>
      </c>
      <c r="B2826" t="s">
        <v>8096</v>
      </c>
      <c r="C2826" t="s">
        <v>8984</v>
      </c>
      <c r="D2826" t="s">
        <v>8985</v>
      </c>
      <c r="E2826">
        <v>1</v>
      </c>
      <c r="F2826" t="s">
        <v>8202</v>
      </c>
      <c r="G2826" t="s">
        <v>8096</v>
      </c>
      <c r="H2826">
        <v>818021</v>
      </c>
      <c r="I2826" t="s">
        <v>8986</v>
      </c>
    </row>
    <row r="2827" spans="1:9">
      <c r="A2827" t="str">
        <f>"0254861 "</f>
        <v xml:space="preserve">0254861 </v>
      </c>
      <c r="B2827" t="s">
        <v>8096</v>
      </c>
      <c r="C2827" t="s">
        <v>8987</v>
      </c>
      <c r="D2827" t="s">
        <v>8988</v>
      </c>
      <c r="E2827">
        <v>1</v>
      </c>
      <c r="F2827" t="s">
        <v>8952</v>
      </c>
      <c r="G2827" t="s">
        <v>8096</v>
      </c>
      <c r="H2827">
        <v>818023</v>
      </c>
      <c r="I2827" t="s">
        <v>8989</v>
      </c>
    </row>
    <row r="2828" spans="1:9">
      <c r="A2828" t="str">
        <f>"0254862 "</f>
        <v xml:space="preserve">0254862 </v>
      </c>
      <c r="B2828" t="s">
        <v>8096</v>
      </c>
      <c r="C2828" t="s">
        <v>8990</v>
      </c>
      <c r="D2828" t="s">
        <v>8991</v>
      </c>
      <c r="E2828">
        <v>1</v>
      </c>
      <c r="F2828" t="s">
        <v>8737</v>
      </c>
      <c r="G2828" t="s">
        <v>8096</v>
      </c>
      <c r="H2828">
        <v>818024</v>
      </c>
      <c r="I2828" t="s">
        <v>8992</v>
      </c>
    </row>
    <row r="2829" spans="1:9">
      <c r="A2829" t="str">
        <f>"0254863 "</f>
        <v xml:space="preserve">0254863 </v>
      </c>
      <c r="B2829" t="s">
        <v>8096</v>
      </c>
      <c r="C2829" t="s">
        <v>8993</v>
      </c>
      <c r="D2829" t="s">
        <v>8994</v>
      </c>
      <c r="E2829">
        <v>2</v>
      </c>
      <c r="F2829" t="s">
        <v>8995</v>
      </c>
      <c r="G2829" t="s">
        <v>8096</v>
      </c>
      <c r="H2829">
        <v>818025</v>
      </c>
      <c r="I2829" t="s">
        <v>8996</v>
      </c>
    </row>
    <row r="2830" spans="1:9">
      <c r="A2830" t="str">
        <f>"0254864 "</f>
        <v xml:space="preserve">0254864 </v>
      </c>
      <c r="B2830" t="s">
        <v>8096</v>
      </c>
      <c r="C2830" t="s">
        <v>8997</v>
      </c>
      <c r="D2830" t="s">
        <v>8998</v>
      </c>
      <c r="E2830">
        <v>2</v>
      </c>
      <c r="F2830" t="s">
        <v>8999</v>
      </c>
      <c r="G2830" t="s">
        <v>8096</v>
      </c>
      <c r="H2830">
        <v>818026</v>
      </c>
      <c r="I2830" t="s">
        <v>9000</v>
      </c>
    </row>
    <row r="2831" spans="1:9">
      <c r="A2831" t="str">
        <f>"0254872 "</f>
        <v xml:space="preserve">0254872 </v>
      </c>
      <c r="B2831" t="s">
        <v>8096</v>
      </c>
      <c r="C2831" t="s">
        <v>9001</v>
      </c>
      <c r="D2831" t="s">
        <v>9002</v>
      </c>
      <c r="E2831">
        <v>1</v>
      </c>
      <c r="F2831" t="s">
        <v>9003</v>
      </c>
      <c r="G2831" t="s">
        <v>8096</v>
      </c>
      <c r="H2831">
        <v>818035</v>
      </c>
      <c r="I2831" t="s">
        <v>9004</v>
      </c>
    </row>
    <row r="2832" spans="1:9">
      <c r="A2832" t="str">
        <f>"0254875 "</f>
        <v xml:space="preserve">0254875 </v>
      </c>
      <c r="B2832" t="s">
        <v>8096</v>
      </c>
      <c r="C2832" t="s">
        <v>9005</v>
      </c>
      <c r="D2832" t="s">
        <v>9006</v>
      </c>
      <c r="E2832">
        <v>1</v>
      </c>
      <c r="F2832" t="s">
        <v>9007</v>
      </c>
      <c r="G2832" t="s">
        <v>8096</v>
      </c>
      <c r="H2832">
        <v>818067</v>
      </c>
      <c r="I2832" t="s">
        <v>9008</v>
      </c>
    </row>
    <row r="2833" spans="1:9">
      <c r="A2833" t="str">
        <f>"0254876 "</f>
        <v xml:space="preserve">0254876 </v>
      </c>
      <c r="B2833" t="s">
        <v>8096</v>
      </c>
      <c r="C2833" t="s">
        <v>9009</v>
      </c>
      <c r="D2833" t="s">
        <v>9010</v>
      </c>
      <c r="E2833">
        <v>1</v>
      </c>
      <c r="F2833" t="s">
        <v>9011</v>
      </c>
      <c r="G2833" t="s">
        <v>8096</v>
      </c>
      <c r="H2833">
        <v>818069</v>
      </c>
      <c r="I2833" t="s">
        <v>9012</v>
      </c>
    </row>
    <row r="2834" spans="1:9">
      <c r="A2834" t="str">
        <f>"0254879 "</f>
        <v xml:space="preserve">0254879 </v>
      </c>
      <c r="B2834" t="s">
        <v>8096</v>
      </c>
      <c r="C2834" t="s">
        <v>9013</v>
      </c>
      <c r="D2834" t="s">
        <v>9014</v>
      </c>
      <c r="E2834">
        <v>2</v>
      </c>
      <c r="F2834" t="s">
        <v>9015</v>
      </c>
      <c r="G2834" t="s">
        <v>8096</v>
      </c>
      <c r="H2834">
        <v>818203</v>
      </c>
      <c r="I2834" t="s">
        <v>9016</v>
      </c>
    </row>
    <row r="2835" spans="1:9">
      <c r="A2835" t="str">
        <f>"0254880 "</f>
        <v xml:space="preserve">0254880 </v>
      </c>
      <c r="B2835" t="s">
        <v>8096</v>
      </c>
      <c r="C2835" t="s">
        <v>9017</v>
      </c>
      <c r="D2835" t="s">
        <v>9018</v>
      </c>
      <c r="E2835">
        <v>2</v>
      </c>
      <c r="F2835" t="s">
        <v>9019</v>
      </c>
      <c r="G2835" t="s">
        <v>8096</v>
      </c>
      <c r="H2835">
        <v>818207</v>
      </c>
      <c r="I2835" t="s">
        <v>9020</v>
      </c>
    </row>
    <row r="2836" spans="1:9">
      <c r="A2836" t="str">
        <f>"0254892 "</f>
        <v xml:space="preserve">0254892 </v>
      </c>
      <c r="B2836" t="s">
        <v>8096</v>
      </c>
      <c r="C2836" t="s">
        <v>9021</v>
      </c>
      <c r="D2836" t="s">
        <v>9022</v>
      </c>
      <c r="E2836">
        <v>1</v>
      </c>
      <c r="F2836" t="s">
        <v>9023</v>
      </c>
      <c r="G2836" t="s">
        <v>8096</v>
      </c>
      <c r="H2836">
        <v>823014</v>
      </c>
      <c r="I2836" t="s">
        <v>9024</v>
      </c>
    </row>
    <row r="2837" spans="1:9">
      <c r="A2837" t="str">
        <f>"0254894 "</f>
        <v xml:space="preserve">0254894 </v>
      </c>
      <c r="B2837" t="s">
        <v>8096</v>
      </c>
      <c r="C2837" t="s">
        <v>9025</v>
      </c>
      <c r="D2837" t="s">
        <v>9026</v>
      </c>
      <c r="E2837">
        <v>2</v>
      </c>
      <c r="F2837" t="s">
        <v>9027</v>
      </c>
      <c r="G2837" t="s">
        <v>8096</v>
      </c>
      <c r="H2837">
        <v>823017</v>
      </c>
      <c r="I2837" t="s">
        <v>9028</v>
      </c>
    </row>
    <row r="2838" spans="1:9">
      <c r="A2838" t="str">
        <f>"0254900 "</f>
        <v xml:space="preserve">0254900 </v>
      </c>
      <c r="B2838" t="s">
        <v>8096</v>
      </c>
      <c r="C2838" t="s">
        <v>9029</v>
      </c>
      <c r="D2838" t="s">
        <v>9030</v>
      </c>
      <c r="E2838">
        <v>1</v>
      </c>
      <c r="F2838" t="s">
        <v>8952</v>
      </c>
      <c r="G2838" t="s">
        <v>8096</v>
      </c>
      <c r="H2838">
        <v>823024</v>
      </c>
      <c r="I2838" t="s">
        <v>9031</v>
      </c>
    </row>
    <row r="2839" spans="1:9">
      <c r="A2839" t="str">
        <f>"0254902 "</f>
        <v xml:space="preserve">0254902 </v>
      </c>
      <c r="B2839" t="s">
        <v>8096</v>
      </c>
      <c r="C2839" t="s">
        <v>9032</v>
      </c>
      <c r="D2839" t="s">
        <v>9033</v>
      </c>
      <c r="E2839">
        <v>1</v>
      </c>
      <c r="F2839" t="s">
        <v>8884</v>
      </c>
      <c r="G2839" t="s">
        <v>8096</v>
      </c>
      <c r="H2839">
        <v>823030</v>
      </c>
      <c r="I2839" t="s">
        <v>9034</v>
      </c>
    </row>
    <row r="2840" spans="1:9">
      <c r="A2840" t="str">
        <f>"0254905 "</f>
        <v xml:space="preserve">0254905 </v>
      </c>
      <c r="B2840" t="s">
        <v>8096</v>
      </c>
      <c r="C2840" t="s">
        <v>9035</v>
      </c>
      <c r="D2840" t="s">
        <v>9036</v>
      </c>
      <c r="E2840">
        <v>1</v>
      </c>
      <c r="F2840" t="s">
        <v>9037</v>
      </c>
      <c r="G2840" t="s">
        <v>8096</v>
      </c>
      <c r="H2840">
        <v>823033</v>
      </c>
      <c r="I2840" t="s">
        <v>9038</v>
      </c>
    </row>
    <row r="2841" spans="1:9">
      <c r="A2841" t="str">
        <f>"0254906 "</f>
        <v xml:space="preserve">0254906 </v>
      </c>
      <c r="B2841" t="s">
        <v>8096</v>
      </c>
      <c r="C2841" t="s">
        <v>9039</v>
      </c>
      <c r="D2841" t="s">
        <v>9040</v>
      </c>
      <c r="E2841">
        <v>2</v>
      </c>
      <c r="F2841" t="s">
        <v>9041</v>
      </c>
      <c r="G2841" t="s">
        <v>8096</v>
      </c>
      <c r="H2841">
        <v>823034</v>
      </c>
      <c r="I2841" t="s">
        <v>9042</v>
      </c>
    </row>
    <row r="2842" spans="1:9">
      <c r="A2842" t="str">
        <f>"0254908 "</f>
        <v xml:space="preserve">0254908 </v>
      </c>
      <c r="B2842" t="s">
        <v>8096</v>
      </c>
      <c r="C2842" t="s">
        <v>9043</v>
      </c>
      <c r="D2842" t="s">
        <v>9044</v>
      </c>
      <c r="E2842">
        <v>2</v>
      </c>
      <c r="F2842" t="s">
        <v>9023</v>
      </c>
      <c r="G2842" t="s">
        <v>8096</v>
      </c>
      <c r="H2842">
        <v>823036</v>
      </c>
      <c r="I2842" t="s">
        <v>9045</v>
      </c>
    </row>
    <row r="2843" spans="1:9">
      <c r="A2843" t="str">
        <f>"0254915 "</f>
        <v xml:space="preserve">0254915 </v>
      </c>
      <c r="B2843" t="s">
        <v>8096</v>
      </c>
      <c r="C2843" t="s">
        <v>9046</v>
      </c>
      <c r="D2843" t="s">
        <v>9047</v>
      </c>
      <c r="E2843">
        <v>1</v>
      </c>
      <c r="F2843" t="s">
        <v>9037</v>
      </c>
      <c r="G2843" t="s">
        <v>8096</v>
      </c>
      <c r="H2843">
        <v>823086</v>
      </c>
      <c r="I2843" t="s">
        <v>9048</v>
      </c>
    </row>
    <row r="2844" spans="1:9">
      <c r="A2844" t="str">
        <f>"0254917 "</f>
        <v xml:space="preserve">0254917 </v>
      </c>
      <c r="B2844" t="s">
        <v>8096</v>
      </c>
      <c r="C2844" t="s">
        <v>9049</v>
      </c>
      <c r="D2844" t="s">
        <v>9050</v>
      </c>
      <c r="E2844">
        <v>1</v>
      </c>
      <c r="F2844" t="s">
        <v>9051</v>
      </c>
      <c r="G2844" t="s">
        <v>8096</v>
      </c>
      <c r="H2844">
        <v>823095</v>
      </c>
      <c r="I2844" t="s">
        <v>9052</v>
      </c>
    </row>
    <row r="2845" spans="1:9">
      <c r="A2845" t="str">
        <f>"0254922 "</f>
        <v xml:space="preserve">0254922 </v>
      </c>
      <c r="B2845" t="s">
        <v>8096</v>
      </c>
      <c r="C2845" t="s">
        <v>9053</v>
      </c>
      <c r="D2845" t="s">
        <v>9054</v>
      </c>
      <c r="E2845">
        <v>1</v>
      </c>
      <c r="F2845" t="s">
        <v>8805</v>
      </c>
      <c r="G2845" t="s">
        <v>8096</v>
      </c>
      <c r="H2845">
        <v>823124</v>
      </c>
      <c r="I2845" t="s">
        <v>9055</v>
      </c>
    </row>
    <row r="2846" spans="1:9">
      <c r="A2846" t="str">
        <f>"0254934 "</f>
        <v xml:space="preserve">0254934 </v>
      </c>
      <c r="B2846" t="s">
        <v>8096</v>
      </c>
      <c r="C2846" t="s">
        <v>9056</v>
      </c>
      <c r="D2846" t="s">
        <v>9057</v>
      </c>
      <c r="E2846">
        <v>2</v>
      </c>
      <c r="F2846" t="s">
        <v>8868</v>
      </c>
      <c r="G2846" t="s">
        <v>8096</v>
      </c>
      <c r="H2846">
        <v>824029</v>
      </c>
      <c r="I2846" t="s">
        <v>9058</v>
      </c>
    </row>
    <row r="2847" spans="1:9">
      <c r="A2847" t="str">
        <f>"0254936 "</f>
        <v xml:space="preserve">0254936 </v>
      </c>
      <c r="B2847" t="s">
        <v>8096</v>
      </c>
      <c r="C2847" t="s">
        <v>9059</v>
      </c>
      <c r="D2847" t="s">
        <v>9060</v>
      </c>
      <c r="E2847">
        <v>1</v>
      </c>
      <c r="F2847" t="s">
        <v>8856</v>
      </c>
      <c r="G2847" t="s">
        <v>8096</v>
      </c>
      <c r="H2847">
        <v>824033</v>
      </c>
      <c r="I2847" t="s">
        <v>9061</v>
      </c>
    </row>
    <row r="2848" spans="1:9">
      <c r="A2848" t="str">
        <f>"0254941 "</f>
        <v xml:space="preserve">0254941 </v>
      </c>
      <c r="B2848" t="s">
        <v>8096</v>
      </c>
      <c r="C2848" t="s">
        <v>9062</v>
      </c>
      <c r="D2848" t="s">
        <v>9063</v>
      </c>
      <c r="E2848">
        <v>1</v>
      </c>
      <c r="F2848" t="s">
        <v>9064</v>
      </c>
      <c r="G2848" t="s">
        <v>8096</v>
      </c>
      <c r="H2848">
        <v>824047</v>
      </c>
      <c r="I2848" t="s">
        <v>9065</v>
      </c>
    </row>
    <row r="2849" spans="1:9">
      <c r="A2849" t="str">
        <f>"0254944 "</f>
        <v xml:space="preserve">0254944 </v>
      </c>
      <c r="B2849" t="s">
        <v>8096</v>
      </c>
      <c r="C2849" t="s">
        <v>9066</v>
      </c>
      <c r="D2849" t="s">
        <v>9067</v>
      </c>
      <c r="E2849">
        <v>1</v>
      </c>
      <c r="F2849" t="s">
        <v>9068</v>
      </c>
      <c r="G2849" t="s">
        <v>8096</v>
      </c>
      <c r="H2849">
        <v>824065</v>
      </c>
      <c r="I2849" t="s">
        <v>9069</v>
      </c>
    </row>
    <row r="2850" spans="1:9">
      <c r="A2850" t="str">
        <f>"0254947 "</f>
        <v xml:space="preserve">0254947 </v>
      </c>
      <c r="B2850" t="s">
        <v>8096</v>
      </c>
      <c r="C2850" t="s">
        <v>9070</v>
      </c>
      <c r="D2850" t="s">
        <v>9071</v>
      </c>
      <c r="E2850">
        <v>2</v>
      </c>
      <c r="F2850" t="s">
        <v>9072</v>
      </c>
      <c r="G2850" t="s">
        <v>8096</v>
      </c>
      <c r="H2850">
        <v>824090</v>
      </c>
      <c r="I2850" t="s">
        <v>9073</v>
      </c>
    </row>
    <row r="2851" spans="1:9">
      <c r="A2851" t="str">
        <f>"0254948 "</f>
        <v xml:space="preserve">0254948 </v>
      </c>
      <c r="B2851" t="s">
        <v>8096</v>
      </c>
      <c r="C2851" t="s">
        <v>9074</v>
      </c>
      <c r="D2851" t="s">
        <v>9075</v>
      </c>
      <c r="E2851">
        <v>2</v>
      </c>
      <c r="F2851" t="s">
        <v>9076</v>
      </c>
      <c r="G2851" t="s">
        <v>8096</v>
      </c>
      <c r="H2851">
        <v>824091</v>
      </c>
      <c r="I2851" t="s">
        <v>9077</v>
      </c>
    </row>
    <row r="2852" spans="1:9">
      <c r="A2852" t="str">
        <f>"0254950 "</f>
        <v xml:space="preserve">0254950 </v>
      </c>
      <c r="B2852" t="s">
        <v>8096</v>
      </c>
      <c r="C2852" t="s">
        <v>9078</v>
      </c>
      <c r="D2852" t="s">
        <v>9079</v>
      </c>
      <c r="E2852">
        <v>2</v>
      </c>
      <c r="F2852" t="s">
        <v>9080</v>
      </c>
      <c r="G2852" t="s">
        <v>8096</v>
      </c>
      <c r="H2852">
        <v>824095</v>
      </c>
      <c r="I2852" t="s">
        <v>9081</v>
      </c>
    </row>
    <row r="2853" spans="1:9">
      <c r="A2853" t="str">
        <f>"0254951 "</f>
        <v xml:space="preserve">0254951 </v>
      </c>
      <c r="B2853" t="s">
        <v>8096</v>
      </c>
      <c r="C2853" t="s">
        <v>9082</v>
      </c>
      <c r="D2853" t="s">
        <v>9083</v>
      </c>
      <c r="E2853">
        <v>2</v>
      </c>
      <c r="F2853" t="s">
        <v>9084</v>
      </c>
      <c r="G2853" t="s">
        <v>8096</v>
      </c>
      <c r="H2853">
        <v>824098</v>
      </c>
      <c r="I2853" t="s">
        <v>9085</v>
      </c>
    </row>
    <row r="2854" spans="1:9">
      <c r="A2854" t="str">
        <f>"0254955 "</f>
        <v xml:space="preserve">0254955 </v>
      </c>
      <c r="B2854" t="s">
        <v>8096</v>
      </c>
      <c r="C2854" t="s">
        <v>9086</v>
      </c>
      <c r="D2854" t="s">
        <v>9087</v>
      </c>
      <c r="E2854">
        <v>1</v>
      </c>
      <c r="F2854" t="s">
        <v>8202</v>
      </c>
      <c r="G2854" t="s">
        <v>8096</v>
      </c>
      <c r="H2854">
        <v>827001</v>
      </c>
      <c r="I2854" t="s">
        <v>9088</v>
      </c>
    </row>
    <row r="2855" spans="1:9">
      <c r="A2855" t="str">
        <f>"0254962 "</f>
        <v xml:space="preserve">0254962 </v>
      </c>
      <c r="B2855" t="s">
        <v>8096</v>
      </c>
      <c r="C2855" t="s">
        <v>9089</v>
      </c>
      <c r="D2855" t="s">
        <v>9090</v>
      </c>
      <c r="E2855">
        <v>1</v>
      </c>
      <c r="F2855" t="s">
        <v>8729</v>
      </c>
      <c r="G2855" t="s">
        <v>8096</v>
      </c>
      <c r="H2855">
        <v>827010</v>
      </c>
      <c r="I2855" t="s">
        <v>9091</v>
      </c>
    </row>
    <row r="2856" spans="1:9">
      <c r="A2856" t="str">
        <f>"0254963 "</f>
        <v xml:space="preserve">0254963 </v>
      </c>
      <c r="B2856" t="s">
        <v>8096</v>
      </c>
      <c r="C2856" t="s">
        <v>9092</v>
      </c>
      <c r="D2856" t="s">
        <v>9093</v>
      </c>
      <c r="E2856">
        <v>1</v>
      </c>
      <c r="F2856" t="s">
        <v>9094</v>
      </c>
      <c r="G2856" t="s">
        <v>8096</v>
      </c>
      <c r="H2856">
        <v>827016</v>
      </c>
      <c r="I2856" t="s">
        <v>9095</v>
      </c>
    </row>
    <row r="2857" spans="1:9">
      <c r="A2857" t="str">
        <f>"0254969 "</f>
        <v xml:space="preserve">0254969 </v>
      </c>
      <c r="B2857" t="s">
        <v>8096</v>
      </c>
      <c r="C2857" t="s">
        <v>9096</v>
      </c>
      <c r="D2857" t="s">
        <v>9097</v>
      </c>
      <c r="E2857">
        <v>1</v>
      </c>
      <c r="F2857" t="s">
        <v>9098</v>
      </c>
      <c r="G2857" t="s">
        <v>8096</v>
      </c>
      <c r="H2857">
        <v>827068</v>
      </c>
      <c r="I2857" t="s">
        <v>9099</v>
      </c>
    </row>
    <row r="2858" spans="1:9">
      <c r="A2858" t="str">
        <f>"0254970 "</f>
        <v xml:space="preserve">0254970 </v>
      </c>
      <c r="B2858" t="s">
        <v>8096</v>
      </c>
      <c r="C2858" t="s">
        <v>9100</v>
      </c>
      <c r="D2858" t="s">
        <v>9101</v>
      </c>
      <c r="E2858">
        <v>1</v>
      </c>
      <c r="F2858" t="s">
        <v>9102</v>
      </c>
      <c r="G2858" t="s">
        <v>8096</v>
      </c>
      <c r="H2858">
        <v>827070</v>
      </c>
      <c r="I2858" t="s">
        <v>9103</v>
      </c>
    </row>
    <row r="2859" spans="1:9">
      <c r="A2859" t="str">
        <f>"0254971 "</f>
        <v xml:space="preserve">0254971 </v>
      </c>
      <c r="B2859" t="s">
        <v>8096</v>
      </c>
      <c r="C2859" t="s">
        <v>9104</v>
      </c>
      <c r="D2859" t="s">
        <v>9105</v>
      </c>
      <c r="E2859">
        <v>1</v>
      </c>
      <c r="F2859" t="s">
        <v>9106</v>
      </c>
      <c r="G2859" t="s">
        <v>8096</v>
      </c>
      <c r="H2859">
        <v>827072</v>
      </c>
      <c r="I2859" t="s">
        <v>9107</v>
      </c>
    </row>
    <row r="2860" spans="1:9">
      <c r="A2860" t="str">
        <f>"0254972 "</f>
        <v xml:space="preserve">0254972 </v>
      </c>
      <c r="B2860" t="s">
        <v>8096</v>
      </c>
      <c r="C2860" t="s">
        <v>9108</v>
      </c>
      <c r="D2860" t="s">
        <v>9109</v>
      </c>
      <c r="E2860">
        <v>1</v>
      </c>
      <c r="F2860" t="s">
        <v>9041</v>
      </c>
      <c r="G2860" t="s">
        <v>8096</v>
      </c>
      <c r="H2860">
        <v>827073</v>
      </c>
      <c r="I2860" t="s">
        <v>9110</v>
      </c>
    </row>
    <row r="2861" spans="1:9">
      <c r="A2861" t="str">
        <f>"0254978 "</f>
        <v xml:space="preserve">0254978 </v>
      </c>
      <c r="B2861" t="s">
        <v>8096</v>
      </c>
      <c r="C2861" t="s">
        <v>9111</v>
      </c>
      <c r="D2861" t="s">
        <v>9112</v>
      </c>
      <c r="E2861">
        <v>1</v>
      </c>
      <c r="F2861" t="s">
        <v>8179</v>
      </c>
      <c r="G2861" t="s">
        <v>8096</v>
      </c>
      <c r="H2861">
        <v>828004</v>
      </c>
      <c r="I2861" t="s">
        <v>9113</v>
      </c>
    </row>
    <row r="2862" spans="1:9">
      <c r="A2862" t="str">
        <f>"0254982 "</f>
        <v xml:space="preserve">0254982 </v>
      </c>
      <c r="B2862" t="s">
        <v>8096</v>
      </c>
      <c r="C2862" t="s">
        <v>9114</v>
      </c>
      <c r="D2862" t="s">
        <v>9115</v>
      </c>
      <c r="E2862">
        <v>1</v>
      </c>
      <c r="F2862" t="s">
        <v>9116</v>
      </c>
      <c r="G2862" t="s">
        <v>8096</v>
      </c>
      <c r="H2862">
        <v>830012</v>
      </c>
      <c r="I2862" t="s">
        <v>9117</v>
      </c>
    </row>
    <row r="2863" spans="1:9">
      <c r="A2863" t="str">
        <f>"0254983 "</f>
        <v xml:space="preserve">0254983 </v>
      </c>
      <c r="B2863" t="s">
        <v>8096</v>
      </c>
      <c r="C2863" t="s">
        <v>9118</v>
      </c>
      <c r="D2863" t="s">
        <v>9119</v>
      </c>
      <c r="E2863">
        <v>1</v>
      </c>
      <c r="F2863" t="s">
        <v>9120</v>
      </c>
      <c r="G2863" t="s">
        <v>8096</v>
      </c>
      <c r="H2863">
        <v>831001</v>
      </c>
      <c r="I2863" t="s">
        <v>9121</v>
      </c>
    </row>
    <row r="2864" spans="1:9">
      <c r="A2864" t="str">
        <f>"0254990 "</f>
        <v xml:space="preserve">0254990 </v>
      </c>
      <c r="B2864" t="s">
        <v>8096</v>
      </c>
      <c r="C2864" t="s">
        <v>9122</v>
      </c>
      <c r="D2864" t="s">
        <v>9123</v>
      </c>
      <c r="E2864">
        <v>1</v>
      </c>
      <c r="F2864" t="s">
        <v>8785</v>
      </c>
      <c r="G2864" t="s">
        <v>8096</v>
      </c>
      <c r="H2864">
        <v>834006</v>
      </c>
      <c r="I2864" t="s">
        <v>9124</v>
      </c>
    </row>
    <row r="2865" spans="1:9">
      <c r="A2865" t="str">
        <f>"0254991 "</f>
        <v xml:space="preserve">0254991 </v>
      </c>
      <c r="B2865" t="s">
        <v>8096</v>
      </c>
      <c r="C2865" t="s">
        <v>9125</v>
      </c>
      <c r="D2865" t="s">
        <v>9126</v>
      </c>
      <c r="E2865">
        <v>2</v>
      </c>
      <c r="F2865" t="s">
        <v>8823</v>
      </c>
      <c r="G2865" t="s">
        <v>8096</v>
      </c>
      <c r="H2865">
        <v>834007</v>
      </c>
      <c r="I2865" t="s">
        <v>9127</v>
      </c>
    </row>
    <row r="2866" spans="1:9">
      <c r="A2866" t="str">
        <f>"0254995 "</f>
        <v xml:space="preserve">0254995 </v>
      </c>
      <c r="B2866" t="s">
        <v>8096</v>
      </c>
      <c r="C2866" t="s">
        <v>9128</v>
      </c>
      <c r="D2866" t="s">
        <v>9129</v>
      </c>
      <c r="E2866">
        <v>1</v>
      </c>
      <c r="F2866" t="s">
        <v>9027</v>
      </c>
      <c r="G2866" t="s">
        <v>8096</v>
      </c>
      <c r="H2866">
        <v>834013</v>
      </c>
      <c r="I2866" t="s">
        <v>9130</v>
      </c>
    </row>
    <row r="2867" spans="1:9">
      <c r="A2867" t="str">
        <f>"0254997 "</f>
        <v xml:space="preserve">0254997 </v>
      </c>
      <c r="B2867" t="s">
        <v>8096</v>
      </c>
      <c r="C2867" t="s">
        <v>9131</v>
      </c>
      <c r="D2867" t="s">
        <v>9132</v>
      </c>
      <c r="E2867">
        <v>1</v>
      </c>
      <c r="F2867" t="s">
        <v>8831</v>
      </c>
      <c r="G2867" t="s">
        <v>8096</v>
      </c>
      <c r="H2867">
        <v>834015</v>
      </c>
      <c r="I2867" t="s">
        <v>9133</v>
      </c>
    </row>
    <row r="2868" spans="1:9">
      <c r="A2868" t="str">
        <f>"0254999 "</f>
        <v xml:space="preserve">0254999 </v>
      </c>
      <c r="B2868" t="s">
        <v>8096</v>
      </c>
      <c r="C2868" t="s">
        <v>9134</v>
      </c>
      <c r="D2868" t="s">
        <v>9135</v>
      </c>
      <c r="E2868">
        <v>2</v>
      </c>
      <c r="F2868" t="s">
        <v>8785</v>
      </c>
      <c r="G2868" t="s">
        <v>8096</v>
      </c>
      <c r="H2868">
        <v>834019</v>
      </c>
      <c r="I2868" t="s">
        <v>9136</v>
      </c>
    </row>
    <row r="2869" spans="1:9">
      <c r="A2869" t="str">
        <f>"0255001 "</f>
        <v xml:space="preserve">0255001 </v>
      </c>
      <c r="B2869" t="s">
        <v>8096</v>
      </c>
      <c r="C2869" t="s">
        <v>9137</v>
      </c>
      <c r="D2869" t="s">
        <v>9138</v>
      </c>
      <c r="E2869">
        <v>2</v>
      </c>
      <c r="F2869" t="s">
        <v>8179</v>
      </c>
      <c r="G2869" t="s">
        <v>8096</v>
      </c>
      <c r="H2869">
        <v>834021</v>
      </c>
      <c r="I2869" t="s">
        <v>9139</v>
      </c>
    </row>
    <row r="2870" spans="1:9">
      <c r="A2870" t="str">
        <f>"0255005 "</f>
        <v xml:space="preserve">0255005 </v>
      </c>
      <c r="B2870" t="s">
        <v>8096</v>
      </c>
      <c r="C2870" t="s">
        <v>9140</v>
      </c>
      <c r="D2870" t="s">
        <v>9141</v>
      </c>
      <c r="E2870">
        <v>1</v>
      </c>
      <c r="F2870" t="s">
        <v>8147</v>
      </c>
      <c r="G2870" t="s">
        <v>8096</v>
      </c>
      <c r="H2870">
        <v>834026</v>
      </c>
      <c r="I2870" t="s">
        <v>9142</v>
      </c>
    </row>
    <row r="2871" spans="1:9">
      <c r="A2871" t="str">
        <f>"0255012 "</f>
        <v xml:space="preserve">0255012 </v>
      </c>
      <c r="B2871" t="s">
        <v>8096</v>
      </c>
      <c r="C2871" t="s">
        <v>9143</v>
      </c>
      <c r="D2871" t="s">
        <v>9144</v>
      </c>
      <c r="E2871">
        <v>1</v>
      </c>
      <c r="F2871" t="s">
        <v>9145</v>
      </c>
      <c r="G2871" t="s">
        <v>8096</v>
      </c>
      <c r="H2871">
        <v>834072</v>
      </c>
      <c r="I2871" t="s">
        <v>9146</v>
      </c>
    </row>
    <row r="2872" spans="1:9">
      <c r="A2872" t="str">
        <f>"0255015 "</f>
        <v xml:space="preserve">0255015 </v>
      </c>
      <c r="B2872" t="s">
        <v>8096</v>
      </c>
      <c r="C2872" t="s">
        <v>9147</v>
      </c>
      <c r="D2872" t="s">
        <v>9148</v>
      </c>
      <c r="E2872">
        <v>2</v>
      </c>
      <c r="F2872" t="s">
        <v>9149</v>
      </c>
      <c r="G2872" t="s">
        <v>8096</v>
      </c>
      <c r="H2872">
        <v>834084</v>
      </c>
      <c r="I2872" t="s">
        <v>9150</v>
      </c>
    </row>
    <row r="2873" spans="1:9">
      <c r="A2873" t="str">
        <f>"0255022 "</f>
        <v xml:space="preserve">0255022 </v>
      </c>
      <c r="B2873" t="s">
        <v>8096</v>
      </c>
      <c r="C2873" t="s">
        <v>9151</v>
      </c>
      <c r="D2873" t="s">
        <v>9152</v>
      </c>
      <c r="E2873">
        <v>1</v>
      </c>
      <c r="F2873" t="s">
        <v>9153</v>
      </c>
      <c r="G2873" t="s">
        <v>8096</v>
      </c>
      <c r="H2873">
        <v>834135</v>
      </c>
      <c r="I2873" t="s">
        <v>9154</v>
      </c>
    </row>
    <row r="2874" spans="1:9">
      <c r="A2874" t="str">
        <f>"0255023 "</f>
        <v xml:space="preserve">0255023 </v>
      </c>
      <c r="B2874" t="s">
        <v>8096</v>
      </c>
      <c r="C2874" t="s">
        <v>9155</v>
      </c>
      <c r="D2874" t="s">
        <v>9156</v>
      </c>
      <c r="E2874">
        <v>1</v>
      </c>
      <c r="F2874" t="s">
        <v>9157</v>
      </c>
      <c r="G2874" t="s">
        <v>8096</v>
      </c>
      <c r="H2874">
        <v>835001</v>
      </c>
      <c r="I2874" t="s">
        <v>9158</v>
      </c>
    </row>
    <row r="2875" spans="1:9">
      <c r="A2875" t="str">
        <f>"0255024 "</f>
        <v xml:space="preserve">0255024 </v>
      </c>
      <c r="B2875" t="s">
        <v>8096</v>
      </c>
      <c r="C2875" t="s">
        <v>9159</v>
      </c>
      <c r="D2875" t="s">
        <v>9160</v>
      </c>
      <c r="E2875">
        <v>2</v>
      </c>
      <c r="F2875" t="s">
        <v>9161</v>
      </c>
      <c r="G2875" t="s">
        <v>8096</v>
      </c>
      <c r="H2875">
        <v>835002</v>
      </c>
      <c r="I2875" t="s">
        <v>9162</v>
      </c>
    </row>
    <row r="2876" spans="1:9">
      <c r="A2876" t="str">
        <f>"0255026 "</f>
        <v xml:space="preserve">0255026 </v>
      </c>
      <c r="B2876" t="s">
        <v>8096</v>
      </c>
      <c r="C2876" t="s">
        <v>9163</v>
      </c>
      <c r="D2876" t="s">
        <v>9164</v>
      </c>
      <c r="E2876">
        <v>2</v>
      </c>
      <c r="F2876" t="s">
        <v>9027</v>
      </c>
      <c r="G2876" t="s">
        <v>8096</v>
      </c>
      <c r="H2876">
        <v>835004</v>
      </c>
      <c r="I2876" t="s">
        <v>9165</v>
      </c>
    </row>
    <row r="2877" spans="1:9">
      <c r="A2877" t="str">
        <f>"0255031 "</f>
        <v xml:space="preserve">0255031 </v>
      </c>
      <c r="B2877" t="s">
        <v>8096</v>
      </c>
      <c r="C2877" t="s">
        <v>9166</v>
      </c>
      <c r="D2877" t="s">
        <v>9167</v>
      </c>
      <c r="E2877">
        <v>1</v>
      </c>
      <c r="F2877" t="s">
        <v>9027</v>
      </c>
      <c r="G2877" t="s">
        <v>8096</v>
      </c>
      <c r="H2877">
        <v>835022</v>
      </c>
      <c r="I2877" t="s">
        <v>9168</v>
      </c>
    </row>
    <row r="2878" spans="1:9">
      <c r="A2878" t="str">
        <f>"0255032 "</f>
        <v xml:space="preserve">0255032 </v>
      </c>
      <c r="B2878" t="s">
        <v>8096</v>
      </c>
      <c r="C2878" t="s">
        <v>9169</v>
      </c>
      <c r="D2878" t="s">
        <v>9170</v>
      </c>
      <c r="E2878">
        <v>1</v>
      </c>
      <c r="F2878" t="s">
        <v>9171</v>
      </c>
      <c r="G2878" t="s">
        <v>8096</v>
      </c>
      <c r="H2878">
        <v>835026</v>
      </c>
      <c r="I2878" t="s">
        <v>9172</v>
      </c>
    </row>
    <row r="2879" spans="1:9">
      <c r="A2879" t="str">
        <f>"0255038 "</f>
        <v xml:space="preserve">0255038 </v>
      </c>
      <c r="B2879" t="s">
        <v>8096</v>
      </c>
      <c r="C2879" t="s">
        <v>9173</v>
      </c>
      <c r="D2879" t="s">
        <v>9174</v>
      </c>
      <c r="E2879">
        <v>2</v>
      </c>
      <c r="F2879" t="s">
        <v>8952</v>
      </c>
      <c r="G2879" t="s">
        <v>8096</v>
      </c>
      <c r="H2879">
        <v>839002</v>
      </c>
      <c r="I2879" t="s">
        <v>9175</v>
      </c>
    </row>
    <row r="2880" spans="1:9">
      <c r="A2880" t="str">
        <f>"0255041 "</f>
        <v xml:space="preserve">0255041 </v>
      </c>
      <c r="B2880" t="s">
        <v>8096</v>
      </c>
      <c r="C2880" t="s">
        <v>9176</v>
      </c>
      <c r="D2880" t="s">
        <v>9177</v>
      </c>
      <c r="E2880">
        <v>2</v>
      </c>
      <c r="F2880" t="s">
        <v>9178</v>
      </c>
      <c r="G2880" t="s">
        <v>8096</v>
      </c>
      <c r="H2880">
        <v>839006</v>
      </c>
      <c r="I2880" t="s">
        <v>9179</v>
      </c>
    </row>
    <row r="2881" spans="1:9">
      <c r="A2881" t="str">
        <f>"0255042 "</f>
        <v xml:space="preserve">0255042 </v>
      </c>
      <c r="B2881" t="s">
        <v>8096</v>
      </c>
      <c r="C2881" t="s">
        <v>9180</v>
      </c>
      <c r="D2881" t="s">
        <v>9181</v>
      </c>
      <c r="E2881">
        <v>1</v>
      </c>
      <c r="F2881" t="s">
        <v>8171</v>
      </c>
      <c r="G2881" t="s">
        <v>8096</v>
      </c>
      <c r="H2881">
        <v>839007</v>
      </c>
      <c r="I2881" t="s">
        <v>9182</v>
      </c>
    </row>
    <row r="2882" spans="1:9">
      <c r="A2882" t="str">
        <f>"0255044 "</f>
        <v xml:space="preserve">0255044 </v>
      </c>
      <c r="B2882" t="s">
        <v>8096</v>
      </c>
      <c r="C2882" t="s">
        <v>9183</v>
      </c>
      <c r="D2882" t="s">
        <v>9184</v>
      </c>
      <c r="E2882">
        <v>1</v>
      </c>
      <c r="F2882" t="s">
        <v>9185</v>
      </c>
      <c r="G2882" t="s">
        <v>8096</v>
      </c>
      <c r="H2882">
        <v>839009</v>
      </c>
      <c r="I2882" t="s">
        <v>9186</v>
      </c>
    </row>
    <row r="2883" spans="1:9">
      <c r="A2883" t="str">
        <f>"0255052 "</f>
        <v xml:space="preserve">0255052 </v>
      </c>
      <c r="B2883" t="s">
        <v>8096</v>
      </c>
      <c r="C2883" t="s">
        <v>9187</v>
      </c>
      <c r="D2883" t="s">
        <v>9188</v>
      </c>
      <c r="E2883">
        <v>1</v>
      </c>
      <c r="F2883" t="s">
        <v>8952</v>
      </c>
      <c r="G2883" t="s">
        <v>8096</v>
      </c>
      <c r="H2883">
        <v>839019</v>
      </c>
      <c r="I2883" t="s">
        <v>9189</v>
      </c>
    </row>
    <row r="2884" spans="1:9">
      <c r="A2884" t="str">
        <f>"0255055 "</f>
        <v xml:space="preserve">0255055 </v>
      </c>
      <c r="B2884" t="s">
        <v>8096</v>
      </c>
      <c r="C2884" t="s">
        <v>9190</v>
      </c>
      <c r="D2884" t="s">
        <v>9191</v>
      </c>
      <c r="E2884">
        <v>1</v>
      </c>
      <c r="F2884" t="s">
        <v>8179</v>
      </c>
      <c r="G2884" t="s">
        <v>8096</v>
      </c>
      <c r="H2884">
        <v>839022</v>
      </c>
      <c r="I2884" t="s">
        <v>9192</v>
      </c>
    </row>
    <row r="2885" spans="1:9">
      <c r="A2885" t="str">
        <f>"0255057 "</f>
        <v xml:space="preserve">0255057 </v>
      </c>
      <c r="B2885" t="s">
        <v>8096</v>
      </c>
      <c r="C2885" t="s">
        <v>9193</v>
      </c>
      <c r="D2885" t="s">
        <v>9194</v>
      </c>
      <c r="E2885">
        <v>1</v>
      </c>
      <c r="F2885" t="s">
        <v>9037</v>
      </c>
      <c r="G2885" t="s">
        <v>8096</v>
      </c>
      <c r="H2885">
        <v>839024</v>
      </c>
      <c r="I2885" t="s">
        <v>9195</v>
      </c>
    </row>
    <row r="2886" spans="1:9">
      <c r="A2886" t="str">
        <f>"0255063 "</f>
        <v xml:space="preserve">0255063 </v>
      </c>
      <c r="B2886" t="s">
        <v>8096</v>
      </c>
      <c r="C2886" t="s">
        <v>9196</v>
      </c>
      <c r="D2886" t="s">
        <v>9197</v>
      </c>
      <c r="E2886">
        <v>1</v>
      </c>
      <c r="F2886" t="s">
        <v>8999</v>
      </c>
      <c r="G2886" t="s">
        <v>8096</v>
      </c>
      <c r="H2886">
        <v>839084</v>
      </c>
      <c r="I2886" t="s">
        <v>9198</v>
      </c>
    </row>
    <row r="2887" spans="1:9">
      <c r="A2887" t="str">
        <f>"0255064 "</f>
        <v xml:space="preserve">0255064 </v>
      </c>
      <c r="B2887" t="s">
        <v>8096</v>
      </c>
      <c r="C2887" t="s">
        <v>9199</v>
      </c>
      <c r="D2887" t="s">
        <v>9200</v>
      </c>
      <c r="E2887">
        <v>1</v>
      </c>
      <c r="F2887" t="s">
        <v>9201</v>
      </c>
      <c r="G2887" t="s">
        <v>8096</v>
      </c>
      <c r="H2887">
        <v>839102</v>
      </c>
      <c r="I2887" t="s">
        <v>9202</v>
      </c>
    </row>
    <row r="2888" spans="1:9">
      <c r="A2888" t="str">
        <f>"0255067 "</f>
        <v xml:space="preserve">0255067 </v>
      </c>
      <c r="B2888" t="s">
        <v>8096</v>
      </c>
      <c r="C2888" t="s">
        <v>9203</v>
      </c>
      <c r="D2888" t="s">
        <v>9204</v>
      </c>
      <c r="E2888">
        <v>1</v>
      </c>
      <c r="F2888" t="s">
        <v>9205</v>
      </c>
      <c r="G2888" t="s">
        <v>8096</v>
      </c>
      <c r="H2888">
        <v>839112</v>
      </c>
      <c r="I2888" t="s">
        <v>9206</v>
      </c>
    </row>
    <row r="2889" spans="1:9">
      <c r="A2889" t="str">
        <f>"0255072 "</f>
        <v xml:space="preserve">0255072 </v>
      </c>
      <c r="B2889" t="s">
        <v>8096</v>
      </c>
      <c r="C2889" t="s">
        <v>9207</v>
      </c>
      <c r="D2889" t="s">
        <v>9208</v>
      </c>
      <c r="E2889">
        <v>1</v>
      </c>
      <c r="F2889" t="s">
        <v>9209</v>
      </c>
      <c r="G2889" t="s">
        <v>8096</v>
      </c>
      <c r="H2889">
        <v>841001</v>
      </c>
      <c r="I2889" t="s">
        <v>9210</v>
      </c>
    </row>
    <row r="2890" spans="1:9">
      <c r="A2890" t="str">
        <f>"0255073 "</f>
        <v xml:space="preserve">0255073 </v>
      </c>
      <c r="B2890" t="s">
        <v>8096</v>
      </c>
      <c r="C2890" t="s">
        <v>9211</v>
      </c>
      <c r="D2890" t="s">
        <v>9212</v>
      </c>
      <c r="E2890">
        <v>1</v>
      </c>
      <c r="F2890" t="s">
        <v>9023</v>
      </c>
      <c r="G2890" t="s">
        <v>8096</v>
      </c>
      <c r="H2890">
        <v>841002</v>
      </c>
      <c r="I2890" t="s">
        <v>9213</v>
      </c>
    </row>
    <row r="2891" spans="1:9">
      <c r="A2891" t="str">
        <f>"0255074 "</f>
        <v xml:space="preserve">0255074 </v>
      </c>
      <c r="B2891" t="s">
        <v>8096</v>
      </c>
      <c r="C2891" t="s">
        <v>9214</v>
      </c>
      <c r="D2891" t="s">
        <v>9215</v>
      </c>
      <c r="E2891">
        <v>1</v>
      </c>
      <c r="F2891" t="s">
        <v>8171</v>
      </c>
      <c r="G2891" t="s">
        <v>8096</v>
      </c>
      <c r="H2891">
        <v>841003</v>
      </c>
      <c r="I2891" t="s">
        <v>9216</v>
      </c>
    </row>
    <row r="2892" spans="1:9">
      <c r="A2892" t="str">
        <f>"0255079 "</f>
        <v xml:space="preserve">0255079 </v>
      </c>
      <c r="B2892" t="s">
        <v>8096</v>
      </c>
      <c r="C2892" t="s">
        <v>9217</v>
      </c>
      <c r="D2892" t="s">
        <v>9218</v>
      </c>
      <c r="E2892">
        <v>1</v>
      </c>
      <c r="F2892" t="s">
        <v>9120</v>
      </c>
      <c r="G2892" t="s">
        <v>8096</v>
      </c>
      <c r="H2892">
        <v>841010</v>
      </c>
      <c r="I2892" t="s">
        <v>9219</v>
      </c>
    </row>
    <row r="2893" spans="1:9">
      <c r="A2893" t="str">
        <f>"0255086 "</f>
        <v xml:space="preserve">0255086 </v>
      </c>
      <c r="B2893" t="s">
        <v>8096</v>
      </c>
      <c r="C2893" t="s">
        <v>9220</v>
      </c>
      <c r="D2893" t="s">
        <v>9221</v>
      </c>
      <c r="E2893">
        <v>1</v>
      </c>
      <c r="F2893" t="s">
        <v>9037</v>
      </c>
      <c r="G2893" t="s">
        <v>8096</v>
      </c>
      <c r="H2893">
        <v>841022</v>
      </c>
      <c r="I2893" t="s">
        <v>9222</v>
      </c>
    </row>
    <row r="2894" spans="1:9">
      <c r="A2894" t="str">
        <f>"0255090 "</f>
        <v xml:space="preserve">0255090 </v>
      </c>
      <c r="B2894" t="s">
        <v>8096</v>
      </c>
      <c r="C2894" t="s">
        <v>9223</v>
      </c>
      <c r="D2894" t="s">
        <v>9224</v>
      </c>
      <c r="E2894">
        <v>1</v>
      </c>
      <c r="F2894" t="s">
        <v>9225</v>
      </c>
      <c r="G2894" t="s">
        <v>8096</v>
      </c>
      <c r="H2894">
        <v>841028</v>
      </c>
      <c r="I2894" t="s">
        <v>9226</v>
      </c>
    </row>
    <row r="2895" spans="1:9">
      <c r="A2895" t="str">
        <f>"0255091 "</f>
        <v xml:space="preserve">0255091 </v>
      </c>
      <c r="B2895" t="s">
        <v>8096</v>
      </c>
      <c r="C2895" t="s">
        <v>9227</v>
      </c>
      <c r="D2895" t="s">
        <v>9228</v>
      </c>
      <c r="E2895">
        <v>2</v>
      </c>
      <c r="F2895" t="s">
        <v>9229</v>
      </c>
      <c r="G2895" t="s">
        <v>8096</v>
      </c>
      <c r="H2895">
        <v>841030</v>
      </c>
      <c r="I2895" t="s">
        <v>9230</v>
      </c>
    </row>
    <row r="2896" spans="1:9">
      <c r="A2896" t="str">
        <f>"0255096 "</f>
        <v xml:space="preserve">0255096 </v>
      </c>
      <c r="B2896" t="s">
        <v>8096</v>
      </c>
      <c r="C2896" t="s">
        <v>9231</v>
      </c>
      <c r="D2896" t="s">
        <v>9232</v>
      </c>
      <c r="E2896">
        <v>1</v>
      </c>
      <c r="F2896" t="s">
        <v>9233</v>
      </c>
      <c r="G2896" t="s">
        <v>8096</v>
      </c>
      <c r="H2896">
        <v>841037</v>
      </c>
      <c r="I2896" t="s">
        <v>9234</v>
      </c>
    </row>
    <row r="2897" spans="1:9">
      <c r="A2897" t="str">
        <f>"0255100 "</f>
        <v xml:space="preserve">0255100 </v>
      </c>
      <c r="B2897" t="s">
        <v>8096</v>
      </c>
      <c r="C2897" t="s">
        <v>9235</v>
      </c>
      <c r="D2897" t="s">
        <v>9236</v>
      </c>
      <c r="E2897">
        <v>1</v>
      </c>
      <c r="F2897" t="s">
        <v>8868</v>
      </c>
      <c r="G2897" t="s">
        <v>8096</v>
      </c>
      <c r="H2897">
        <v>841043</v>
      </c>
      <c r="I2897" t="s">
        <v>9237</v>
      </c>
    </row>
    <row r="2898" spans="1:9">
      <c r="A2898" t="str">
        <f>"0255102 "</f>
        <v xml:space="preserve">0255102 </v>
      </c>
      <c r="B2898" t="s">
        <v>8096</v>
      </c>
      <c r="C2898" t="s">
        <v>9238</v>
      </c>
      <c r="D2898" t="s">
        <v>9239</v>
      </c>
      <c r="E2898">
        <v>2</v>
      </c>
      <c r="F2898" t="s">
        <v>8831</v>
      </c>
      <c r="G2898" t="s">
        <v>8096</v>
      </c>
      <c r="H2898">
        <v>841046</v>
      </c>
      <c r="I2898" t="s">
        <v>9240</v>
      </c>
    </row>
    <row r="2899" spans="1:9">
      <c r="A2899" t="str">
        <f>"0255103 "</f>
        <v xml:space="preserve">0255103 </v>
      </c>
      <c r="B2899" t="s">
        <v>8096</v>
      </c>
      <c r="C2899" t="s">
        <v>9241</v>
      </c>
      <c r="D2899" t="s">
        <v>9242</v>
      </c>
      <c r="E2899">
        <v>1</v>
      </c>
      <c r="F2899" t="s">
        <v>8831</v>
      </c>
      <c r="G2899" t="s">
        <v>8096</v>
      </c>
      <c r="H2899">
        <v>841047</v>
      </c>
      <c r="I2899" t="s">
        <v>9243</v>
      </c>
    </row>
    <row r="2900" spans="1:9">
      <c r="A2900" t="str">
        <f>"0255104 "</f>
        <v xml:space="preserve">0255104 </v>
      </c>
      <c r="B2900" t="s">
        <v>8096</v>
      </c>
      <c r="C2900" t="s">
        <v>9244</v>
      </c>
      <c r="D2900" t="s">
        <v>9245</v>
      </c>
      <c r="E2900">
        <v>1</v>
      </c>
      <c r="F2900" t="s">
        <v>8952</v>
      </c>
      <c r="G2900" t="s">
        <v>8096</v>
      </c>
      <c r="H2900">
        <v>841048</v>
      </c>
      <c r="I2900" t="s">
        <v>9246</v>
      </c>
    </row>
    <row r="2901" spans="1:9">
      <c r="A2901" t="str">
        <f>"0255107 "</f>
        <v xml:space="preserve">0255107 </v>
      </c>
      <c r="B2901" t="s">
        <v>8096</v>
      </c>
      <c r="C2901" t="s">
        <v>9247</v>
      </c>
      <c r="D2901" t="s">
        <v>9248</v>
      </c>
      <c r="E2901">
        <v>1</v>
      </c>
      <c r="F2901" t="s">
        <v>8952</v>
      </c>
      <c r="G2901" t="s">
        <v>8096</v>
      </c>
      <c r="H2901">
        <v>841052</v>
      </c>
      <c r="I2901" t="s">
        <v>9249</v>
      </c>
    </row>
    <row r="2902" spans="1:9">
      <c r="A2902" t="str">
        <f>"0255116 "</f>
        <v xml:space="preserve">0255116 </v>
      </c>
      <c r="B2902" t="s">
        <v>8096</v>
      </c>
      <c r="C2902" t="s">
        <v>9250</v>
      </c>
      <c r="D2902" t="s">
        <v>9251</v>
      </c>
      <c r="E2902">
        <v>1</v>
      </c>
      <c r="F2902" t="s">
        <v>8202</v>
      </c>
      <c r="G2902" t="s">
        <v>8096</v>
      </c>
      <c r="H2902">
        <v>841073</v>
      </c>
      <c r="I2902" t="s">
        <v>9252</v>
      </c>
    </row>
    <row r="2903" spans="1:9">
      <c r="A2903" t="str">
        <f>"0255117 "</f>
        <v xml:space="preserve">0255117 </v>
      </c>
      <c r="B2903" t="s">
        <v>8096</v>
      </c>
      <c r="C2903" t="s">
        <v>9253</v>
      </c>
      <c r="D2903" t="s">
        <v>9254</v>
      </c>
      <c r="E2903">
        <v>1</v>
      </c>
      <c r="F2903" t="s">
        <v>9255</v>
      </c>
      <c r="G2903" t="s">
        <v>8096</v>
      </c>
      <c r="H2903">
        <v>841078</v>
      </c>
      <c r="I2903" t="s">
        <v>9256</v>
      </c>
    </row>
    <row r="2904" spans="1:9">
      <c r="A2904" t="str">
        <f>"0255124 "</f>
        <v xml:space="preserve">0255124 </v>
      </c>
      <c r="B2904" t="s">
        <v>8096</v>
      </c>
      <c r="C2904" t="s">
        <v>9257</v>
      </c>
      <c r="D2904" t="s">
        <v>9258</v>
      </c>
      <c r="E2904">
        <v>1</v>
      </c>
      <c r="F2904" t="s">
        <v>9259</v>
      </c>
      <c r="G2904" t="s">
        <v>8096</v>
      </c>
      <c r="H2904">
        <v>841141</v>
      </c>
      <c r="I2904" t="s">
        <v>9260</v>
      </c>
    </row>
    <row r="2905" spans="1:9">
      <c r="A2905" t="str">
        <f>"0255125 "</f>
        <v xml:space="preserve">0255125 </v>
      </c>
      <c r="B2905" t="s">
        <v>8096</v>
      </c>
      <c r="C2905" t="s">
        <v>9261</v>
      </c>
      <c r="D2905" t="s">
        <v>9262</v>
      </c>
      <c r="E2905">
        <v>1</v>
      </c>
      <c r="F2905" t="s">
        <v>9084</v>
      </c>
      <c r="G2905" t="s">
        <v>8096</v>
      </c>
      <c r="H2905">
        <v>841142</v>
      </c>
      <c r="I2905" t="s">
        <v>9263</v>
      </c>
    </row>
    <row r="2906" spans="1:9">
      <c r="A2906" t="str">
        <f>"0255133 "</f>
        <v xml:space="preserve">0255133 </v>
      </c>
      <c r="B2906" t="s">
        <v>8096</v>
      </c>
      <c r="C2906" t="s">
        <v>9264</v>
      </c>
      <c r="D2906" t="s">
        <v>9265</v>
      </c>
      <c r="E2906">
        <v>1</v>
      </c>
      <c r="F2906" t="s">
        <v>9266</v>
      </c>
      <c r="G2906" t="s">
        <v>8096</v>
      </c>
      <c r="H2906">
        <v>841191</v>
      </c>
      <c r="I2906" t="s">
        <v>9267</v>
      </c>
    </row>
    <row r="2907" spans="1:9">
      <c r="A2907" t="str">
        <f>"0255134 "</f>
        <v xml:space="preserve">0255134 </v>
      </c>
      <c r="B2907" t="s">
        <v>8096</v>
      </c>
      <c r="C2907" t="s">
        <v>9268</v>
      </c>
      <c r="D2907" t="s">
        <v>9269</v>
      </c>
      <c r="E2907">
        <v>2</v>
      </c>
      <c r="F2907" t="s">
        <v>9205</v>
      </c>
      <c r="G2907" t="s">
        <v>8096</v>
      </c>
      <c r="H2907">
        <v>841214</v>
      </c>
      <c r="I2907" t="s">
        <v>9270</v>
      </c>
    </row>
    <row r="2908" spans="1:9">
      <c r="A2908" t="str">
        <f>"0255136 "</f>
        <v xml:space="preserve">0255136 </v>
      </c>
      <c r="B2908" t="s">
        <v>8096</v>
      </c>
      <c r="C2908" t="s">
        <v>9271</v>
      </c>
      <c r="D2908" t="s">
        <v>9272</v>
      </c>
      <c r="E2908">
        <v>1</v>
      </c>
      <c r="F2908" t="s">
        <v>9273</v>
      </c>
      <c r="G2908" t="s">
        <v>8096</v>
      </c>
      <c r="H2908">
        <v>841232</v>
      </c>
      <c r="I2908" t="s">
        <v>9274</v>
      </c>
    </row>
    <row r="2909" spans="1:9">
      <c r="A2909" t="str">
        <f>"0255139 "</f>
        <v xml:space="preserve">0255139 </v>
      </c>
      <c r="B2909" t="s">
        <v>8096</v>
      </c>
      <c r="C2909" t="s">
        <v>9275</v>
      </c>
      <c r="D2909" t="s">
        <v>9276</v>
      </c>
      <c r="E2909">
        <v>1</v>
      </c>
      <c r="F2909" t="s">
        <v>9277</v>
      </c>
      <c r="G2909" t="s">
        <v>8096</v>
      </c>
      <c r="H2909">
        <v>841240</v>
      </c>
      <c r="I2909" t="s">
        <v>9278</v>
      </c>
    </row>
    <row r="2910" spans="1:9">
      <c r="A2910" t="str">
        <f>"0255144 "</f>
        <v xml:space="preserve">0255144 </v>
      </c>
      <c r="B2910" t="s">
        <v>8096</v>
      </c>
      <c r="C2910" t="s">
        <v>9279</v>
      </c>
      <c r="D2910" t="s">
        <v>9280</v>
      </c>
      <c r="E2910">
        <v>1</v>
      </c>
      <c r="F2910" t="s">
        <v>8171</v>
      </c>
      <c r="G2910" t="s">
        <v>8096</v>
      </c>
      <c r="H2910">
        <v>844002</v>
      </c>
      <c r="I2910" t="s">
        <v>9281</v>
      </c>
    </row>
    <row r="2911" spans="1:9">
      <c r="A2911" t="str">
        <f>"0255145 "</f>
        <v xml:space="preserve">0255145 </v>
      </c>
      <c r="B2911" t="s">
        <v>8096</v>
      </c>
      <c r="C2911" t="s">
        <v>9282</v>
      </c>
      <c r="D2911" t="s">
        <v>9283</v>
      </c>
      <c r="E2911">
        <v>1</v>
      </c>
      <c r="F2911" t="s">
        <v>9284</v>
      </c>
      <c r="G2911" t="s">
        <v>8096</v>
      </c>
      <c r="H2911">
        <v>844003</v>
      </c>
      <c r="I2911" t="s">
        <v>9285</v>
      </c>
    </row>
    <row r="2912" spans="1:9">
      <c r="A2912" t="str">
        <f>"0255148 "</f>
        <v xml:space="preserve">0255148 </v>
      </c>
      <c r="B2912" t="s">
        <v>8096</v>
      </c>
      <c r="C2912" t="s">
        <v>9286</v>
      </c>
      <c r="D2912" t="s">
        <v>9287</v>
      </c>
      <c r="E2912">
        <v>2</v>
      </c>
      <c r="F2912" t="s">
        <v>9288</v>
      </c>
      <c r="G2912" t="s">
        <v>8096</v>
      </c>
      <c r="H2912">
        <v>844006</v>
      </c>
      <c r="I2912" t="s">
        <v>9289</v>
      </c>
    </row>
    <row r="2913" spans="1:9">
      <c r="A2913" t="str">
        <f>"0255149 "</f>
        <v xml:space="preserve">0255149 </v>
      </c>
      <c r="B2913" t="s">
        <v>8096</v>
      </c>
      <c r="C2913" t="s">
        <v>9290</v>
      </c>
      <c r="D2913" t="s">
        <v>9291</v>
      </c>
      <c r="E2913">
        <v>1</v>
      </c>
      <c r="F2913" t="s">
        <v>9292</v>
      </c>
      <c r="G2913" t="s">
        <v>8096</v>
      </c>
      <c r="H2913">
        <v>844007</v>
      </c>
      <c r="I2913" t="s">
        <v>9293</v>
      </c>
    </row>
    <row r="2914" spans="1:9">
      <c r="A2914" t="str">
        <f>"0255150 "</f>
        <v xml:space="preserve">0255150 </v>
      </c>
      <c r="B2914" t="s">
        <v>8096</v>
      </c>
      <c r="C2914" t="s">
        <v>9294</v>
      </c>
      <c r="D2914" t="s">
        <v>9295</v>
      </c>
      <c r="E2914">
        <v>2</v>
      </c>
      <c r="F2914" t="s">
        <v>9296</v>
      </c>
      <c r="G2914" t="s">
        <v>8096</v>
      </c>
      <c r="H2914">
        <v>844008</v>
      </c>
      <c r="I2914" t="s">
        <v>9297</v>
      </c>
    </row>
    <row r="2915" spans="1:9">
      <c r="A2915" t="str">
        <f>"0255151 "</f>
        <v xml:space="preserve">0255151 </v>
      </c>
      <c r="B2915" t="s">
        <v>8096</v>
      </c>
      <c r="C2915" t="s">
        <v>9298</v>
      </c>
      <c r="D2915" t="s">
        <v>9299</v>
      </c>
      <c r="E2915">
        <v>1</v>
      </c>
      <c r="F2915" t="s">
        <v>8761</v>
      </c>
      <c r="G2915" t="s">
        <v>8096</v>
      </c>
      <c r="H2915">
        <v>844011</v>
      </c>
      <c r="I2915" t="s">
        <v>9300</v>
      </c>
    </row>
    <row r="2916" spans="1:9">
      <c r="A2916" t="str">
        <f>"0255153 "</f>
        <v xml:space="preserve">0255153 </v>
      </c>
      <c r="B2916" t="s">
        <v>8096</v>
      </c>
      <c r="C2916" t="s">
        <v>9301</v>
      </c>
      <c r="D2916" t="s">
        <v>9302</v>
      </c>
      <c r="E2916">
        <v>1</v>
      </c>
      <c r="F2916" t="s">
        <v>9303</v>
      </c>
      <c r="G2916" t="s">
        <v>8096</v>
      </c>
      <c r="H2916">
        <v>844013</v>
      </c>
      <c r="I2916" t="s">
        <v>9304</v>
      </c>
    </row>
    <row r="2917" spans="1:9">
      <c r="A2917" t="str">
        <f>"0255155 "</f>
        <v xml:space="preserve">0255155 </v>
      </c>
      <c r="B2917" t="s">
        <v>8096</v>
      </c>
      <c r="C2917" t="s">
        <v>9305</v>
      </c>
      <c r="D2917" t="s">
        <v>9306</v>
      </c>
      <c r="E2917">
        <v>2</v>
      </c>
      <c r="F2917" t="s">
        <v>8198</v>
      </c>
      <c r="G2917" t="s">
        <v>8096</v>
      </c>
      <c r="H2917">
        <v>844020</v>
      </c>
      <c r="I2917" t="s">
        <v>9307</v>
      </c>
    </row>
    <row r="2918" spans="1:9">
      <c r="A2918" t="str">
        <f>"0255158 "</f>
        <v xml:space="preserve">0255158 </v>
      </c>
      <c r="B2918" t="s">
        <v>8096</v>
      </c>
      <c r="C2918" t="s">
        <v>9308</v>
      </c>
      <c r="D2918" t="s">
        <v>9309</v>
      </c>
      <c r="E2918">
        <v>2</v>
      </c>
      <c r="F2918" t="s">
        <v>9310</v>
      </c>
      <c r="G2918" t="s">
        <v>8096</v>
      </c>
      <c r="H2918">
        <v>844026</v>
      </c>
      <c r="I2918" t="s">
        <v>9311</v>
      </c>
    </row>
    <row r="2919" spans="1:9">
      <c r="A2919" t="str">
        <f>"0255160 "</f>
        <v xml:space="preserve">0255160 </v>
      </c>
      <c r="B2919" t="s">
        <v>8096</v>
      </c>
      <c r="C2919" t="s">
        <v>9312</v>
      </c>
      <c r="D2919" t="s">
        <v>9313</v>
      </c>
      <c r="E2919">
        <v>1</v>
      </c>
      <c r="F2919" t="s">
        <v>8952</v>
      </c>
      <c r="G2919" t="s">
        <v>8096</v>
      </c>
      <c r="H2919">
        <v>844028</v>
      </c>
      <c r="I2919" t="s">
        <v>9314</v>
      </c>
    </row>
    <row r="2920" spans="1:9">
      <c r="A2920" t="str">
        <f>"0255161 "</f>
        <v xml:space="preserve">0255161 </v>
      </c>
      <c r="B2920" t="s">
        <v>8096</v>
      </c>
      <c r="C2920" t="s">
        <v>9315</v>
      </c>
      <c r="D2920" t="s">
        <v>9316</v>
      </c>
      <c r="E2920">
        <v>1</v>
      </c>
      <c r="F2920" t="s">
        <v>9317</v>
      </c>
      <c r="G2920" t="s">
        <v>8096</v>
      </c>
      <c r="H2920">
        <v>844030</v>
      </c>
      <c r="I2920" t="s">
        <v>9318</v>
      </c>
    </row>
    <row r="2921" spans="1:9">
      <c r="A2921" t="str">
        <f>"0255165 "</f>
        <v xml:space="preserve">0255165 </v>
      </c>
      <c r="B2921" t="s">
        <v>8096</v>
      </c>
      <c r="C2921" t="s">
        <v>9319</v>
      </c>
      <c r="D2921" t="s">
        <v>9320</v>
      </c>
      <c r="E2921">
        <v>1</v>
      </c>
      <c r="F2921" t="s">
        <v>8179</v>
      </c>
      <c r="G2921" t="s">
        <v>8096</v>
      </c>
      <c r="H2921">
        <v>844049</v>
      </c>
      <c r="I2921" t="s">
        <v>9321</v>
      </c>
    </row>
    <row r="2922" spans="1:9">
      <c r="A2922" t="str">
        <f>"0255166 "</f>
        <v xml:space="preserve">0255166 </v>
      </c>
      <c r="B2922" t="s">
        <v>8096</v>
      </c>
      <c r="C2922" t="s">
        <v>9322</v>
      </c>
      <c r="D2922" t="s">
        <v>9323</v>
      </c>
      <c r="E2922">
        <v>2</v>
      </c>
      <c r="F2922" t="s">
        <v>9324</v>
      </c>
      <c r="G2922" t="s">
        <v>8096</v>
      </c>
      <c r="H2922">
        <v>844051</v>
      </c>
      <c r="I2922" t="s">
        <v>9325</v>
      </c>
    </row>
    <row r="2923" spans="1:9">
      <c r="A2923" t="str">
        <f>"0255167 "</f>
        <v xml:space="preserve">0255167 </v>
      </c>
      <c r="B2923" t="s">
        <v>8096</v>
      </c>
      <c r="C2923" t="s">
        <v>9326</v>
      </c>
      <c r="D2923" t="s">
        <v>9327</v>
      </c>
      <c r="E2923">
        <v>1</v>
      </c>
      <c r="F2923" t="s">
        <v>8823</v>
      </c>
      <c r="G2923" t="s">
        <v>8096</v>
      </c>
      <c r="H2923">
        <v>844055</v>
      </c>
      <c r="I2923" t="s">
        <v>9328</v>
      </c>
    </row>
    <row r="2924" spans="1:9">
      <c r="A2924" t="str">
        <f>"0255168 "</f>
        <v xml:space="preserve">0255168 </v>
      </c>
      <c r="B2924" t="s">
        <v>8096</v>
      </c>
      <c r="C2924" t="s">
        <v>9329</v>
      </c>
      <c r="D2924" t="s">
        <v>9330</v>
      </c>
      <c r="E2924">
        <v>3</v>
      </c>
      <c r="F2924" t="s">
        <v>7332</v>
      </c>
      <c r="G2924" t="s">
        <v>8096</v>
      </c>
      <c r="H2924">
        <v>844056</v>
      </c>
      <c r="I2924" t="s">
        <v>9331</v>
      </c>
    </row>
    <row r="2925" spans="1:9">
      <c r="A2925" t="str">
        <f>"0255171 "</f>
        <v xml:space="preserve">0255171 </v>
      </c>
      <c r="B2925" t="s">
        <v>8096</v>
      </c>
      <c r="C2925" t="s">
        <v>9332</v>
      </c>
      <c r="D2925" t="s">
        <v>9333</v>
      </c>
      <c r="E2925">
        <v>1</v>
      </c>
      <c r="F2925" t="s">
        <v>9334</v>
      </c>
      <c r="G2925" t="s">
        <v>8096</v>
      </c>
      <c r="H2925">
        <v>844065</v>
      </c>
      <c r="I2925" t="s">
        <v>9335</v>
      </c>
    </row>
    <row r="2926" spans="1:9">
      <c r="A2926" t="str">
        <f>"0255177 "</f>
        <v xml:space="preserve">0255177 </v>
      </c>
      <c r="B2926" t="s">
        <v>8096</v>
      </c>
      <c r="C2926" t="s">
        <v>9336</v>
      </c>
      <c r="D2926" t="s">
        <v>9337</v>
      </c>
      <c r="E2926">
        <v>1</v>
      </c>
      <c r="F2926" t="s">
        <v>9225</v>
      </c>
      <c r="G2926" t="s">
        <v>8096</v>
      </c>
      <c r="H2926">
        <v>845005</v>
      </c>
      <c r="I2926" t="s">
        <v>9338</v>
      </c>
    </row>
    <row r="2927" spans="1:9">
      <c r="A2927" t="str">
        <f>"0255181 "</f>
        <v xml:space="preserve">0255181 </v>
      </c>
      <c r="B2927" t="s">
        <v>8096</v>
      </c>
      <c r="C2927" t="s">
        <v>9339</v>
      </c>
      <c r="D2927" t="s">
        <v>9340</v>
      </c>
      <c r="E2927">
        <v>1</v>
      </c>
      <c r="F2927" t="s">
        <v>9341</v>
      </c>
      <c r="G2927" t="s">
        <v>8096</v>
      </c>
      <c r="H2927">
        <v>845033</v>
      </c>
      <c r="I2927" t="s">
        <v>9342</v>
      </c>
    </row>
    <row r="2928" spans="1:9">
      <c r="A2928" t="str">
        <f>"0255188 "</f>
        <v xml:space="preserve">0255188 </v>
      </c>
      <c r="B2928" t="s">
        <v>8096</v>
      </c>
      <c r="C2928" t="s">
        <v>9343</v>
      </c>
      <c r="D2928" t="s">
        <v>9344</v>
      </c>
      <c r="E2928">
        <v>1</v>
      </c>
      <c r="F2928" t="s">
        <v>8884</v>
      </c>
      <c r="G2928" t="s">
        <v>8096</v>
      </c>
      <c r="H2928">
        <v>845057</v>
      </c>
      <c r="I2928" t="s">
        <v>9345</v>
      </c>
    </row>
    <row r="2929" spans="1:9">
      <c r="A2929" t="str">
        <f>"0255194 "</f>
        <v xml:space="preserve">0255194 </v>
      </c>
      <c r="B2929" t="s">
        <v>8096</v>
      </c>
      <c r="C2929" t="s">
        <v>9346</v>
      </c>
      <c r="D2929" t="s">
        <v>9347</v>
      </c>
      <c r="E2929">
        <v>2</v>
      </c>
      <c r="F2929" t="s">
        <v>8999</v>
      </c>
      <c r="G2929" t="s">
        <v>8096</v>
      </c>
      <c r="H2929">
        <v>850004</v>
      </c>
      <c r="I2929" t="s">
        <v>9348</v>
      </c>
    </row>
    <row r="2930" spans="1:9">
      <c r="A2930" t="str">
        <f>"0255195 "</f>
        <v xml:space="preserve">0255195 </v>
      </c>
      <c r="B2930" t="s">
        <v>8096</v>
      </c>
      <c r="C2930" t="s">
        <v>9349</v>
      </c>
      <c r="D2930" t="s">
        <v>9350</v>
      </c>
      <c r="E2930">
        <v>1</v>
      </c>
      <c r="F2930" t="s">
        <v>8198</v>
      </c>
      <c r="G2930" t="s">
        <v>8096</v>
      </c>
      <c r="H2930">
        <v>850005</v>
      </c>
      <c r="I2930" t="s">
        <v>9351</v>
      </c>
    </row>
    <row r="2931" spans="1:9">
      <c r="A2931" t="str">
        <f>"0255203 "</f>
        <v xml:space="preserve">0255203 </v>
      </c>
      <c r="B2931" t="s">
        <v>8096</v>
      </c>
      <c r="C2931" t="s">
        <v>9352</v>
      </c>
      <c r="D2931" t="s">
        <v>9353</v>
      </c>
      <c r="E2931">
        <v>2</v>
      </c>
      <c r="F2931" t="s">
        <v>8924</v>
      </c>
      <c r="G2931" t="s">
        <v>8096</v>
      </c>
      <c r="H2931">
        <v>850043</v>
      </c>
      <c r="I2931" t="s">
        <v>9354</v>
      </c>
    </row>
    <row r="2932" spans="1:9">
      <c r="A2932" t="str">
        <f>"0255207 "</f>
        <v xml:space="preserve">0255207 </v>
      </c>
      <c r="B2932" t="s">
        <v>8096</v>
      </c>
      <c r="C2932" t="s">
        <v>9355</v>
      </c>
      <c r="D2932" t="s">
        <v>9356</v>
      </c>
      <c r="E2932">
        <v>2</v>
      </c>
      <c r="F2932" t="s">
        <v>9357</v>
      </c>
      <c r="G2932" t="s">
        <v>8096</v>
      </c>
      <c r="H2932">
        <v>850069</v>
      </c>
      <c r="I2932" t="s">
        <v>9358</v>
      </c>
    </row>
    <row r="2933" spans="1:9">
      <c r="A2933" t="str">
        <f>"0255208 "</f>
        <v xml:space="preserve">0255208 </v>
      </c>
      <c r="B2933" t="s">
        <v>8096</v>
      </c>
      <c r="C2933" t="s">
        <v>9359</v>
      </c>
      <c r="D2933" t="s">
        <v>9360</v>
      </c>
      <c r="E2933">
        <v>3</v>
      </c>
      <c r="F2933" t="s">
        <v>9361</v>
      </c>
      <c r="G2933" t="s">
        <v>8096</v>
      </c>
      <c r="H2933">
        <v>850079</v>
      </c>
      <c r="I2933" t="s">
        <v>9362</v>
      </c>
    </row>
    <row r="2934" spans="1:9">
      <c r="A2934" t="str">
        <f>"0255209 "</f>
        <v xml:space="preserve">0255209 </v>
      </c>
      <c r="B2934" t="s">
        <v>8096</v>
      </c>
      <c r="C2934" t="s">
        <v>9363</v>
      </c>
      <c r="D2934" t="s">
        <v>9364</v>
      </c>
      <c r="E2934">
        <v>1</v>
      </c>
      <c r="F2934" t="s">
        <v>9365</v>
      </c>
      <c r="G2934" t="s">
        <v>8096</v>
      </c>
      <c r="H2934">
        <v>850092</v>
      </c>
      <c r="I2934" t="s">
        <v>9366</v>
      </c>
    </row>
    <row r="2935" spans="1:9">
      <c r="A2935" t="str">
        <f>"0255210 "</f>
        <v xml:space="preserve">0255210 </v>
      </c>
      <c r="B2935" t="s">
        <v>8096</v>
      </c>
      <c r="C2935" t="s">
        <v>9367</v>
      </c>
      <c r="D2935" t="s">
        <v>9368</v>
      </c>
      <c r="E2935">
        <v>1</v>
      </c>
      <c r="F2935" t="s">
        <v>9369</v>
      </c>
      <c r="G2935" t="s">
        <v>8096</v>
      </c>
      <c r="H2935">
        <v>850093</v>
      </c>
      <c r="I2935" t="s">
        <v>9370</v>
      </c>
    </row>
    <row r="2936" spans="1:9">
      <c r="A2936" t="str">
        <f>"0255211 "</f>
        <v xml:space="preserve">0255211 </v>
      </c>
      <c r="B2936" t="s">
        <v>8096</v>
      </c>
      <c r="C2936" t="s">
        <v>9371</v>
      </c>
      <c r="D2936" t="s">
        <v>9372</v>
      </c>
      <c r="E2936">
        <v>1</v>
      </c>
      <c r="F2936" t="s">
        <v>8159</v>
      </c>
      <c r="G2936" t="s">
        <v>8096</v>
      </c>
      <c r="H2936">
        <v>850112</v>
      </c>
      <c r="I2936" t="s">
        <v>9373</v>
      </c>
    </row>
    <row r="2937" spans="1:9">
      <c r="A2937" t="str">
        <f>"0255213 "</f>
        <v xml:space="preserve">0255213 </v>
      </c>
      <c r="B2937" t="s">
        <v>8096</v>
      </c>
      <c r="C2937" t="s">
        <v>9374</v>
      </c>
      <c r="D2937" t="s">
        <v>9375</v>
      </c>
      <c r="E2937">
        <v>1</v>
      </c>
      <c r="F2937" t="s">
        <v>9376</v>
      </c>
      <c r="G2937" t="s">
        <v>8096</v>
      </c>
      <c r="H2937">
        <v>850114</v>
      </c>
      <c r="I2937" t="s">
        <v>9377</v>
      </c>
    </row>
    <row r="2938" spans="1:9">
      <c r="A2938" t="str">
        <f>"0255214 "</f>
        <v xml:space="preserve">0255214 </v>
      </c>
      <c r="B2938" t="s">
        <v>8096</v>
      </c>
      <c r="C2938" t="s">
        <v>9378</v>
      </c>
      <c r="D2938" t="s">
        <v>9379</v>
      </c>
      <c r="E2938">
        <v>1</v>
      </c>
      <c r="F2938" t="s">
        <v>8159</v>
      </c>
      <c r="G2938" t="s">
        <v>8096</v>
      </c>
      <c r="H2938">
        <v>850116</v>
      </c>
      <c r="I2938" t="s">
        <v>9380</v>
      </c>
    </row>
    <row r="2939" spans="1:9">
      <c r="A2939" t="str">
        <f>"0255218 "</f>
        <v xml:space="preserve">0255218 </v>
      </c>
      <c r="B2939" t="s">
        <v>8096</v>
      </c>
      <c r="C2939" t="s">
        <v>9381</v>
      </c>
      <c r="D2939" t="s">
        <v>9382</v>
      </c>
      <c r="E2939">
        <v>1</v>
      </c>
      <c r="F2939" t="s">
        <v>8999</v>
      </c>
      <c r="G2939" t="s">
        <v>8096</v>
      </c>
      <c r="H2939">
        <v>851001</v>
      </c>
      <c r="I2939" t="s">
        <v>9383</v>
      </c>
    </row>
    <row r="2940" spans="1:9">
      <c r="A2940" t="str">
        <f>"0255235 "</f>
        <v xml:space="preserve">0255235 </v>
      </c>
      <c r="B2940" t="s">
        <v>8096</v>
      </c>
      <c r="C2940" t="s">
        <v>9384</v>
      </c>
      <c r="D2940" t="s">
        <v>9385</v>
      </c>
      <c r="E2940">
        <v>1</v>
      </c>
      <c r="F2940" t="s">
        <v>8198</v>
      </c>
      <c r="G2940" t="s">
        <v>8096</v>
      </c>
      <c r="H2940">
        <v>853001</v>
      </c>
      <c r="I2940" t="s">
        <v>9386</v>
      </c>
    </row>
    <row r="2941" spans="1:9">
      <c r="A2941" t="str">
        <f>"0255237 "</f>
        <v xml:space="preserve">0255237 </v>
      </c>
      <c r="B2941" t="s">
        <v>8096</v>
      </c>
      <c r="C2941" t="s">
        <v>9387</v>
      </c>
      <c r="D2941" t="s">
        <v>9388</v>
      </c>
      <c r="E2941">
        <v>1</v>
      </c>
      <c r="F2941" t="s">
        <v>8899</v>
      </c>
      <c r="G2941" t="s">
        <v>8096</v>
      </c>
      <c r="H2941">
        <v>853004</v>
      </c>
      <c r="I2941" t="s">
        <v>9389</v>
      </c>
    </row>
    <row r="2942" spans="1:9">
      <c r="A2942" t="str">
        <f>"0255238 "</f>
        <v xml:space="preserve">0255238 </v>
      </c>
      <c r="B2942" t="s">
        <v>8096</v>
      </c>
      <c r="C2942" t="s">
        <v>9390</v>
      </c>
      <c r="D2942" t="s">
        <v>9391</v>
      </c>
      <c r="E2942">
        <v>1</v>
      </c>
      <c r="F2942" t="s">
        <v>8856</v>
      </c>
      <c r="G2942" t="s">
        <v>8096</v>
      </c>
      <c r="H2942">
        <v>853005</v>
      </c>
      <c r="I2942" t="s">
        <v>9392</v>
      </c>
    </row>
    <row r="2943" spans="1:9">
      <c r="A2943" t="str">
        <f>"0255240 "</f>
        <v xml:space="preserve">0255240 </v>
      </c>
      <c r="B2943" t="s">
        <v>8096</v>
      </c>
      <c r="C2943" t="s">
        <v>9393</v>
      </c>
      <c r="D2943" t="s">
        <v>9394</v>
      </c>
      <c r="E2943">
        <v>2</v>
      </c>
      <c r="F2943" t="s">
        <v>9395</v>
      </c>
      <c r="G2943" t="s">
        <v>8096</v>
      </c>
      <c r="H2943">
        <v>853007</v>
      </c>
      <c r="I2943" t="s">
        <v>9396</v>
      </c>
    </row>
    <row r="2944" spans="1:9">
      <c r="A2944" t="str">
        <f>"0255241 "</f>
        <v xml:space="preserve">0255241 </v>
      </c>
      <c r="B2944" t="s">
        <v>8096</v>
      </c>
      <c r="C2944" t="s">
        <v>9397</v>
      </c>
      <c r="D2944" t="s">
        <v>9398</v>
      </c>
      <c r="E2944">
        <v>2</v>
      </c>
      <c r="F2944" t="s">
        <v>9399</v>
      </c>
      <c r="G2944" t="s">
        <v>8096</v>
      </c>
      <c r="H2944">
        <v>853008</v>
      </c>
      <c r="I2944" t="s">
        <v>9400</v>
      </c>
    </row>
    <row r="2945" spans="1:9">
      <c r="A2945" t="str">
        <f>"0255242 "</f>
        <v xml:space="preserve">0255242 </v>
      </c>
      <c r="B2945" t="s">
        <v>8096</v>
      </c>
      <c r="C2945" t="s">
        <v>9401</v>
      </c>
      <c r="D2945" t="s">
        <v>9402</v>
      </c>
      <c r="E2945">
        <v>2</v>
      </c>
      <c r="F2945" t="s">
        <v>9403</v>
      </c>
      <c r="G2945" t="s">
        <v>8096</v>
      </c>
      <c r="H2945">
        <v>854001</v>
      </c>
      <c r="I2945" t="s">
        <v>9404</v>
      </c>
    </row>
    <row r="2946" spans="1:9">
      <c r="A2946" t="str">
        <f>"0255251 "</f>
        <v xml:space="preserve">0255251 </v>
      </c>
      <c r="B2946" t="s">
        <v>8096</v>
      </c>
      <c r="C2946" t="s">
        <v>9405</v>
      </c>
      <c r="D2946" t="s">
        <v>9406</v>
      </c>
      <c r="E2946">
        <v>1</v>
      </c>
      <c r="F2946" t="s">
        <v>9407</v>
      </c>
      <c r="G2946" t="s">
        <v>8096</v>
      </c>
      <c r="H2946">
        <v>856009</v>
      </c>
      <c r="I2946" t="s">
        <v>9408</v>
      </c>
    </row>
    <row r="2947" spans="1:9">
      <c r="A2947" t="str">
        <f>"0255254 "</f>
        <v xml:space="preserve">0255254 </v>
      </c>
      <c r="B2947" t="s">
        <v>8096</v>
      </c>
      <c r="C2947" t="s">
        <v>9409</v>
      </c>
      <c r="D2947" t="s">
        <v>9410</v>
      </c>
      <c r="E2947">
        <v>2</v>
      </c>
      <c r="F2947" t="s">
        <v>9411</v>
      </c>
      <c r="G2947" t="s">
        <v>8096</v>
      </c>
      <c r="H2947">
        <v>856041</v>
      </c>
      <c r="I2947" t="s">
        <v>9412</v>
      </c>
    </row>
    <row r="2948" spans="1:9">
      <c r="A2948" t="str">
        <f>"0255255 "</f>
        <v xml:space="preserve">0255255 </v>
      </c>
      <c r="B2948" t="s">
        <v>8096</v>
      </c>
      <c r="C2948" t="s">
        <v>9413</v>
      </c>
      <c r="D2948" t="s">
        <v>9414</v>
      </c>
      <c r="E2948">
        <v>1</v>
      </c>
      <c r="F2948" t="s">
        <v>8797</v>
      </c>
      <c r="G2948" t="s">
        <v>8096</v>
      </c>
      <c r="H2948">
        <v>856042</v>
      </c>
      <c r="I2948" t="s">
        <v>9415</v>
      </c>
    </row>
    <row r="2949" spans="1:9">
      <c r="A2949" t="str">
        <f>"0255259 "</f>
        <v xml:space="preserve">0255259 </v>
      </c>
      <c r="B2949" t="s">
        <v>8096</v>
      </c>
      <c r="C2949" t="s">
        <v>9416</v>
      </c>
      <c r="D2949" t="s">
        <v>9417</v>
      </c>
      <c r="E2949">
        <v>1</v>
      </c>
      <c r="F2949" t="s">
        <v>8202</v>
      </c>
      <c r="G2949" t="s">
        <v>8096</v>
      </c>
      <c r="H2949">
        <v>857009</v>
      </c>
      <c r="I2949" t="s">
        <v>9418</v>
      </c>
    </row>
    <row r="2950" spans="1:9">
      <c r="A2950" t="str">
        <f>"0255275 "</f>
        <v xml:space="preserve">0255275 </v>
      </c>
      <c r="B2950" t="s">
        <v>8096</v>
      </c>
      <c r="C2950" t="s">
        <v>9419</v>
      </c>
      <c r="D2950" t="s">
        <v>9420</v>
      </c>
      <c r="E2950">
        <v>2</v>
      </c>
      <c r="F2950" t="s">
        <v>9421</v>
      </c>
      <c r="G2950" t="s">
        <v>8096</v>
      </c>
      <c r="H2950">
        <v>857042</v>
      </c>
      <c r="I2950" t="s">
        <v>9422</v>
      </c>
    </row>
    <row r="2951" spans="1:9">
      <c r="A2951" t="str">
        <f>"0255286 "</f>
        <v xml:space="preserve">0255286 </v>
      </c>
      <c r="B2951" t="s">
        <v>8096</v>
      </c>
      <c r="C2951" t="s">
        <v>9423</v>
      </c>
      <c r="D2951" t="s">
        <v>9424</v>
      </c>
      <c r="E2951">
        <v>2</v>
      </c>
      <c r="F2951" t="s">
        <v>9341</v>
      </c>
      <c r="G2951" t="s">
        <v>8096</v>
      </c>
      <c r="H2951">
        <v>859001</v>
      </c>
      <c r="I2951" t="s">
        <v>9425</v>
      </c>
    </row>
    <row r="2952" spans="1:9">
      <c r="A2952" t="str">
        <f>"0255291 "</f>
        <v xml:space="preserve">0255291 </v>
      </c>
      <c r="B2952" t="s">
        <v>8096</v>
      </c>
      <c r="C2952" t="s">
        <v>9426</v>
      </c>
      <c r="D2952" t="s">
        <v>9427</v>
      </c>
      <c r="E2952">
        <v>1</v>
      </c>
      <c r="F2952" t="s">
        <v>8171</v>
      </c>
      <c r="G2952" t="s">
        <v>8096</v>
      </c>
      <c r="H2952">
        <v>859006</v>
      </c>
      <c r="I2952" t="s">
        <v>9428</v>
      </c>
    </row>
    <row r="2953" spans="1:9">
      <c r="A2953" t="str">
        <f>"0255297 "</f>
        <v xml:space="preserve">0255297 </v>
      </c>
      <c r="B2953" t="s">
        <v>8096</v>
      </c>
      <c r="C2953" t="s">
        <v>9429</v>
      </c>
      <c r="D2953" t="s">
        <v>9430</v>
      </c>
      <c r="E2953">
        <v>2</v>
      </c>
      <c r="F2953" t="s">
        <v>8179</v>
      </c>
      <c r="G2953" t="s">
        <v>8096</v>
      </c>
      <c r="H2953">
        <v>859019</v>
      </c>
      <c r="I2953" t="s">
        <v>9431</v>
      </c>
    </row>
    <row r="2954" spans="1:9">
      <c r="A2954" t="str">
        <f>"0255298 "</f>
        <v xml:space="preserve">0255298 </v>
      </c>
      <c r="B2954" t="s">
        <v>8096</v>
      </c>
      <c r="C2954" t="s">
        <v>9432</v>
      </c>
      <c r="D2954" t="s">
        <v>9433</v>
      </c>
      <c r="E2954">
        <v>1</v>
      </c>
      <c r="F2954" t="s">
        <v>8202</v>
      </c>
      <c r="G2954" t="s">
        <v>8096</v>
      </c>
      <c r="H2954">
        <v>859020</v>
      </c>
      <c r="I2954" t="s">
        <v>9434</v>
      </c>
    </row>
    <row r="2955" spans="1:9">
      <c r="A2955" t="str">
        <f>"0255299 "</f>
        <v xml:space="preserve">0255299 </v>
      </c>
      <c r="B2955" t="s">
        <v>8096</v>
      </c>
      <c r="C2955" t="s">
        <v>9435</v>
      </c>
      <c r="D2955" t="s">
        <v>9436</v>
      </c>
      <c r="E2955">
        <v>1</v>
      </c>
      <c r="F2955" t="s">
        <v>9027</v>
      </c>
      <c r="G2955" t="s">
        <v>8096</v>
      </c>
      <c r="H2955">
        <v>859021</v>
      </c>
      <c r="I2955" t="s">
        <v>9437</v>
      </c>
    </row>
    <row r="2956" spans="1:9">
      <c r="A2956" t="str">
        <f>"0255300 "</f>
        <v xml:space="preserve">0255300 </v>
      </c>
      <c r="B2956" t="s">
        <v>8096</v>
      </c>
      <c r="C2956" t="s">
        <v>9438</v>
      </c>
      <c r="D2956" t="s">
        <v>9439</v>
      </c>
      <c r="E2956">
        <v>2</v>
      </c>
      <c r="F2956" t="s">
        <v>8171</v>
      </c>
      <c r="G2956" t="s">
        <v>8096</v>
      </c>
      <c r="H2956">
        <v>859022</v>
      </c>
      <c r="I2956" t="s">
        <v>9440</v>
      </c>
    </row>
    <row r="2957" spans="1:9">
      <c r="A2957" t="str">
        <f>"0255301 "</f>
        <v xml:space="preserve">0255301 </v>
      </c>
      <c r="B2957" t="s">
        <v>8096</v>
      </c>
      <c r="C2957" t="s">
        <v>9441</v>
      </c>
      <c r="D2957" t="s">
        <v>9442</v>
      </c>
      <c r="E2957">
        <v>1</v>
      </c>
      <c r="F2957" t="s">
        <v>8179</v>
      </c>
      <c r="G2957" t="s">
        <v>8096</v>
      </c>
      <c r="H2957">
        <v>859024</v>
      </c>
      <c r="I2957" t="s">
        <v>9443</v>
      </c>
    </row>
    <row r="2958" spans="1:9">
      <c r="A2958" t="str">
        <f>"0255304 "</f>
        <v xml:space="preserve">0255304 </v>
      </c>
      <c r="B2958" t="s">
        <v>8096</v>
      </c>
      <c r="C2958" t="s">
        <v>9444</v>
      </c>
      <c r="D2958" t="s">
        <v>9445</v>
      </c>
      <c r="E2958">
        <v>2</v>
      </c>
      <c r="F2958" t="s">
        <v>8789</v>
      </c>
      <c r="G2958" t="s">
        <v>8096</v>
      </c>
      <c r="H2958">
        <v>859027</v>
      </c>
      <c r="I2958" t="s">
        <v>9446</v>
      </c>
    </row>
    <row r="2959" spans="1:9">
      <c r="A2959" t="str">
        <f>"0255305 "</f>
        <v xml:space="preserve">0255305 </v>
      </c>
      <c r="B2959" t="s">
        <v>8096</v>
      </c>
      <c r="C2959" t="s">
        <v>9447</v>
      </c>
      <c r="D2959" t="s">
        <v>9448</v>
      </c>
      <c r="E2959">
        <v>2</v>
      </c>
      <c r="F2959" t="s">
        <v>8999</v>
      </c>
      <c r="G2959" t="s">
        <v>8096</v>
      </c>
      <c r="H2959">
        <v>859028</v>
      </c>
      <c r="I2959" t="s">
        <v>9449</v>
      </c>
    </row>
    <row r="2960" spans="1:9">
      <c r="A2960" t="str">
        <f>"0255307 "</f>
        <v xml:space="preserve">0255307 </v>
      </c>
      <c r="B2960" t="s">
        <v>8096</v>
      </c>
      <c r="C2960" t="s">
        <v>9450</v>
      </c>
      <c r="D2960" t="s">
        <v>9451</v>
      </c>
      <c r="E2960">
        <v>1</v>
      </c>
      <c r="F2960" t="s">
        <v>9023</v>
      </c>
      <c r="G2960" t="s">
        <v>8096</v>
      </c>
      <c r="H2960">
        <v>859034</v>
      </c>
      <c r="I2960" t="s">
        <v>9452</v>
      </c>
    </row>
    <row r="2961" spans="1:9">
      <c r="A2961" t="str">
        <f>"0255328 "</f>
        <v xml:space="preserve">0255328 </v>
      </c>
      <c r="B2961" t="s">
        <v>8096</v>
      </c>
      <c r="C2961" t="s">
        <v>9453</v>
      </c>
      <c r="D2961" t="s">
        <v>9454</v>
      </c>
      <c r="E2961">
        <v>1</v>
      </c>
      <c r="F2961" t="s">
        <v>9455</v>
      </c>
      <c r="G2961" t="s">
        <v>8096</v>
      </c>
      <c r="H2961">
        <v>859085</v>
      </c>
      <c r="I2961" t="s">
        <v>9456</v>
      </c>
    </row>
    <row r="2962" spans="1:9">
      <c r="A2962" t="str">
        <f>"0255331 "</f>
        <v xml:space="preserve">0255331 </v>
      </c>
      <c r="B2962" t="s">
        <v>8096</v>
      </c>
      <c r="C2962" t="s">
        <v>9457</v>
      </c>
      <c r="D2962" t="s">
        <v>9458</v>
      </c>
      <c r="E2962">
        <v>1</v>
      </c>
      <c r="F2962" t="s">
        <v>9459</v>
      </c>
      <c r="G2962" t="s">
        <v>8096</v>
      </c>
      <c r="H2962">
        <v>859107</v>
      </c>
      <c r="I2962" t="s">
        <v>9460</v>
      </c>
    </row>
    <row r="2963" spans="1:9">
      <c r="A2963" t="str">
        <f>"0255333 "</f>
        <v xml:space="preserve">0255333 </v>
      </c>
      <c r="B2963" t="s">
        <v>8096</v>
      </c>
      <c r="C2963" t="s">
        <v>9461</v>
      </c>
      <c r="D2963" t="s">
        <v>9462</v>
      </c>
      <c r="E2963">
        <v>1</v>
      </c>
      <c r="F2963" t="s">
        <v>9463</v>
      </c>
      <c r="G2963" t="s">
        <v>8096</v>
      </c>
      <c r="H2963">
        <v>859120</v>
      </c>
      <c r="I2963" t="s">
        <v>9464</v>
      </c>
    </row>
    <row r="2964" spans="1:9">
      <c r="A2964" t="str">
        <f>"0255336 "</f>
        <v xml:space="preserve">0255336 </v>
      </c>
      <c r="B2964" t="s">
        <v>8096</v>
      </c>
      <c r="C2964" t="s">
        <v>9465</v>
      </c>
      <c r="D2964" t="s">
        <v>9466</v>
      </c>
      <c r="E2964">
        <v>1</v>
      </c>
      <c r="F2964" t="s">
        <v>9098</v>
      </c>
      <c r="G2964" t="s">
        <v>8096</v>
      </c>
      <c r="H2964">
        <v>859137</v>
      </c>
      <c r="I2964" t="s">
        <v>9467</v>
      </c>
    </row>
    <row r="2965" spans="1:9">
      <c r="A2965" t="str">
        <f>"0255338 "</f>
        <v xml:space="preserve">0255338 </v>
      </c>
      <c r="B2965" t="s">
        <v>8096</v>
      </c>
      <c r="C2965" t="s">
        <v>9468</v>
      </c>
      <c r="D2965" t="s">
        <v>9469</v>
      </c>
      <c r="E2965">
        <v>1</v>
      </c>
      <c r="F2965" t="s">
        <v>9470</v>
      </c>
      <c r="G2965" t="s">
        <v>8096</v>
      </c>
      <c r="H2965">
        <v>859153</v>
      </c>
      <c r="I2965" t="s">
        <v>9471</v>
      </c>
    </row>
    <row r="2966" spans="1:9">
      <c r="A2966" t="str">
        <f>"0255342 "</f>
        <v xml:space="preserve">0255342 </v>
      </c>
      <c r="B2966" t="s">
        <v>8096</v>
      </c>
      <c r="C2966" t="s">
        <v>9472</v>
      </c>
      <c r="D2966" t="s">
        <v>9473</v>
      </c>
      <c r="E2966">
        <v>1</v>
      </c>
      <c r="F2966" t="s">
        <v>9341</v>
      </c>
      <c r="G2966" t="s">
        <v>8096</v>
      </c>
      <c r="H2966">
        <v>859175</v>
      </c>
      <c r="I2966" t="s">
        <v>9474</v>
      </c>
    </row>
    <row r="2967" spans="1:9">
      <c r="A2967" t="str">
        <f>"0255346 "</f>
        <v xml:space="preserve">0255346 </v>
      </c>
      <c r="B2967" t="s">
        <v>8096</v>
      </c>
      <c r="C2967" t="s">
        <v>9475</v>
      </c>
      <c r="D2967" t="s">
        <v>9476</v>
      </c>
      <c r="E2967">
        <v>1</v>
      </c>
      <c r="F2967" t="s">
        <v>9477</v>
      </c>
      <c r="G2967" t="s">
        <v>8096</v>
      </c>
      <c r="H2967">
        <v>859232</v>
      </c>
      <c r="I2967" t="s">
        <v>9478</v>
      </c>
    </row>
    <row r="2968" spans="1:9">
      <c r="A2968" t="str">
        <f>"0255349 "</f>
        <v xml:space="preserve">0255349 </v>
      </c>
      <c r="B2968" t="s">
        <v>8096</v>
      </c>
      <c r="C2968" t="s">
        <v>9479</v>
      </c>
      <c r="D2968" t="s">
        <v>9480</v>
      </c>
      <c r="E2968">
        <v>1</v>
      </c>
      <c r="F2968" t="s">
        <v>9481</v>
      </c>
      <c r="G2968" t="s">
        <v>8096</v>
      </c>
      <c r="H2968">
        <v>860005</v>
      </c>
      <c r="I2968" t="s">
        <v>9482</v>
      </c>
    </row>
    <row r="2969" spans="1:9">
      <c r="A2969" t="str">
        <f>"0255352 "</f>
        <v xml:space="preserve">0255352 </v>
      </c>
      <c r="B2969" t="s">
        <v>8096</v>
      </c>
      <c r="C2969" t="s">
        <v>9483</v>
      </c>
      <c r="D2969" t="s">
        <v>9484</v>
      </c>
      <c r="E2969">
        <v>1</v>
      </c>
      <c r="F2969" t="s">
        <v>9485</v>
      </c>
      <c r="G2969" t="s">
        <v>8096</v>
      </c>
      <c r="H2969">
        <v>861003</v>
      </c>
      <c r="I2969" t="s">
        <v>9486</v>
      </c>
    </row>
    <row r="2970" spans="1:9">
      <c r="A2970" t="str">
        <f>"0255353 "</f>
        <v xml:space="preserve">0255353 </v>
      </c>
      <c r="B2970" t="s">
        <v>8096</v>
      </c>
      <c r="C2970" t="s">
        <v>9487</v>
      </c>
      <c r="D2970" t="s">
        <v>9488</v>
      </c>
      <c r="E2970">
        <v>2</v>
      </c>
      <c r="F2970" t="s">
        <v>9023</v>
      </c>
      <c r="G2970" t="s">
        <v>8096</v>
      </c>
      <c r="H2970">
        <v>861004</v>
      </c>
      <c r="I2970" t="s">
        <v>9489</v>
      </c>
    </row>
    <row r="2971" spans="1:9">
      <c r="A2971" t="str">
        <f>"0255354 "</f>
        <v xml:space="preserve">0255354 </v>
      </c>
      <c r="B2971" t="s">
        <v>8096</v>
      </c>
      <c r="C2971" t="s">
        <v>9490</v>
      </c>
      <c r="D2971" t="s">
        <v>9491</v>
      </c>
      <c r="E2971">
        <v>2</v>
      </c>
      <c r="F2971" t="s">
        <v>9492</v>
      </c>
      <c r="G2971" t="s">
        <v>8096</v>
      </c>
      <c r="H2971">
        <v>861005</v>
      </c>
      <c r="I2971" t="s">
        <v>9493</v>
      </c>
    </row>
    <row r="2972" spans="1:9">
      <c r="A2972" t="str">
        <f>"0255355 "</f>
        <v xml:space="preserve">0255355 </v>
      </c>
      <c r="B2972" t="s">
        <v>8096</v>
      </c>
      <c r="C2972" t="s">
        <v>9494</v>
      </c>
      <c r="D2972" t="s">
        <v>9495</v>
      </c>
      <c r="E2972">
        <v>1</v>
      </c>
      <c r="F2972" t="s">
        <v>9496</v>
      </c>
      <c r="G2972" t="s">
        <v>8096</v>
      </c>
      <c r="H2972">
        <v>861006</v>
      </c>
      <c r="I2972" t="s">
        <v>9497</v>
      </c>
    </row>
    <row r="2973" spans="1:9">
      <c r="A2973" t="str">
        <f>"0255357 "</f>
        <v xml:space="preserve">0255357 </v>
      </c>
      <c r="B2973" t="s">
        <v>8096</v>
      </c>
      <c r="C2973" t="s">
        <v>9498</v>
      </c>
      <c r="D2973" t="s">
        <v>9499</v>
      </c>
      <c r="E2973">
        <v>1</v>
      </c>
      <c r="F2973" t="s">
        <v>8155</v>
      </c>
      <c r="G2973" t="s">
        <v>8096</v>
      </c>
      <c r="H2973">
        <v>861009</v>
      </c>
      <c r="I2973" t="s">
        <v>9500</v>
      </c>
    </row>
    <row r="2974" spans="1:9">
      <c r="A2974" t="str">
        <f>"0255358 "</f>
        <v xml:space="preserve">0255358 </v>
      </c>
      <c r="B2974" t="s">
        <v>8096</v>
      </c>
      <c r="C2974" t="s">
        <v>9501</v>
      </c>
      <c r="D2974" t="s">
        <v>9502</v>
      </c>
      <c r="E2974">
        <v>2</v>
      </c>
      <c r="F2974" t="s">
        <v>9503</v>
      </c>
      <c r="G2974" t="s">
        <v>8096</v>
      </c>
      <c r="H2974">
        <v>861011</v>
      </c>
      <c r="I2974" t="s">
        <v>9504</v>
      </c>
    </row>
    <row r="2975" spans="1:9">
      <c r="A2975" t="str">
        <f>"0255359 "</f>
        <v xml:space="preserve">0255359 </v>
      </c>
      <c r="B2975" t="s">
        <v>8096</v>
      </c>
      <c r="C2975" t="s">
        <v>9505</v>
      </c>
      <c r="D2975" t="s">
        <v>9506</v>
      </c>
      <c r="E2975">
        <v>2</v>
      </c>
      <c r="F2975" t="s">
        <v>8924</v>
      </c>
      <c r="G2975" t="s">
        <v>8096</v>
      </c>
      <c r="H2975">
        <v>861012</v>
      </c>
      <c r="I2975" t="s">
        <v>9507</v>
      </c>
    </row>
    <row r="2976" spans="1:9">
      <c r="A2976" t="str">
        <f>"0255363 "</f>
        <v xml:space="preserve">0255363 </v>
      </c>
      <c r="B2976" t="s">
        <v>8096</v>
      </c>
      <c r="C2976" t="s">
        <v>9508</v>
      </c>
      <c r="D2976" t="s">
        <v>9509</v>
      </c>
      <c r="E2976">
        <v>2</v>
      </c>
      <c r="F2976" t="s">
        <v>9510</v>
      </c>
      <c r="G2976" t="s">
        <v>8096</v>
      </c>
      <c r="H2976">
        <v>861050</v>
      </c>
      <c r="I2976" t="s">
        <v>9511</v>
      </c>
    </row>
    <row r="2977" spans="1:9">
      <c r="A2977" t="str">
        <f>"0255368 "</f>
        <v xml:space="preserve">0255368 </v>
      </c>
      <c r="B2977" t="s">
        <v>8096</v>
      </c>
      <c r="C2977" t="s">
        <v>9512</v>
      </c>
      <c r="D2977" t="s">
        <v>9513</v>
      </c>
      <c r="E2977">
        <v>1</v>
      </c>
      <c r="F2977" t="s">
        <v>8785</v>
      </c>
      <c r="G2977" t="s">
        <v>8096</v>
      </c>
      <c r="H2977">
        <v>862003</v>
      </c>
      <c r="I2977" t="s">
        <v>9514</v>
      </c>
    </row>
    <row r="2978" spans="1:9">
      <c r="A2978" t="str">
        <f>"0255372 "</f>
        <v xml:space="preserve">0255372 </v>
      </c>
      <c r="B2978" t="s">
        <v>8096</v>
      </c>
      <c r="C2978" t="s">
        <v>9515</v>
      </c>
      <c r="D2978" t="s">
        <v>9516</v>
      </c>
      <c r="E2978">
        <v>1</v>
      </c>
      <c r="F2978" t="s">
        <v>8785</v>
      </c>
      <c r="G2978" t="s">
        <v>8096</v>
      </c>
      <c r="H2978">
        <v>862008</v>
      </c>
      <c r="I2978" t="s">
        <v>9517</v>
      </c>
    </row>
    <row r="2979" spans="1:9">
      <c r="A2979" t="str">
        <f>"0255373 "</f>
        <v xml:space="preserve">0255373 </v>
      </c>
      <c r="B2979" t="s">
        <v>8096</v>
      </c>
      <c r="C2979" t="s">
        <v>9518</v>
      </c>
      <c r="D2979" t="s">
        <v>9519</v>
      </c>
      <c r="E2979">
        <v>1</v>
      </c>
      <c r="F2979" t="s">
        <v>9023</v>
      </c>
      <c r="G2979" t="s">
        <v>8096</v>
      </c>
      <c r="H2979">
        <v>862009</v>
      </c>
      <c r="I2979" t="s">
        <v>9520</v>
      </c>
    </row>
    <row r="2980" spans="1:9">
      <c r="A2980" t="str">
        <f>"0255374 "</f>
        <v xml:space="preserve">0255374 </v>
      </c>
      <c r="B2980" t="s">
        <v>8096</v>
      </c>
      <c r="C2980" t="s">
        <v>9521</v>
      </c>
      <c r="D2980" t="s">
        <v>9522</v>
      </c>
      <c r="E2980">
        <v>1</v>
      </c>
      <c r="F2980" t="s">
        <v>8999</v>
      </c>
      <c r="G2980" t="s">
        <v>8096</v>
      </c>
      <c r="H2980">
        <v>862010</v>
      </c>
      <c r="I2980" t="s">
        <v>9523</v>
      </c>
    </row>
    <row r="2981" spans="1:9">
      <c r="A2981" t="str">
        <f>"0255380 "</f>
        <v xml:space="preserve">0255380 </v>
      </c>
      <c r="B2981" t="s">
        <v>8096</v>
      </c>
      <c r="C2981" t="s">
        <v>9524</v>
      </c>
      <c r="D2981" t="s">
        <v>9525</v>
      </c>
      <c r="E2981">
        <v>1</v>
      </c>
      <c r="F2981" t="s">
        <v>9526</v>
      </c>
      <c r="G2981" t="s">
        <v>8096</v>
      </c>
      <c r="H2981">
        <v>899018</v>
      </c>
      <c r="I2981" t="s">
        <v>9527</v>
      </c>
    </row>
    <row r="2982" spans="1:9">
      <c r="A2982" t="str">
        <f>"0255382 "</f>
        <v xml:space="preserve">0255382 </v>
      </c>
      <c r="B2982" t="s">
        <v>8096</v>
      </c>
      <c r="C2982" t="s">
        <v>9528</v>
      </c>
      <c r="D2982" t="s">
        <v>9529</v>
      </c>
      <c r="E2982">
        <v>1</v>
      </c>
      <c r="F2982" t="s">
        <v>8171</v>
      </c>
      <c r="G2982" t="s">
        <v>8096</v>
      </c>
      <c r="H2982">
        <v>899042</v>
      </c>
      <c r="I2982" t="s">
        <v>9530</v>
      </c>
    </row>
    <row r="2983" spans="1:9">
      <c r="A2983" t="str">
        <f>"0255385 "</f>
        <v xml:space="preserve">0255385 </v>
      </c>
      <c r="B2983" t="s">
        <v>8096</v>
      </c>
      <c r="C2983" t="s">
        <v>9531</v>
      </c>
      <c r="D2983" t="s">
        <v>9532</v>
      </c>
      <c r="E2983">
        <v>2</v>
      </c>
      <c r="F2983" t="s">
        <v>9341</v>
      </c>
      <c r="G2983" t="s">
        <v>8096</v>
      </c>
      <c r="H2983">
        <v>899085</v>
      </c>
      <c r="I2983" t="s">
        <v>9533</v>
      </c>
    </row>
    <row r="2984" spans="1:9">
      <c r="A2984" t="str">
        <f>"0255393 "</f>
        <v xml:space="preserve">0255393 </v>
      </c>
      <c r="B2984" t="s">
        <v>8096</v>
      </c>
      <c r="C2984" t="s">
        <v>9534</v>
      </c>
      <c r="D2984" t="s">
        <v>9535</v>
      </c>
      <c r="E2984">
        <v>1</v>
      </c>
      <c r="F2984" t="s">
        <v>9259</v>
      </c>
      <c r="G2984" t="s">
        <v>8096</v>
      </c>
      <c r="H2984">
        <v>899155</v>
      </c>
      <c r="I2984" t="s">
        <v>9536</v>
      </c>
    </row>
    <row r="2985" spans="1:9">
      <c r="A2985" t="str">
        <f>"0255397 "</f>
        <v xml:space="preserve">0255397 </v>
      </c>
      <c r="B2985" t="s">
        <v>8096</v>
      </c>
      <c r="C2985" t="s">
        <v>9537</v>
      </c>
      <c r="D2985" t="s">
        <v>9538</v>
      </c>
      <c r="E2985">
        <v>2</v>
      </c>
      <c r="F2985" t="s">
        <v>9539</v>
      </c>
      <c r="G2985" t="s">
        <v>8096</v>
      </c>
      <c r="H2985">
        <v>899205</v>
      </c>
      <c r="I2985" t="s">
        <v>9540</v>
      </c>
    </row>
    <row r="2986" spans="1:9">
      <c r="A2986" t="str">
        <f>"0255399 "</f>
        <v xml:space="preserve">0255399 </v>
      </c>
      <c r="B2986" t="s">
        <v>8096</v>
      </c>
      <c r="C2986" t="s">
        <v>9541</v>
      </c>
      <c r="D2986" t="s">
        <v>9542</v>
      </c>
      <c r="E2986">
        <v>2</v>
      </c>
      <c r="F2986" t="s">
        <v>9543</v>
      </c>
      <c r="G2986" t="s">
        <v>8096</v>
      </c>
      <c r="H2986">
        <v>899213</v>
      </c>
      <c r="I2986" t="s">
        <v>9544</v>
      </c>
    </row>
    <row r="2987" spans="1:9">
      <c r="A2987" t="str">
        <f>"0255400 "</f>
        <v xml:space="preserve">0255400 </v>
      </c>
      <c r="B2987" t="s">
        <v>8096</v>
      </c>
      <c r="C2987" t="s">
        <v>9545</v>
      </c>
      <c r="D2987" t="s">
        <v>9546</v>
      </c>
      <c r="E2987">
        <v>1</v>
      </c>
      <c r="F2987" t="s">
        <v>8155</v>
      </c>
      <c r="G2987" t="s">
        <v>8096</v>
      </c>
      <c r="H2987">
        <v>899225</v>
      </c>
      <c r="I2987" t="s">
        <v>9547</v>
      </c>
    </row>
    <row r="2988" spans="1:9">
      <c r="A2988" t="str">
        <f>"0255407 "</f>
        <v xml:space="preserve">0255407 </v>
      </c>
      <c r="B2988" t="s">
        <v>8096</v>
      </c>
      <c r="C2988" t="s">
        <v>9548</v>
      </c>
      <c r="D2988" t="s">
        <v>9549</v>
      </c>
      <c r="E2988">
        <v>1</v>
      </c>
      <c r="F2988" t="s">
        <v>9550</v>
      </c>
      <c r="G2988" t="s">
        <v>8096</v>
      </c>
      <c r="H2988">
        <v>899282</v>
      </c>
      <c r="I2988" t="s">
        <v>9551</v>
      </c>
    </row>
    <row r="2989" spans="1:9">
      <c r="A2989" t="str">
        <f>"0255408 "</f>
        <v xml:space="preserve">0255408 </v>
      </c>
      <c r="B2989" t="s">
        <v>8096</v>
      </c>
      <c r="C2989" t="s">
        <v>9552</v>
      </c>
      <c r="D2989" t="s">
        <v>9553</v>
      </c>
      <c r="E2989">
        <v>1</v>
      </c>
      <c r="F2989" t="s">
        <v>9554</v>
      </c>
      <c r="G2989" t="s">
        <v>8096</v>
      </c>
      <c r="H2989">
        <v>899283</v>
      </c>
      <c r="I2989" t="s">
        <v>9555</v>
      </c>
    </row>
    <row r="2990" spans="1:9">
      <c r="A2990" t="str">
        <f>"0255409 "</f>
        <v xml:space="preserve">0255409 </v>
      </c>
      <c r="B2990" t="s">
        <v>8096</v>
      </c>
      <c r="C2990" t="s">
        <v>9556</v>
      </c>
      <c r="D2990" t="s">
        <v>9557</v>
      </c>
      <c r="E2990">
        <v>1</v>
      </c>
      <c r="F2990" t="s">
        <v>9503</v>
      </c>
      <c r="G2990" t="s">
        <v>8096</v>
      </c>
      <c r="H2990">
        <v>899288</v>
      </c>
      <c r="I2990" t="s">
        <v>9558</v>
      </c>
    </row>
    <row r="2991" spans="1:9">
      <c r="A2991" t="str">
        <f>"0255432 "</f>
        <v xml:space="preserve">0255432 </v>
      </c>
      <c r="B2991" t="s">
        <v>8096</v>
      </c>
      <c r="C2991" t="s">
        <v>9559</v>
      </c>
      <c r="D2991" t="s">
        <v>9560</v>
      </c>
      <c r="E2991">
        <v>1</v>
      </c>
      <c r="F2991" t="s">
        <v>9561</v>
      </c>
      <c r="G2991" t="s">
        <v>8096</v>
      </c>
      <c r="H2991" t="s">
        <v>9562</v>
      </c>
      <c r="I2991" t="s">
        <v>9563</v>
      </c>
    </row>
    <row r="2992" spans="1:9">
      <c r="A2992" t="str">
        <f>"0255433 "</f>
        <v xml:space="preserve">0255433 </v>
      </c>
      <c r="B2992" t="s">
        <v>8096</v>
      </c>
      <c r="C2992" t="s">
        <v>9564</v>
      </c>
      <c r="D2992" t="s">
        <v>9565</v>
      </c>
      <c r="E2992">
        <v>2</v>
      </c>
      <c r="F2992" t="s">
        <v>9566</v>
      </c>
      <c r="G2992" t="s">
        <v>8096</v>
      </c>
      <c r="H2992" t="s">
        <v>9567</v>
      </c>
      <c r="I2992" t="s">
        <v>9568</v>
      </c>
    </row>
    <row r="2993" spans="1:9">
      <c r="A2993" t="str">
        <f>"0255435 "</f>
        <v xml:space="preserve">0255435 </v>
      </c>
      <c r="B2993" t="s">
        <v>8096</v>
      </c>
      <c r="C2993" t="s">
        <v>9569</v>
      </c>
      <c r="D2993" t="s">
        <v>9570</v>
      </c>
      <c r="E2993">
        <v>1</v>
      </c>
      <c r="F2993" t="s">
        <v>9571</v>
      </c>
      <c r="G2993" t="s">
        <v>8096</v>
      </c>
      <c r="H2993" t="s">
        <v>9572</v>
      </c>
      <c r="I2993" t="s">
        <v>9573</v>
      </c>
    </row>
    <row r="2994" spans="1:9">
      <c r="A2994" t="str">
        <f>"0255485 "</f>
        <v xml:space="preserve">0255485 </v>
      </c>
      <c r="B2994" t="s">
        <v>8096</v>
      </c>
      <c r="C2994" t="s">
        <v>9574</v>
      </c>
      <c r="D2994" t="s">
        <v>9575</v>
      </c>
      <c r="E2994">
        <v>2</v>
      </c>
      <c r="F2994" t="s">
        <v>9576</v>
      </c>
      <c r="G2994" t="s">
        <v>8096</v>
      </c>
      <c r="H2994" t="s">
        <v>9577</v>
      </c>
      <c r="I2994" t="s">
        <v>9578</v>
      </c>
    </row>
    <row r="2995" spans="1:9">
      <c r="A2995" t="str">
        <f>"0255544 "</f>
        <v xml:space="preserve">0255544 </v>
      </c>
      <c r="B2995" t="s">
        <v>8096</v>
      </c>
      <c r="C2995" t="s">
        <v>9579</v>
      </c>
      <c r="D2995" t="s">
        <v>9580</v>
      </c>
      <c r="E2995">
        <v>1</v>
      </c>
      <c r="F2995" t="s">
        <v>9581</v>
      </c>
      <c r="G2995" t="s">
        <v>8096</v>
      </c>
      <c r="H2995" t="s">
        <v>9582</v>
      </c>
      <c r="I2995" t="s">
        <v>9583</v>
      </c>
    </row>
    <row r="2996" spans="1:9">
      <c r="A2996" t="str">
        <f>"0255546 "</f>
        <v xml:space="preserve">0255546 </v>
      </c>
      <c r="B2996" t="s">
        <v>8096</v>
      </c>
      <c r="C2996" t="s">
        <v>9584</v>
      </c>
      <c r="D2996" t="s">
        <v>9585</v>
      </c>
      <c r="E2996">
        <v>1</v>
      </c>
      <c r="F2996" t="s">
        <v>9586</v>
      </c>
      <c r="G2996" t="s">
        <v>8096</v>
      </c>
      <c r="H2996" t="s">
        <v>9587</v>
      </c>
      <c r="I2996" t="s">
        <v>9588</v>
      </c>
    </row>
    <row r="2997" spans="1:9">
      <c r="A2997" t="str">
        <f>"0255557 "</f>
        <v xml:space="preserve">0255557 </v>
      </c>
      <c r="B2997" t="s">
        <v>8096</v>
      </c>
      <c r="C2997" t="s">
        <v>9589</v>
      </c>
      <c r="D2997" t="s">
        <v>9590</v>
      </c>
      <c r="E2997">
        <v>1</v>
      </c>
      <c r="F2997" t="s">
        <v>9041</v>
      </c>
      <c r="G2997" t="s">
        <v>8096</v>
      </c>
      <c r="H2997" t="s">
        <v>9591</v>
      </c>
      <c r="I2997" t="s">
        <v>9592</v>
      </c>
    </row>
    <row r="2998" spans="1:9">
      <c r="A2998" t="str">
        <f>"0255573 "</f>
        <v xml:space="preserve">0255573 </v>
      </c>
      <c r="B2998" t="s">
        <v>8096</v>
      </c>
      <c r="C2998" t="s">
        <v>9593</v>
      </c>
      <c r="D2998" t="s">
        <v>9594</v>
      </c>
      <c r="E2998">
        <v>1</v>
      </c>
      <c r="F2998" t="s">
        <v>9595</v>
      </c>
      <c r="G2998" t="s">
        <v>8096</v>
      </c>
      <c r="H2998" t="s">
        <v>9596</v>
      </c>
      <c r="I2998" t="s">
        <v>9597</v>
      </c>
    </row>
    <row r="2999" spans="1:9">
      <c r="A2999" t="str">
        <f>"0255578 "</f>
        <v xml:space="preserve">0255578 </v>
      </c>
      <c r="B2999" t="s">
        <v>8096</v>
      </c>
      <c r="C2999" t="s">
        <v>9598</v>
      </c>
      <c r="D2999" t="s">
        <v>9599</v>
      </c>
      <c r="E2999">
        <v>1</v>
      </c>
      <c r="F2999" t="s">
        <v>8892</v>
      </c>
      <c r="G2999" t="s">
        <v>8096</v>
      </c>
      <c r="H2999" t="s">
        <v>9600</v>
      </c>
      <c r="I2999" t="s">
        <v>9601</v>
      </c>
    </row>
    <row r="3000" spans="1:9">
      <c r="A3000" t="str">
        <f>"0255606 "</f>
        <v xml:space="preserve">0255606 </v>
      </c>
      <c r="B3000" t="s">
        <v>8096</v>
      </c>
      <c r="C3000" t="s">
        <v>9602</v>
      </c>
      <c r="D3000" t="s">
        <v>9603</v>
      </c>
      <c r="E3000">
        <v>1</v>
      </c>
      <c r="F3000" t="s">
        <v>8789</v>
      </c>
      <c r="G3000" t="s">
        <v>8096</v>
      </c>
      <c r="H3000" t="s">
        <v>9604</v>
      </c>
      <c r="I3000" t="s">
        <v>9605</v>
      </c>
    </row>
    <row r="3001" spans="1:9">
      <c r="A3001" t="str">
        <f>"0255618 "</f>
        <v xml:space="preserve">0255618 </v>
      </c>
      <c r="B3001" t="s">
        <v>8096</v>
      </c>
      <c r="C3001" t="s">
        <v>9606</v>
      </c>
      <c r="D3001" t="s">
        <v>9607</v>
      </c>
      <c r="E3001">
        <v>1</v>
      </c>
      <c r="F3001" t="s">
        <v>9608</v>
      </c>
      <c r="G3001" t="s">
        <v>8096</v>
      </c>
      <c r="H3001" t="s">
        <v>9609</v>
      </c>
      <c r="I3001" t="s">
        <v>9610</v>
      </c>
    </row>
    <row r="3002" spans="1:9">
      <c r="A3002" t="str">
        <f>"0255620 "</f>
        <v xml:space="preserve">0255620 </v>
      </c>
      <c r="B3002" t="s">
        <v>8096</v>
      </c>
      <c r="C3002" t="s">
        <v>9611</v>
      </c>
      <c r="D3002" t="s">
        <v>9612</v>
      </c>
      <c r="E3002">
        <v>1</v>
      </c>
      <c r="F3002" t="s">
        <v>8813</v>
      </c>
      <c r="G3002" t="s">
        <v>8096</v>
      </c>
      <c r="H3002" t="s">
        <v>9613</v>
      </c>
      <c r="I3002" t="s">
        <v>9614</v>
      </c>
    </row>
    <row r="3003" spans="1:9">
      <c r="A3003" t="str">
        <f>"0255628 "</f>
        <v xml:space="preserve">0255628 </v>
      </c>
      <c r="B3003" t="s">
        <v>8096</v>
      </c>
      <c r="C3003" t="s">
        <v>9615</v>
      </c>
      <c r="D3003" t="s">
        <v>9616</v>
      </c>
      <c r="E3003">
        <v>1</v>
      </c>
      <c r="F3003" t="s">
        <v>9617</v>
      </c>
      <c r="G3003" t="s">
        <v>8096</v>
      </c>
      <c r="H3003" t="s">
        <v>9618</v>
      </c>
      <c r="I3003" t="s">
        <v>9619</v>
      </c>
    </row>
    <row r="3004" spans="1:9">
      <c r="A3004" t="str">
        <f>"0255629 "</f>
        <v xml:space="preserve">0255629 </v>
      </c>
      <c r="B3004" t="s">
        <v>8096</v>
      </c>
      <c r="C3004" t="s">
        <v>9620</v>
      </c>
      <c r="D3004" t="s">
        <v>9621</v>
      </c>
      <c r="E3004">
        <v>1</v>
      </c>
      <c r="F3004" t="s">
        <v>9622</v>
      </c>
      <c r="G3004" t="s">
        <v>8096</v>
      </c>
      <c r="H3004" t="s">
        <v>9623</v>
      </c>
      <c r="I3004" t="s">
        <v>9624</v>
      </c>
    </row>
    <row r="3005" spans="1:9">
      <c r="A3005" t="str">
        <f>"0255636 "</f>
        <v xml:space="preserve">0255636 </v>
      </c>
      <c r="B3005" t="s">
        <v>8096</v>
      </c>
      <c r="C3005" t="s">
        <v>9625</v>
      </c>
      <c r="D3005" t="s">
        <v>9626</v>
      </c>
      <c r="E3005">
        <v>1</v>
      </c>
      <c r="F3005" t="s">
        <v>9627</v>
      </c>
      <c r="G3005" t="s">
        <v>8096</v>
      </c>
      <c r="H3005" t="s">
        <v>9628</v>
      </c>
      <c r="I3005" t="s">
        <v>9629</v>
      </c>
    </row>
    <row r="3006" spans="1:9">
      <c r="A3006" t="str">
        <f>"0255651 "</f>
        <v xml:space="preserve">0255651 </v>
      </c>
      <c r="B3006" t="s">
        <v>8096</v>
      </c>
      <c r="C3006" t="s">
        <v>9630</v>
      </c>
      <c r="D3006" t="s">
        <v>9631</v>
      </c>
      <c r="E3006">
        <v>1</v>
      </c>
      <c r="F3006" t="s">
        <v>9632</v>
      </c>
      <c r="G3006" t="s">
        <v>8096</v>
      </c>
      <c r="H3006" t="s">
        <v>9633</v>
      </c>
      <c r="I3006" t="s">
        <v>9634</v>
      </c>
    </row>
    <row r="3007" spans="1:9">
      <c r="A3007" t="str">
        <f>"0255684 "</f>
        <v xml:space="preserve">0255684 </v>
      </c>
      <c r="B3007" t="s">
        <v>8096</v>
      </c>
      <c r="C3007" t="s">
        <v>9635</v>
      </c>
      <c r="D3007" t="s">
        <v>9636</v>
      </c>
      <c r="E3007">
        <v>1</v>
      </c>
      <c r="F3007" t="s">
        <v>9637</v>
      </c>
      <c r="G3007" t="s">
        <v>8096</v>
      </c>
      <c r="H3007" t="s">
        <v>9638</v>
      </c>
      <c r="I3007" t="s">
        <v>9639</v>
      </c>
    </row>
    <row r="3008" spans="1:9">
      <c r="A3008" t="str">
        <f>"0255696 "</f>
        <v xml:space="preserve">0255696 </v>
      </c>
      <c r="B3008" t="s">
        <v>8096</v>
      </c>
      <c r="C3008" t="s">
        <v>9640</v>
      </c>
      <c r="D3008" t="s">
        <v>9641</v>
      </c>
      <c r="E3008">
        <v>2</v>
      </c>
      <c r="F3008" t="s">
        <v>9310</v>
      </c>
      <c r="G3008" t="s">
        <v>8096</v>
      </c>
      <c r="H3008" t="s">
        <v>9642</v>
      </c>
      <c r="I3008" t="s">
        <v>9643</v>
      </c>
    </row>
    <row r="3009" spans="1:9">
      <c r="A3009" t="str">
        <f>"0255698 "</f>
        <v xml:space="preserve">0255698 </v>
      </c>
      <c r="B3009" t="s">
        <v>8096</v>
      </c>
      <c r="C3009" t="s">
        <v>9644</v>
      </c>
      <c r="D3009" t="s">
        <v>9645</v>
      </c>
      <c r="E3009">
        <v>1</v>
      </c>
      <c r="F3009" t="s">
        <v>9646</v>
      </c>
      <c r="G3009" t="s">
        <v>8096</v>
      </c>
      <c r="H3009" t="s">
        <v>9647</v>
      </c>
      <c r="I3009" t="s">
        <v>9648</v>
      </c>
    </row>
    <row r="3010" spans="1:9">
      <c r="A3010" t="str">
        <f>"0255715 "</f>
        <v xml:space="preserve">0255715 </v>
      </c>
      <c r="B3010" t="s">
        <v>8096</v>
      </c>
      <c r="C3010" t="s">
        <v>9649</v>
      </c>
      <c r="D3010" t="s">
        <v>9650</v>
      </c>
      <c r="E3010">
        <v>1</v>
      </c>
      <c r="F3010" t="s">
        <v>9651</v>
      </c>
      <c r="G3010" t="s">
        <v>8096</v>
      </c>
      <c r="H3010" t="s">
        <v>9652</v>
      </c>
      <c r="I3010" t="s">
        <v>9653</v>
      </c>
    </row>
    <row r="3011" spans="1:9">
      <c r="A3011" t="str">
        <f>"0255729 "</f>
        <v xml:space="preserve">0255729 </v>
      </c>
      <c r="B3011" t="s">
        <v>8096</v>
      </c>
      <c r="C3011" t="s">
        <v>9654</v>
      </c>
      <c r="D3011" t="s">
        <v>9655</v>
      </c>
      <c r="E3011">
        <v>1</v>
      </c>
      <c r="F3011" t="s">
        <v>9656</v>
      </c>
      <c r="G3011" t="s">
        <v>8096</v>
      </c>
      <c r="H3011" t="s">
        <v>9657</v>
      </c>
      <c r="I3011" t="s">
        <v>9658</v>
      </c>
    </row>
    <row r="3012" spans="1:9">
      <c r="A3012" t="str">
        <f>"0255730 "</f>
        <v xml:space="preserve">0255730 </v>
      </c>
      <c r="B3012" t="s">
        <v>8096</v>
      </c>
      <c r="C3012" t="s">
        <v>9659</v>
      </c>
      <c r="D3012" t="s">
        <v>9660</v>
      </c>
      <c r="E3012">
        <v>2</v>
      </c>
      <c r="F3012" t="s">
        <v>9661</v>
      </c>
      <c r="G3012" t="s">
        <v>8096</v>
      </c>
      <c r="H3012" t="s">
        <v>9662</v>
      </c>
      <c r="I3012" t="s">
        <v>9663</v>
      </c>
    </row>
    <row r="3013" spans="1:9">
      <c r="A3013" t="str">
        <f>"0255744 "</f>
        <v xml:space="preserve">0255744 </v>
      </c>
      <c r="B3013" t="s">
        <v>8096</v>
      </c>
      <c r="C3013" t="s">
        <v>9664</v>
      </c>
      <c r="D3013" t="s">
        <v>9665</v>
      </c>
      <c r="E3013">
        <v>1</v>
      </c>
      <c r="F3013" t="s">
        <v>9666</v>
      </c>
      <c r="G3013" t="s">
        <v>8096</v>
      </c>
      <c r="H3013" t="s">
        <v>9667</v>
      </c>
      <c r="I3013" t="s">
        <v>9668</v>
      </c>
    </row>
    <row r="3014" spans="1:9">
      <c r="A3014" t="str">
        <f>"0255778 "</f>
        <v xml:space="preserve">0255778 </v>
      </c>
      <c r="B3014" t="s">
        <v>8096</v>
      </c>
      <c r="C3014" t="s">
        <v>9669</v>
      </c>
      <c r="D3014" t="s">
        <v>9670</v>
      </c>
      <c r="E3014">
        <v>1</v>
      </c>
      <c r="F3014" t="s">
        <v>9671</v>
      </c>
      <c r="G3014" t="s">
        <v>8096</v>
      </c>
      <c r="H3014">
        <v>9328002</v>
      </c>
      <c r="I3014" t="s">
        <v>9672</v>
      </c>
    </row>
    <row r="3015" spans="1:9">
      <c r="A3015" t="str">
        <f>"0255797 "</f>
        <v xml:space="preserve">0255797 </v>
      </c>
      <c r="B3015" t="s">
        <v>8096</v>
      </c>
      <c r="C3015" t="s">
        <v>9673</v>
      </c>
      <c r="D3015" t="s">
        <v>9674</v>
      </c>
      <c r="E3015">
        <v>1</v>
      </c>
      <c r="F3015" t="s">
        <v>9675</v>
      </c>
      <c r="G3015" t="s">
        <v>8096</v>
      </c>
      <c r="H3015" t="s">
        <v>9676</v>
      </c>
      <c r="I3015" t="s">
        <v>9677</v>
      </c>
    </row>
    <row r="3016" spans="1:9">
      <c r="A3016" t="str">
        <f>"0255811 "</f>
        <v xml:space="preserve">0255811 </v>
      </c>
      <c r="B3016" t="s">
        <v>8096</v>
      </c>
      <c r="C3016" t="s">
        <v>9678</v>
      </c>
      <c r="D3016" t="s">
        <v>9679</v>
      </c>
      <c r="E3016">
        <v>1</v>
      </c>
      <c r="F3016" t="s">
        <v>9680</v>
      </c>
      <c r="G3016" t="s">
        <v>8096</v>
      </c>
      <c r="H3016" t="s">
        <v>9681</v>
      </c>
      <c r="I3016" t="s">
        <v>9682</v>
      </c>
    </row>
    <row r="3017" spans="1:9">
      <c r="A3017" t="str">
        <f>"0255827 "</f>
        <v xml:space="preserve">0255827 </v>
      </c>
      <c r="B3017" t="s">
        <v>8096</v>
      </c>
      <c r="C3017" t="s">
        <v>9683</v>
      </c>
      <c r="D3017" t="s">
        <v>9684</v>
      </c>
      <c r="E3017">
        <v>1</v>
      </c>
      <c r="F3017" t="s">
        <v>9685</v>
      </c>
      <c r="G3017" t="s">
        <v>8096</v>
      </c>
      <c r="H3017" t="s">
        <v>9686</v>
      </c>
      <c r="I3017" t="s">
        <v>9687</v>
      </c>
    </row>
    <row r="3018" spans="1:9">
      <c r="A3018" t="str">
        <f>"0255830 "</f>
        <v xml:space="preserve">0255830 </v>
      </c>
      <c r="B3018" t="s">
        <v>8096</v>
      </c>
      <c r="C3018" t="s">
        <v>9688</v>
      </c>
      <c r="D3018" t="s">
        <v>9689</v>
      </c>
      <c r="E3018">
        <v>1</v>
      </c>
      <c r="F3018" t="s">
        <v>9690</v>
      </c>
      <c r="G3018" t="s">
        <v>8096</v>
      </c>
      <c r="H3018" t="s">
        <v>9691</v>
      </c>
      <c r="I3018" t="s">
        <v>9692</v>
      </c>
    </row>
    <row r="3019" spans="1:9">
      <c r="A3019" t="str">
        <f>"0255836 "</f>
        <v xml:space="preserve">0255836 </v>
      </c>
      <c r="B3019" t="s">
        <v>8096</v>
      </c>
      <c r="C3019" t="s">
        <v>9693</v>
      </c>
      <c r="D3019" t="s">
        <v>9694</v>
      </c>
      <c r="E3019">
        <v>3</v>
      </c>
      <c r="F3019" t="s">
        <v>9695</v>
      </c>
      <c r="G3019" t="s">
        <v>8096</v>
      </c>
      <c r="H3019" t="s">
        <v>9696</v>
      </c>
      <c r="I3019" t="s">
        <v>9697</v>
      </c>
    </row>
    <row r="3020" spans="1:9">
      <c r="A3020" t="str">
        <f>"0255842 "</f>
        <v xml:space="preserve">0255842 </v>
      </c>
      <c r="B3020" t="s">
        <v>8096</v>
      </c>
      <c r="C3020" t="s">
        <v>9698</v>
      </c>
      <c r="D3020" t="s">
        <v>9699</v>
      </c>
      <c r="E3020">
        <v>1</v>
      </c>
      <c r="F3020" t="s">
        <v>9700</v>
      </c>
      <c r="G3020" t="s">
        <v>8096</v>
      </c>
      <c r="H3020">
        <v>9336008</v>
      </c>
      <c r="I3020" t="s">
        <v>9701</v>
      </c>
    </row>
    <row r="3021" spans="1:9">
      <c r="A3021" t="str">
        <f>"0255851 "</f>
        <v xml:space="preserve">0255851 </v>
      </c>
      <c r="B3021" t="s">
        <v>8096</v>
      </c>
      <c r="C3021" t="s">
        <v>9702</v>
      </c>
      <c r="D3021" t="s">
        <v>9703</v>
      </c>
      <c r="E3021">
        <v>2</v>
      </c>
      <c r="F3021" t="s">
        <v>9704</v>
      </c>
      <c r="G3021" t="s">
        <v>8096</v>
      </c>
      <c r="H3021" t="s">
        <v>9705</v>
      </c>
      <c r="I3021" t="s">
        <v>9706</v>
      </c>
    </row>
    <row r="3022" spans="1:9">
      <c r="A3022" t="str">
        <f>"0255862 "</f>
        <v xml:space="preserve">0255862 </v>
      </c>
      <c r="B3022" t="s">
        <v>8096</v>
      </c>
      <c r="C3022" t="s">
        <v>9707</v>
      </c>
      <c r="D3022" t="s">
        <v>9708</v>
      </c>
      <c r="E3022">
        <v>1</v>
      </c>
      <c r="F3022" t="s">
        <v>9709</v>
      </c>
      <c r="G3022" t="s">
        <v>8096</v>
      </c>
      <c r="H3022">
        <v>9400008</v>
      </c>
      <c r="I3022" t="s">
        <v>9710</v>
      </c>
    </row>
    <row r="3023" spans="1:9">
      <c r="A3023" t="str">
        <f>"0255870 "</f>
        <v xml:space="preserve">0255870 </v>
      </c>
      <c r="B3023" t="s">
        <v>8096</v>
      </c>
      <c r="C3023" t="s">
        <v>9711</v>
      </c>
      <c r="D3023" t="s">
        <v>9712</v>
      </c>
      <c r="E3023">
        <v>1</v>
      </c>
      <c r="F3023" t="s">
        <v>9713</v>
      </c>
      <c r="G3023" t="s">
        <v>8096</v>
      </c>
      <c r="H3023">
        <v>9400049</v>
      </c>
      <c r="I3023" t="s">
        <v>9714</v>
      </c>
    </row>
    <row r="3024" spans="1:9">
      <c r="A3024" t="str">
        <f>"0255881 "</f>
        <v xml:space="preserve">0255881 </v>
      </c>
      <c r="B3024" t="s">
        <v>8096</v>
      </c>
      <c r="C3024" t="s">
        <v>9715</v>
      </c>
      <c r="D3024" t="s">
        <v>9716</v>
      </c>
      <c r="E3024">
        <v>1</v>
      </c>
      <c r="F3024" t="s">
        <v>9717</v>
      </c>
      <c r="G3024" t="s">
        <v>8096</v>
      </c>
      <c r="H3024">
        <v>9400068</v>
      </c>
      <c r="I3024" t="s">
        <v>9718</v>
      </c>
    </row>
    <row r="3025" spans="1:9">
      <c r="A3025" t="str">
        <f>"0255883 "</f>
        <v xml:space="preserve">0255883 </v>
      </c>
      <c r="B3025" t="s">
        <v>8096</v>
      </c>
      <c r="C3025" t="s">
        <v>9719</v>
      </c>
      <c r="D3025" t="s">
        <v>9720</v>
      </c>
      <c r="E3025">
        <v>1</v>
      </c>
      <c r="F3025" t="s">
        <v>9721</v>
      </c>
      <c r="G3025" t="s">
        <v>8096</v>
      </c>
      <c r="H3025" t="s">
        <v>9722</v>
      </c>
      <c r="I3025" t="s">
        <v>9723</v>
      </c>
    </row>
    <row r="3026" spans="1:9">
      <c r="A3026" t="str">
        <f>"0255893 "</f>
        <v xml:space="preserve">0255893 </v>
      </c>
      <c r="B3026" t="s">
        <v>8096</v>
      </c>
      <c r="C3026" t="s">
        <v>9724</v>
      </c>
      <c r="D3026" t="s">
        <v>9725</v>
      </c>
      <c r="E3026">
        <v>1</v>
      </c>
      <c r="F3026" t="s">
        <v>9726</v>
      </c>
      <c r="G3026" t="s">
        <v>8096</v>
      </c>
      <c r="H3026">
        <v>9400088</v>
      </c>
      <c r="I3026" t="s">
        <v>9727</v>
      </c>
    </row>
    <row r="3027" spans="1:9">
      <c r="A3027" t="str">
        <f>"0255899 "</f>
        <v xml:space="preserve">0255899 </v>
      </c>
      <c r="B3027" t="s">
        <v>8096</v>
      </c>
      <c r="C3027" t="s">
        <v>9728</v>
      </c>
      <c r="D3027" t="s">
        <v>9729</v>
      </c>
      <c r="E3027">
        <v>1</v>
      </c>
      <c r="F3027" t="s">
        <v>9730</v>
      </c>
      <c r="G3027" t="s">
        <v>8096</v>
      </c>
      <c r="H3027">
        <v>9400096</v>
      </c>
      <c r="I3027" t="s">
        <v>9731</v>
      </c>
    </row>
    <row r="3028" spans="1:9">
      <c r="A3028" t="str">
        <f>"0255903 "</f>
        <v xml:space="preserve">0255903 </v>
      </c>
      <c r="B3028" t="s">
        <v>8096</v>
      </c>
      <c r="C3028" t="s">
        <v>9732</v>
      </c>
      <c r="D3028" t="s">
        <v>9733</v>
      </c>
      <c r="E3028">
        <v>1</v>
      </c>
      <c r="F3028" t="s">
        <v>9734</v>
      </c>
      <c r="G3028" t="s">
        <v>8096</v>
      </c>
      <c r="H3028">
        <v>9400106</v>
      </c>
      <c r="I3028" t="s">
        <v>9735</v>
      </c>
    </row>
    <row r="3029" spans="1:9">
      <c r="A3029" t="str">
        <f>"0255917 "</f>
        <v xml:space="preserve">0255917 </v>
      </c>
      <c r="B3029" t="s">
        <v>8096</v>
      </c>
      <c r="C3029" t="s">
        <v>9736</v>
      </c>
      <c r="D3029" t="s">
        <v>9737</v>
      </c>
      <c r="E3029">
        <v>1</v>
      </c>
      <c r="F3029" t="s">
        <v>9738</v>
      </c>
      <c r="G3029" t="s">
        <v>8096</v>
      </c>
      <c r="H3029" t="s">
        <v>9739</v>
      </c>
      <c r="I3029" t="s">
        <v>9740</v>
      </c>
    </row>
    <row r="3030" spans="1:9">
      <c r="A3030" t="str">
        <f>"0255921 "</f>
        <v xml:space="preserve">0255921 </v>
      </c>
      <c r="B3030" t="s">
        <v>8096</v>
      </c>
      <c r="C3030" t="s">
        <v>9741</v>
      </c>
      <c r="D3030" t="s">
        <v>9742</v>
      </c>
      <c r="E3030">
        <v>1</v>
      </c>
      <c r="F3030" t="s">
        <v>9743</v>
      </c>
      <c r="G3030" t="s">
        <v>8096</v>
      </c>
      <c r="H3030" t="s">
        <v>9744</v>
      </c>
      <c r="I3030" t="s">
        <v>9745</v>
      </c>
    </row>
    <row r="3031" spans="1:9">
      <c r="A3031" t="str">
        <f>"0255923 "</f>
        <v xml:space="preserve">0255923 </v>
      </c>
      <c r="B3031" t="s">
        <v>8096</v>
      </c>
      <c r="C3031" t="s">
        <v>9746</v>
      </c>
      <c r="D3031" t="s">
        <v>9747</v>
      </c>
      <c r="E3031">
        <v>1</v>
      </c>
      <c r="F3031" t="s">
        <v>9748</v>
      </c>
      <c r="G3031" t="s">
        <v>8096</v>
      </c>
      <c r="H3031" t="s">
        <v>9749</v>
      </c>
      <c r="I3031" t="s">
        <v>9750</v>
      </c>
    </row>
    <row r="3032" spans="1:9">
      <c r="A3032" t="str">
        <f>"0255925 "</f>
        <v xml:space="preserve">0255925 </v>
      </c>
      <c r="B3032" t="s">
        <v>8096</v>
      </c>
      <c r="C3032" t="s">
        <v>9751</v>
      </c>
      <c r="D3032" t="s">
        <v>9752</v>
      </c>
      <c r="E3032">
        <v>1</v>
      </c>
      <c r="F3032" t="s">
        <v>9753</v>
      </c>
      <c r="G3032" t="s">
        <v>8096</v>
      </c>
      <c r="H3032">
        <v>9400140</v>
      </c>
      <c r="I3032" t="s">
        <v>9754</v>
      </c>
    </row>
    <row r="3033" spans="1:9">
      <c r="A3033" t="str">
        <f>"0255929 "</f>
        <v xml:space="preserve">0255929 </v>
      </c>
      <c r="B3033" t="s">
        <v>8096</v>
      </c>
      <c r="C3033" t="s">
        <v>9755</v>
      </c>
      <c r="D3033" t="s">
        <v>9756</v>
      </c>
      <c r="E3033">
        <v>1</v>
      </c>
      <c r="F3033" t="s">
        <v>9757</v>
      </c>
      <c r="G3033" t="s">
        <v>8096</v>
      </c>
      <c r="H3033" t="s">
        <v>9758</v>
      </c>
      <c r="I3033" t="s">
        <v>9759</v>
      </c>
    </row>
    <row r="3034" spans="1:9">
      <c r="A3034" t="str">
        <f>"0255939 "</f>
        <v xml:space="preserve">0255939 </v>
      </c>
      <c r="B3034" t="s">
        <v>8096</v>
      </c>
      <c r="C3034" t="s">
        <v>9760</v>
      </c>
      <c r="D3034" t="s">
        <v>9761</v>
      </c>
      <c r="E3034">
        <v>1</v>
      </c>
      <c r="F3034" t="s">
        <v>9762</v>
      </c>
      <c r="G3034" t="s">
        <v>8096</v>
      </c>
      <c r="H3034" t="s">
        <v>9763</v>
      </c>
      <c r="I3034" t="s">
        <v>9764</v>
      </c>
    </row>
    <row r="3035" spans="1:9">
      <c r="A3035" t="str">
        <f>"0255951 "</f>
        <v xml:space="preserve">0255951 </v>
      </c>
      <c r="B3035" t="s">
        <v>8096</v>
      </c>
      <c r="C3035" t="s">
        <v>9765</v>
      </c>
      <c r="D3035" t="s">
        <v>9766</v>
      </c>
      <c r="E3035">
        <v>1</v>
      </c>
      <c r="F3035" t="s">
        <v>9767</v>
      </c>
      <c r="G3035" t="s">
        <v>8096</v>
      </c>
      <c r="H3035">
        <v>9400190</v>
      </c>
      <c r="I3035" t="s">
        <v>9768</v>
      </c>
    </row>
    <row r="3036" spans="1:9">
      <c r="A3036" t="str">
        <f>"0255953 "</f>
        <v xml:space="preserve">0255953 </v>
      </c>
      <c r="B3036" t="s">
        <v>8096</v>
      </c>
      <c r="C3036" t="s">
        <v>9769</v>
      </c>
      <c r="D3036" t="s">
        <v>9770</v>
      </c>
      <c r="E3036">
        <v>1</v>
      </c>
      <c r="F3036" t="s">
        <v>9771</v>
      </c>
      <c r="G3036" t="s">
        <v>8096</v>
      </c>
      <c r="H3036" t="s">
        <v>9772</v>
      </c>
      <c r="I3036" t="s">
        <v>9773</v>
      </c>
    </row>
    <row r="3037" spans="1:9">
      <c r="A3037" t="str">
        <f>"0255954 "</f>
        <v xml:space="preserve">0255954 </v>
      </c>
      <c r="B3037" t="s">
        <v>8096</v>
      </c>
      <c r="C3037" t="s">
        <v>9774</v>
      </c>
      <c r="D3037" t="s">
        <v>9775</v>
      </c>
      <c r="E3037">
        <v>1</v>
      </c>
      <c r="F3037" t="s">
        <v>9776</v>
      </c>
      <c r="G3037" t="s">
        <v>8096</v>
      </c>
      <c r="H3037">
        <v>9400194</v>
      </c>
      <c r="I3037" t="s">
        <v>9777</v>
      </c>
    </row>
    <row r="3038" spans="1:9">
      <c r="A3038" t="str">
        <f>"0255955 "</f>
        <v xml:space="preserve">0255955 </v>
      </c>
      <c r="B3038" t="s">
        <v>8096</v>
      </c>
      <c r="C3038" t="s">
        <v>9778</v>
      </c>
      <c r="D3038" t="s">
        <v>9779</v>
      </c>
      <c r="E3038">
        <v>1</v>
      </c>
      <c r="F3038" t="s">
        <v>9780</v>
      </c>
      <c r="G3038" t="s">
        <v>8096</v>
      </c>
      <c r="H3038" t="s">
        <v>9781</v>
      </c>
      <c r="I3038" t="s">
        <v>9782</v>
      </c>
    </row>
    <row r="3039" spans="1:9">
      <c r="A3039" t="str">
        <f>"0255956 "</f>
        <v xml:space="preserve">0255956 </v>
      </c>
      <c r="B3039" t="s">
        <v>8096</v>
      </c>
      <c r="C3039" t="s">
        <v>9783</v>
      </c>
      <c r="D3039" t="s">
        <v>9784</v>
      </c>
      <c r="E3039">
        <v>1</v>
      </c>
      <c r="F3039" t="s">
        <v>9785</v>
      </c>
      <c r="G3039" t="s">
        <v>8096</v>
      </c>
      <c r="H3039" t="s">
        <v>9786</v>
      </c>
      <c r="I3039" t="s">
        <v>9787</v>
      </c>
    </row>
    <row r="3040" spans="1:9">
      <c r="A3040" t="str">
        <f>"0255975 "</f>
        <v xml:space="preserve">0255975 </v>
      </c>
      <c r="B3040" t="s">
        <v>8096</v>
      </c>
      <c r="C3040" t="s">
        <v>9788</v>
      </c>
      <c r="D3040" t="s">
        <v>9789</v>
      </c>
      <c r="E3040">
        <v>1</v>
      </c>
      <c r="F3040" t="s">
        <v>9790</v>
      </c>
      <c r="G3040" t="s">
        <v>8096</v>
      </c>
      <c r="H3040">
        <v>9421004</v>
      </c>
      <c r="I3040" t="s">
        <v>9791</v>
      </c>
    </row>
    <row r="3041" spans="1:9">
      <c r="A3041" t="str">
        <f>"0255988 "</f>
        <v xml:space="preserve">0255988 </v>
      </c>
      <c r="B3041" t="s">
        <v>8096</v>
      </c>
      <c r="C3041" t="s">
        <v>9792</v>
      </c>
      <c r="D3041" t="s">
        <v>9793</v>
      </c>
      <c r="E3041">
        <v>1</v>
      </c>
      <c r="F3041" t="s">
        <v>9794</v>
      </c>
      <c r="G3041" t="s">
        <v>8096</v>
      </c>
      <c r="H3041">
        <v>9423003</v>
      </c>
      <c r="I3041" t="s">
        <v>9795</v>
      </c>
    </row>
    <row r="3042" spans="1:9">
      <c r="A3042" t="str">
        <f>"0256015 "</f>
        <v xml:space="preserve">0256015 </v>
      </c>
      <c r="B3042" t="s">
        <v>8096</v>
      </c>
      <c r="C3042" t="s">
        <v>9796</v>
      </c>
      <c r="D3042" t="s">
        <v>9797</v>
      </c>
      <c r="E3042">
        <v>1</v>
      </c>
      <c r="F3042" t="s">
        <v>9798</v>
      </c>
      <c r="G3042" t="s">
        <v>8096</v>
      </c>
      <c r="H3042">
        <v>9433004</v>
      </c>
      <c r="I3042" t="s">
        <v>9799</v>
      </c>
    </row>
    <row r="3043" spans="1:9">
      <c r="A3043" t="str">
        <f>"0256040 "</f>
        <v xml:space="preserve">0256040 </v>
      </c>
      <c r="B3043" t="s">
        <v>8096</v>
      </c>
      <c r="C3043" t="s">
        <v>9800</v>
      </c>
      <c r="D3043" t="s">
        <v>9801</v>
      </c>
      <c r="E3043">
        <v>1</v>
      </c>
      <c r="F3043" t="s">
        <v>9802</v>
      </c>
      <c r="G3043" t="s">
        <v>8096</v>
      </c>
      <c r="H3043" t="s">
        <v>9803</v>
      </c>
      <c r="I3043" t="s">
        <v>9804</v>
      </c>
    </row>
    <row r="3044" spans="1:9">
      <c r="A3044" t="str">
        <f>"0256042 "</f>
        <v xml:space="preserve">0256042 </v>
      </c>
      <c r="B3044" t="s">
        <v>8096</v>
      </c>
      <c r="C3044" t="s">
        <v>9805</v>
      </c>
      <c r="D3044" t="s">
        <v>9806</v>
      </c>
      <c r="E3044">
        <v>2</v>
      </c>
      <c r="F3044" t="s">
        <v>9807</v>
      </c>
      <c r="G3044" t="s">
        <v>8096</v>
      </c>
      <c r="H3044" t="s">
        <v>9808</v>
      </c>
      <c r="I3044" t="s">
        <v>9809</v>
      </c>
    </row>
    <row r="3045" spans="1:9">
      <c r="A3045" t="str">
        <f>"0256047 "</f>
        <v xml:space="preserve">0256047 </v>
      </c>
      <c r="B3045" t="s">
        <v>8096</v>
      </c>
      <c r="C3045" t="s">
        <v>9810</v>
      </c>
      <c r="D3045" t="s">
        <v>9811</v>
      </c>
      <c r="E3045">
        <v>2</v>
      </c>
      <c r="F3045" t="s">
        <v>9812</v>
      </c>
      <c r="G3045" t="s">
        <v>8096</v>
      </c>
      <c r="H3045" t="s">
        <v>9813</v>
      </c>
      <c r="I3045" t="s">
        <v>9814</v>
      </c>
    </row>
    <row r="3046" spans="1:9">
      <c r="A3046" t="str">
        <f>"0256055 "</f>
        <v xml:space="preserve">0256055 </v>
      </c>
      <c r="B3046" t="s">
        <v>8096</v>
      </c>
      <c r="C3046" t="s">
        <v>9815</v>
      </c>
      <c r="D3046" t="s">
        <v>9816</v>
      </c>
      <c r="E3046">
        <v>2</v>
      </c>
      <c r="F3046" t="s">
        <v>9817</v>
      </c>
      <c r="G3046" t="s">
        <v>8096</v>
      </c>
      <c r="H3046" t="s">
        <v>9818</v>
      </c>
      <c r="I3046" t="s">
        <v>9819</v>
      </c>
    </row>
    <row r="3047" spans="1:9">
      <c r="A3047" t="str">
        <f>"0256061 "</f>
        <v xml:space="preserve">0256061 </v>
      </c>
      <c r="B3047" t="s">
        <v>8096</v>
      </c>
      <c r="C3047" t="s">
        <v>9820</v>
      </c>
      <c r="D3047" t="s">
        <v>9821</v>
      </c>
      <c r="E3047">
        <v>1</v>
      </c>
      <c r="F3047" t="s">
        <v>9822</v>
      </c>
      <c r="G3047" t="s">
        <v>8096</v>
      </c>
      <c r="H3047" t="s">
        <v>9823</v>
      </c>
      <c r="I3047" t="s">
        <v>9824</v>
      </c>
    </row>
    <row r="3048" spans="1:9">
      <c r="A3048" t="str">
        <f>"0256067 "</f>
        <v xml:space="preserve">0256067 </v>
      </c>
      <c r="B3048" t="s">
        <v>8096</v>
      </c>
      <c r="C3048" t="s">
        <v>9825</v>
      </c>
      <c r="D3048" t="s">
        <v>9826</v>
      </c>
      <c r="E3048">
        <v>1</v>
      </c>
      <c r="F3048" t="s">
        <v>9827</v>
      </c>
      <c r="G3048" t="s">
        <v>8096</v>
      </c>
      <c r="H3048" t="s">
        <v>9828</v>
      </c>
      <c r="I3048" t="s">
        <v>9829</v>
      </c>
    </row>
    <row r="3049" spans="1:9">
      <c r="A3049" t="str">
        <f>"0256070 "</f>
        <v xml:space="preserve">0256070 </v>
      </c>
      <c r="B3049" t="s">
        <v>8096</v>
      </c>
      <c r="C3049" t="s">
        <v>9830</v>
      </c>
      <c r="D3049" t="s">
        <v>9831</v>
      </c>
      <c r="E3049">
        <v>2</v>
      </c>
      <c r="F3049" t="s">
        <v>9832</v>
      </c>
      <c r="G3049" t="s">
        <v>8096</v>
      </c>
      <c r="H3049" t="s">
        <v>9833</v>
      </c>
      <c r="I3049" t="s">
        <v>9834</v>
      </c>
    </row>
    <row r="3050" spans="1:9">
      <c r="A3050" t="str">
        <f>"0256080 "</f>
        <v xml:space="preserve">0256080 </v>
      </c>
      <c r="B3050" t="s">
        <v>8096</v>
      </c>
      <c r="C3050" t="s">
        <v>9835</v>
      </c>
      <c r="D3050" t="s">
        <v>9836</v>
      </c>
      <c r="E3050">
        <v>1</v>
      </c>
      <c r="F3050" t="s">
        <v>9837</v>
      </c>
      <c r="G3050" t="s">
        <v>8096</v>
      </c>
      <c r="H3050" t="s">
        <v>9838</v>
      </c>
      <c r="I3050" t="s">
        <v>9839</v>
      </c>
    </row>
    <row r="3051" spans="1:9">
      <c r="A3051" t="str">
        <f>"0256086 "</f>
        <v xml:space="preserve">0256086 </v>
      </c>
      <c r="B3051" t="s">
        <v>8096</v>
      </c>
      <c r="C3051" t="s">
        <v>9840</v>
      </c>
      <c r="D3051" t="s">
        <v>9841</v>
      </c>
      <c r="E3051">
        <v>1</v>
      </c>
      <c r="F3051" t="s">
        <v>9842</v>
      </c>
      <c r="G3051" t="s">
        <v>8096</v>
      </c>
      <c r="H3051" t="s">
        <v>9843</v>
      </c>
      <c r="I3051" t="s">
        <v>9844</v>
      </c>
    </row>
    <row r="3052" spans="1:9">
      <c r="A3052" t="str">
        <f>"0256087 "</f>
        <v xml:space="preserve">0256087 </v>
      </c>
      <c r="B3052" t="s">
        <v>8096</v>
      </c>
      <c r="C3052" t="s">
        <v>9845</v>
      </c>
      <c r="D3052" t="s">
        <v>9846</v>
      </c>
      <c r="E3052">
        <v>2</v>
      </c>
      <c r="F3052" t="s">
        <v>9847</v>
      </c>
      <c r="G3052" t="s">
        <v>8096</v>
      </c>
      <c r="H3052" t="s">
        <v>9848</v>
      </c>
      <c r="I3052" t="s">
        <v>9849</v>
      </c>
    </row>
    <row r="3053" spans="1:9">
      <c r="A3053" t="str">
        <f>"0256091 "</f>
        <v xml:space="preserve">0256091 </v>
      </c>
      <c r="B3053" t="s">
        <v>8096</v>
      </c>
      <c r="C3053" t="s">
        <v>9850</v>
      </c>
      <c r="D3053" t="s">
        <v>9851</v>
      </c>
      <c r="E3053">
        <v>1</v>
      </c>
      <c r="F3053" t="s">
        <v>9852</v>
      </c>
      <c r="G3053" t="s">
        <v>8096</v>
      </c>
      <c r="H3053" t="s">
        <v>9853</v>
      </c>
      <c r="I3053" t="s">
        <v>9854</v>
      </c>
    </row>
    <row r="3054" spans="1:9">
      <c r="A3054" t="str">
        <f>"0256101 "</f>
        <v xml:space="preserve">0256101 </v>
      </c>
      <c r="B3054" t="s">
        <v>8096</v>
      </c>
      <c r="C3054" t="s">
        <v>9855</v>
      </c>
      <c r="D3054" t="s">
        <v>9856</v>
      </c>
      <c r="E3054">
        <v>1</v>
      </c>
      <c r="F3054" t="s">
        <v>9857</v>
      </c>
      <c r="G3054" t="s">
        <v>8096</v>
      </c>
      <c r="H3054" t="s">
        <v>9858</v>
      </c>
      <c r="I3054" t="s">
        <v>9859</v>
      </c>
    </row>
    <row r="3055" spans="1:9">
      <c r="A3055" t="str">
        <f>"0256104 "</f>
        <v xml:space="preserve">0256104 </v>
      </c>
      <c r="B3055" t="s">
        <v>8096</v>
      </c>
      <c r="C3055" t="s">
        <v>9860</v>
      </c>
      <c r="D3055" t="s">
        <v>9861</v>
      </c>
      <c r="E3055">
        <v>1</v>
      </c>
      <c r="F3055" t="s">
        <v>9862</v>
      </c>
      <c r="G3055" t="s">
        <v>8096</v>
      </c>
      <c r="H3055" t="s">
        <v>9863</v>
      </c>
      <c r="I3055" t="s">
        <v>9864</v>
      </c>
    </row>
    <row r="3056" spans="1:9">
      <c r="A3056" t="str">
        <f>"0256117 "</f>
        <v xml:space="preserve">0256117 </v>
      </c>
      <c r="B3056" t="s">
        <v>8096</v>
      </c>
      <c r="C3056" t="s">
        <v>9865</v>
      </c>
      <c r="D3056" t="s">
        <v>9866</v>
      </c>
      <c r="E3056">
        <v>1</v>
      </c>
      <c r="F3056" t="s">
        <v>9867</v>
      </c>
      <c r="G3056" t="s">
        <v>8096</v>
      </c>
      <c r="H3056" t="s">
        <v>9868</v>
      </c>
      <c r="I3056" t="s">
        <v>9869</v>
      </c>
    </row>
    <row r="3057" spans="1:9">
      <c r="A3057" t="str">
        <f>"0256118 "</f>
        <v xml:space="preserve">0256118 </v>
      </c>
      <c r="B3057" t="s">
        <v>8096</v>
      </c>
      <c r="C3057" t="s">
        <v>9870</v>
      </c>
      <c r="D3057" t="s">
        <v>9871</v>
      </c>
      <c r="E3057">
        <v>1</v>
      </c>
      <c r="F3057" t="s">
        <v>9872</v>
      </c>
      <c r="G3057" t="s">
        <v>8096</v>
      </c>
      <c r="H3057" t="s">
        <v>9873</v>
      </c>
      <c r="I3057" t="s">
        <v>9874</v>
      </c>
    </row>
    <row r="3058" spans="1:9">
      <c r="A3058" t="str">
        <f>"0256119 "</f>
        <v xml:space="preserve">0256119 </v>
      </c>
      <c r="B3058" t="s">
        <v>8096</v>
      </c>
      <c r="C3058" t="s">
        <v>9875</v>
      </c>
      <c r="D3058" t="s">
        <v>9876</v>
      </c>
      <c r="E3058">
        <v>1</v>
      </c>
      <c r="F3058" t="s">
        <v>9877</v>
      </c>
      <c r="G3058" t="s">
        <v>8096</v>
      </c>
      <c r="H3058" t="s">
        <v>9878</v>
      </c>
      <c r="I3058" t="s">
        <v>9879</v>
      </c>
    </row>
    <row r="3059" spans="1:9">
      <c r="A3059" t="str">
        <f>"0256120 "</f>
        <v xml:space="preserve">0256120 </v>
      </c>
      <c r="B3059" t="s">
        <v>8096</v>
      </c>
      <c r="C3059" t="s">
        <v>9880</v>
      </c>
      <c r="D3059" t="s">
        <v>9881</v>
      </c>
      <c r="E3059" t="s">
        <v>16</v>
      </c>
      <c r="F3059" t="s">
        <v>9882</v>
      </c>
      <c r="G3059" t="s">
        <v>8096</v>
      </c>
      <c r="H3059" t="s">
        <v>9883</v>
      </c>
      <c r="I3059" t="s">
        <v>9884</v>
      </c>
    </row>
    <row r="3060" spans="1:9">
      <c r="A3060" t="str">
        <f>"0256124 "</f>
        <v xml:space="preserve">0256124 </v>
      </c>
      <c r="B3060" t="s">
        <v>8096</v>
      </c>
      <c r="C3060" t="s">
        <v>9885</v>
      </c>
      <c r="D3060" t="s">
        <v>9886</v>
      </c>
      <c r="E3060">
        <v>1</v>
      </c>
      <c r="F3060" t="s">
        <v>9887</v>
      </c>
      <c r="G3060" t="s">
        <v>8096</v>
      </c>
      <c r="H3060" t="s">
        <v>9888</v>
      </c>
      <c r="I3060" t="s">
        <v>9889</v>
      </c>
    </row>
    <row r="3061" spans="1:9">
      <c r="A3061" t="str">
        <f>"0256127 "</f>
        <v xml:space="preserve">0256127 </v>
      </c>
      <c r="B3061" t="s">
        <v>8096</v>
      </c>
      <c r="C3061" t="s">
        <v>9890</v>
      </c>
      <c r="D3061" t="s">
        <v>9891</v>
      </c>
      <c r="E3061">
        <v>1</v>
      </c>
      <c r="F3061" t="s">
        <v>9862</v>
      </c>
      <c r="G3061" t="s">
        <v>8096</v>
      </c>
      <c r="H3061" t="s">
        <v>9892</v>
      </c>
      <c r="I3061" t="s">
        <v>9893</v>
      </c>
    </row>
    <row r="3062" spans="1:9">
      <c r="A3062" t="str">
        <f>"0256133 "</f>
        <v xml:space="preserve">0256133 </v>
      </c>
      <c r="B3062" t="s">
        <v>8096</v>
      </c>
      <c r="C3062" t="s">
        <v>9894</v>
      </c>
      <c r="D3062" t="s">
        <v>9895</v>
      </c>
      <c r="E3062">
        <v>2</v>
      </c>
      <c r="F3062" t="s">
        <v>9896</v>
      </c>
      <c r="G3062" t="s">
        <v>8096</v>
      </c>
      <c r="H3062" t="s">
        <v>9897</v>
      </c>
      <c r="I3062" t="s">
        <v>9898</v>
      </c>
    </row>
    <row r="3063" spans="1:9">
      <c r="A3063" t="str">
        <f>"0256136 "</f>
        <v xml:space="preserve">0256136 </v>
      </c>
      <c r="B3063" t="s">
        <v>8096</v>
      </c>
      <c r="C3063" t="s">
        <v>9899</v>
      </c>
      <c r="D3063" t="s">
        <v>9900</v>
      </c>
      <c r="E3063">
        <v>1</v>
      </c>
      <c r="F3063" t="s">
        <v>9901</v>
      </c>
      <c r="G3063" t="s">
        <v>8096</v>
      </c>
      <c r="H3063" t="s">
        <v>9902</v>
      </c>
      <c r="I3063" t="s">
        <v>9903</v>
      </c>
    </row>
    <row r="3064" spans="1:9">
      <c r="A3064" t="str">
        <f>"0256137 "</f>
        <v xml:space="preserve">0256137 </v>
      </c>
      <c r="B3064" t="s">
        <v>8096</v>
      </c>
      <c r="C3064" t="s">
        <v>9904</v>
      </c>
      <c r="D3064" t="s">
        <v>9905</v>
      </c>
      <c r="E3064">
        <v>1</v>
      </c>
      <c r="F3064" t="s">
        <v>9906</v>
      </c>
      <c r="G3064" t="s">
        <v>8096</v>
      </c>
      <c r="H3064" t="s">
        <v>9907</v>
      </c>
      <c r="I3064" t="s">
        <v>9908</v>
      </c>
    </row>
    <row r="3065" spans="1:9">
      <c r="A3065" t="str">
        <f>"0256138 "</f>
        <v xml:space="preserve">0256138 </v>
      </c>
      <c r="B3065" t="s">
        <v>8096</v>
      </c>
      <c r="C3065" t="s">
        <v>9909</v>
      </c>
      <c r="D3065" t="s">
        <v>9910</v>
      </c>
      <c r="E3065">
        <v>2</v>
      </c>
      <c r="F3065" t="s">
        <v>9911</v>
      </c>
      <c r="G3065" t="s">
        <v>8096</v>
      </c>
      <c r="H3065" t="s">
        <v>9912</v>
      </c>
      <c r="I3065" t="s">
        <v>9913</v>
      </c>
    </row>
    <row r="3066" spans="1:9">
      <c r="A3066" t="str">
        <f>"0256141 "</f>
        <v xml:space="preserve">0256141 </v>
      </c>
      <c r="B3066" t="s">
        <v>8096</v>
      </c>
      <c r="C3066" t="s">
        <v>9914</v>
      </c>
      <c r="D3066" t="s">
        <v>9915</v>
      </c>
      <c r="E3066">
        <v>1</v>
      </c>
      <c r="F3066" t="s">
        <v>9916</v>
      </c>
      <c r="G3066" t="s">
        <v>8096</v>
      </c>
      <c r="H3066" t="s">
        <v>9917</v>
      </c>
      <c r="I3066" t="s">
        <v>9918</v>
      </c>
    </row>
    <row r="3067" spans="1:9">
      <c r="A3067" t="str">
        <f>"0256142 "</f>
        <v xml:space="preserve">0256142 </v>
      </c>
      <c r="B3067" t="s">
        <v>8096</v>
      </c>
      <c r="C3067" t="s">
        <v>9919</v>
      </c>
      <c r="D3067" t="s">
        <v>9920</v>
      </c>
      <c r="E3067">
        <v>1</v>
      </c>
      <c r="F3067" t="s">
        <v>9921</v>
      </c>
      <c r="G3067" t="s">
        <v>8096</v>
      </c>
      <c r="H3067" t="s">
        <v>9922</v>
      </c>
      <c r="I3067" t="s">
        <v>9923</v>
      </c>
    </row>
    <row r="3068" spans="1:9">
      <c r="A3068" t="str">
        <f>"0256144 "</f>
        <v xml:space="preserve">0256144 </v>
      </c>
      <c r="B3068" t="s">
        <v>8096</v>
      </c>
      <c r="C3068" t="s">
        <v>9924</v>
      </c>
      <c r="D3068" t="s">
        <v>9925</v>
      </c>
      <c r="E3068">
        <v>2</v>
      </c>
      <c r="F3068" t="s">
        <v>9921</v>
      </c>
      <c r="G3068" t="s">
        <v>8096</v>
      </c>
      <c r="H3068" t="s">
        <v>9926</v>
      </c>
      <c r="I3068" t="s">
        <v>9927</v>
      </c>
    </row>
    <row r="3069" spans="1:9">
      <c r="A3069" t="str">
        <f>"0256145 "</f>
        <v xml:space="preserve">0256145 </v>
      </c>
      <c r="B3069" t="s">
        <v>8096</v>
      </c>
      <c r="C3069" t="s">
        <v>9928</v>
      </c>
      <c r="D3069" t="s">
        <v>9929</v>
      </c>
      <c r="E3069">
        <v>1</v>
      </c>
      <c r="F3069" t="s">
        <v>9930</v>
      </c>
      <c r="G3069" t="s">
        <v>8096</v>
      </c>
      <c r="H3069" t="s">
        <v>9931</v>
      </c>
      <c r="I3069" t="s">
        <v>9932</v>
      </c>
    </row>
    <row r="3070" spans="1:9">
      <c r="A3070" t="str">
        <f>"0256146 "</f>
        <v xml:space="preserve">0256146 </v>
      </c>
      <c r="B3070" t="s">
        <v>8096</v>
      </c>
      <c r="C3070" t="s">
        <v>9933</v>
      </c>
      <c r="D3070" t="s">
        <v>9934</v>
      </c>
      <c r="E3070">
        <v>2</v>
      </c>
      <c r="F3070" t="s">
        <v>9935</v>
      </c>
      <c r="G3070" t="s">
        <v>8096</v>
      </c>
      <c r="H3070" t="s">
        <v>9936</v>
      </c>
      <c r="I3070" t="s">
        <v>9937</v>
      </c>
    </row>
    <row r="3071" spans="1:9">
      <c r="A3071" t="str">
        <f>"0256148 "</f>
        <v xml:space="preserve">0256148 </v>
      </c>
      <c r="B3071" t="s">
        <v>8096</v>
      </c>
      <c r="C3071" t="s">
        <v>9938</v>
      </c>
      <c r="D3071" t="s">
        <v>9939</v>
      </c>
      <c r="E3071">
        <v>1</v>
      </c>
      <c r="F3071" t="s">
        <v>9887</v>
      </c>
      <c r="G3071" t="s">
        <v>8096</v>
      </c>
      <c r="H3071" t="s">
        <v>9940</v>
      </c>
      <c r="I3071" t="s">
        <v>9941</v>
      </c>
    </row>
    <row r="3072" spans="1:9">
      <c r="A3072" t="str">
        <f>"0256154 "</f>
        <v xml:space="preserve">0256154 </v>
      </c>
      <c r="B3072" t="s">
        <v>8096</v>
      </c>
      <c r="C3072" t="s">
        <v>9942</v>
      </c>
      <c r="D3072" t="s">
        <v>9943</v>
      </c>
      <c r="E3072">
        <v>2</v>
      </c>
      <c r="F3072" t="s">
        <v>9887</v>
      </c>
      <c r="G3072" t="s">
        <v>8096</v>
      </c>
      <c r="H3072" t="s">
        <v>9944</v>
      </c>
      <c r="I3072" t="s">
        <v>9945</v>
      </c>
    </row>
    <row r="3073" spans="1:9">
      <c r="A3073" t="str">
        <f>"0256156 "</f>
        <v xml:space="preserve">0256156 </v>
      </c>
      <c r="B3073" t="s">
        <v>8096</v>
      </c>
      <c r="C3073" t="s">
        <v>9946</v>
      </c>
      <c r="D3073" t="s">
        <v>9947</v>
      </c>
      <c r="E3073">
        <v>1</v>
      </c>
      <c r="F3073" t="s">
        <v>9526</v>
      </c>
      <c r="G3073" t="s">
        <v>8096</v>
      </c>
      <c r="H3073" t="s">
        <v>9948</v>
      </c>
      <c r="I3073" t="s">
        <v>9949</v>
      </c>
    </row>
    <row r="3074" spans="1:9">
      <c r="A3074" t="str">
        <f>"0256163 "</f>
        <v xml:space="preserve">0256163 </v>
      </c>
      <c r="B3074" t="s">
        <v>8096</v>
      </c>
      <c r="C3074" t="s">
        <v>9950</v>
      </c>
      <c r="D3074" t="s">
        <v>9951</v>
      </c>
      <c r="E3074">
        <v>1</v>
      </c>
      <c r="F3074" t="s">
        <v>9952</v>
      </c>
      <c r="G3074" t="s">
        <v>8096</v>
      </c>
      <c r="H3074" t="s">
        <v>9953</v>
      </c>
      <c r="I3074" t="s">
        <v>9954</v>
      </c>
    </row>
    <row r="3075" spans="1:9">
      <c r="A3075" t="str">
        <f>"0256166 "</f>
        <v xml:space="preserve">0256166 </v>
      </c>
      <c r="B3075" t="s">
        <v>8096</v>
      </c>
      <c r="C3075" t="s">
        <v>9955</v>
      </c>
      <c r="D3075" t="s">
        <v>9956</v>
      </c>
      <c r="E3075">
        <v>1</v>
      </c>
      <c r="F3075" t="s">
        <v>9837</v>
      </c>
      <c r="G3075" t="s">
        <v>8096</v>
      </c>
      <c r="H3075" t="s">
        <v>9957</v>
      </c>
      <c r="I3075" t="s">
        <v>9958</v>
      </c>
    </row>
    <row r="3076" spans="1:9">
      <c r="A3076" t="str">
        <f>"0256167 "</f>
        <v xml:space="preserve">0256167 </v>
      </c>
      <c r="B3076" t="s">
        <v>8096</v>
      </c>
      <c r="C3076" t="s">
        <v>9959</v>
      </c>
      <c r="D3076" t="s">
        <v>9960</v>
      </c>
      <c r="E3076">
        <v>1</v>
      </c>
      <c r="F3076" t="s">
        <v>9961</v>
      </c>
      <c r="G3076" t="s">
        <v>8096</v>
      </c>
      <c r="H3076" t="s">
        <v>9962</v>
      </c>
      <c r="I3076" t="s">
        <v>9963</v>
      </c>
    </row>
    <row r="3077" spans="1:9">
      <c r="A3077" t="str">
        <f>"0256171 "</f>
        <v xml:space="preserve">0256171 </v>
      </c>
      <c r="B3077" t="s">
        <v>8096</v>
      </c>
      <c r="C3077" t="s">
        <v>9964</v>
      </c>
      <c r="D3077" t="s">
        <v>9965</v>
      </c>
      <c r="E3077">
        <v>1</v>
      </c>
      <c r="F3077" t="s">
        <v>9966</v>
      </c>
      <c r="G3077" t="s">
        <v>8096</v>
      </c>
      <c r="H3077" t="s">
        <v>9967</v>
      </c>
      <c r="I3077" t="s">
        <v>9968</v>
      </c>
    </row>
    <row r="3078" spans="1:9">
      <c r="A3078" t="str">
        <f>"0256176 "</f>
        <v xml:space="preserve">0256176 </v>
      </c>
      <c r="B3078" t="s">
        <v>8096</v>
      </c>
      <c r="C3078" t="s">
        <v>9969</v>
      </c>
      <c r="D3078" t="s">
        <v>9970</v>
      </c>
      <c r="E3078">
        <v>1</v>
      </c>
      <c r="F3078" t="s">
        <v>9971</v>
      </c>
      <c r="G3078" t="s">
        <v>8096</v>
      </c>
      <c r="H3078" t="s">
        <v>9972</v>
      </c>
      <c r="I3078" t="s">
        <v>9973</v>
      </c>
    </row>
    <row r="3079" spans="1:9">
      <c r="A3079" t="str">
        <f>"0256184 "</f>
        <v xml:space="preserve">0256184 </v>
      </c>
      <c r="B3079" t="s">
        <v>8096</v>
      </c>
      <c r="C3079" t="s">
        <v>9974</v>
      </c>
      <c r="D3079" t="s">
        <v>9975</v>
      </c>
      <c r="E3079">
        <v>1</v>
      </c>
      <c r="F3079" t="s">
        <v>9976</v>
      </c>
      <c r="G3079" t="s">
        <v>8096</v>
      </c>
      <c r="H3079" t="s">
        <v>9977</v>
      </c>
      <c r="I3079" t="s">
        <v>9978</v>
      </c>
    </row>
    <row r="3080" spans="1:9">
      <c r="A3080" t="str">
        <f>"0256191 "</f>
        <v xml:space="preserve">0256191 </v>
      </c>
      <c r="B3080" t="s">
        <v>8096</v>
      </c>
      <c r="C3080" t="s">
        <v>9979</v>
      </c>
      <c r="D3080" t="s">
        <v>9980</v>
      </c>
      <c r="E3080">
        <v>1</v>
      </c>
      <c r="F3080" t="s">
        <v>9981</v>
      </c>
      <c r="G3080" t="s">
        <v>8096</v>
      </c>
      <c r="H3080" t="s">
        <v>9982</v>
      </c>
      <c r="I3080" t="s">
        <v>9983</v>
      </c>
    </row>
    <row r="3081" spans="1:9">
      <c r="A3081" t="str">
        <f>"0256193 "</f>
        <v xml:space="preserve">0256193 </v>
      </c>
      <c r="B3081" t="s">
        <v>8096</v>
      </c>
      <c r="C3081" t="s">
        <v>9984</v>
      </c>
      <c r="D3081" t="s">
        <v>9985</v>
      </c>
      <c r="E3081">
        <v>1</v>
      </c>
      <c r="F3081" t="s">
        <v>9986</v>
      </c>
      <c r="G3081" t="s">
        <v>8096</v>
      </c>
      <c r="H3081" t="s">
        <v>9987</v>
      </c>
      <c r="I3081" t="s">
        <v>9988</v>
      </c>
    </row>
    <row r="3082" spans="1:9">
      <c r="A3082" t="str">
        <f>"0256194 "</f>
        <v xml:space="preserve">0256194 </v>
      </c>
      <c r="B3082" t="s">
        <v>8096</v>
      </c>
      <c r="C3082" t="s">
        <v>9989</v>
      </c>
      <c r="D3082" t="s">
        <v>9990</v>
      </c>
      <c r="E3082">
        <v>2</v>
      </c>
      <c r="F3082" t="s">
        <v>8835</v>
      </c>
      <c r="G3082" t="s">
        <v>8096</v>
      </c>
      <c r="H3082" t="s">
        <v>9991</v>
      </c>
      <c r="I3082" t="s">
        <v>9992</v>
      </c>
    </row>
    <row r="3083" spans="1:9">
      <c r="A3083" t="str">
        <f>"0256196 "</f>
        <v xml:space="preserve">0256196 </v>
      </c>
      <c r="B3083" t="s">
        <v>8096</v>
      </c>
      <c r="C3083" t="s">
        <v>9993</v>
      </c>
      <c r="D3083" t="s">
        <v>9994</v>
      </c>
      <c r="E3083">
        <v>1</v>
      </c>
      <c r="F3083" t="s">
        <v>9995</v>
      </c>
      <c r="G3083" t="s">
        <v>8096</v>
      </c>
      <c r="H3083" t="s">
        <v>9996</v>
      </c>
      <c r="I3083" t="s">
        <v>9997</v>
      </c>
    </row>
    <row r="3084" spans="1:9">
      <c r="A3084" t="str">
        <f>"0256197 "</f>
        <v xml:space="preserve">0256197 </v>
      </c>
      <c r="B3084" t="s">
        <v>8096</v>
      </c>
      <c r="C3084" t="s">
        <v>9998</v>
      </c>
      <c r="D3084" t="s">
        <v>9999</v>
      </c>
      <c r="E3084">
        <v>2</v>
      </c>
      <c r="F3084" t="s">
        <v>10000</v>
      </c>
      <c r="G3084" t="s">
        <v>8096</v>
      </c>
      <c r="H3084" t="s">
        <v>10001</v>
      </c>
      <c r="I3084" t="s">
        <v>10002</v>
      </c>
    </row>
    <row r="3085" spans="1:9">
      <c r="A3085" t="str">
        <f>"0256203 "</f>
        <v xml:space="preserve">0256203 </v>
      </c>
      <c r="B3085" t="s">
        <v>8096</v>
      </c>
      <c r="C3085" t="s">
        <v>10003</v>
      </c>
      <c r="D3085" t="s">
        <v>10004</v>
      </c>
      <c r="E3085">
        <v>1</v>
      </c>
      <c r="F3085" t="s">
        <v>9930</v>
      </c>
      <c r="G3085" t="s">
        <v>8096</v>
      </c>
      <c r="H3085" t="s">
        <v>10005</v>
      </c>
      <c r="I3085" t="s">
        <v>10006</v>
      </c>
    </row>
    <row r="3086" spans="1:9">
      <c r="A3086" t="str">
        <f>"0256204 "</f>
        <v xml:space="preserve">0256204 </v>
      </c>
      <c r="B3086" t="s">
        <v>8096</v>
      </c>
      <c r="C3086" t="s">
        <v>10007</v>
      </c>
      <c r="D3086" t="s">
        <v>10008</v>
      </c>
      <c r="E3086">
        <v>1</v>
      </c>
      <c r="F3086" t="s">
        <v>9921</v>
      </c>
      <c r="G3086" t="s">
        <v>8096</v>
      </c>
      <c r="H3086" t="s">
        <v>10009</v>
      </c>
      <c r="I3086" t="s">
        <v>10010</v>
      </c>
    </row>
    <row r="3087" spans="1:9">
      <c r="A3087" t="str">
        <f>"0256207 "</f>
        <v xml:space="preserve">0256207 </v>
      </c>
      <c r="B3087" t="s">
        <v>8096</v>
      </c>
      <c r="C3087" t="s">
        <v>10011</v>
      </c>
      <c r="D3087" t="s">
        <v>10012</v>
      </c>
      <c r="E3087">
        <v>1</v>
      </c>
      <c r="F3087" t="s">
        <v>10013</v>
      </c>
      <c r="G3087" t="s">
        <v>8096</v>
      </c>
      <c r="H3087" t="s">
        <v>10014</v>
      </c>
      <c r="I3087" t="s">
        <v>10015</v>
      </c>
    </row>
    <row r="3088" spans="1:9">
      <c r="A3088" t="str">
        <f>"0256208 "</f>
        <v xml:space="preserve">0256208 </v>
      </c>
      <c r="B3088" t="s">
        <v>8096</v>
      </c>
      <c r="C3088" t="s">
        <v>10016</v>
      </c>
      <c r="D3088" t="s">
        <v>10017</v>
      </c>
      <c r="E3088">
        <v>1</v>
      </c>
      <c r="F3088" t="s">
        <v>10018</v>
      </c>
      <c r="G3088" t="s">
        <v>8096</v>
      </c>
      <c r="H3088" t="s">
        <v>10019</v>
      </c>
      <c r="I3088" t="s">
        <v>10020</v>
      </c>
    </row>
    <row r="3089" spans="1:9">
      <c r="A3089" t="str">
        <f>"0256211 "</f>
        <v xml:space="preserve">0256211 </v>
      </c>
      <c r="B3089" t="s">
        <v>8096</v>
      </c>
      <c r="C3089" t="s">
        <v>10021</v>
      </c>
      <c r="D3089" t="s">
        <v>10022</v>
      </c>
      <c r="E3089">
        <v>1</v>
      </c>
      <c r="F3089" t="s">
        <v>10023</v>
      </c>
      <c r="G3089" t="s">
        <v>8096</v>
      </c>
      <c r="H3089" t="s">
        <v>10024</v>
      </c>
      <c r="I3089" t="s">
        <v>10025</v>
      </c>
    </row>
    <row r="3090" spans="1:9">
      <c r="A3090" t="str">
        <f>"0256216 "</f>
        <v xml:space="preserve">0256216 </v>
      </c>
      <c r="B3090" t="s">
        <v>8096</v>
      </c>
      <c r="C3090" t="s">
        <v>10026</v>
      </c>
      <c r="D3090" t="s">
        <v>10027</v>
      </c>
      <c r="E3090">
        <v>1</v>
      </c>
      <c r="F3090" t="s">
        <v>10028</v>
      </c>
      <c r="G3090" t="s">
        <v>8096</v>
      </c>
      <c r="H3090" t="s">
        <v>10029</v>
      </c>
      <c r="I3090" t="s">
        <v>10030</v>
      </c>
    </row>
    <row r="3091" spans="1:9">
      <c r="A3091" t="str">
        <f>"0256218 "</f>
        <v xml:space="preserve">0256218 </v>
      </c>
      <c r="B3091" t="s">
        <v>8096</v>
      </c>
      <c r="C3091" t="s">
        <v>10031</v>
      </c>
      <c r="D3091" t="s">
        <v>10032</v>
      </c>
      <c r="E3091">
        <v>1</v>
      </c>
      <c r="F3091" t="s">
        <v>10033</v>
      </c>
      <c r="G3091" t="s">
        <v>8096</v>
      </c>
      <c r="H3091" t="s">
        <v>10034</v>
      </c>
      <c r="I3091" t="s">
        <v>10035</v>
      </c>
    </row>
    <row r="3092" spans="1:9">
      <c r="A3092" t="str">
        <f>"0256219 "</f>
        <v xml:space="preserve">0256219 </v>
      </c>
      <c r="B3092" t="s">
        <v>8096</v>
      </c>
      <c r="C3092" t="s">
        <v>10036</v>
      </c>
      <c r="D3092" t="s">
        <v>10037</v>
      </c>
      <c r="E3092">
        <v>2</v>
      </c>
      <c r="F3092" t="s">
        <v>10038</v>
      </c>
      <c r="G3092" t="s">
        <v>8096</v>
      </c>
      <c r="H3092" t="s">
        <v>10039</v>
      </c>
      <c r="I3092" t="s">
        <v>10040</v>
      </c>
    </row>
    <row r="3093" spans="1:9">
      <c r="A3093" t="str">
        <f>"0256221 "</f>
        <v xml:space="preserve">0256221 </v>
      </c>
      <c r="B3093" t="s">
        <v>8096</v>
      </c>
      <c r="C3093" t="s">
        <v>10041</v>
      </c>
      <c r="D3093" t="s">
        <v>10042</v>
      </c>
      <c r="E3093">
        <v>1</v>
      </c>
      <c r="F3093" t="s">
        <v>10043</v>
      </c>
      <c r="G3093" t="s">
        <v>8096</v>
      </c>
      <c r="H3093" t="s">
        <v>10044</v>
      </c>
      <c r="I3093" t="s">
        <v>10045</v>
      </c>
    </row>
    <row r="3094" spans="1:9">
      <c r="A3094" t="str">
        <f>"0256222 "</f>
        <v xml:space="preserve">0256222 </v>
      </c>
      <c r="B3094" t="s">
        <v>8096</v>
      </c>
      <c r="C3094" t="s">
        <v>10046</v>
      </c>
      <c r="D3094" t="s">
        <v>10047</v>
      </c>
      <c r="E3094">
        <v>1</v>
      </c>
      <c r="F3094" t="s">
        <v>10048</v>
      </c>
      <c r="G3094" t="s">
        <v>8096</v>
      </c>
      <c r="H3094" t="s">
        <v>10049</v>
      </c>
      <c r="I3094" t="s">
        <v>10050</v>
      </c>
    </row>
    <row r="3095" spans="1:9">
      <c r="A3095" t="str">
        <f>"0256224 "</f>
        <v xml:space="preserve">0256224 </v>
      </c>
      <c r="B3095" t="s">
        <v>8096</v>
      </c>
      <c r="C3095" t="s">
        <v>10051</v>
      </c>
      <c r="D3095" t="s">
        <v>10052</v>
      </c>
      <c r="E3095">
        <v>1</v>
      </c>
      <c r="F3095" t="s">
        <v>10053</v>
      </c>
      <c r="G3095" t="s">
        <v>8096</v>
      </c>
      <c r="H3095" t="s">
        <v>10054</v>
      </c>
      <c r="I3095" t="s">
        <v>10055</v>
      </c>
    </row>
    <row r="3096" spans="1:9">
      <c r="A3096" t="str">
        <f>"0256232 "</f>
        <v xml:space="preserve">0256232 </v>
      </c>
      <c r="B3096" t="s">
        <v>8096</v>
      </c>
      <c r="C3096" t="s">
        <v>10056</v>
      </c>
      <c r="D3096" t="s">
        <v>10057</v>
      </c>
      <c r="E3096">
        <v>1</v>
      </c>
      <c r="F3096" t="s">
        <v>9399</v>
      </c>
      <c r="G3096" t="s">
        <v>8096</v>
      </c>
      <c r="H3096" t="s">
        <v>10058</v>
      </c>
      <c r="I3096" t="s">
        <v>10059</v>
      </c>
    </row>
    <row r="3097" spans="1:9">
      <c r="A3097" t="str">
        <f>"0256233 "</f>
        <v xml:space="preserve">0256233 </v>
      </c>
      <c r="B3097" t="s">
        <v>8096</v>
      </c>
      <c r="C3097" t="s">
        <v>10060</v>
      </c>
      <c r="D3097" t="s">
        <v>10061</v>
      </c>
      <c r="E3097">
        <v>1</v>
      </c>
      <c r="F3097" t="s">
        <v>10048</v>
      </c>
      <c r="G3097" t="s">
        <v>8096</v>
      </c>
      <c r="H3097" t="s">
        <v>10062</v>
      </c>
      <c r="I3097" t="s">
        <v>10063</v>
      </c>
    </row>
    <row r="3098" spans="1:9">
      <c r="A3098" t="str">
        <f>"0256235 "</f>
        <v xml:space="preserve">0256235 </v>
      </c>
      <c r="B3098" t="s">
        <v>8096</v>
      </c>
      <c r="C3098" t="s">
        <v>10064</v>
      </c>
      <c r="D3098" t="s">
        <v>10065</v>
      </c>
      <c r="E3098">
        <v>1</v>
      </c>
      <c r="F3098" t="s">
        <v>10066</v>
      </c>
      <c r="G3098" t="s">
        <v>8096</v>
      </c>
      <c r="H3098" t="s">
        <v>10067</v>
      </c>
      <c r="I3098" t="s">
        <v>10068</v>
      </c>
    </row>
    <row r="3099" spans="1:9">
      <c r="A3099" t="str">
        <f>"0256238 "</f>
        <v xml:space="preserve">0256238 </v>
      </c>
      <c r="B3099" t="s">
        <v>8096</v>
      </c>
      <c r="C3099" t="s">
        <v>10069</v>
      </c>
      <c r="D3099" t="s">
        <v>10070</v>
      </c>
      <c r="E3099">
        <v>2</v>
      </c>
      <c r="F3099" t="s">
        <v>8843</v>
      </c>
      <c r="G3099" t="s">
        <v>8096</v>
      </c>
      <c r="H3099" t="s">
        <v>10071</v>
      </c>
      <c r="I3099" t="s">
        <v>10072</v>
      </c>
    </row>
    <row r="3100" spans="1:9">
      <c r="A3100" t="str">
        <f>"0256239 "</f>
        <v xml:space="preserve">0256239 </v>
      </c>
      <c r="B3100" t="s">
        <v>8096</v>
      </c>
      <c r="C3100" t="s">
        <v>10073</v>
      </c>
      <c r="D3100" t="s">
        <v>10074</v>
      </c>
      <c r="E3100">
        <v>1</v>
      </c>
      <c r="F3100" t="s">
        <v>10013</v>
      </c>
      <c r="G3100" t="s">
        <v>8096</v>
      </c>
      <c r="H3100" t="s">
        <v>10075</v>
      </c>
      <c r="I3100" t="s">
        <v>10076</v>
      </c>
    </row>
    <row r="3101" spans="1:9">
      <c r="A3101" t="str">
        <f>"0256240 "</f>
        <v xml:space="preserve">0256240 </v>
      </c>
      <c r="B3101" t="s">
        <v>8096</v>
      </c>
      <c r="C3101" t="s">
        <v>10077</v>
      </c>
      <c r="D3101" t="s">
        <v>10078</v>
      </c>
      <c r="E3101">
        <v>1</v>
      </c>
      <c r="F3101" t="s">
        <v>10079</v>
      </c>
      <c r="G3101" t="s">
        <v>8096</v>
      </c>
      <c r="H3101" t="s">
        <v>10080</v>
      </c>
      <c r="I3101" t="s">
        <v>10081</v>
      </c>
    </row>
    <row r="3102" spans="1:9">
      <c r="A3102" t="str">
        <f>"0256242 "</f>
        <v xml:space="preserve">0256242 </v>
      </c>
      <c r="B3102" t="s">
        <v>8096</v>
      </c>
      <c r="C3102" t="s">
        <v>10082</v>
      </c>
      <c r="D3102" t="s">
        <v>10083</v>
      </c>
      <c r="E3102">
        <v>2</v>
      </c>
      <c r="F3102" t="s">
        <v>10084</v>
      </c>
      <c r="G3102" t="s">
        <v>8096</v>
      </c>
      <c r="H3102" t="s">
        <v>10085</v>
      </c>
      <c r="I3102" t="s">
        <v>10086</v>
      </c>
    </row>
    <row r="3103" spans="1:9">
      <c r="A3103" t="str">
        <f>"0256243 "</f>
        <v xml:space="preserve">0256243 </v>
      </c>
      <c r="B3103" t="s">
        <v>8096</v>
      </c>
      <c r="C3103" t="s">
        <v>10087</v>
      </c>
      <c r="D3103" t="s">
        <v>10088</v>
      </c>
      <c r="E3103">
        <v>1</v>
      </c>
      <c r="F3103" t="s">
        <v>10089</v>
      </c>
      <c r="G3103" t="s">
        <v>8096</v>
      </c>
      <c r="H3103" t="s">
        <v>10090</v>
      </c>
      <c r="I3103" t="s">
        <v>10091</v>
      </c>
    </row>
    <row r="3104" spans="1:9">
      <c r="A3104" t="str">
        <f>"0256245 "</f>
        <v xml:space="preserve">0256245 </v>
      </c>
      <c r="B3104" t="s">
        <v>8096</v>
      </c>
      <c r="C3104" t="s">
        <v>10092</v>
      </c>
      <c r="D3104" t="s">
        <v>10093</v>
      </c>
      <c r="E3104">
        <v>1</v>
      </c>
      <c r="F3104" t="s">
        <v>9051</v>
      </c>
      <c r="G3104" t="s">
        <v>8096</v>
      </c>
      <c r="H3104" t="s">
        <v>10094</v>
      </c>
      <c r="I3104" t="s">
        <v>10095</v>
      </c>
    </row>
    <row r="3105" spans="1:9">
      <c r="A3105" t="str">
        <f>"0256249 "</f>
        <v xml:space="preserve">0256249 </v>
      </c>
      <c r="B3105" t="s">
        <v>8096</v>
      </c>
      <c r="C3105" t="s">
        <v>10096</v>
      </c>
      <c r="D3105" t="s">
        <v>10097</v>
      </c>
      <c r="E3105">
        <v>1</v>
      </c>
      <c r="F3105" t="s">
        <v>10098</v>
      </c>
      <c r="G3105" t="s">
        <v>8096</v>
      </c>
      <c r="H3105" t="s">
        <v>10099</v>
      </c>
      <c r="I3105" t="s">
        <v>10100</v>
      </c>
    </row>
    <row r="3106" spans="1:9">
      <c r="A3106" t="str">
        <f>"0256250 "</f>
        <v xml:space="preserve">0256250 </v>
      </c>
      <c r="B3106" t="s">
        <v>8096</v>
      </c>
      <c r="C3106" t="s">
        <v>10101</v>
      </c>
      <c r="D3106" t="s">
        <v>10102</v>
      </c>
      <c r="E3106">
        <v>1</v>
      </c>
      <c r="F3106" t="s">
        <v>10103</v>
      </c>
      <c r="G3106" t="s">
        <v>8096</v>
      </c>
      <c r="H3106" t="s">
        <v>10104</v>
      </c>
      <c r="I3106" t="s">
        <v>10105</v>
      </c>
    </row>
    <row r="3107" spans="1:9">
      <c r="A3107" t="str">
        <f>"0256252 "</f>
        <v xml:space="preserve">0256252 </v>
      </c>
      <c r="B3107" t="s">
        <v>8096</v>
      </c>
      <c r="C3107" t="s">
        <v>10106</v>
      </c>
      <c r="D3107" t="s">
        <v>10107</v>
      </c>
      <c r="E3107">
        <v>1</v>
      </c>
      <c r="F3107" t="s">
        <v>10108</v>
      </c>
      <c r="G3107" t="s">
        <v>8096</v>
      </c>
      <c r="H3107" t="s">
        <v>10109</v>
      </c>
      <c r="I3107" t="s">
        <v>10110</v>
      </c>
    </row>
    <row r="3108" spans="1:9">
      <c r="A3108" t="str">
        <f>"0256258 "</f>
        <v xml:space="preserve">0256258 </v>
      </c>
      <c r="B3108" t="s">
        <v>8096</v>
      </c>
      <c r="C3108" t="s">
        <v>10111</v>
      </c>
      <c r="D3108" t="s">
        <v>10112</v>
      </c>
      <c r="E3108">
        <v>1</v>
      </c>
      <c r="F3108" t="s">
        <v>10113</v>
      </c>
      <c r="G3108" t="s">
        <v>8096</v>
      </c>
      <c r="H3108" t="s">
        <v>10114</v>
      </c>
      <c r="I3108" t="s">
        <v>10115</v>
      </c>
    </row>
    <row r="3109" spans="1:9">
      <c r="A3109" t="str">
        <f>"0256270 "</f>
        <v xml:space="preserve">0256270 </v>
      </c>
      <c r="B3109" t="s">
        <v>8096</v>
      </c>
      <c r="C3109" t="s">
        <v>10116</v>
      </c>
      <c r="D3109" t="s">
        <v>10117</v>
      </c>
      <c r="E3109">
        <v>1</v>
      </c>
      <c r="F3109" t="s">
        <v>10118</v>
      </c>
      <c r="G3109" t="s">
        <v>8096</v>
      </c>
      <c r="H3109" t="s">
        <v>10119</v>
      </c>
      <c r="I3109" t="s">
        <v>10120</v>
      </c>
    </row>
    <row r="3110" spans="1:9">
      <c r="A3110" t="str">
        <f>"0102293 "</f>
        <v xml:space="preserve">0102293 </v>
      </c>
      <c r="B3110" t="s">
        <v>10121</v>
      </c>
      <c r="C3110" t="s">
        <v>10122</v>
      </c>
      <c r="D3110" t="s">
        <v>10123</v>
      </c>
      <c r="E3110">
        <v>1</v>
      </c>
      <c r="F3110" t="s">
        <v>10124</v>
      </c>
      <c r="G3110" t="s">
        <v>10125</v>
      </c>
      <c r="H3110" t="s">
        <v>10122</v>
      </c>
      <c r="I3110" t="s">
        <v>10126</v>
      </c>
    </row>
    <row r="3111" spans="1:9">
      <c r="A3111" t="str">
        <f>"0102353 "</f>
        <v xml:space="preserve">0102353 </v>
      </c>
      <c r="B3111" t="s">
        <v>10121</v>
      </c>
      <c r="C3111" t="s">
        <v>10127</v>
      </c>
      <c r="D3111" t="s">
        <v>10128</v>
      </c>
      <c r="E3111" t="s">
        <v>16</v>
      </c>
      <c r="F3111" t="s">
        <v>10129</v>
      </c>
      <c r="G3111" t="s">
        <v>10125</v>
      </c>
      <c r="H3111" t="s">
        <v>10127</v>
      </c>
      <c r="I3111" t="s">
        <v>10130</v>
      </c>
    </row>
    <row r="3112" spans="1:9">
      <c r="A3112" t="str">
        <f>"0102354 "</f>
        <v xml:space="preserve">0102354 </v>
      </c>
      <c r="B3112" t="s">
        <v>10121</v>
      </c>
      <c r="C3112" t="s">
        <v>10131</v>
      </c>
      <c r="D3112" t="s">
        <v>10132</v>
      </c>
      <c r="E3112">
        <v>1</v>
      </c>
      <c r="F3112" t="s">
        <v>10133</v>
      </c>
      <c r="G3112" t="s">
        <v>10125</v>
      </c>
      <c r="H3112" t="s">
        <v>10131</v>
      </c>
      <c r="I3112" t="s">
        <v>10134</v>
      </c>
    </row>
    <row r="3113" spans="1:9">
      <c r="A3113" t="str">
        <f>"0102361 "</f>
        <v xml:space="preserve">0102361 </v>
      </c>
      <c r="B3113" t="s">
        <v>10121</v>
      </c>
      <c r="C3113" t="s">
        <v>10135</v>
      </c>
      <c r="D3113" t="s">
        <v>10136</v>
      </c>
      <c r="E3113">
        <v>2</v>
      </c>
      <c r="F3113" t="s">
        <v>10137</v>
      </c>
      <c r="G3113" t="s">
        <v>10125</v>
      </c>
      <c r="H3113" t="s">
        <v>10135</v>
      </c>
      <c r="I3113" t="s">
        <v>10138</v>
      </c>
    </row>
    <row r="3114" spans="1:9">
      <c r="A3114" t="str">
        <f>"0102370 "</f>
        <v xml:space="preserve">0102370 </v>
      </c>
      <c r="B3114" t="s">
        <v>10121</v>
      </c>
      <c r="C3114" t="s">
        <v>10139</v>
      </c>
      <c r="D3114" t="s">
        <v>10140</v>
      </c>
      <c r="E3114">
        <v>2</v>
      </c>
      <c r="F3114" t="s">
        <v>10141</v>
      </c>
      <c r="G3114" t="s">
        <v>10125</v>
      </c>
      <c r="H3114" t="s">
        <v>10139</v>
      </c>
      <c r="I3114" t="s">
        <v>10142</v>
      </c>
    </row>
    <row r="3115" spans="1:9">
      <c r="A3115" t="str">
        <f>"0102375 "</f>
        <v xml:space="preserve">0102375 </v>
      </c>
      <c r="B3115" t="s">
        <v>10121</v>
      </c>
      <c r="C3115" t="s">
        <v>10143</v>
      </c>
      <c r="D3115" t="s">
        <v>10144</v>
      </c>
      <c r="E3115">
        <v>1</v>
      </c>
      <c r="F3115" t="s">
        <v>10145</v>
      </c>
      <c r="G3115" t="s">
        <v>10125</v>
      </c>
      <c r="H3115" t="s">
        <v>10143</v>
      </c>
      <c r="I3115" t="s">
        <v>10146</v>
      </c>
    </row>
    <row r="3116" spans="1:9">
      <c r="A3116" t="str">
        <f>"0153088 "</f>
        <v xml:space="preserve">0153088 </v>
      </c>
      <c r="B3116" t="s">
        <v>10121</v>
      </c>
      <c r="C3116" t="s">
        <v>10147</v>
      </c>
      <c r="D3116" t="s">
        <v>10148</v>
      </c>
      <c r="E3116">
        <v>1</v>
      </c>
      <c r="F3116" t="s">
        <v>10149</v>
      </c>
      <c r="G3116" t="s">
        <v>10125</v>
      </c>
      <c r="H3116" t="s">
        <v>10147</v>
      </c>
      <c r="I3116" t="s">
        <v>10150</v>
      </c>
    </row>
    <row r="3117" spans="1:9">
      <c r="A3117" t="str">
        <f>"0102404 "</f>
        <v xml:space="preserve">0102404 </v>
      </c>
      <c r="B3117" t="s">
        <v>10121</v>
      </c>
      <c r="C3117" t="s">
        <v>10151</v>
      </c>
      <c r="D3117" t="s">
        <v>10152</v>
      </c>
      <c r="E3117">
        <v>2</v>
      </c>
      <c r="F3117" t="s">
        <v>10153</v>
      </c>
      <c r="G3117" t="s">
        <v>10125</v>
      </c>
      <c r="H3117" t="s">
        <v>10151</v>
      </c>
      <c r="I3117" t="s">
        <v>10154</v>
      </c>
    </row>
    <row r="3118" spans="1:9">
      <c r="A3118" t="str">
        <f>"0102405 "</f>
        <v xml:space="preserve">0102405 </v>
      </c>
      <c r="B3118" t="s">
        <v>10121</v>
      </c>
      <c r="C3118" t="s">
        <v>10155</v>
      </c>
      <c r="D3118" t="s">
        <v>10156</v>
      </c>
      <c r="E3118">
        <v>4</v>
      </c>
      <c r="F3118" t="s">
        <v>10157</v>
      </c>
      <c r="G3118" t="s">
        <v>10125</v>
      </c>
      <c r="H3118" t="s">
        <v>10155</v>
      </c>
      <c r="I3118" t="s">
        <v>10158</v>
      </c>
    </row>
    <row r="3119" spans="1:9">
      <c r="A3119" t="str">
        <f>"0102409 "</f>
        <v xml:space="preserve">0102409 </v>
      </c>
      <c r="B3119" t="s">
        <v>10121</v>
      </c>
      <c r="C3119" t="s">
        <v>10159</v>
      </c>
      <c r="D3119" t="s">
        <v>10160</v>
      </c>
      <c r="E3119" t="s">
        <v>16</v>
      </c>
      <c r="F3119" t="s">
        <v>10161</v>
      </c>
      <c r="G3119" t="s">
        <v>10125</v>
      </c>
      <c r="H3119" t="s">
        <v>10159</v>
      </c>
      <c r="I3119" t="s">
        <v>10162</v>
      </c>
    </row>
    <row r="3120" spans="1:9">
      <c r="A3120" t="str">
        <f>"0102411 "</f>
        <v xml:space="preserve">0102411 </v>
      </c>
      <c r="B3120" t="s">
        <v>10121</v>
      </c>
      <c r="C3120" t="s">
        <v>10163</v>
      </c>
      <c r="D3120" t="s">
        <v>10164</v>
      </c>
      <c r="E3120">
        <v>2</v>
      </c>
      <c r="F3120" t="s">
        <v>10165</v>
      </c>
      <c r="G3120" t="s">
        <v>10125</v>
      </c>
      <c r="H3120" t="s">
        <v>10163</v>
      </c>
      <c r="I3120" t="e">
        <f>OX345DEco  MERCEDES W202/W203/W210/W211/W220/W163 mot.M112/M113</f>
        <v>#NAME?</v>
      </c>
    </row>
    <row r="3121" spans="1:9">
      <c r="A3121" t="str">
        <f>"0102421 "</f>
        <v xml:space="preserve">0102421 </v>
      </c>
      <c r="B3121" t="s">
        <v>10121</v>
      </c>
      <c r="C3121" t="s">
        <v>10166</v>
      </c>
      <c r="D3121" t="s">
        <v>10167</v>
      </c>
      <c r="E3121">
        <v>1</v>
      </c>
      <c r="F3121" t="s">
        <v>10168</v>
      </c>
      <c r="G3121" t="s">
        <v>10125</v>
      </c>
      <c r="H3121" t="s">
        <v>10166</v>
      </c>
      <c r="I3121" t="s">
        <v>10169</v>
      </c>
    </row>
    <row r="3122" spans="1:9">
      <c r="A3122" t="str">
        <f>"0102423 "</f>
        <v xml:space="preserve">0102423 </v>
      </c>
      <c r="B3122" t="s">
        <v>10121</v>
      </c>
      <c r="C3122" t="s">
        <v>10170</v>
      </c>
      <c r="D3122" t="s">
        <v>10171</v>
      </c>
      <c r="E3122">
        <v>1</v>
      </c>
      <c r="F3122" t="s">
        <v>10172</v>
      </c>
      <c r="G3122" t="s">
        <v>10125</v>
      </c>
      <c r="H3122" t="s">
        <v>10170</v>
      </c>
      <c r="I3122" t="s">
        <v>10173</v>
      </c>
    </row>
    <row r="3123" spans="1:9">
      <c r="A3123" t="str">
        <f>"0102426 "</f>
        <v xml:space="preserve">0102426 </v>
      </c>
      <c r="B3123" t="s">
        <v>10121</v>
      </c>
      <c r="C3123" t="s">
        <v>10174</v>
      </c>
      <c r="D3123" t="s">
        <v>10175</v>
      </c>
      <c r="E3123">
        <v>2</v>
      </c>
      <c r="F3123" t="s">
        <v>10176</v>
      </c>
      <c r="G3123" t="s">
        <v>10125</v>
      </c>
      <c r="H3123" t="s">
        <v>10174</v>
      </c>
      <c r="I3123" t="s">
        <v>10177</v>
      </c>
    </row>
    <row r="3124" spans="1:9">
      <c r="A3124" t="str">
        <f>"0102430 "</f>
        <v xml:space="preserve">0102430 </v>
      </c>
      <c r="B3124" t="s">
        <v>10121</v>
      </c>
      <c r="C3124" t="s">
        <v>10178</v>
      </c>
      <c r="D3124" t="s">
        <v>10179</v>
      </c>
      <c r="E3124">
        <v>2</v>
      </c>
      <c r="F3124" t="s">
        <v>10180</v>
      </c>
      <c r="G3124" t="s">
        <v>10125</v>
      </c>
      <c r="H3124" t="s">
        <v>10178</v>
      </c>
      <c r="I3124" t="s">
        <v>10181</v>
      </c>
    </row>
    <row r="3125" spans="1:9">
      <c r="A3125" t="str">
        <f>"0102443 "</f>
        <v xml:space="preserve">0102443 </v>
      </c>
      <c r="B3125" t="s">
        <v>10121</v>
      </c>
      <c r="C3125" t="s">
        <v>10182</v>
      </c>
      <c r="D3125" t="s">
        <v>10183</v>
      </c>
      <c r="E3125">
        <v>2</v>
      </c>
      <c r="F3125" t="s">
        <v>7419</v>
      </c>
      <c r="G3125" t="s">
        <v>10125</v>
      </c>
      <c r="H3125" t="s">
        <v>10182</v>
      </c>
      <c r="I3125" t="s">
        <v>10184</v>
      </c>
    </row>
    <row r="3126" spans="1:9">
      <c r="A3126" t="str">
        <f>"0102454 "</f>
        <v xml:space="preserve">0102454 </v>
      </c>
      <c r="B3126" t="s">
        <v>10121</v>
      </c>
      <c r="C3126" t="s">
        <v>10185</v>
      </c>
      <c r="D3126" t="s">
        <v>10186</v>
      </c>
      <c r="E3126">
        <v>1</v>
      </c>
      <c r="F3126" t="s">
        <v>10187</v>
      </c>
      <c r="G3126" t="s">
        <v>10125</v>
      </c>
      <c r="H3126" t="s">
        <v>10185</v>
      </c>
      <c r="I3126" t="s">
        <v>10188</v>
      </c>
    </row>
    <row r="3127" spans="1:9">
      <c r="A3127" t="str">
        <f>"0102455 "</f>
        <v xml:space="preserve">0102455 </v>
      </c>
      <c r="B3127" t="s">
        <v>10121</v>
      </c>
      <c r="C3127" t="s">
        <v>10189</v>
      </c>
      <c r="D3127" t="s">
        <v>10190</v>
      </c>
      <c r="E3127">
        <v>1</v>
      </c>
      <c r="F3127" t="s">
        <v>10191</v>
      </c>
      <c r="G3127" t="s">
        <v>10125</v>
      </c>
      <c r="H3127" t="s">
        <v>10189</v>
      </c>
      <c r="I3127" t="s">
        <v>10192</v>
      </c>
    </row>
    <row r="3128" spans="1:9">
      <c r="A3128" t="str">
        <f>"0102457 "</f>
        <v xml:space="preserve">0102457 </v>
      </c>
      <c r="B3128" t="s">
        <v>10121</v>
      </c>
      <c r="C3128" t="s">
        <v>10193</v>
      </c>
      <c r="D3128" t="s">
        <v>10194</v>
      </c>
      <c r="E3128" t="s">
        <v>16</v>
      </c>
      <c r="F3128" t="s">
        <v>10195</v>
      </c>
      <c r="G3128" t="s">
        <v>10125</v>
      </c>
      <c r="H3128" t="s">
        <v>10193</v>
      </c>
      <c r="I3128" t="s">
        <v>10196</v>
      </c>
    </row>
    <row r="3129" spans="1:9">
      <c r="A3129" t="str">
        <f>"0102468 "</f>
        <v xml:space="preserve">0102468 </v>
      </c>
      <c r="B3129" t="s">
        <v>10121</v>
      </c>
      <c r="C3129" t="s">
        <v>10197</v>
      </c>
      <c r="D3129" t="s">
        <v>10198</v>
      </c>
      <c r="E3129">
        <v>2</v>
      </c>
      <c r="F3129" t="s">
        <v>10199</v>
      </c>
      <c r="G3129" t="s">
        <v>10125</v>
      </c>
      <c r="H3129" t="s">
        <v>10197</v>
      </c>
      <c r="I3129" t="s">
        <v>10200</v>
      </c>
    </row>
    <row r="3130" spans="1:9">
      <c r="A3130" t="str">
        <f>"0102471 "</f>
        <v xml:space="preserve">0102471 </v>
      </c>
      <c r="B3130" t="s">
        <v>10121</v>
      </c>
      <c r="C3130" t="s">
        <v>10201</v>
      </c>
      <c r="D3130" t="s">
        <v>10202</v>
      </c>
      <c r="E3130">
        <v>1</v>
      </c>
      <c r="F3130" t="s">
        <v>10203</v>
      </c>
      <c r="G3130" t="s">
        <v>10125</v>
      </c>
      <c r="H3130" t="s">
        <v>10201</v>
      </c>
      <c r="I3130" t="s">
        <v>10204</v>
      </c>
    </row>
    <row r="3131" spans="1:9">
      <c r="A3131" t="str">
        <f>"0102483 "</f>
        <v xml:space="preserve">0102483 </v>
      </c>
      <c r="B3131" t="s">
        <v>10121</v>
      </c>
      <c r="C3131" t="s">
        <v>10205</v>
      </c>
      <c r="D3131" t="s">
        <v>10206</v>
      </c>
      <c r="E3131">
        <v>1</v>
      </c>
      <c r="F3131" t="s">
        <v>10187</v>
      </c>
      <c r="G3131" t="s">
        <v>10125</v>
      </c>
      <c r="H3131" t="s">
        <v>10205</v>
      </c>
      <c r="I3131" t="s">
        <v>10207</v>
      </c>
    </row>
    <row r="3132" spans="1:9">
      <c r="A3132" t="str">
        <f>"0102485 "</f>
        <v xml:space="preserve">0102485 </v>
      </c>
      <c r="B3132" t="s">
        <v>10121</v>
      </c>
      <c r="C3132" t="s">
        <v>10208</v>
      </c>
      <c r="D3132" t="s">
        <v>10209</v>
      </c>
      <c r="E3132">
        <v>5</v>
      </c>
      <c r="F3132" t="s">
        <v>10210</v>
      </c>
      <c r="G3132" t="s">
        <v>10125</v>
      </c>
      <c r="H3132" t="s">
        <v>10208</v>
      </c>
      <c r="I3132" t="s">
        <v>10211</v>
      </c>
    </row>
    <row r="3133" spans="1:9">
      <c r="A3133" t="str">
        <f>"0102616 "</f>
        <v xml:space="preserve">0102616 </v>
      </c>
      <c r="B3133" t="s">
        <v>10121</v>
      </c>
      <c r="C3133" t="s">
        <v>10212</v>
      </c>
      <c r="D3133" t="s">
        <v>10213</v>
      </c>
      <c r="E3133">
        <v>2</v>
      </c>
      <c r="F3133" t="s">
        <v>10214</v>
      </c>
      <c r="G3133" t="s">
        <v>10125</v>
      </c>
      <c r="H3133" t="s">
        <v>10212</v>
      </c>
      <c r="I3133" t="s">
        <v>10215</v>
      </c>
    </row>
    <row r="3134" spans="1:9">
      <c r="A3134" t="str">
        <f>"0102625 "</f>
        <v xml:space="preserve">0102625 </v>
      </c>
      <c r="B3134" t="s">
        <v>10121</v>
      </c>
      <c r="C3134" t="s">
        <v>10216</v>
      </c>
      <c r="D3134" t="s">
        <v>10217</v>
      </c>
      <c r="E3134">
        <v>1</v>
      </c>
      <c r="F3134" t="s">
        <v>10218</v>
      </c>
      <c r="G3134" t="s">
        <v>10125</v>
      </c>
      <c r="H3134" t="s">
        <v>10216</v>
      </c>
      <c r="I3134" t="s">
        <v>10219</v>
      </c>
    </row>
    <row r="3135" spans="1:9">
      <c r="A3135" t="str">
        <f>"0102632 "</f>
        <v xml:space="preserve">0102632 </v>
      </c>
      <c r="B3135" t="s">
        <v>10121</v>
      </c>
      <c r="C3135" t="s">
        <v>10220</v>
      </c>
      <c r="D3135" t="s">
        <v>10221</v>
      </c>
      <c r="E3135">
        <v>1</v>
      </c>
      <c r="F3135" t="s">
        <v>10222</v>
      </c>
      <c r="G3135" t="s">
        <v>10125</v>
      </c>
      <c r="H3135" t="s">
        <v>10220</v>
      </c>
      <c r="I3135" t="s">
        <v>10223</v>
      </c>
    </row>
    <row r="3136" spans="1:9">
      <c r="A3136" t="str">
        <f>"0102633 "</f>
        <v xml:space="preserve">0102633 </v>
      </c>
      <c r="B3136" t="s">
        <v>10121</v>
      </c>
      <c r="C3136" t="s">
        <v>10224</v>
      </c>
      <c r="D3136" t="s">
        <v>10225</v>
      </c>
      <c r="E3136">
        <v>2</v>
      </c>
      <c r="F3136" t="s">
        <v>10157</v>
      </c>
      <c r="G3136" t="s">
        <v>10125</v>
      </c>
      <c r="H3136" t="s">
        <v>10224</v>
      </c>
      <c r="I3136" t="s">
        <v>10226</v>
      </c>
    </row>
    <row r="3137" spans="1:9">
      <c r="A3137" t="str">
        <f>"0102634 "</f>
        <v xml:space="preserve">0102634 </v>
      </c>
      <c r="B3137" t="s">
        <v>10121</v>
      </c>
      <c r="C3137" t="s">
        <v>10227</v>
      </c>
      <c r="D3137" t="s">
        <v>10228</v>
      </c>
      <c r="E3137">
        <v>1</v>
      </c>
      <c r="F3137" t="s">
        <v>3690</v>
      </c>
      <c r="G3137" t="s">
        <v>10125</v>
      </c>
      <c r="H3137" t="s">
        <v>10227</v>
      </c>
      <c r="I3137" t="s">
        <v>10229</v>
      </c>
    </row>
    <row r="3138" spans="1:9">
      <c r="A3138" t="str">
        <f>"0102636 "</f>
        <v xml:space="preserve">0102636 </v>
      </c>
      <c r="B3138" t="s">
        <v>10121</v>
      </c>
      <c r="C3138" t="s">
        <v>10230</v>
      </c>
      <c r="D3138" t="s">
        <v>10231</v>
      </c>
      <c r="E3138">
        <v>1</v>
      </c>
      <c r="F3138" t="s">
        <v>10232</v>
      </c>
      <c r="G3138" t="s">
        <v>10125</v>
      </c>
      <c r="H3138" t="s">
        <v>10230</v>
      </c>
      <c r="I3138" t="s">
        <v>10233</v>
      </c>
    </row>
    <row r="3139" spans="1:9">
      <c r="A3139" t="str">
        <f>"0102640 "</f>
        <v xml:space="preserve">0102640 </v>
      </c>
      <c r="B3139" t="s">
        <v>10121</v>
      </c>
      <c r="C3139" t="s">
        <v>10234</v>
      </c>
      <c r="D3139" t="s">
        <v>10235</v>
      </c>
      <c r="E3139">
        <v>1</v>
      </c>
      <c r="F3139" t="s">
        <v>3649</v>
      </c>
      <c r="G3139" t="s">
        <v>10125</v>
      </c>
      <c r="H3139" t="s">
        <v>10234</v>
      </c>
      <c r="I3139" t="s">
        <v>10236</v>
      </c>
    </row>
    <row r="3140" spans="1:9">
      <c r="A3140" t="str">
        <f>"0102666 "</f>
        <v xml:space="preserve">0102666 </v>
      </c>
      <c r="B3140" t="s">
        <v>10121</v>
      </c>
      <c r="C3140" t="s">
        <v>10237</v>
      </c>
      <c r="D3140" t="s">
        <v>10238</v>
      </c>
      <c r="E3140">
        <v>1</v>
      </c>
      <c r="F3140" t="s">
        <v>10239</v>
      </c>
      <c r="G3140" t="s">
        <v>10125</v>
      </c>
      <c r="H3140" t="s">
        <v>10237</v>
      </c>
      <c r="I3140" t="s">
        <v>10240</v>
      </c>
    </row>
    <row r="3141" spans="1:9">
      <c r="A3141" t="str">
        <f>"0102673 "</f>
        <v xml:space="preserve">0102673 </v>
      </c>
      <c r="B3141" t="s">
        <v>10121</v>
      </c>
      <c r="C3141" t="s">
        <v>10241</v>
      </c>
      <c r="D3141" t="s">
        <v>10242</v>
      </c>
      <c r="E3141">
        <v>1</v>
      </c>
      <c r="F3141" t="s">
        <v>10243</v>
      </c>
      <c r="G3141" t="s">
        <v>10125</v>
      </c>
      <c r="H3141" t="s">
        <v>10241</v>
      </c>
      <c r="I3141" t="s">
        <v>10244</v>
      </c>
    </row>
    <row r="3142" spans="1:9">
      <c r="A3142" t="str">
        <f>"0102690 "</f>
        <v xml:space="preserve">0102690 </v>
      </c>
      <c r="B3142" t="s">
        <v>10121</v>
      </c>
      <c r="C3142" t="s">
        <v>10245</v>
      </c>
      <c r="D3142" t="s">
        <v>10246</v>
      </c>
      <c r="E3142">
        <v>2</v>
      </c>
      <c r="F3142" t="s">
        <v>10232</v>
      </c>
      <c r="G3142" t="s">
        <v>10125</v>
      </c>
      <c r="H3142" t="s">
        <v>10245</v>
      </c>
      <c r="I3142" t="s">
        <v>10247</v>
      </c>
    </row>
    <row r="3143" spans="1:9">
      <c r="A3143" t="str">
        <f>"0102697 "</f>
        <v xml:space="preserve">0102697 </v>
      </c>
      <c r="B3143" t="s">
        <v>10121</v>
      </c>
      <c r="C3143" t="s">
        <v>10248</v>
      </c>
      <c r="D3143" t="s">
        <v>10249</v>
      </c>
      <c r="E3143">
        <v>1</v>
      </c>
      <c r="F3143" t="s">
        <v>10250</v>
      </c>
      <c r="G3143" t="s">
        <v>10125</v>
      </c>
      <c r="H3143" t="s">
        <v>10248</v>
      </c>
      <c r="I3143" t="s">
        <v>10251</v>
      </c>
    </row>
    <row r="3144" spans="1:9">
      <c r="A3144" t="str">
        <f>"0102706 "</f>
        <v xml:space="preserve">0102706 </v>
      </c>
      <c r="B3144" t="s">
        <v>10121</v>
      </c>
      <c r="C3144" t="s">
        <v>10252</v>
      </c>
      <c r="D3144" t="s">
        <v>10253</v>
      </c>
      <c r="E3144">
        <v>2</v>
      </c>
      <c r="F3144" t="s">
        <v>10254</v>
      </c>
      <c r="G3144" t="s">
        <v>10125</v>
      </c>
      <c r="H3144" t="s">
        <v>10252</v>
      </c>
      <c r="I3144" t="s">
        <v>10255</v>
      </c>
    </row>
    <row r="3145" spans="1:9">
      <c r="A3145" t="str">
        <f>"0102730 "</f>
        <v xml:space="preserve">0102730 </v>
      </c>
      <c r="B3145" t="s">
        <v>10121</v>
      </c>
      <c r="C3145" t="s">
        <v>10256</v>
      </c>
      <c r="D3145" t="s">
        <v>10257</v>
      </c>
      <c r="E3145">
        <v>1</v>
      </c>
      <c r="F3145" t="s">
        <v>10258</v>
      </c>
      <c r="G3145" t="s">
        <v>10125</v>
      </c>
      <c r="H3145" t="s">
        <v>10256</v>
      </c>
      <c r="I3145" t="s">
        <v>10259</v>
      </c>
    </row>
    <row r="3146" spans="1:9">
      <c r="A3146" t="str">
        <f>"0102744 "</f>
        <v xml:space="preserve">0102744 </v>
      </c>
      <c r="B3146" t="s">
        <v>10121</v>
      </c>
      <c r="C3146" t="s">
        <v>10260</v>
      </c>
      <c r="D3146" t="s">
        <v>10261</v>
      </c>
      <c r="E3146">
        <v>1</v>
      </c>
      <c r="F3146" t="s">
        <v>10262</v>
      </c>
      <c r="G3146" t="s">
        <v>10125</v>
      </c>
      <c r="H3146" t="s">
        <v>10260</v>
      </c>
      <c r="I3146" t="s">
        <v>10263</v>
      </c>
    </row>
    <row r="3147" spans="1:9">
      <c r="A3147" t="str">
        <f>"0102792 "</f>
        <v xml:space="preserve">0102792 </v>
      </c>
      <c r="B3147" t="s">
        <v>10121</v>
      </c>
      <c r="C3147" t="s">
        <v>10264</v>
      </c>
      <c r="D3147" t="s">
        <v>10265</v>
      </c>
      <c r="E3147">
        <v>1</v>
      </c>
      <c r="F3147" t="s">
        <v>10266</v>
      </c>
      <c r="G3147" t="s">
        <v>10125</v>
      </c>
      <c r="H3147" t="s">
        <v>10264</v>
      </c>
      <c r="I3147" t="s">
        <v>10267</v>
      </c>
    </row>
    <row r="3148" spans="1:9">
      <c r="A3148" t="str">
        <f>"0197853 "</f>
        <v xml:space="preserve">0197853 </v>
      </c>
      <c r="B3148" t="s">
        <v>10121</v>
      </c>
      <c r="C3148" t="s">
        <v>10268</v>
      </c>
      <c r="D3148" t="s">
        <v>10269</v>
      </c>
      <c r="E3148">
        <v>1</v>
      </c>
      <c r="F3148" t="s">
        <v>10270</v>
      </c>
      <c r="G3148" t="s">
        <v>10125</v>
      </c>
      <c r="H3148" t="s">
        <v>10268</v>
      </c>
      <c r="I3148" t="s">
        <v>10271</v>
      </c>
    </row>
    <row r="3149" spans="1:9">
      <c r="A3149" t="str">
        <f>"0102823 "</f>
        <v xml:space="preserve">0102823 </v>
      </c>
      <c r="B3149" t="s">
        <v>10121</v>
      </c>
      <c r="C3149" t="s">
        <v>10272</v>
      </c>
      <c r="D3149" t="s">
        <v>10273</v>
      </c>
      <c r="E3149">
        <v>1</v>
      </c>
      <c r="F3149" t="s">
        <v>10274</v>
      </c>
      <c r="G3149" t="s">
        <v>10125</v>
      </c>
      <c r="H3149" t="s">
        <v>10272</v>
      </c>
      <c r="I3149" t="s">
        <v>10275</v>
      </c>
    </row>
    <row r="3150" spans="1:9">
      <c r="A3150" t="str">
        <f>"0102841 "</f>
        <v xml:space="preserve">0102841 </v>
      </c>
      <c r="B3150" t="s">
        <v>10121</v>
      </c>
      <c r="C3150" t="s">
        <v>10276</v>
      </c>
      <c r="D3150" t="s">
        <v>10277</v>
      </c>
      <c r="E3150">
        <v>1</v>
      </c>
      <c r="F3150" t="s">
        <v>10278</v>
      </c>
      <c r="G3150" t="s">
        <v>10125</v>
      </c>
      <c r="H3150" t="s">
        <v>10276</v>
      </c>
      <c r="I3150" t="s">
        <v>10279</v>
      </c>
    </row>
    <row r="3151" spans="1:9">
      <c r="A3151" t="str">
        <f>"0102842 "</f>
        <v xml:space="preserve">0102842 </v>
      </c>
      <c r="B3151" t="s">
        <v>10121</v>
      </c>
      <c r="C3151" t="s">
        <v>10280</v>
      </c>
      <c r="D3151" t="s">
        <v>10281</v>
      </c>
      <c r="E3151">
        <v>1</v>
      </c>
      <c r="F3151" t="s">
        <v>10282</v>
      </c>
      <c r="G3151" t="s">
        <v>10125</v>
      </c>
      <c r="H3151" t="s">
        <v>10280</v>
      </c>
      <c r="I3151" t="s">
        <v>10283</v>
      </c>
    </row>
    <row r="3152" spans="1:9">
      <c r="A3152" t="str">
        <f>"0102846 "</f>
        <v xml:space="preserve">0102846 </v>
      </c>
      <c r="B3152" t="s">
        <v>10121</v>
      </c>
      <c r="C3152" t="s">
        <v>10284</v>
      </c>
      <c r="D3152" t="s">
        <v>10285</v>
      </c>
      <c r="E3152">
        <v>2</v>
      </c>
      <c r="F3152" t="s">
        <v>10286</v>
      </c>
      <c r="G3152" t="s">
        <v>10125</v>
      </c>
      <c r="H3152" t="s">
        <v>10284</v>
      </c>
      <c r="I3152" t="s">
        <v>10287</v>
      </c>
    </row>
    <row r="3153" spans="1:9">
      <c r="A3153" t="str">
        <f>"0102855 "</f>
        <v xml:space="preserve">0102855 </v>
      </c>
      <c r="B3153" t="s">
        <v>10121</v>
      </c>
      <c r="C3153" t="s">
        <v>10288</v>
      </c>
      <c r="D3153" t="s">
        <v>10289</v>
      </c>
      <c r="E3153">
        <v>1</v>
      </c>
      <c r="F3153" t="s">
        <v>10290</v>
      </c>
      <c r="G3153" t="s">
        <v>10125</v>
      </c>
      <c r="H3153" t="s">
        <v>10288</v>
      </c>
      <c r="I3153" t="s">
        <v>10291</v>
      </c>
    </row>
    <row r="3154" spans="1:9">
      <c r="A3154" t="str">
        <f>"0102865 "</f>
        <v xml:space="preserve">0102865 </v>
      </c>
      <c r="B3154" t="s">
        <v>10121</v>
      </c>
      <c r="C3154" t="s">
        <v>10292</v>
      </c>
      <c r="D3154" t="s">
        <v>10293</v>
      </c>
      <c r="E3154">
        <v>2</v>
      </c>
      <c r="F3154" t="s">
        <v>10294</v>
      </c>
      <c r="G3154" t="s">
        <v>10125</v>
      </c>
      <c r="H3154" t="s">
        <v>10292</v>
      </c>
      <c r="I3154" t="s">
        <v>10295</v>
      </c>
    </row>
    <row r="3155" spans="1:9">
      <c r="A3155" t="str">
        <f>"0102893 "</f>
        <v xml:space="preserve">0102893 </v>
      </c>
      <c r="B3155" t="s">
        <v>10121</v>
      </c>
      <c r="C3155" t="s">
        <v>10296</v>
      </c>
      <c r="D3155" t="s">
        <v>10297</v>
      </c>
      <c r="E3155">
        <v>1</v>
      </c>
      <c r="F3155" t="s">
        <v>10298</v>
      </c>
      <c r="G3155" t="s">
        <v>10125</v>
      </c>
      <c r="H3155" t="s">
        <v>10296</v>
      </c>
      <c r="I3155" t="s">
        <v>10299</v>
      </c>
    </row>
    <row r="3156" spans="1:9">
      <c r="A3156" t="str">
        <f>"0102894 "</f>
        <v xml:space="preserve">0102894 </v>
      </c>
      <c r="B3156" t="s">
        <v>10121</v>
      </c>
      <c r="C3156" t="s">
        <v>10300</v>
      </c>
      <c r="D3156" t="s">
        <v>10301</v>
      </c>
      <c r="E3156">
        <v>5</v>
      </c>
      <c r="F3156" t="s">
        <v>6174</v>
      </c>
      <c r="G3156" t="s">
        <v>10125</v>
      </c>
      <c r="H3156" t="s">
        <v>10300</v>
      </c>
      <c r="I3156" t="s">
        <v>10302</v>
      </c>
    </row>
    <row r="3157" spans="1:9">
      <c r="A3157" t="str">
        <f>"0102906 "</f>
        <v xml:space="preserve">0102906 </v>
      </c>
      <c r="B3157" t="s">
        <v>10121</v>
      </c>
      <c r="C3157" t="s">
        <v>10303</v>
      </c>
      <c r="D3157" t="s">
        <v>10304</v>
      </c>
      <c r="E3157">
        <v>2</v>
      </c>
      <c r="F3157" t="s">
        <v>10305</v>
      </c>
      <c r="G3157" t="s">
        <v>10125</v>
      </c>
      <c r="H3157" t="s">
        <v>10303</v>
      </c>
      <c r="I3157" t="s">
        <v>10306</v>
      </c>
    </row>
    <row r="3158" spans="1:9">
      <c r="A3158" t="str">
        <f>"0102907 "</f>
        <v xml:space="preserve">0102907 </v>
      </c>
      <c r="B3158" t="s">
        <v>10121</v>
      </c>
      <c r="C3158" t="s">
        <v>10307</v>
      </c>
      <c r="D3158" t="s">
        <v>10308</v>
      </c>
      <c r="E3158">
        <v>2</v>
      </c>
      <c r="F3158" t="s">
        <v>10309</v>
      </c>
      <c r="G3158" t="s">
        <v>10125</v>
      </c>
      <c r="H3158" t="s">
        <v>10307</v>
      </c>
      <c r="I3158" t="s">
        <v>10310</v>
      </c>
    </row>
    <row r="3159" spans="1:9">
      <c r="A3159" t="str">
        <f>"0102909 "</f>
        <v xml:space="preserve">0102909 </v>
      </c>
      <c r="B3159" t="s">
        <v>10121</v>
      </c>
      <c r="C3159" t="s">
        <v>10311</v>
      </c>
      <c r="D3159" t="s">
        <v>10312</v>
      </c>
      <c r="E3159">
        <v>1</v>
      </c>
      <c r="F3159" t="s">
        <v>10313</v>
      </c>
      <c r="G3159" t="s">
        <v>10125</v>
      </c>
      <c r="H3159" t="s">
        <v>10311</v>
      </c>
      <c r="I3159" t="s">
        <v>10314</v>
      </c>
    </row>
    <row r="3160" spans="1:9">
      <c r="A3160" t="str">
        <f>"0102915 "</f>
        <v xml:space="preserve">0102915 </v>
      </c>
      <c r="B3160" t="s">
        <v>10121</v>
      </c>
      <c r="C3160" t="s">
        <v>10315</v>
      </c>
      <c r="D3160" t="s">
        <v>10316</v>
      </c>
      <c r="E3160">
        <v>1</v>
      </c>
      <c r="F3160" t="s">
        <v>10317</v>
      </c>
      <c r="G3160" t="s">
        <v>10125</v>
      </c>
      <c r="H3160" t="s">
        <v>10315</v>
      </c>
      <c r="I3160" t="s">
        <v>10318</v>
      </c>
    </row>
    <row r="3161" spans="1:9">
      <c r="A3161" t="str">
        <f>"0102918 "</f>
        <v xml:space="preserve">0102918 </v>
      </c>
      <c r="B3161" t="s">
        <v>10121</v>
      </c>
      <c r="C3161" t="s">
        <v>10319</v>
      </c>
      <c r="D3161" t="s">
        <v>10320</v>
      </c>
      <c r="E3161">
        <v>1</v>
      </c>
      <c r="F3161" t="s">
        <v>3633</v>
      </c>
      <c r="G3161" t="s">
        <v>10125</v>
      </c>
      <c r="H3161" t="s">
        <v>10319</v>
      </c>
      <c r="I3161" t="s">
        <v>10321</v>
      </c>
    </row>
    <row r="3162" spans="1:9">
      <c r="A3162" t="str">
        <f>"0102933 "</f>
        <v xml:space="preserve">0102933 </v>
      </c>
      <c r="B3162" t="s">
        <v>10121</v>
      </c>
      <c r="C3162" t="s">
        <v>10322</v>
      </c>
      <c r="D3162" t="s">
        <v>10323</v>
      </c>
      <c r="E3162">
        <v>5</v>
      </c>
      <c r="F3162" t="s">
        <v>10324</v>
      </c>
      <c r="G3162" t="s">
        <v>10125</v>
      </c>
      <c r="H3162" t="s">
        <v>10322</v>
      </c>
      <c r="I3162" t="s">
        <v>10325</v>
      </c>
    </row>
    <row r="3163" spans="1:9">
      <c r="A3163" t="str">
        <f>"0102946 "</f>
        <v xml:space="preserve">0102946 </v>
      </c>
      <c r="B3163" t="s">
        <v>10121</v>
      </c>
      <c r="C3163" t="s">
        <v>10326</v>
      </c>
      <c r="D3163" t="s">
        <v>10327</v>
      </c>
      <c r="E3163">
        <v>2</v>
      </c>
      <c r="F3163" t="s">
        <v>10328</v>
      </c>
      <c r="G3163" t="s">
        <v>10125</v>
      </c>
      <c r="H3163" t="s">
        <v>10326</v>
      </c>
      <c r="I3163" t="s">
        <v>10329</v>
      </c>
    </row>
    <row r="3164" spans="1:9">
      <c r="A3164" t="str">
        <f>"0102963 "</f>
        <v xml:space="preserve">0102963 </v>
      </c>
      <c r="B3164" t="s">
        <v>10121</v>
      </c>
      <c r="C3164" t="s">
        <v>10330</v>
      </c>
      <c r="D3164" t="s">
        <v>10331</v>
      </c>
      <c r="E3164">
        <v>1</v>
      </c>
      <c r="F3164" t="s">
        <v>10332</v>
      </c>
      <c r="G3164" t="s">
        <v>10125</v>
      </c>
      <c r="H3164" t="s">
        <v>10330</v>
      </c>
      <c r="I3164" t="s">
        <v>10333</v>
      </c>
    </row>
    <row r="3165" spans="1:9">
      <c r="A3165" t="str">
        <f>"0102984 "</f>
        <v xml:space="preserve">0102984 </v>
      </c>
      <c r="B3165" t="s">
        <v>10121</v>
      </c>
      <c r="C3165" t="s">
        <v>10334</v>
      </c>
      <c r="D3165" t="s">
        <v>10335</v>
      </c>
      <c r="E3165">
        <v>2</v>
      </c>
      <c r="F3165" t="s">
        <v>10336</v>
      </c>
      <c r="G3165" t="s">
        <v>10125</v>
      </c>
      <c r="H3165" t="s">
        <v>10334</v>
      </c>
      <c r="I3165" t="s">
        <v>10337</v>
      </c>
    </row>
    <row r="3166" spans="1:9">
      <c r="A3166" t="str">
        <f>"0102985 "</f>
        <v xml:space="preserve">0102985 </v>
      </c>
      <c r="B3166" t="s">
        <v>10121</v>
      </c>
      <c r="C3166" t="s">
        <v>10338</v>
      </c>
      <c r="D3166" t="s">
        <v>10339</v>
      </c>
      <c r="E3166">
        <v>2</v>
      </c>
      <c r="F3166" t="s">
        <v>10340</v>
      </c>
      <c r="G3166" t="s">
        <v>10125</v>
      </c>
      <c r="H3166" t="s">
        <v>10338</v>
      </c>
      <c r="I3166" t="s">
        <v>10341</v>
      </c>
    </row>
    <row r="3167" spans="1:9">
      <c r="A3167" t="str">
        <f>"0103011 "</f>
        <v xml:space="preserve">0103011 </v>
      </c>
      <c r="B3167" t="s">
        <v>10121</v>
      </c>
      <c r="C3167" t="s">
        <v>10342</v>
      </c>
      <c r="D3167" t="s">
        <v>10343</v>
      </c>
      <c r="E3167">
        <v>2</v>
      </c>
      <c r="F3167" t="s">
        <v>10344</v>
      </c>
      <c r="G3167" t="s">
        <v>10125</v>
      </c>
      <c r="H3167" t="s">
        <v>10342</v>
      </c>
      <c r="I3167" t="s">
        <v>10345</v>
      </c>
    </row>
    <row r="3168" spans="1:9">
      <c r="A3168" t="str">
        <f>"0103018 "</f>
        <v xml:space="preserve">0103018 </v>
      </c>
      <c r="B3168" t="s">
        <v>10121</v>
      </c>
      <c r="C3168" t="s">
        <v>10346</v>
      </c>
      <c r="D3168" t="s">
        <v>10347</v>
      </c>
      <c r="E3168">
        <v>1</v>
      </c>
      <c r="F3168" t="s">
        <v>10348</v>
      </c>
      <c r="G3168" t="s">
        <v>10125</v>
      </c>
      <c r="H3168" t="s">
        <v>10346</v>
      </c>
      <c r="I3168" t="s">
        <v>10349</v>
      </c>
    </row>
    <row r="3169" spans="1:9">
      <c r="A3169" t="str">
        <f>"0103031 "</f>
        <v xml:space="preserve">0103031 </v>
      </c>
      <c r="B3169" t="s">
        <v>10121</v>
      </c>
      <c r="C3169" t="s">
        <v>10350</v>
      </c>
      <c r="D3169" t="s">
        <v>10351</v>
      </c>
      <c r="E3169">
        <v>1</v>
      </c>
      <c r="F3169" t="s">
        <v>10352</v>
      </c>
      <c r="G3169" t="s">
        <v>10125</v>
      </c>
      <c r="H3169" t="s">
        <v>10350</v>
      </c>
      <c r="I3169" t="s">
        <v>10353</v>
      </c>
    </row>
    <row r="3170" spans="1:9">
      <c r="A3170" t="str">
        <f>"0103034 "</f>
        <v xml:space="preserve">0103034 </v>
      </c>
      <c r="B3170" t="s">
        <v>10121</v>
      </c>
      <c r="C3170" t="s">
        <v>10354</v>
      </c>
      <c r="D3170" t="s">
        <v>10355</v>
      </c>
      <c r="E3170">
        <v>1</v>
      </c>
      <c r="F3170" t="s">
        <v>10356</v>
      </c>
      <c r="G3170" t="s">
        <v>10125</v>
      </c>
      <c r="H3170" t="s">
        <v>10354</v>
      </c>
      <c r="I3170" t="s">
        <v>10357</v>
      </c>
    </row>
    <row r="3171" spans="1:9">
      <c r="A3171" t="str">
        <f>"0103038 "</f>
        <v xml:space="preserve">0103038 </v>
      </c>
      <c r="B3171" t="s">
        <v>10121</v>
      </c>
      <c r="C3171" t="s">
        <v>10358</v>
      </c>
      <c r="D3171" t="s">
        <v>10359</v>
      </c>
      <c r="E3171">
        <v>1</v>
      </c>
      <c r="F3171" t="s">
        <v>10360</v>
      </c>
      <c r="G3171" t="s">
        <v>10125</v>
      </c>
      <c r="H3171" t="s">
        <v>10358</v>
      </c>
      <c r="I3171" t="s">
        <v>10361</v>
      </c>
    </row>
    <row r="3172" spans="1:9">
      <c r="A3172" t="str">
        <f>"0103046 "</f>
        <v xml:space="preserve">0103046 </v>
      </c>
      <c r="B3172" t="s">
        <v>10121</v>
      </c>
      <c r="C3172" t="s">
        <v>10362</v>
      </c>
      <c r="D3172" t="s">
        <v>10363</v>
      </c>
      <c r="E3172">
        <v>1</v>
      </c>
      <c r="F3172" t="s">
        <v>9837</v>
      </c>
      <c r="G3172" t="s">
        <v>10125</v>
      </c>
      <c r="H3172" t="s">
        <v>10362</v>
      </c>
      <c r="I3172" t="s">
        <v>10364</v>
      </c>
    </row>
    <row r="3173" spans="1:9">
      <c r="A3173" t="str">
        <f>"0103071 "</f>
        <v xml:space="preserve">0103071 </v>
      </c>
      <c r="B3173" t="s">
        <v>10121</v>
      </c>
      <c r="C3173" t="s">
        <v>10365</v>
      </c>
      <c r="D3173" t="s">
        <v>10366</v>
      </c>
      <c r="E3173">
        <v>2</v>
      </c>
      <c r="F3173" t="s">
        <v>10367</v>
      </c>
      <c r="G3173" t="s">
        <v>10125</v>
      </c>
      <c r="H3173" t="s">
        <v>10365</v>
      </c>
      <c r="I3173" t="s">
        <v>10368</v>
      </c>
    </row>
    <row r="3174" spans="1:9">
      <c r="A3174" t="str">
        <f>"0103080 "</f>
        <v xml:space="preserve">0103080 </v>
      </c>
      <c r="B3174" t="s">
        <v>10121</v>
      </c>
      <c r="C3174" t="s">
        <v>10369</v>
      </c>
      <c r="D3174" t="s">
        <v>10370</v>
      </c>
      <c r="E3174">
        <v>1</v>
      </c>
      <c r="F3174" t="s">
        <v>10371</v>
      </c>
      <c r="G3174" t="s">
        <v>10125</v>
      </c>
      <c r="H3174" t="s">
        <v>10369</v>
      </c>
      <c r="I3174" t="s">
        <v>10372</v>
      </c>
    </row>
    <row r="3175" spans="1:9">
      <c r="A3175" t="str">
        <f>"0103081 "</f>
        <v xml:space="preserve">0103081 </v>
      </c>
      <c r="B3175" t="s">
        <v>10121</v>
      </c>
      <c r="C3175" t="s">
        <v>10373</v>
      </c>
      <c r="D3175" t="s">
        <v>10374</v>
      </c>
      <c r="E3175">
        <v>1</v>
      </c>
      <c r="F3175" t="s">
        <v>10375</v>
      </c>
      <c r="G3175" t="s">
        <v>10125</v>
      </c>
      <c r="H3175" t="s">
        <v>10373</v>
      </c>
      <c r="I3175" t="s">
        <v>10376</v>
      </c>
    </row>
    <row r="3176" spans="1:9">
      <c r="A3176" t="str">
        <f>"0103104 "</f>
        <v xml:space="preserve">0103104 </v>
      </c>
      <c r="B3176" t="s">
        <v>10121</v>
      </c>
      <c r="C3176" t="s">
        <v>10377</v>
      </c>
      <c r="D3176" t="s">
        <v>10378</v>
      </c>
      <c r="E3176">
        <v>2</v>
      </c>
      <c r="F3176" t="s">
        <v>10379</v>
      </c>
      <c r="G3176" t="s">
        <v>10125</v>
      </c>
      <c r="H3176" t="s">
        <v>10377</v>
      </c>
      <c r="I3176" t="s">
        <v>10380</v>
      </c>
    </row>
    <row r="3177" spans="1:9">
      <c r="A3177" t="str">
        <f>"0103119 "</f>
        <v xml:space="preserve">0103119 </v>
      </c>
      <c r="B3177" t="s">
        <v>10121</v>
      </c>
      <c r="C3177" t="s">
        <v>10381</v>
      </c>
      <c r="D3177" t="s">
        <v>10382</v>
      </c>
      <c r="E3177">
        <v>1</v>
      </c>
      <c r="F3177" t="s">
        <v>10383</v>
      </c>
      <c r="G3177" t="s">
        <v>10125</v>
      </c>
      <c r="H3177" t="s">
        <v>10381</v>
      </c>
      <c r="I3177" t="s">
        <v>10384</v>
      </c>
    </row>
    <row r="3178" spans="1:9">
      <c r="A3178" t="str">
        <f>"0103143 "</f>
        <v xml:space="preserve">0103143 </v>
      </c>
      <c r="B3178" t="s">
        <v>10121</v>
      </c>
      <c r="C3178" t="s">
        <v>10385</v>
      </c>
      <c r="D3178" t="s">
        <v>10386</v>
      </c>
      <c r="E3178">
        <v>1</v>
      </c>
      <c r="F3178" t="s">
        <v>10387</v>
      </c>
      <c r="G3178" t="s">
        <v>10125</v>
      </c>
      <c r="H3178" t="s">
        <v>10385</v>
      </c>
      <c r="I3178" t="s">
        <v>10388</v>
      </c>
    </row>
    <row r="3179" spans="1:9">
      <c r="A3179" t="str">
        <f>"0103181 "</f>
        <v xml:space="preserve">0103181 </v>
      </c>
      <c r="B3179" t="s">
        <v>10121</v>
      </c>
      <c r="C3179" t="s">
        <v>10389</v>
      </c>
      <c r="D3179" t="s">
        <v>10390</v>
      </c>
      <c r="E3179">
        <v>1</v>
      </c>
      <c r="F3179" t="s">
        <v>10391</v>
      </c>
      <c r="G3179" t="s">
        <v>10125</v>
      </c>
      <c r="H3179" t="s">
        <v>10389</v>
      </c>
      <c r="I3179" t="s">
        <v>10392</v>
      </c>
    </row>
    <row r="3180" spans="1:9">
      <c r="A3180" t="str">
        <f>"0220110 "</f>
        <v xml:space="preserve">0220110 </v>
      </c>
      <c r="B3180" t="s">
        <v>10121</v>
      </c>
      <c r="C3180" t="s">
        <v>10393</v>
      </c>
      <c r="D3180" t="s">
        <v>10394</v>
      </c>
      <c r="E3180">
        <v>2</v>
      </c>
      <c r="F3180" t="s">
        <v>10395</v>
      </c>
      <c r="G3180" t="s">
        <v>10125</v>
      </c>
      <c r="H3180" t="s">
        <v>10393</v>
      </c>
      <c r="I3180" t="s">
        <v>10396</v>
      </c>
    </row>
    <row r="3181" spans="1:9">
      <c r="A3181" t="str">
        <f>"0103187 "</f>
        <v xml:space="preserve">0103187 </v>
      </c>
      <c r="B3181" t="s">
        <v>10121</v>
      </c>
      <c r="C3181" t="s">
        <v>10397</v>
      </c>
      <c r="D3181" t="s">
        <v>10398</v>
      </c>
      <c r="E3181">
        <v>1</v>
      </c>
      <c r="F3181" t="s">
        <v>10399</v>
      </c>
      <c r="G3181" t="s">
        <v>10125</v>
      </c>
      <c r="H3181" t="s">
        <v>10397</v>
      </c>
      <c r="I3181" t="s">
        <v>10400</v>
      </c>
    </row>
    <row r="3182" spans="1:9">
      <c r="A3182" t="str">
        <f>"0103194 "</f>
        <v xml:space="preserve">0103194 </v>
      </c>
      <c r="B3182" t="s">
        <v>10121</v>
      </c>
      <c r="C3182" t="s">
        <v>10401</v>
      </c>
      <c r="D3182" t="s">
        <v>10402</v>
      </c>
      <c r="E3182">
        <v>1</v>
      </c>
      <c r="F3182" t="s">
        <v>10403</v>
      </c>
      <c r="G3182" t="s">
        <v>10125</v>
      </c>
      <c r="H3182" t="s">
        <v>10401</v>
      </c>
      <c r="I3182" t="s">
        <v>10404</v>
      </c>
    </row>
    <row r="3183" spans="1:9">
      <c r="A3183" t="str">
        <f>"0103209 "</f>
        <v xml:space="preserve">0103209 </v>
      </c>
      <c r="B3183" t="s">
        <v>10121</v>
      </c>
      <c r="C3183" t="s">
        <v>10405</v>
      </c>
      <c r="D3183" t="s">
        <v>10406</v>
      </c>
      <c r="E3183">
        <v>2</v>
      </c>
      <c r="F3183" t="s">
        <v>10407</v>
      </c>
      <c r="G3183" t="s">
        <v>10125</v>
      </c>
      <c r="H3183" t="s">
        <v>10405</v>
      </c>
      <c r="I3183" t="s">
        <v>10408</v>
      </c>
    </row>
    <row r="3184" spans="1:9">
      <c r="A3184" t="str">
        <f>"0103224 "</f>
        <v xml:space="preserve">0103224 </v>
      </c>
      <c r="B3184" t="s">
        <v>10121</v>
      </c>
      <c r="C3184" t="s">
        <v>10409</v>
      </c>
      <c r="D3184" t="s">
        <v>10410</v>
      </c>
      <c r="E3184">
        <v>1</v>
      </c>
      <c r="F3184" t="s">
        <v>10411</v>
      </c>
      <c r="G3184" t="s">
        <v>10125</v>
      </c>
      <c r="H3184" t="s">
        <v>10409</v>
      </c>
      <c r="I3184" t="s">
        <v>10412</v>
      </c>
    </row>
    <row r="3185" spans="1:9">
      <c r="A3185" t="str">
        <f>"0103256 "</f>
        <v xml:space="preserve">0103256 </v>
      </c>
      <c r="B3185" t="s">
        <v>10121</v>
      </c>
      <c r="C3185" t="s">
        <v>10413</v>
      </c>
      <c r="D3185" t="s">
        <v>10414</v>
      </c>
      <c r="E3185">
        <v>2</v>
      </c>
      <c r="F3185" t="s">
        <v>10415</v>
      </c>
      <c r="G3185" t="s">
        <v>10125</v>
      </c>
      <c r="H3185" t="s">
        <v>10413</v>
      </c>
      <c r="I3185" t="s">
        <v>10416</v>
      </c>
    </row>
    <row r="3186" spans="1:9">
      <c r="A3186" t="str">
        <f>"0153105 "</f>
        <v xml:space="preserve">0153105 </v>
      </c>
      <c r="B3186" t="s">
        <v>10121</v>
      </c>
      <c r="C3186" t="s">
        <v>10417</v>
      </c>
      <c r="D3186" t="s">
        <v>10418</v>
      </c>
      <c r="E3186">
        <v>1</v>
      </c>
      <c r="F3186" t="s">
        <v>10419</v>
      </c>
      <c r="G3186" t="s">
        <v>10125</v>
      </c>
      <c r="H3186" t="s">
        <v>10417</v>
      </c>
      <c r="I3186" t="s">
        <v>10420</v>
      </c>
    </row>
    <row r="3187" spans="1:9">
      <c r="A3187" t="str">
        <f>"0103292 "</f>
        <v xml:space="preserve">0103292 </v>
      </c>
      <c r="B3187" t="s">
        <v>10121</v>
      </c>
      <c r="C3187" t="s">
        <v>10421</v>
      </c>
      <c r="D3187" t="s">
        <v>10422</v>
      </c>
      <c r="E3187">
        <v>1</v>
      </c>
      <c r="F3187" t="s">
        <v>10423</v>
      </c>
      <c r="G3187" t="s">
        <v>10125</v>
      </c>
      <c r="H3187" t="s">
        <v>10421</v>
      </c>
      <c r="I3187" t="s">
        <v>10424</v>
      </c>
    </row>
    <row r="3188" spans="1:9">
      <c r="A3188" t="str">
        <f>"0103322 "</f>
        <v xml:space="preserve">0103322 </v>
      </c>
      <c r="B3188" t="s">
        <v>10121</v>
      </c>
      <c r="C3188" t="s">
        <v>10425</v>
      </c>
      <c r="D3188" t="s">
        <v>10426</v>
      </c>
      <c r="E3188">
        <v>1</v>
      </c>
      <c r="F3188" t="s">
        <v>10427</v>
      </c>
      <c r="G3188" t="s">
        <v>10125</v>
      </c>
      <c r="H3188" t="s">
        <v>10425</v>
      </c>
      <c r="I3188" t="s">
        <v>10428</v>
      </c>
    </row>
    <row r="3189" spans="1:9">
      <c r="A3189" t="str">
        <f>"0103325 "</f>
        <v xml:space="preserve">0103325 </v>
      </c>
      <c r="B3189" t="s">
        <v>10121</v>
      </c>
      <c r="C3189" t="s">
        <v>10429</v>
      </c>
      <c r="D3189" t="s">
        <v>10430</v>
      </c>
      <c r="E3189">
        <v>1</v>
      </c>
      <c r="F3189" t="s">
        <v>10427</v>
      </c>
      <c r="G3189" t="s">
        <v>10125</v>
      </c>
      <c r="H3189" t="s">
        <v>10429</v>
      </c>
      <c r="I3189" t="s">
        <v>10431</v>
      </c>
    </row>
    <row r="3190" spans="1:9">
      <c r="A3190" t="str">
        <f>"0103343 "</f>
        <v xml:space="preserve">0103343 </v>
      </c>
      <c r="B3190" t="s">
        <v>10121</v>
      </c>
      <c r="C3190" t="s">
        <v>10432</v>
      </c>
      <c r="D3190" t="s">
        <v>10433</v>
      </c>
      <c r="E3190">
        <v>1</v>
      </c>
      <c r="F3190" t="s">
        <v>10317</v>
      </c>
      <c r="G3190" t="s">
        <v>10125</v>
      </c>
      <c r="H3190" t="s">
        <v>10432</v>
      </c>
      <c r="I3190" t="s">
        <v>10434</v>
      </c>
    </row>
    <row r="3191" spans="1:9">
      <c r="A3191" t="str">
        <f>"0103372 "</f>
        <v xml:space="preserve">0103372 </v>
      </c>
      <c r="B3191" t="s">
        <v>10121</v>
      </c>
      <c r="C3191" t="s">
        <v>10435</v>
      </c>
      <c r="D3191" t="s">
        <v>10436</v>
      </c>
      <c r="E3191">
        <v>1</v>
      </c>
      <c r="F3191" t="s">
        <v>10403</v>
      </c>
      <c r="G3191" t="s">
        <v>10125</v>
      </c>
      <c r="H3191" t="s">
        <v>10435</v>
      </c>
      <c r="I3191" t="s">
        <v>10437</v>
      </c>
    </row>
    <row r="3192" spans="1:9">
      <c r="A3192" t="str">
        <f>"0103388 "</f>
        <v xml:space="preserve">0103388 </v>
      </c>
      <c r="B3192" t="s">
        <v>10121</v>
      </c>
      <c r="C3192" t="s">
        <v>10438</v>
      </c>
      <c r="D3192" t="s">
        <v>10439</v>
      </c>
      <c r="E3192">
        <v>1</v>
      </c>
      <c r="F3192" t="s">
        <v>2997</v>
      </c>
      <c r="G3192" t="s">
        <v>10125</v>
      </c>
      <c r="H3192" t="s">
        <v>10438</v>
      </c>
      <c r="I3192" t="s">
        <v>10440</v>
      </c>
    </row>
    <row r="3193" spans="1:9">
      <c r="A3193" t="str">
        <f>"0103427 "</f>
        <v xml:space="preserve">0103427 </v>
      </c>
      <c r="B3193" t="s">
        <v>10121</v>
      </c>
      <c r="C3193" t="s">
        <v>10441</v>
      </c>
      <c r="D3193" t="s">
        <v>10442</v>
      </c>
      <c r="E3193">
        <v>1</v>
      </c>
      <c r="F3193" t="s">
        <v>10443</v>
      </c>
      <c r="G3193" t="s">
        <v>10125</v>
      </c>
      <c r="H3193" t="s">
        <v>10441</v>
      </c>
      <c r="I3193" t="s">
        <v>10444</v>
      </c>
    </row>
    <row r="3194" spans="1:9">
      <c r="A3194" t="str">
        <f>"0103430 "</f>
        <v xml:space="preserve">0103430 </v>
      </c>
      <c r="B3194" t="s">
        <v>10121</v>
      </c>
      <c r="C3194" t="s">
        <v>10445</v>
      </c>
      <c r="D3194" t="s">
        <v>10446</v>
      </c>
      <c r="E3194">
        <v>1</v>
      </c>
      <c r="F3194" t="s">
        <v>10447</v>
      </c>
      <c r="G3194" t="s">
        <v>10125</v>
      </c>
      <c r="H3194" t="s">
        <v>10445</v>
      </c>
      <c r="I3194" t="s">
        <v>10448</v>
      </c>
    </row>
    <row r="3195" spans="1:9">
      <c r="A3195" t="str">
        <f>"0103443 "</f>
        <v xml:space="preserve">0103443 </v>
      </c>
      <c r="B3195" t="s">
        <v>10121</v>
      </c>
      <c r="C3195" t="s">
        <v>10449</v>
      </c>
      <c r="D3195" t="s">
        <v>10450</v>
      </c>
      <c r="E3195">
        <v>1</v>
      </c>
      <c r="F3195" t="s">
        <v>6303</v>
      </c>
      <c r="G3195" t="s">
        <v>10125</v>
      </c>
      <c r="H3195" t="s">
        <v>10449</v>
      </c>
      <c r="I3195" t="s">
        <v>10451</v>
      </c>
    </row>
    <row r="3196" spans="1:9">
      <c r="A3196" t="str">
        <f>"0103451 "</f>
        <v xml:space="preserve">0103451 </v>
      </c>
      <c r="B3196" t="s">
        <v>10121</v>
      </c>
      <c r="C3196" t="s">
        <v>10452</v>
      </c>
      <c r="D3196" t="s">
        <v>10453</v>
      </c>
      <c r="E3196">
        <v>2</v>
      </c>
      <c r="F3196" t="s">
        <v>10454</v>
      </c>
      <c r="G3196" t="s">
        <v>10125</v>
      </c>
      <c r="H3196" t="s">
        <v>10452</v>
      </c>
      <c r="I3196" t="s">
        <v>10455</v>
      </c>
    </row>
    <row r="3197" spans="1:9">
      <c r="A3197" t="str">
        <f>"0103461 "</f>
        <v xml:space="preserve">0103461 </v>
      </c>
      <c r="B3197" t="s">
        <v>10121</v>
      </c>
      <c r="C3197" t="s">
        <v>10456</v>
      </c>
      <c r="D3197" t="s">
        <v>10457</v>
      </c>
      <c r="E3197">
        <v>2</v>
      </c>
      <c r="F3197" t="s">
        <v>10458</v>
      </c>
      <c r="G3197" t="s">
        <v>10125</v>
      </c>
      <c r="H3197" t="s">
        <v>10456</v>
      </c>
      <c r="I3197" t="s">
        <v>10459</v>
      </c>
    </row>
    <row r="3198" spans="1:9">
      <c r="A3198" t="str">
        <f>"0103470 "</f>
        <v xml:space="preserve">0103470 </v>
      </c>
      <c r="B3198" t="s">
        <v>10121</v>
      </c>
      <c r="C3198" t="s">
        <v>10460</v>
      </c>
      <c r="D3198" t="s">
        <v>10461</v>
      </c>
      <c r="E3198">
        <v>2</v>
      </c>
      <c r="F3198" t="s">
        <v>10462</v>
      </c>
      <c r="G3198" t="s">
        <v>10125</v>
      </c>
      <c r="H3198" t="s">
        <v>10460</v>
      </c>
      <c r="I3198" t="s">
        <v>10463</v>
      </c>
    </row>
    <row r="3199" spans="1:9">
      <c r="A3199" t="str">
        <f>"0103518 "</f>
        <v xml:space="preserve">0103518 </v>
      </c>
      <c r="B3199" t="s">
        <v>10121</v>
      </c>
      <c r="C3199" t="s">
        <v>10464</v>
      </c>
      <c r="D3199" t="s">
        <v>10465</v>
      </c>
      <c r="E3199">
        <v>1</v>
      </c>
      <c r="F3199" t="s">
        <v>10466</v>
      </c>
      <c r="G3199" t="s">
        <v>10125</v>
      </c>
      <c r="H3199" t="s">
        <v>10464</v>
      </c>
      <c r="I3199" t="s">
        <v>10467</v>
      </c>
    </row>
    <row r="3200" spans="1:9">
      <c r="A3200" t="str">
        <f>"0103519 "</f>
        <v xml:space="preserve">0103519 </v>
      </c>
      <c r="B3200" t="s">
        <v>10121</v>
      </c>
      <c r="C3200" t="s">
        <v>10468</v>
      </c>
      <c r="D3200" t="s">
        <v>10469</v>
      </c>
      <c r="E3200">
        <v>1</v>
      </c>
      <c r="F3200" t="s">
        <v>10470</v>
      </c>
      <c r="G3200" t="s">
        <v>10125</v>
      </c>
      <c r="H3200" t="s">
        <v>10468</v>
      </c>
      <c r="I3200" t="s">
        <v>10471</v>
      </c>
    </row>
    <row r="3201" spans="1:9">
      <c r="A3201" t="str">
        <f>"0103523 "</f>
        <v xml:space="preserve">0103523 </v>
      </c>
      <c r="B3201" t="s">
        <v>10121</v>
      </c>
      <c r="C3201" t="s">
        <v>10472</v>
      </c>
      <c r="D3201" t="s">
        <v>10473</v>
      </c>
      <c r="E3201">
        <v>1</v>
      </c>
      <c r="F3201" t="s">
        <v>10474</v>
      </c>
      <c r="G3201" t="s">
        <v>10125</v>
      </c>
      <c r="H3201" t="s">
        <v>10472</v>
      </c>
      <c r="I3201" t="s">
        <v>10475</v>
      </c>
    </row>
    <row r="3202" spans="1:9">
      <c r="A3202" t="str">
        <f>"0103526 "</f>
        <v xml:space="preserve">0103526 </v>
      </c>
      <c r="B3202" t="s">
        <v>10121</v>
      </c>
      <c r="C3202" t="s">
        <v>10476</v>
      </c>
      <c r="D3202" t="s">
        <v>10477</v>
      </c>
      <c r="E3202">
        <v>2</v>
      </c>
      <c r="F3202" t="s">
        <v>10478</v>
      </c>
      <c r="G3202" t="s">
        <v>10125</v>
      </c>
      <c r="H3202" t="s">
        <v>10476</v>
      </c>
      <c r="I3202" t="s">
        <v>10479</v>
      </c>
    </row>
    <row r="3203" spans="1:9">
      <c r="A3203" t="str">
        <f>"0103530 "</f>
        <v xml:space="preserve">0103530 </v>
      </c>
      <c r="B3203" t="s">
        <v>10121</v>
      </c>
      <c r="C3203" t="s">
        <v>10480</v>
      </c>
      <c r="D3203" t="s">
        <v>10481</v>
      </c>
      <c r="E3203">
        <v>1</v>
      </c>
      <c r="F3203" t="s">
        <v>10482</v>
      </c>
      <c r="G3203" t="s">
        <v>10125</v>
      </c>
      <c r="H3203" t="s">
        <v>10480</v>
      </c>
      <c r="I3203" t="s">
        <v>10483</v>
      </c>
    </row>
    <row r="3204" spans="1:9">
      <c r="A3204" t="str">
        <f>"0103536 "</f>
        <v xml:space="preserve">0103536 </v>
      </c>
      <c r="B3204" t="s">
        <v>10121</v>
      </c>
      <c r="C3204" t="s">
        <v>10484</v>
      </c>
      <c r="D3204" t="s">
        <v>10485</v>
      </c>
      <c r="E3204">
        <v>1</v>
      </c>
      <c r="F3204" t="s">
        <v>10486</v>
      </c>
      <c r="G3204" t="s">
        <v>10125</v>
      </c>
      <c r="H3204" t="s">
        <v>10484</v>
      </c>
      <c r="I3204" t="s">
        <v>10487</v>
      </c>
    </row>
    <row r="3205" spans="1:9">
      <c r="A3205" t="str">
        <f>"0103543 "</f>
        <v xml:space="preserve">0103543 </v>
      </c>
      <c r="B3205" t="s">
        <v>10121</v>
      </c>
      <c r="C3205" t="s">
        <v>10488</v>
      </c>
      <c r="D3205" t="s">
        <v>10489</v>
      </c>
      <c r="E3205">
        <v>1</v>
      </c>
      <c r="F3205" t="s">
        <v>10490</v>
      </c>
      <c r="G3205" t="s">
        <v>10125</v>
      </c>
      <c r="H3205" t="s">
        <v>10488</v>
      </c>
      <c r="I3205" t="s">
        <v>10491</v>
      </c>
    </row>
    <row r="3206" spans="1:9">
      <c r="A3206" t="str">
        <f>"0103545 "</f>
        <v xml:space="preserve">0103545 </v>
      </c>
      <c r="B3206" t="s">
        <v>10121</v>
      </c>
      <c r="C3206" t="s">
        <v>10492</v>
      </c>
      <c r="D3206" t="s">
        <v>10493</v>
      </c>
      <c r="E3206">
        <v>1</v>
      </c>
      <c r="F3206" t="s">
        <v>10494</v>
      </c>
      <c r="G3206" t="s">
        <v>10125</v>
      </c>
      <c r="H3206" t="s">
        <v>10492</v>
      </c>
      <c r="I3206" t="s">
        <v>10495</v>
      </c>
    </row>
    <row r="3207" spans="1:9">
      <c r="A3207" t="str">
        <f>"0103571 "</f>
        <v xml:space="preserve">0103571 </v>
      </c>
      <c r="B3207" t="s">
        <v>10121</v>
      </c>
      <c r="C3207" t="s">
        <v>10496</v>
      </c>
      <c r="D3207" t="s">
        <v>10497</v>
      </c>
      <c r="E3207" t="s">
        <v>16</v>
      </c>
      <c r="F3207" t="s">
        <v>10498</v>
      </c>
      <c r="G3207" t="s">
        <v>10125</v>
      </c>
      <c r="H3207" t="s">
        <v>10496</v>
      </c>
      <c r="I3207" t="s">
        <v>10499</v>
      </c>
    </row>
    <row r="3208" spans="1:9">
      <c r="A3208" t="str">
        <f>"0103604 "</f>
        <v xml:space="preserve">0103604 </v>
      </c>
      <c r="B3208" t="s">
        <v>10121</v>
      </c>
      <c r="C3208" t="s">
        <v>10500</v>
      </c>
      <c r="D3208" t="s">
        <v>10501</v>
      </c>
      <c r="E3208">
        <v>1</v>
      </c>
      <c r="F3208" t="s">
        <v>10470</v>
      </c>
      <c r="G3208" t="s">
        <v>10125</v>
      </c>
      <c r="H3208" t="s">
        <v>10500</v>
      </c>
      <c r="I3208" t="s">
        <v>10502</v>
      </c>
    </row>
    <row r="3209" spans="1:9">
      <c r="A3209" t="str">
        <f>"0103617 "</f>
        <v xml:space="preserve">0103617 </v>
      </c>
      <c r="B3209" t="s">
        <v>10121</v>
      </c>
      <c r="C3209" t="s">
        <v>10503</v>
      </c>
      <c r="D3209" t="s">
        <v>10504</v>
      </c>
      <c r="E3209">
        <v>1</v>
      </c>
      <c r="F3209" t="s">
        <v>722</v>
      </c>
      <c r="G3209" t="s">
        <v>10125</v>
      </c>
      <c r="H3209" t="s">
        <v>10503</v>
      </c>
      <c r="I3209" t="s">
        <v>10505</v>
      </c>
    </row>
    <row r="3210" spans="1:9">
      <c r="A3210" t="str">
        <f>"0103667 "</f>
        <v xml:space="preserve">0103667 </v>
      </c>
      <c r="B3210" t="s">
        <v>10121</v>
      </c>
      <c r="C3210" t="s">
        <v>10506</v>
      </c>
      <c r="D3210" t="s">
        <v>10507</v>
      </c>
      <c r="E3210">
        <v>1</v>
      </c>
      <c r="F3210" t="s">
        <v>10508</v>
      </c>
      <c r="G3210" t="s">
        <v>10125</v>
      </c>
      <c r="H3210" t="s">
        <v>10506</v>
      </c>
      <c r="I3210" t="s">
        <v>10509</v>
      </c>
    </row>
    <row r="3211" spans="1:9">
      <c r="A3211" t="str">
        <f>"0103683 "</f>
        <v xml:space="preserve">0103683 </v>
      </c>
      <c r="B3211" t="s">
        <v>10121</v>
      </c>
      <c r="C3211" t="s">
        <v>10510</v>
      </c>
      <c r="D3211" t="s">
        <v>10511</v>
      </c>
      <c r="E3211">
        <v>1</v>
      </c>
      <c r="F3211" t="s">
        <v>10512</v>
      </c>
      <c r="G3211" t="s">
        <v>10125</v>
      </c>
      <c r="H3211" t="s">
        <v>10510</v>
      </c>
      <c r="I3211" t="s">
        <v>10513</v>
      </c>
    </row>
    <row r="3212" spans="1:9">
      <c r="A3212" t="str">
        <f>"0103698 "</f>
        <v xml:space="preserve">0103698 </v>
      </c>
      <c r="B3212" t="s">
        <v>10121</v>
      </c>
      <c r="C3212" t="s">
        <v>10514</v>
      </c>
      <c r="D3212" t="s">
        <v>10515</v>
      </c>
      <c r="E3212">
        <v>1</v>
      </c>
      <c r="F3212" t="s">
        <v>10516</v>
      </c>
      <c r="G3212" t="s">
        <v>10125</v>
      </c>
      <c r="H3212" t="s">
        <v>10514</v>
      </c>
      <c r="I3212" t="s">
        <v>10517</v>
      </c>
    </row>
    <row r="3213" spans="1:9">
      <c r="A3213" t="str">
        <f>"0103701 "</f>
        <v xml:space="preserve">0103701 </v>
      </c>
      <c r="B3213" t="s">
        <v>10121</v>
      </c>
      <c r="C3213" t="s">
        <v>10518</v>
      </c>
      <c r="D3213" t="s">
        <v>10519</v>
      </c>
      <c r="E3213">
        <v>1</v>
      </c>
      <c r="F3213" t="s">
        <v>10520</v>
      </c>
      <c r="G3213" t="s">
        <v>10125</v>
      </c>
      <c r="H3213" t="s">
        <v>10518</v>
      </c>
      <c r="I3213" t="s">
        <v>10521</v>
      </c>
    </row>
    <row r="3214" spans="1:9">
      <c r="A3214" t="str">
        <f>"0103702 "</f>
        <v xml:space="preserve">0103702 </v>
      </c>
      <c r="B3214" t="s">
        <v>10121</v>
      </c>
      <c r="C3214" t="s">
        <v>10522</v>
      </c>
      <c r="D3214" t="s">
        <v>10523</v>
      </c>
      <c r="E3214">
        <v>2</v>
      </c>
      <c r="F3214" t="s">
        <v>10524</v>
      </c>
      <c r="G3214" t="s">
        <v>10125</v>
      </c>
      <c r="H3214" t="s">
        <v>10522</v>
      </c>
      <c r="I3214" t="s">
        <v>10525</v>
      </c>
    </row>
    <row r="3215" spans="1:9">
      <c r="A3215" t="str">
        <f>"0103718 "</f>
        <v xml:space="preserve">0103718 </v>
      </c>
      <c r="B3215" t="s">
        <v>10121</v>
      </c>
      <c r="C3215" t="s">
        <v>10526</v>
      </c>
      <c r="D3215" t="s">
        <v>10527</v>
      </c>
      <c r="E3215" t="s">
        <v>16</v>
      </c>
      <c r="F3215" t="s">
        <v>10528</v>
      </c>
      <c r="G3215" t="s">
        <v>10125</v>
      </c>
      <c r="H3215" t="s">
        <v>10526</v>
      </c>
      <c r="I3215" t="s">
        <v>10529</v>
      </c>
    </row>
    <row r="3216" spans="1:9">
      <c r="A3216" t="str">
        <f>"0103720 "</f>
        <v xml:space="preserve">0103720 </v>
      </c>
      <c r="B3216" t="s">
        <v>10121</v>
      </c>
      <c r="C3216" t="s">
        <v>10530</v>
      </c>
      <c r="D3216" t="s">
        <v>10531</v>
      </c>
      <c r="E3216">
        <v>1</v>
      </c>
      <c r="F3216" t="s">
        <v>10532</v>
      </c>
      <c r="G3216" t="s">
        <v>10125</v>
      </c>
      <c r="H3216" t="s">
        <v>10530</v>
      </c>
      <c r="I3216" t="s">
        <v>10533</v>
      </c>
    </row>
    <row r="3217" spans="1:9">
      <c r="A3217" t="str">
        <f>"0103722 "</f>
        <v xml:space="preserve">0103722 </v>
      </c>
      <c r="B3217" t="s">
        <v>10121</v>
      </c>
      <c r="C3217" t="s">
        <v>10534</v>
      </c>
      <c r="D3217" t="s">
        <v>10535</v>
      </c>
      <c r="E3217">
        <v>2</v>
      </c>
      <c r="F3217" t="s">
        <v>10536</v>
      </c>
      <c r="G3217" t="s">
        <v>10125</v>
      </c>
      <c r="H3217" t="s">
        <v>10534</v>
      </c>
      <c r="I3217" t="s">
        <v>10537</v>
      </c>
    </row>
    <row r="3218" spans="1:9">
      <c r="A3218" t="str">
        <f>"0103724 "</f>
        <v xml:space="preserve">0103724 </v>
      </c>
      <c r="B3218" t="s">
        <v>10121</v>
      </c>
      <c r="C3218" t="s">
        <v>10538</v>
      </c>
      <c r="D3218" t="s">
        <v>10539</v>
      </c>
      <c r="E3218">
        <v>1</v>
      </c>
      <c r="F3218" t="s">
        <v>10540</v>
      </c>
      <c r="G3218" t="s">
        <v>10125</v>
      </c>
      <c r="H3218" t="s">
        <v>10538</v>
      </c>
      <c r="I3218" t="s">
        <v>10541</v>
      </c>
    </row>
    <row r="3219" spans="1:9">
      <c r="A3219" t="str">
        <f>"0103730 "</f>
        <v xml:space="preserve">0103730 </v>
      </c>
      <c r="B3219" t="s">
        <v>10121</v>
      </c>
      <c r="C3219" t="s">
        <v>10542</v>
      </c>
      <c r="D3219" t="s">
        <v>10543</v>
      </c>
      <c r="E3219">
        <v>2</v>
      </c>
      <c r="F3219" t="s">
        <v>10544</v>
      </c>
      <c r="G3219" t="s">
        <v>10125</v>
      </c>
      <c r="H3219" t="s">
        <v>10542</v>
      </c>
      <c r="I3219" t="s">
        <v>10545</v>
      </c>
    </row>
    <row r="3220" spans="1:9">
      <c r="A3220" t="str">
        <f>"0103731 "</f>
        <v xml:space="preserve">0103731 </v>
      </c>
      <c r="B3220" t="s">
        <v>10121</v>
      </c>
      <c r="C3220" t="s">
        <v>10546</v>
      </c>
      <c r="D3220" t="s">
        <v>10547</v>
      </c>
      <c r="E3220">
        <v>4</v>
      </c>
      <c r="F3220" t="s">
        <v>10548</v>
      </c>
      <c r="G3220" t="s">
        <v>10125</v>
      </c>
      <c r="H3220" t="s">
        <v>10546</v>
      </c>
      <c r="I3220" t="s">
        <v>10549</v>
      </c>
    </row>
    <row r="3221" spans="1:9">
      <c r="A3221" t="str">
        <f>"0103732 "</f>
        <v xml:space="preserve">0103732 </v>
      </c>
      <c r="B3221" t="s">
        <v>10121</v>
      </c>
      <c r="C3221" t="s">
        <v>10550</v>
      </c>
      <c r="D3221" t="s">
        <v>10551</v>
      </c>
      <c r="E3221">
        <v>1</v>
      </c>
      <c r="F3221" t="s">
        <v>10298</v>
      </c>
      <c r="G3221" t="s">
        <v>10125</v>
      </c>
      <c r="H3221" t="s">
        <v>10550</v>
      </c>
      <c r="I3221" t="s">
        <v>10552</v>
      </c>
    </row>
    <row r="3222" spans="1:9">
      <c r="A3222" t="str">
        <f>"0103737 "</f>
        <v xml:space="preserve">0103737 </v>
      </c>
      <c r="B3222" t="s">
        <v>10121</v>
      </c>
      <c r="C3222" t="s">
        <v>10553</v>
      </c>
      <c r="D3222" t="s">
        <v>10554</v>
      </c>
      <c r="E3222">
        <v>1</v>
      </c>
      <c r="F3222" t="s">
        <v>10555</v>
      </c>
      <c r="G3222" t="s">
        <v>10125</v>
      </c>
      <c r="H3222" t="s">
        <v>10553</v>
      </c>
      <c r="I3222" t="s">
        <v>10556</v>
      </c>
    </row>
    <row r="3223" spans="1:9">
      <c r="A3223" t="str">
        <f>"0103749 "</f>
        <v xml:space="preserve">0103749 </v>
      </c>
      <c r="B3223" t="s">
        <v>10121</v>
      </c>
      <c r="C3223" t="s">
        <v>10557</v>
      </c>
      <c r="D3223" t="s">
        <v>10558</v>
      </c>
      <c r="E3223">
        <v>2</v>
      </c>
      <c r="F3223" t="s">
        <v>10559</v>
      </c>
      <c r="G3223" t="s">
        <v>10125</v>
      </c>
      <c r="H3223" t="s">
        <v>10557</v>
      </c>
      <c r="I3223" t="s">
        <v>10560</v>
      </c>
    </row>
    <row r="3224" spans="1:9">
      <c r="A3224" t="str">
        <f>"0103760 "</f>
        <v xml:space="preserve">0103760 </v>
      </c>
      <c r="B3224" t="s">
        <v>10121</v>
      </c>
      <c r="C3224" t="s">
        <v>10561</v>
      </c>
      <c r="D3224" t="s">
        <v>10562</v>
      </c>
      <c r="E3224">
        <v>4</v>
      </c>
      <c r="F3224" t="s">
        <v>10528</v>
      </c>
      <c r="G3224" t="s">
        <v>10125</v>
      </c>
      <c r="H3224" t="s">
        <v>10561</v>
      </c>
      <c r="I3224" t="s">
        <v>10563</v>
      </c>
    </row>
    <row r="3225" spans="1:9">
      <c r="A3225" t="str">
        <f>"0103764 "</f>
        <v xml:space="preserve">0103764 </v>
      </c>
      <c r="B3225" t="s">
        <v>10121</v>
      </c>
      <c r="C3225" t="s">
        <v>10564</v>
      </c>
      <c r="D3225" t="s">
        <v>10565</v>
      </c>
      <c r="E3225">
        <v>1</v>
      </c>
      <c r="F3225" t="s">
        <v>10566</v>
      </c>
      <c r="G3225" t="s">
        <v>10125</v>
      </c>
      <c r="H3225" t="s">
        <v>10564</v>
      </c>
      <c r="I3225" t="s">
        <v>10567</v>
      </c>
    </row>
    <row r="3226" spans="1:9">
      <c r="A3226" t="str">
        <f>"0103766 "</f>
        <v xml:space="preserve">0103766 </v>
      </c>
      <c r="B3226" t="s">
        <v>10121</v>
      </c>
      <c r="C3226" t="s">
        <v>10568</v>
      </c>
      <c r="D3226" t="s">
        <v>10569</v>
      </c>
      <c r="E3226">
        <v>1</v>
      </c>
      <c r="F3226" s="1">
        <v>42750</v>
      </c>
      <c r="G3226" t="s">
        <v>10125</v>
      </c>
      <c r="H3226" t="s">
        <v>10568</v>
      </c>
      <c r="I3226" t="s">
        <v>10570</v>
      </c>
    </row>
    <row r="3227" spans="1:9">
      <c r="A3227" t="str">
        <f>"0103774 "</f>
        <v xml:space="preserve">0103774 </v>
      </c>
      <c r="B3227" t="s">
        <v>10121</v>
      </c>
      <c r="C3227" t="s">
        <v>10571</v>
      </c>
      <c r="D3227" t="s">
        <v>10572</v>
      </c>
      <c r="E3227">
        <v>1</v>
      </c>
      <c r="F3227" t="s">
        <v>10573</v>
      </c>
      <c r="G3227" t="s">
        <v>10125</v>
      </c>
      <c r="H3227" t="s">
        <v>10571</v>
      </c>
      <c r="I3227" t="s">
        <v>10574</v>
      </c>
    </row>
    <row r="3228" spans="1:9">
      <c r="A3228" t="str">
        <f>"0103776 "</f>
        <v xml:space="preserve">0103776 </v>
      </c>
      <c r="B3228" t="s">
        <v>10121</v>
      </c>
      <c r="C3228" t="s">
        <v>10575</v>
      </c>
      <c r="D3228" t="s">
        <v>10576</v>
      </c>
      <c r="E3228" t="s">
        <v>16</v>
      </c>
      <c r="F3228" t="s">
        <v>10577</v>
      </c>
      <c r="G3228" t="s">
        <v>10125</v>
      </c>
      <c r="H3228" t="s">
        <v>10575</v>
      </c>
      <c r="I3228" t="s">
        <v>10578</v>
      </c>
    </row>
    <row r="3229" spans="1:9">
      <c r="A3229" t="str">
        <f>"0103778 "</f>
        <v xml:space="preserve">0103778 </v>
      </c>
      <c r="B3229" t="s">
        <v>10121</v>
      </c>
      <c r="C3229" t="s">
        <v>10579</v>
      </c>
      <c r="D3229" t="s">
        <v>10580</v>
      </c>
      <c r="E3229" t="s">
        <v>16</v>
      </c>
      <c r="F3229" t="s">
        <v>10581</v>
      </c>
      <c r="G3229" t="s">
        <v>10125</v>
      </c>
      <c r="H3229" t="s">
        <v>10579</v>
      </c>
      <c r="I3229" t="s">
        <v>10582</v>
      </c>
    </row>
    <row r="3230" spans="1:9">
      <c r="A3230" t="str">
        <f>"0103783 "</f>
        <v xml:space="preserve">0103783 </v>
      </c>
      <c r="B3230" t="s">
        <v>10121</v>
      </c>
      <c r="C3230" t="s">
        <v>10583</v>
      </c>
      <c r="D3230" t="s">
        <v>10584</v>
      </c>
      <c r="E3230">
        <v>1</v>
      </c>
      <c r="F3230" t="s">
        <v>10585</v>
      </c>
      <c r="G3230" t="s">
        <v>10125</v>
      </c>
      <c r="H3230" t="s">
        <v>10583</v>
      </c>
      <c r="I3230" t="s">
        <v>10586</v>
      </c>
    </row>
    <row r="3231" spans="1:9">
      <c r="A3231" t="str">
        <f>"0103793 "</f>
        <v xml:space="preserve">0103793 </v>
      </c>
      <c r="B3231" t="s">
        <v>10121</v>
      </c>
      <c r="C3231" t="s">
        <v>10587</v>
      </c>
      <c r="D3231" t="s">
        <v>10588</v>
      </c>
      <c r="E3231">
        <v>1</v>
      </c>
      <c r="F3231" t="s">
        <v>10589</v>
      </c>
      <c r="G3231" t="s">
        <v>10125</v>
      </c>
      <c r="H3231" t="s">
        <v>10587</v>
      </c>
      <c r="I3231" t="s">
        <v>10590</v>
      </c>
    </row>
    <row r="3232" spans="1:9">
      <c r="A3232" t="str">
        <f>"0103802 "</f>
        <v xml:space="preserve">0103802 </v>
      </c>
      <c r="B3232" t="s">
        <v>10121</v>
      </c>
      <c r="C3232" t="s">
        <v>10591</v>
      </c>
      <c r="D3232" t="s">
        <v>10592</v>
      </c>
      <c r="E3232">
        <v>1</v>
      </c>
      <c r="F3232" t="s">
        <v>8563</v>
      </c>
      <c r="G3232" t="s">
        <v>10125</v>
      </c>
      <c r="H3232" t="s">
        <v>10591</v>
      </c>
      <c r="I3232" t="s">
        <v>10593</v>
      </c>
    </row>
    <row r="3233" spans="1:9">
      <c r="A3233" t="str">
        <f>"0103805 "</f>
        <v xml:space="preserve">0103805 </v>
      </c>
      <c r="B3233" t="s">
        <v>10121</v>
      </c>
      <c r="C3233" t="s">
        <v>10594</v>
      </c>
      <c r="D3233" t="s">
        <v>10595</v>
      </c>
      <c r="E3233" t="s">
        <v>16</v>
      </c>
      <c r="F3233" t="s">
        <v>10596</v>
      </c>
      <c r="G3233" t="s">
        <v>10125</v>
      </c>
      <c r="H3233" t="s">
        <v>10594</v>
      </c>
      <c r="I3233" t="s">
        <v>10597</v>
      </c>
    </row>
    <row r="3234" spans="1:9">
      <c r="A3234" t="str">
        <f>"0103809 "</f>
        <v xml:space="preserve">0103809 </v>
      </c>
      <c r="B3234" t="s">
        <v>10121</v>
      </c>
      <c r="C3234" t="s">
        <v>10598</v>
      </c>
      <c r="D3234" t="s">
        <v>10599</v>
      </c>
      <c r="E3234">
        <v>1</v>
      </c>
      <c r="F3234" t="s">
        <v>10600</v>
      </c>
      <c r="G3234" t="s">
        <v>10125</v>
      </c>
      <c r="H3234" t="s">
        <v>10598</v>
      </c>
      <c r="I3234" t="s">
        <v>10601</v>
      </c>
    </row>
    <row r="3235" spans="1:9">
      <c r="A3235" t="str">
        <f>"0103817 "</f>
        <v xml:space="preserve">0103817 </v>
      </c>
      <c r="B3235" t="s">
        <v>10121</v>
      </c>
      <c r="C3235" t="s">
        <v>10602</v>
      </c>
      <c r="D3235" t="s">
        <v>10603</v>
      </c>
      <c r="E3235">
        <v>1</v>
      </c>
      <c r="F3235" t="s">
        <v>10604</v>
      </c>
      <c r="G3235" t="s">
        <v>10125</v>
      </c>
      <c r="H3235" t="s">
        <v>10602</v>
      </c>
      <c r="I3235" t="s">
        <v>10605</v>
      </c>
    </row>
    <row r="3236" spans="1:9">
      <c r="A3236" t="str">
        <f>"0103821 "</f>
        <v xml:space="preserve">0103821 </v>
      </c>
      <c r="B3236" t="s">
        <v>10121</v>
      </c>
      <c r="C3236" t="s">
        <v>10606</v>
      </c>
      <c r="D3236" t="s">
        <v>10607</v>
      </c>
      <c r="E3236">
        <v>1</v>
      </c>
      <c r="F3236" t="s">
        <v>10608</v>
      </c>
      <c r="G3236" t="s">
        <v>10125</v>
      </c>
      <c r="H3236" t="s">
        <v>10606</v>
      </c>
      <c r="I3236" t="s">
        <v>10609</v>
      </c>
    </row>
    <row r="3237" spans="1:9">
      <c r="A3237" t="str">
        <f>"0103827 "</f>
        <v xml:space="preserve">0103827 </v>
      </c>
      <c r="B3237" t="s">
        <v>10121</v>
      </c>
      <c r="C3237" t="s">
        <v>10610</v>
      </c>
      <c r="D3237" t="s">
        <v>10611</v>
      </c>
      <c r="E3237">
        <v>1</v>
      </c>
      <c r="F3237" t="s">
        <v>10612</v>
      </c>
      <c r="G3237" t="s">
        <v>10125</v>
      </c>
      <c r="H3237" t="s">
        <v>10610</v>
      </c>
      <c r="I3237" t="s">
        <v>10613</v>
      </c>
    </row>
    <row r="3238" spans="1:9">
      <c r="A3238" t="str">
        <f>"0103838 "</f>
        <v xml:space="preserve">0103838 </v>
      </c>
      <c r="B3238" t="s">
        <v>10121</v>
      </c>
      <c r="C3238" t="s">
        <v>10614</v>
      </c>
      <c r="D3238" t="s">
        <v>10615</v>
      </c>
      <c r="E3238">
        <v>1</v>
      </c>
      <c r="F3238" t="s">
        <v>10616</v>
      </c>
      <c r="G3238" t="s">
        <v>10125</v>
      </c>
      <c r="H3238" t="s">
        <v>10614</v>
      </c>
      <c r="I3238" t="s">
        <v>10617</v>
      </c>
    </row>
    <row r="3239" spans="1:9">
      <c r="A3239" t="str">
        <f>"0103839 "</f>
        <v xml:space="preserve">0103839 </v>
      </c>
      <c r="B3239" t="s">
        <v>10121</v>
      </c>
      <c r="C3239" t="s">
        <v>10618</v>
      </c>
      <c r="D3239" t="s">
        <v>10619</v>
      </c>
      <c r="E3239">
        <v>1</v>
      </c>
      <c r="F3239" t="s">
        <v>10620</v>
      </c>
      <c r="G3239" t="s">
        <v>10125</v>
      </c>
      <c r="H3239" t="s">
        <v>10618</v>
      </c>
      <c r="I3239" t="s">
        <v>10621</v>
      </c>
    </row>
    <row r="3240" spans="1:9">
      <c r="A3240" t="str">
        <f>"0103843 "</f>
        <v xml:space="preserve">0103843 </v>
      </c>
      <c r="B3240" t="s">
        <v>10121</v>
      </c>
      <c r="C3240" t="s">
        <v>10622</v>
      </c>
      <c r="D3240" t="s">
        <v>10623</v>
      </c>
      <c r="E3240">
        <v>1</v>
      </c>
      <c r="F3240" t="s">
        <v>10624</v>
      </c>
      <c r="G3240" t="s">
        <v>10125</v>
      </c>
      <c r="H3240" t="s">
        <v>10622</v>
      </c>
      <c r="I3240" t="s">
        <v>10625</v>
      </c>
    </row>
    <row r="3241" spans="1:9">
      <c r="A3241" t="str">
        <f>"0103861 "</f>
        <v xml:space="preserve">0103861 </v>
      </c>
      <c r="B3241" t="s">
        <v>10121</v>
      </c>
      <c r="C3241" t="s">
        <v>10626</v>
      </c>
      <c r="D3241" t="s">
        <v>10627</v>
      </c>
      <c r="E3241">
        <v>1</v>
      </c>
      <c r="F3241" t="s">
        <v>10628</v>
      </c>
      <c r="G3241" t="s">
        <v>10125</v>
      </c>
      <c r="H3241" t="s">
        <v>10626</v>
      </c>
      <c r="I3241" t="s">
        <v>10629</v>
      </c>
    </row>
    <row r="3242" spans="1:9">
      <c r="A3242" t="str">
        <f>"0103868 "</f>
        <v xml:space="preserve">0103868 </v>
      </c>
      <c r="B3242" t="s">
        <v>10121</v>
      </c>
      <c r="C3242" t="s">
        <v>10630</v>
      </c>
      <c r="D3242" t="s">
        <v>10631</v>
      </c>
      <c r="E3242">
        <v>1</v>
      </c>
      <c r="F3242" t="s">
        <v>1285</v>
      </c>
      <c r="G3242" t="s">
        <v>10125</v>
      </c>
      <c r="H3242" t="s">
        <v>10630</v>
      </c>
      <c r="I3242" t="s">
        <v>10632</v>
      </c>
    </row>
    <row r="3243" spans="1:9">
      <c r="A3243" t="str">
        <f>"0103875 "</f>
        <v xml:space="preserve">0103875 </v>
      </c>
      <c r="B3243" t="s">
        <v>10121</v>
      </c>
      <c r="C3243" t="s">
        <v>10633</v>
      </c>
      <c r="D3243" t="s">
        <v>10634</v>
      </c>
      <c r="E3243">
        <v>4</v>
      </c>
      <c r="F3243" t="s">
        <v>10635</v>
      </c>
      <c r="G3243" t="s">
        <v>10125</v>
      </c>
      <c r="H3243" t="s">
        <v>10633</v>
      </c>
      <c r="I3243" t="s">
        <v>10636</v>
      </c>
    </row>
    <row r="3244" spans="1:9">
      <c r="A3244" t="str">
        <f>"0103877 "</f>
        <v xml:space="preserve">0103877 </v>
      </c>
      <c r="B3244" t="s">
        <v>10121</v>
      </c>
      <c r="C3244" t="s">
        <v>10637</v>
      </c>
      <c r="D3244" t="s">
        <v>10638</v>
      </c>
      <c r="E3244">
        <v>3</v>
      </c>
      <c r="F3244" t="s">
        <v>10639</v>
      </c>
      <c r="G3244" t="s">
        <v>10125</v>
      </c>
      <c r="H3244" t="s">
        <v>10637</v>
      </c>
      <c r="I3244" t="s">
        <v>10640</v>
      </c>
    </row>
    <row r="3245" spans="1:9">
      <c r="A3245" t="str">
        <f>"0103879 "</f>
        <v xml:space="preserve">0103879 </v>
      </c>
      <c r="B3245" t="s">
        <v>10121</v>
      </c>
      <c r="C3245" t="s">
        <v>10641</v>
      </c>
      <c r="D3245" t="s">
        <v>10642</v>
      </c>
      <c r="E3245">
        <v>2</v>
      </c>
      <c r="F3245" t="s">
        <v>10250</v>
      </c>
      <c r="G3245" t="s">
        <v>10125</v>
      </c>
      <c r="H3245" t="s">
        <v>10641</v>
      </c>
      <c r="I3245" t="s">
        <v>10643</v>
      </c>
    </row>
    <row r="3246" spans="1:9">
      <c r="A3246" t="str">
        <f>"0103891 "</f>
        <v xml:space="preserve">0103891 </v>
      </c>
      <c r="B3246" t="s">
        <v>10121</v>
      </c>
      <c r="C3246" t="s">
        <v>10644</v>
      </c>
      <c r="D3246" t="s">
        <v>10645</v>
      </c>
      <c r="E3246">
        <v>1</v>
      </c>
      <c r="F3246" t="s">
        <v>10646</v>
      </c>
      <c r="G3246" t="s">
        <v>10125</v>
      </c>
      <c r="H3246" t="s">
        <v>10644</v>
      </c>
      <c r="I3246" t="s">
        <v>10647</v>
      </c>
    </row>
    <row r="3247" spans="1:9">
      <c r="A3247" t="str">
        <f>"0103905 "</f>
        <v xml:space="preserve">0103905 </v>
      </c>
      <c r="B3247" t="s">
        <v>10121</v>
      </c>
      <c r="C3247" t="s">
        <v>10648</v>
      </c>
      <c r="D3247" t="s">
        <v>10649</v>
      </c>
      <c r="E3247">
        <v>4</v>
      </c>
      <c r="F3247" t="s">
        <v>10650</v>
      </c>
      <c r="G3247" t="s">
        <v>10125</v>
      </c>
      <c r="H3247" t="s">
        <v>10648</v>
      </c>
      <c r="I3247" t="s">
        <v>10651</v>
      </c>
    </row>
    <row r="3248" spans="1:9">
      <c r="A3248" t="str">
        <f>"0103906 "</f>
        <v xml:space="preserve">0103906 </v>
      </c>
      <c r="B3248" t="s">
        <v>10121</v>
      </c>
      <c r="C3248" t="s">
        <v>10652</v>
      </c>
      <c r="D3248" t="s">
        <v>10653</v>
      </c>
      <c r="E3248">
        <v>3</v>
      </c>
      <c r="F3248" t="s">
        <v>1285</v>
      </c>
      <c r="G3248" t="s">
        <v>10125</v>
      </c>
      <c r="H3248" t="s">
        <v>10652</v>
      </c>
      <c r="I3248" t="s">
        <v>10654</v>
      </c>
    </row>
    <row r="3249" spans="1:9">
      <c r="A3249" t="str">
        <f>"0103911 "</f>
        <v xml:space="preserve">0103911 </v>
      </c>
      <c r="B3249" t="s">
        <v>10121</v>
      </c>
      <c r="C3249" t="s">
        <v>10655</v>
      </c>
      <c r="D3249" t="s">
        <v>10656</v>
      </c>
      <c r="E3249">
        <v>3</v>
      </c>
      <c r="F3249" t="s">
        <v>10657</v>
      </c>
      <c r="G3249" t="s">
        <v>10125</v>
      </c>
      <c r="H3249" t="s">
        <v>10655</v>
      </c>
      <c r="I3249" t="s">
        <v>10658</v>
      </c>
    </row>
    <row r="3250" spans="1:9">
      <c r="A3250" t="str">
        <f>"0103914 "</f>
        <v xml:space="preserve">0103914 </v>
      </c>
      <c r="B3250" t="s">
        <v>10121</v>
      </c>
      <c r="C3250" t="s">
        <v>10659</v>
      </c>
      <c r="D3250" t="s">
        <v>10660</v>
      </c>
      <c r="E3250">
        <v>2</v>
      </c>
      <c r="F3250" t="s">
        <v>10661</v>
      </c>
      <c r="G3250" t="s">
        <v>10125</v>
      </c>
      <c r="H3250" t="s">
        <v>10659</v>
      </c>
      <c r="I3250" t="s">
        <v>10662</v>
      </c>
    </row>
    <row r="3251" spans="1:9">
      <c r="A3251" t="str">
        <f>"0103924 "</f>
        <v xml:space="preserve">0103924 </v>
      </c>
      <c r="B3251" t="s">
        <v>10121</v>
      </c>
      <c r="C3251" t="s">
        <v>10663</v>
      </c>
      <c r="D3251" t="s">
        <v>10664</v>
      </c>
      <c r="E3251" t="s">
        <v>16</v>
      </c>
      <c r="F3251" t="s">
        <v>10635</v>
      </c>
      <c r="G3251" t="s">
        <v>10125</v>
      </c>
      <c r="H3251" t="s">
        <v>10663</v>
      </c>
      <c r="I3251" t="s">
        <v>10665</v>
      </c>
    </row>
    <row r="3252" spans="1:9">
      <c r="A3252" t="str">
        <f>"0103928 "</f>
        <v xml:space="preserve">0103928 </v>
      </c>
      <c r="B3252" t="s">
        <v>10121</v>
      </c>
      <c r="C3252" t="s">
        <v>10666</v>
      </c>
      <c r="D3252" t="s">
        <v>10667</v>
      </c>
      <c r="E3252">
        <v>2</v>
      </c>
      <c r="F3252" t="s">
        <v>10668</v>
      </c>
      <c r="G3252" t="s">
        <v>10125</v>
      </c>
      <c r="H3252" t="s">
        <v>10666</v>
      </c>
      <c r="I3252" t="s">
        <v>10669</v>
      </c>
    </row>
    <row r="3253" spans="1:9">
      <c r="A3253" t="str">
        <f>"0103936 "</f>
        <v xml:space="preserve">0103936 </v>
      </c>
      <c r="B3253" t="s">
        <v>10121</v>
      </c>
      <c r="C3253" t="s">
        <v>10670</v>
      </c>
      <c r="D3253" t="s">
        <v>10671</v>
      </c>
      <c r="E3253">
        <v>4</v>
      </c>
      <c r="F3253" t="s">
        <v>10672</v>
      </c>
      <c r="G3253" t="s">
        <v>10125</v>
      </c>
      <c r="H3253" t="s">
        <v>10670</v>
      </c>
      <c r="I3253" t="s">
        <v>10673</v>
      </c>
    </row>
    <row r="3254" spans="1:9">
      <c r="A3254" t="str">
        <f>"0153110 "</f>
        <v xml:space="preserve">0153110 </v>
      </c>
      <c r="B3254" t="s">
        <v>10121</v>
      </c>
      <c r="C3254" t="s">
        <v>10674</v>
      </c>
      <c r="D3254" t="s">
        <v>10675</v>
      </c>
      <c r="E3254">
        <v>2</v>
      </c>
      <c r="F3254" t="s">
        <v>10317</v>
      </c>
      <c r="G3254" t="s">
        <v>10125</v>
      </c>
      <c r="H3254" t="s">
        <v>10674</v>
      </c>
      <c r="I3254" t="s">
        <v>10676</v>
      </c>
    </row>
    <row r="3255" spans="1:9">
      <c r="A3255" t="str">
        <f>"0153113 "</f>
        <v xml:space="preserve">0153113 </v>
      </c>
      <c r="B3255" t="s">
        <v>10121</v>
      </c>
      <c r="C3255" t="s">
        <v>10677</v>
      </c>
      <c r="D3255" t="s">
        <v>10678</v>
      </c>
      <c r="E3255">
        <v>1</v>
      </c>
      <c r="F3255" t="s">
        <v>10679</v>
      </c>
      <c r="G3255" t="s">
        <v>10125</v>
      </c>
      <c r="H3255" t="s">
        <v>10677</v>
      </c>
      <c r="I3255" t="s">
        <v>10680</v>
      </c>
    </row>
    <row r="3256" spans="1:9">
      <c r="A3256" t="str">
        <f>"0103948 "</f>
        <v xml:space="preserve">0103948 </v>
      </c>
      <c r="B3256" t="s">
        <v>10121</v>
      </c>
      <c r="C3256" t="s">
        <v>10681</v>
      </c>
      <c r="D3256" t="s">
        <v>10682</v>
      </c>
      <c r="E3256">
        <v>2</v>
      </c>
      <c r="F3256" t="s">
        <v>10683</v>
      </c>
      <c r="G3256" t="s">
        <v>10125</v>
      </c>
      <c r="H3256" t="s">
        <v>10681</v>
      </c>
      <c r="I3256" t="s">
        <v>10684</v>
      </c>
    </row>
    <row r="3257" spans="1:9">
      <c r="A3257" t="str">
        <f>"0103949 "</f>
        <v xml:space="preserve">0103949 </v>
      </c>
      <c r="B3257" t="s">
        <v>10121</v>
      </c>
      <c r="C3257" t="s">
        <v>10685</v>
      </c>
      <c r="D3257" t="s">
        <v>10686</v>
      </c>
      <c r="E3257">
        <v>1</v>
      </c>
      <c r="F3257" t="s">
        <v>10687</v>
      </c>
      <c r="G3257" t="s">
        <v>10125</v>
      </c>
      <c r="H3257" t="s">
        <v>10685</v>
      </c>
      <c r="I3257" t="s">
        <v>10688</v>
      </c>
    </row>
    <row r="3258" spans="1:9">
      <c r="A3258" t="str">
        <f>"0103952 "</f>
        <v xml:space="preserve">0103952 </v>
      </c>
      <c r="B3258" t="s">
        <v>10121</v>
      </c>
      <c r="C3258" t="s">
        <v>10689</v>
      </c>
      <c r="D3258" t="s">
        <v>10690</v>
      </c>
      <c r="E3258">
        <v>2</v>
      </c>
      <c r="F3258" t="s">
        <v>10691</v>
      </c>
      <c r="G3258" t="s">
        <v>10125</v>
      </c>
      <c r="H3258" t="s">
        <v>10689</v>
      </c>
      <c r="I3258" t="s">
        <v>10692</v>
      </c>
    </row>
    <row r="3259" spans="1:9">
      <c r="A3259" t="str">
        <f>"0137382 "</f>
        <v xml:space="preserve">0137382 </v>
      </c>
      <c r="B3259" t="s">
        <v>10121</v>
      </c>
      <c r="C3259" t="s">
        <v>10693</v>
      </c>
      <c r="D3259" t="s">
        <v>10694</v>
      </c>
      <c r="E3259">
        <v>1</v>
      </c>
      <c r="F3259" t="s">
        <v>10695</v>
      </c>
      <c r="G3259" t="s">
        <v>10125</v>
      </c>
      <c r="H3259" t="s">
        <v>10693</v>
      </c>
      <c r="I3259" t="s">
        <v>10696</v>
      </c>
    </row>
    <row r="3260" spans="1:9">
      <c r="A3260" t="str">
        <f>"0103957 "</f>
        <v xml:space="preserve">0103957 </v>
      </c>
      <c r="B3260" t="s">
        <v>10121</v>
      </c>
      <c r="C3260" t="s">
        <v>10697</v>
      </c>
      <c r="D3260" t="s">
        <v>10698</v>
      </c>
      <c r="E3260">
        <v>1</v>
      </c>
      <c r="F3260" t="s">
        <v>10699</v>
      </c>
      <c r="G3260" t="s">
        <v>10125</v>
      </c>
      <c r="H3260" t="s">
        <v>10697</v>
      </c>
      <c r="I3260" t="s">
        <v>10700</v>
      </c>
    </row>
    <row r="3261" spans="1:9">
      <c r="A3261" t="str">
        <f>"0103967 "</f>
        <v xml:space="preserve">0103967 </v>
      </c>
      <c r="B3261" t="s">
        <v>10121</v>
      </c>
      <c r="C3261" t="s">
        <v>10701</v>
      </c>
      <c r="D3261" t="s">
        <v>10702</v>
      </c>
      <c r="E3261">
        <v>5</v>
      </c>
      <c r="F3261" t="s">
        <v>10703</v>
      </c>
      <c r="G3261" t="s">
        <v>10125</v>
      </c>
      <c r="H3261" t="s">
        <v>10701</v>
      </c>
      <c r="I3261" t="s">
        <v>10704</v>
      </c>
    </row>
    <row r="3262" spans="1:9">
      <c r="A3262" t="str">
        <f>"0103970 "</f>
        <v xml:space="preserve">0103970 </v>
      </c>
      <c r="B3262" t="s">
        <v>10121</v>
      </c>
      <c r="C3262" t="s">
        <v>10705</v>
      </c>
      <c r="D3262" t="s">
        <v>10706</v>
      </c>
      <c r="E3262">
        <v>1</v>
      </c>
      <c r="F3262" t="s">
        <v>10707</v>
      </c>
      <c r="G3262" t="s">
        <v>10125</v>
      </c>
      <c r="H3262" t="s">
        <v>10705</v>
      </c>
      <c r="I3262" t="s">
        <v>10708</v>
      </c>
    </row>
    <row r="3263" spans="1:9">
      <c r="A3263" t="str">
        <f>"0103977 "</f>
        <v xml:space="preserve">0103977 </v>
      </c>
      <c r="B3263" t="s">
        <v>10121</v>
      </c>
      <c r="C3263" t="s">
        <v>10709</v>
      </c>
      <c r="D3263" t="s">
        <v>10710</v>
      </c>
      <c r="E3263">
        <v>1</v>
      </c>
      <c r="F3263" t="s">
        <v>10711</v>
      </c>
      <c r="G3263" t="s">
        <v>10125</v>
      </c>
      <c r="H3263" t="s">
        <v>10709</v>
      </c>
      <c r="I3263" t="s">
        <v>10712</v>
      </c>
    </row>
    <row r="3264" spans="1:9">
      <c r="A3264" t="str">
        <f>"0104027 "</f>
        <v xml:space="preserve">0104027 </v>
      </c>
      <c r="B3264" t="s">
        <v>10121</v>
      </c>
      <c r="C3264" t="s">
        <v>10713</v>
      </c>
      <c r="D3264" t="s">
        <v>10714</v>
      </c>
      <c r="E3264" t="s">
        <v>16</v>
      </c>
      <c r="F3264" t="s">
        <v>10715</v>
      </c>
      <c r="G3264" t="s">
        <v>10125</v>
      </c>
      <c r="H3264" t="s">
        <v>10713</v>
      </c>
      <c r="I3264" t="s">
        <v>10716</v>
      </c>
    </row>
    <row r="3265" spans="1:9">
      <c r="A3265" t="str">
        <f>"0104060 "</f>
        <v xml:space="preserve">0104060 </v>
      </c>
      <c r="B3265" t="s">
        <v>10121</v>
      </c>
      <c r="C3265" t="s">
        <v>10717</v>
      </c>
      <c r="D3265" t="s">
        <v>10718</v>
      </c>
      <c r="E3265">
        <v>1</v>
      </c>
      <c r="F3265" t="s">
        <v>10719</v>
      </c>
      <c r="G3265" t="s">
        <v>10125</v>
      </c>
      <c r="H3265" t="s">
        <v>10717</v>
      </c>
      <c r="I3265" t="s">
        <v>10720</v>
      </c>
    </row>
    <row r="3266" spans="1:9">
      <c r="A3266" t="str">
        <f>"0104063 "</f>
        <v xml:space="preserve">0104063 </v>
      </c>
      <c r="B3266" t="s">
        <v>10121</v>
      </c>
      <c r="C3266" t="s">
        <v>10721</v>
      </c>
      <c r="D3266" t="s">
        <v>10722</v>
      </c>
      <c r="E3266">
        <v>2</v>
      </c>
      <c r="F3266" t="s">
        <v>10723</v>
      </c>
      <c r="G3266" t="s">
        <v>10125</v>
      </c>
      <c r="H3266" t="s">
        <v>10721</v>
      </c>
      <c r="I3266" t="s">
        <v>10724</v>
      </c>
    </row>
    <row r="3267" spans="1:9">
      <c r="A3267" t="str">
        <f>"0104093 "</f>
        <v xml:space="preserve">0104093 </v>
      </c>
      <c r="B3267" t="s">
        <v>10121</v>
      </c>
      <c r="C3267" t="s">
        <v>10725</v>
      </c>
      <c r="D3267" t="s">
        <v>10726</v>
      </c>
      <c r="E3267">
        <v>1</v>
      </c>
      <c r="F3267" t="s">
        <v>10727</v>
      </c>
      <c r="G3267" t="s">
        <v>10125</v>
      </c>
      <c r="H3267" t="s">
        <v>10725</v>
      </c>
      <c r="I3267" t="s">
        <v>10728</v>
      </c>
    </row>
    <row r="3268" spans="1:9">
      <c r="A3268" t="str">
        <f>"0104123 "</f>
        <v xml:space="preserve">0104123 </v>
      </c>
      <c r="B3268" t="s">
        <v>10121</v>
      </c>
      <c r="C3268" t="s">
        <v>10729</v>
      </c>
      <c r="D3268" t="s">
        <v>10730</v>
      </c>
      <c r="E3268">
        <v>1</v>
      </c>
      <c r="F3268" t="s">
        <v>10731</v>
      </c>
      <c r="G3268" t="s">
        <v>10125</v>
      </c>
      <c r="H3268" t="s">
        <v>10729</v>
      </c>
      <c r="I3268" t="s">
        <v>10732</v>
      </c>
    </row>
    <row r="3269" spans="1:9">
      <c r="A3269" t="str">
        <f>"0188096 "</f>
        <v xml:space="preserve">0188096 </v>
      </c>
      <c r="B3269" t="s">
        <v>10121</v>
      </c>
      <c r="C3269" t="s">
        <v>10733</v>
      </c>
      <c r="D3269" t="s">
        <v>10734</v>
      </c>
      <c r="E3269">
        <v>1</v>
      </c>
      <c r="F3269" t="s">
        <v>10735</v>
      </c>
      <c r="G3269" t="s">
        <v>10125</v>
      </c>
      <c r="H3269" t="s">
        <v>10733</v>
      </c>
      <c r="I3269" t="s">
        <v>10736</v>
      </c>
    </row>
    <row r="3270" spans="1:9">
      <c r="A3270" t="str">
        <f>"0104148 "</f>
        <v xml:space="preserve">0104148 </v>
      </c>
      <c r="B3270" t="s">
        <v>10121</v>
      </c>
      <c r="C3270" t="s">
        <v>10737</v>
      </c>
      <c r="D3270" t="s">
        <v>10738</v>
      </c>
      <c r="E3270">
        <v>1</v>
      </c>
      <c r="F3270" t="s">
        <v>10739</v>
      </c>
      <c r="G3270" t="s">
        <v>10125</v>
      </c>
      <c r="H3270" t="s">
        <v>10737</v>
      </c>
      <c r="I3270" t="s">
        <v>10740</v>
      </c>
    </row>
    <row r="3271" spans="1:9">
      <c r="A3271" t="str">
        <f>"0104159 "</f>
        <v xml:space="preserve">0104159 </v>
      </c>
      <c r="B3271" t="s">
        <v>10121</v>
      </c>
      <c r="C3271" t="s">
        <v>10741</v>
      </c>
      <c r="D3271" t="s">
        <v>10742</v>
      </c>
      <c r="E3271">
        <v>3</v>
      </c>
      <c r="F3271" t="s">
        <v>10344</v>
      </c>
      <c r="G3271" t="s">
        <v>10125</v>
      </c>
      <c r="H3271" t="s">
        <v>10741</v>
      </c>
      <c r="I3271" t="s">
        <v>10743</v>
      </c>
    </row>
    <row r="3272" spans="1:9">
      <c r="A3272" t="str">
        <f>"0104172 "</f>
        <v xml:space="preserve">0104172 </v>
      </c>
      <c r="B3272" t="s">
        <v>10121</v>
      </c>
      <c r="C3272" t="s">
        <v>10744</v>
      </c>
      <c r="D3272" t="s">
        <v>10745</v>
      </c>
      <c r="E3272">
        <v>2</v>
      </c>
      <c r="F3272" t="s">
        <v>10486</v>
      </c>
      <c r="G3272" t="s">
        <v>10125</v>
      </c>
      <c r="H3272" t="s">
        <v>10744</v>
      </c>
      <c r="I3272" t="s">
        <v>10746</v>
      </c>
    </row>
    <row r="3273" spans="1:9">
      <c r="A3273" t="str">
        <f>"0104175 "</f>
        <v xml:space="preserve">0104175 </v>
      </c>
      <c r="B3273" t="s">
        <v>10121</v>
      </c>
      <c r="C3273" t="s">
        <v>10747</v>
      </c>
      <c r="D3273" t="s">
        <v>10748</v>
      </c>
      <c r="E3273">
        <v>1</v>
      </c>
      <c r="F3273" t="s">
        <v>10749</v>
      </c>
      <c r="G3273" t="s">
        <v>10125</v>
      </c>
      <c r="H3273" t="s">
        <v>10747</v>
      </c>
      <c r="I3273" t="s">
        <v>10750</v>
      </c>
    </row>
    <row r="3274" spans="1:9">
      <c r="A3274" t="str">
        <f>"0104189 "</f>
        <v xml:space="preserve">0104189 </v>
      </c>
      <c r="B3274" t="s">
        <v>10121</v>
      </c>
      <c r="C3274" t="s">
        <v>10751</v>
      </c>
      <c r="D3274" t="s">
        <v>10752</v>
      </c>
      <c r="E3274">
        <v>2</v>
      </c>
      <c r="F3274" t="s">
        <v>10753</v>
      </c>
      <c r="G3274" t="s">
        <v>10125</v>
      </c>
      <c r="H3274" t="s">
        <v>10751</v>
      </c>
      <c r="I3274" t="s">
        <v>10754</v>
      </c>
    </row>
    <row r="3275" spans="1:9">
      <c r="A3275" t="str">
        <f>"0104192 "</f>
        <v xml:space="preserve">0104192 </v>
      </c>
      <c r="B3275" t="s">
        <v>10121</v>
      </c>
      <c r="C3275" t="s">
        <v>10755</v>
      </c>
      <c r="D3275" t="s">
        <v>10756</v>
      </c>
      <c r="E3275">
        <v>2</v>
      </c>
      <c r="F3275" t="s">
        <v>10145</v>
      </c>
      <c r="G3275" t="s">
        <v>10125</v>
      </c>
      <c r="H3275" t="s">
        <v>10755</v>
      </c>
      <c r="I3275" t="s">
        <v>10757</v>
      </c>
    </row>
    <row r="3276" spans="1:9">
      <c r="A3276" t="str">
        <f>"0104194 "</f>
        <v xml:space="preserve">0104194 </v>
      </c>
      <c r="B3276" t="s">
        <v>10121</v>
      </c>
      <c r="C3276" t="s">
        <v>10758</v>
      </c>
      <c r="D3276" t="s">
        <v>10759</v>
      </c>
      <c r="E3276">
        <v>1</v>
      </c>
      <c r="F3276" t="s">
        <v>10760</v>
      </c>
      <c r="G3276" t="s">
        <v>10125</v>
      </c>
      <c r="H3276" t="s">
        <v>10758</v>
      </c>
      <c r="I3276" t="s">
        <v>10761</v>
      </c>
    </row>
    <row r="3277" spans="1:9">
      <c r="A3277" t="str">
        <f>"0104195 "</f>
        <v xml:space="preserve">0104195 </v>
      </c>
      <c r="B3277" t="s">
        <v>10121</v>
      </c>
      <c r="C3277" t="s">
        <v>10762</v>
      </c>
      <c r="D3277" t="s">
        <v>10763</v>
      </c>
      <c r="E3277" t="s">
        <v>16</v>
      </c>
      <c r="F3277" t="s">
        <v>10764</v>
      </c>
      <c r="G3277" t="s">
        <v>10125</v>
      </c>
      <c r="H3277" t="s">
        <v>10762</v>
      </c>
      <c r="I3277" t="s">
        <v>10765</v>
      </c>
    </row>
    <row r="3278" spans="1:9">
      <c r="A3278" t="str">
        <f>"0104196 "</f>
        <v xml:space="preserve">0104196 </v>
      </c>
      <c r="B3278" t="s">
        <v>10121</v>
      </c>
      <c r="C3278" t="s">
        <v>10766</v>
      </c>
      <c r="D3278" t="s">
        <v>10767</v>
      </c>
      <c r="E3278">
        <v>2</v>
      </c>
      <c r="F3278" t="s">
        <v>10768</v>
      </c>
      <c r="G3278" t="s">
        <v>10125</v>
      </c>
      <c r="H3278" t="s">
        <v>10766</v>
      </c>
      <c r="I3278" t="s">
        <v>10769</v>
      </c>
    </row>
    <row r="3279" spans="1:9">
      <c r="A3279" t="str">
        <f>"0104198 "</f>
        <v xml:space="preserve">0104198 </v>
      </c>
      <c r="B3279" t="s">
        <v>10121</v>
      </c>
      <c r="C3279" t="s">
        <v>10770</v>
      </c>
      <c r="D3279" t="s">
        <v>10771</v>
      </c>
      <c r="E3279">
        <v>1</v>
      </c>
      <c r="F3279" t="s">
        <v>10772</v>
      </c>
      <c r="G3279" t="s">
        <v>10125</v>
      </c>
      <c r="H3279" t="s">
        <v>10770</v>
      </c>
      <c r="I3279" t="s">
        <v>10773</v>
      </c>
    </row>
    <row r="3280" spans="1:9">
      <c r="A3280" t="str">
        <f>"0104201 "</f>
        <v xml:space="preserve">0104201 </v>
      </c>
      <c r="B3280" t="s">
        <v>10121</v>
      </c>
      <c r="C3280" t="s">
        <v>10774</v>
      </c>
      <c r="D3280" t="s">
        <v>10775</v>
      </c>
      <c r="E3280">
        <v>1</v>
      </c>
      <c r="F3280" t="s">
        <v>10776</v>
      </c>
      <c r="G3280" t="s">
        <v>10125</v>
      </c>
      <c r="H3280" t="s">
        <v>10774</v>
      </c>
      <c r="I3280" t="s">
        <v>10777</v>
      </c>
    </row>
    <row r="3281" spans="1:9">
      <c r="A3281" t="str">
        <f>"0104212 "</f>
        <v xml:space="preserve">0104212 </v>
      </c>
      <c r="B3281" t="s">
        <v>10121</v>
      </c>
      <c r="C3281" t="s">
        <v>10778</v>
      </c>
      <c r="D3281" t="s">
        <v>10779</v>
      </c>
      <c r="E3281">
        <v>1</v>
      </c>
      <c r="F3281" t="s">
        <v>10780</v>
      </c>
      <c r="G3281" t="s">
        <v>10125</v>
      </c>
      <c r="H3281" t="s">
        <v>10778</v>
      </c>
      <c r="I3281" t="s">
        <v>10781</v>
      </c>
    </row>
    <row r="3282" spans="1:9">
      <c r="A3282" t="str">
        <f>"0104214 "</f>
        <v xml:space="preserve">0104214 </v>
      </c>
      <c r="B3282" t="s">
        <v>10121</v>
      </c>
      <c r="C3282" t="s">
        <v>10782</v>
      </c>
      <c r="D3282" t="s">
        <v>10783</v>
      </c>
      <c r="E3282">
        <v>1</v>
      </c>
      <c r="F3282" t="s">
        <v>10784</v>
      </c>
      <c r="G3282" t="s">
        <v>10125</v>
      </c>
      <c r="H3282" t="s">
        <v>10782</v>
      </c>
      <c r="I3282" t="s">
        <v>10785</v>
      </c>
    </row>
    <row r="3283" spans="1:9">
      <c r="A3283" t="str">
        <f>"0104216 "</f>
        <v xml:space="preserve">0104216 </v>
      </c>
      <c r="B3283" t="s">
        <v>10121</v>
      </c>
      <c r="C3283" t="s">
        <v>10786</v>
      </c>
      <c r="D3283" t="s">
        <v>10787</v>
      </c>
      <c r="E3283">
        <v>2</v>
      </c>
      <c r="F3283" t="s">
        <v>10360</v>
      </c>
      <c r="G3283" t="s">
        <v>10125</v>
      </c>
      <c r="H3283" t="s">
        <v>10786</v>
      </c>
      <c r="I3283" t="s">
        <v>10788</v>
      </c>
    </row>
    <row r="3284" spans="1:9">
      <c r="A3284" t="str">
        <f>"0104219 "</f>
        <v xml:space="preserve">0104219 </v>
      </c>
      <c r="B3284" t="s">
        <v>10121</v>
      </c>
      <c r="C3284" t="s">
        <v>10789</v>
      </c>
      <c r="D3284" t="s">
        <v>10790</v>
      </c>
      <c r="E3284">
        <v>1</v>
      </c>
      <c r="F3284" t="s">
        <v>10791</v>
      </c>
      <c r="G3284" t="s">
        <v>10125</v>
      </c>
      <c r="H3284" t="s">
        <v>10789</v>
      </c>
      <c r="I3284" t="s">
        <v>10792</v>
      </c>
    </row>
    <row r="3285" spans="1:9">
      <c r="A3285" t="str">
        <f>"0104220 "</f>
        <v xml:space="preserve">0104220 </v>
      </c>
      <c r="B3285" t="s">
        <v>10121</v>
      </c>
      <c r="C3285" t="s">
        <v>10793</v>
      </c>
      <c r="D3285" t="s">
        <v>10794</v>
      </c>
      <c r="E3285">
        <v>1</v>
      </c>
      <c r="F3285" t="s">
        <v>10795</v>
      </c>
      <c r="G3285" t="s">
        <v>10125</v>
      </c>
      <c r="H3285" t="s">
        <v>10793</v>
      </c>
      <c r="I3285" t="s">
        <v>10796</v>
      </c>
    </row>
    <row r="3286" spans="1:9">
      <c r="A3286" t="str">
        <f>"0104222 "</f>
        <v xml:space="preserve">0104222 </v>
      </c>
      <c r="B3286" t="s">
        <v>10121</v>
      </c>
      <c r="C3286" t="s">
        <v>10797</v>
      </c>
      <c r="D3286" t="s">
        <v>10798</v>
      </c>
      <c r="E3286">
        <v>2</v>
      </c>
      <c r="F3286" t="s">
        <v>10799</v>
      </c>
      <c r="G3286" t="s">
        <v>10125</v>
      </c>
      <c r="H3286" t="s">
        <v>10797</v>
      </c>
      <c r="I3286" t="s">
        <v>10800</v>
      </c>
    </row>
    <row r="3287" spans="1:9">
      <c r="A3287" t="str">
        <f>"0104229 "</f>
        <v xml:space="preserve">0104229 </v>
      </c>
      <c r="B3287" t="s">
        <v>10121</v>
      </c>
      <c r="C3287" t="s">
        <v>10801</v>
      </c>
      <c r="D3287" t="s">
        <v>10802</v>
      </c>
      <c r="E3287">
        <v>2</v>
      </c>
      <c r="F3287" t="s">
        <v>10407</v>
      </c>
      <c r="G3287" t="s">
        <v>10125</v>
      </c>
      <c r="H3287" t="s">
        <v>10801</v>
      </c>
      <c r="I3287" t="s">
        <v>10803</v>
      </c>
    </row>
    <row r="3288" spans="1:9">
      <c r="A3288" t="str">
        <f>"0104232 "</f>
        <v xml:space="preserve">0104232 </v>
      </c>
      <c r="B3288" t="s">
        <v>10121</v>
      </c>
      <c r="C3288" t="s">
        <v>10804</v>
      </c>
      <c r="D3288" t="s">
        <v>10805</v>
      </c>
      <c r="E3288">
        <v>3</v>
      </c>
      <c r="F3288" t="s">
        <v>10157</v>
      </c>
      <c r="G3288" t="s">
        <v>10125</v>
      </c>
      <c r="H3288" t="s">
        <v>10804</v>
      </c>
      <c r="I3288" t="s">
        <v>10806</v>
      </c>
    </row>
    <row r="3289" spans="1:9">
      <c r="A3289" t="str">
        <f>"0104236 "</f>
        <v xml:space="preserve">0104236 </v>
      </c>
      <c r="B3289" t="s">
        <v>10121</v>
      </c>
      <c r="C3289" t="s">
        <v>10807</v>
      </c>
      <c r="D3289" t="s">
        <v>10808</v>
      </c>
      <c r="E3289">
        <v>2</v>
      </c>
      <c r="F3289" t="s">
        <v>10809</v>
      </c>
      <c r="G3289" t="s">
        <v>10125</v>
      </c>
      <c r="H3289" t="s">
        <v>10807</v>
      </c>
      <c r="I3289" t="s">
        <v>10810</v>
      </c>
    </row>
    <row r="3290" spans="1:9">
      <c r="A3290" t="str">
        <f>"0104238 "</f>
        <v xml:space="preserve">0104238 </v>
      </c>
      <c r="B3290" t="s">
        <v>10121</v>
      </c>
      <c r="C3290" t="s">
        <v>10811</v>
      </c>
      <c r="D3290" t="s">
        <v>10812</v>
      </c>
      <c r="E3290">
        <v>1</v>
      </c>
      <c r="F3290" t="s">
        <v>10813</v>
      </c>
      <c r="G3290" t="s">
        <v>10125</v>
      </c>
      <c r="H3290" t="s">
        <v>10811</v>
      </c>
      <c r="I3290" t="s">
        <v>10814</v>
      </c>
    </row>
    <row r="3291" spans="1:9">
      <c r="A3291" t="str">
        <f>"0104240 "</f>
        <v xml:space="preserve">0104240 </v>
      </c>
      <c r="B3291" t="s">
        <v>10121</v>
      </c>
      <c r="C3291" t="s">
        <v>10815</v>
      </c>
      <c r="D3291" t="s">
        <v>10816</v>
      </c>
      <c r="E3291">
        <v>1</v>
      </c>
      <c r="F3291" t="s">
        <v>10817</v>
      </c>
      <c r="G3291" t="s">
        <v>10125</v>
      </c>
      <c r="H3291" t="s">
        <v>10815</v>
      </c>
      <c r="I3291" t="s">
        <v>10818</v>
      </c>
    </row>
    <row r="3292" spans="1:9">
      <c r="A3292" t="str">
        <f>"0104241 "</f>
        <v xml:space="preserve">0104241 </v>
      </c>
      <c r="B3292" t="s">
        <v>10121</v>
      </c>
      <c r="C3292" t="s">
        <v>10819</v>
      </c>
      <c r="D3292" t="s">
        <v>10820</v>
      </c>
      <c r="E3292">
        <v>2</v>
      </c>
      <c r="F3292" t="s">
        <v>10821</v>
      </c>
      <c r="G3292" t="s">
        <v>10125</v>
      </c>
      <c r="H3292" t="s">
        <v>10819</v>
      </c>
      <c r="I3292" t="s">
        <v>10822</v>
      </c>
    </row>
    <row r="3293" spans="1:9">
      <c r="A3293" t="str">
        <f>"0104250 "</f>
        <v xml:space="preserve">0104250 </v>
      </c>
      <c r="B3293" t="s">
        <v>10121</v>
      </c>
      <c r="C3293" t="s">
        <v>10823</v>
      </c>
      <c r="D3293" t="s">
        <v>10824</v>
      </c>
      <c r="E3293" t="s">
        <v>16</v>
      </c>
      <c r="F3293" t="s">
        <v>10825</v>
      </c>
      <c r="G3293" t="s">
        <v>10125</v>
      </c>
      <c r="H3293" t="s">
        <v>10823</v>
      </c>
      <c r="I3293" t="s">
        <v>10826</v>
      </c>
    </row>
    <row r="3294" spans="1:9">
      <c r="A3294" t="str">
        <f>"0104251 "</f>
        <v xml:space="preserve">0104251 </v>
      </c>
      <c r="B3294" t="s">
        <v>10121</v>
      </c>
      <c r="C3294" t="s">
        <v>10827</v>
      </c>
      <c r="D3294" t="s">
        <v>10828</v>
      </c>
      <c r="E3294">
        <v>2</v>
      </c>
      <c r="F3294" t="s">
        <v>10195</v>
      </c>
      <c r="G3294" t="s">
        <v>10125</v>
      </c>
      <c r="H3294" t="s">
        <v>10827</v>
      </c>
      <c r="I3294" t="s">
        <v>10829</v>
      </c>
    </row>
    <row r="3295" spans="1:9">
      <c r="A3295" t="str">
        <f>"0104252 "</f>
        <v xml:space="preserve">0104252 </v>
      </c>
      <c r="B3295" t="s">
        <v>10121</v>
      </c>
      <c r="C3295" t="s">
        <v>10830</v>
      </c>
      <c r="D3295" t="s">
        <v>10831</v>
      </c>
      <c r="E3295">
        <v>3</v>
      </c>
      <c r="F3295" t="s">
        <v>10832</v>
      </c>
      <c r="G3295" t="s">
        <v>10125</v>
      </c>
      <c r="H3295" t="s">
        <v>10830</v>
      </c>
      <c r="I3295" t="s">
        <v>10833</v>
      </c>
    </row>
    <row r="3296" spans="1:9">
      <c r="A3296" t="str">
        <f>"0104253 "</f>
        <v xml:space="preserve">0104253 </v>
      </c>
      <c r="B3296" t="s">
        <v>10121</v>
      </c>
      <c r="C3296" t="s">
        <v>10834</v>
      </c>
      <c r="D3296" t="s">
        <v>10835</v>
      </c>
      <c r="E3296">
        <v>2</v>
      </c>
      <c r="F3296" t="s">
        <v>10836</v>
      </c>
      <c r="G3296" t="s">
        <v>10125</v>
      </c>
      <c r="H3296" t="s">
        <v>10834</v>
      </c>
      <c r="I3296" t="s">
        <v>10837</v>
      </c>
    </row>
    <row r="3297" spans="1:9">
      <c r="A3297" t="str">
        <f>"0104255 "</f>
        <v xml:space="preserve">0104255 </v>
      </c>
      <c r="B3297" t="s">
        <v>10121</v>
      </c>
      <c r="C3297" t="s">
        <v>10838</v>
      </c>
      <c r="D3297" t="s">
        <v>10839</v>
      </c>
      <c r="E3297">
        <v>1</v>
      </c>
      <c r="F3297" t="s">
        <v>10840</v>
      </c>
      <c r="G3297" t="s">
        <v>10125</v>
      </c>
      <c r="H3297" t="s">
        <v>10838</v>
      </c>
      <c r="I3297" t="s">
        <v>10841</v>
      </c>
    </row>
    <row r="3298" spans="1:9">
      <c r="A3298" t="str">
        <f>"0104256 "</f>
        <v xml:space="preserve">0104256 </v>
      </c>
      <c r="B3298" t="s">
        <v>10121</v>
      </c>
      <c r="C3298" t="s">
        <v>10842</v>
      </c>
      <c r="D3298" t="s">
        <v>10843</v>
      </c>
      <c r="E3298">
        <v>1</v>
      </c>
      <c r="F3298" t="s">
        <v>10844</v>
      </c>
      <c r="G3298" t="s">
        <v>10125</v>
      </c>
      <c r="H3298" t="s">
        <v>10842</v>
      </c>
      <c r="I3298" t="s">
        <v>10845</v>
      </c>
    </row>
    <row r="3299" spans="1:9">
      <c r="A3299" t="str">
        <f>"0104267 "</f>
        <v xml:space="preserve">0104267 </v>
      </c>
      <c r="B3299" t="s">
        <v>10121</v>
      </c>
      <c r="C3299" t="s">
        <v>10846</v>
      </c>
      <c r="D3299" t="s">
        <v>10847</v>
      </c>
      <c r="E3299">
        <v>1</v>
      </c>
      <c r="F3299" t="s">
        <v>10848</v>
      </c>
      <c r="G3299" t="s">
        <v>10125</v>
      </c>
      <c r="H3299" t="s">
        <v>10846</v>
      </c>
      <c r="I3299" t="s">
        <v>10849</v>
      </c>
    </row>
    <row r="3300" spans="1:9">
      <c r="A3300" t="str">
        <f>"0104271 "</f>
        <v xml:space="preserve">0104271 </v>
      </c>
      <c r="B3300" t="s">
        <v>10121</v>
      </c>
      <c r="C3300" t="s">
        <v>10850</v>
      </c>
      <c r="D3300" t="s">
        <v>10851</v>
      </c>
      <c r="E3300">
        <v>2</v>
      </c>
      <c r="F3300" t="s">
        <v>10852</v>
      </c>
      <c r="G3300" t="s">
        <v>10125</v>
      </c>
      <c r="H3300" t="s">
        <v>10850</v>
      </c>
      <c r="I3300" t="s">
        <v>10853</v>
      </c>
    </row>
    <row r="3301" spans="1:9">
      <c r="A3301" t="str">
        <f>"0104273 "</f>
        <v xml:space="preserve">0104273 </v>
      </c>
      <c r="B3301" t="s">
        <v>10121</v>
      </c>
      <c r="C3301" t="s">
        <v>10854</v>
      </c>
      <c r="D3301" t="s">
        <v>10855</v>
      </c>
      <c r="E3301">
        <v>1</v>
      </c>
      <c r="F3301" t="s">
        <v>10856</v>
      </c>
      <c r="G3301" t="s">
        <v>10125</v>
      </c>
      <c r="H3301" t="s">
        <v>10854</v>
      </c>
      <c r="I3301" t="s">
        <v>10857</v>
      </c>
    </row>
    <row r="3302" spans="1:9">
      <c r="A3302" t="str">
        <f>"0104274 "</f>
        <v xml:space="preserve">0104274 </v>
      </c>
      <c r="B3302" t="s">
        <v>10121</v>
      </c>
      <c r="C3302" t="s">
        <v>10858</v>
      </c>
      <c r="D3302" t="s">
        <v>10859</v>
      </c>
      <c r="E3302">
        <v>1</v>
      </c>
      <c r="F3302" t="s">
        <v>10860</v>
      </c>
      <c r="G3302" t="s">
        <v>10125</v>
      </c>
      <c r="H3302" t="s">
        <v>10858</v>
      </c>
      <c r="I3302" t="s">
        <v>10861</v>
      </c>
    </row>
    <row r="3303" spans="1:9">
      <c r="A3303" t="str">
        <f>"0012178 "</f>
        <v xml:space="preserve">0012178 </v>
      </c>
      <c r="B3303" t="s">
        <v>10862</v>
      </c>
      <c r="C3303" t="s">
        <v>10863</v>
      </c>
      <c r="D3303" t="s">
        <v>10864</v>
      </c>
      <c r="E3303" t="s">
        <v>16</v>
      </c>
      <c r="F3303" t="s">
        <v>10865</v>
      </c>
      <c r="G3303" t="s">
        <v>10862</v>
      </c>
      <c r="H3303" t="s">
        <v>10863</v>
      </c>
      <c r="I3303" t="s">
        <v>10866</v>
      </c>
    </row>
    <row r="3304" spans="1:9">
      <c r="A3304" t="str">
        <f>"0012181 "</f>
        <v xml:space="preserve">0012181 </v>
      </c>
      <c r="B3304" t="s">
        <v>10862</v>
      </c>
      <c r="C3304" t="s">
        <v>10867</v>
      </c>
      <c r="D3304" t="s">
        <v>10868</v>
      </c>
      <c r="E3304" t="s">
        <v>16</v>
      </c>
      <c r="F3304" t="s">
        <v>10869</v>
      </c>
      <c r="G3304" t="s">
        <v>10862</v>
      </c>
      <c r="H3304" t="s">
        <v>10867</v>
      </c>
      <c r="I3304" t="s">
        <v>10870</v>
      </c>
    </row>
    <row r="3305" spans="1:9">
      <c r="A3305" t="str">
        <f>"0012180 "</f>
        <v xml:space="preserve">0012180 </v>
      </c>
      <c r="B3305" t="s">
        <v>10862</v>
      </c>
      <c r="C3305" t="s">
        <v>10871</v>
      </c>
      <c r="D3305" t="s">
        <v>10872</v>
      </c>
      <c r="E3305">
        <v>1</v>
      </c>
      <c r="F3305" t="s">
        <v>10873</v>
      </c>
      <c r="G3305" t="s">
        <v>10862</v>
      </c>
      <c r="H3305" t="s">
        <v>10871</v>
      </c>
      <c r="I3305" t="s">
        <v>10874</v>
      </c>
    </row>
    <row r="3306" spans="1:9">
      <c r="A3306" t="str">
        <f>"0012192 "</f>
        <v xml:space="preserve">0012192 </v>
      </c>
      <c r="B3306" t="s">
        <v>10862</v>
      </c>
      <c r="C3306" t="s">
        <v>10875</v>
      </c>
      <c r="D3306" t="s">
        <v>10876</v>
      </c>
      <c r="E3306" t="s">
        <v>16</v>
      </c>
      <c r="F3306" t="s">
        <v>10877</v>
      </c>
      <c r="G3306" t="s">
        <v>10862</v>
      </c>
      <c r="H3306" t="s">
        <v>10875</v>
      </c>
      <c r="I3306" t="s">
        <v>10878</v>
      </c>
    </row>
    <row r="3307" spans="1:9">
      <c r="A3307" t="str">
        <f>"0012185 "</f>
        <v xml:space="preserve">0012185 </v>
      </c>
      <c r="B3307" t="s">
        <v>10862</v>
      </c>
      <c r="C3307" t="s">
        <v>10879</v>
      </c>
      <c r="D3307" t="s">
        <v>10880</v>
      </c>
      <c r="E3307" t="s">
        <v>16</v>
      </c>
      <c r="F3307" t="s">
        <v>10881</v>
      </c>
      <c r="G3307" t="s">
        <v>10862</v>
      </c>
      <c r="H3307" t="s">
        <v>10879</v>
      </c>
      <c r="I3307" t="s">
        <v>10882</v>
      </c>
    </row>
    <row r="3308" spans="1:9">
      <c r="A3308" t="str">
        <f>"0012191 "</f>
        <v xml:space="preserve">0012191 </v>
      </c>
      <c r="B3308" t="s">
        <v>10862</v>
      </c>
      <c r="C3308" t="s">
        <v>10883</v>
      </c>
      <c r="D3308" t="s">
        <v>10884</v>
      </c>
      <c r="E3308" t="s">
        <v>16</v>
      </c>
      <c r="F3308" t="s">
        <v>10885</v>
      </c>
      <c r="G3308" t="s">
        <v>10862</v>
      </c>
      <c r="H3308" t="s">
        <v>10883</v>
      </c>
      <c r="I3308" t="s">
        <v>10886</v>
      </c>
    </row>
    <row r="3309" spans="1:9">
      <c r="A3309" t="str">
        <f>"0012189 "</f>
        <v xml:space="preserve">0012189 </v>
      </c>
      <c r="B3309" t="s">
        <v>10862</v>
      </c>
      <c r="C3309" t="s">
        <v>10887</v>
      </c>
      <c r="D3309" t="s">
        <v>10888</v>
      </c>
      <c r="E3309" t="s">
        <v>16</v>
      </c>
      <c r="F3309" t="s">
        <v>10889</v>
      </c>
      <c r="G3309" t="s">
        <v>10862</v>
      </c>
      <c r="H3309" t="s">
        <v>10887</v>
      </c>
      <c r="I3309" t="s">
        <v>10890</v>
      </c>
    </row>
    <row r="3310" spans="1:9">
      <c r="A3310" t="str">
        <f>"0241254 "</f>
        <v xml:space="preserve">0241254 </v>
      </c>
      <c r="B3310" t="s">
        <v>10862</v>
      </c>
      <c r="C3310" t="s">
        <v>10891</v>
      </c>
      <c r="D3310" t="s">
        <v>10892</v>
      </c>
      <c r="E3310" t="s">
        <v>16</v>
      </c>
      <c r="F3310" t="s">
        <v>10893</v>
      </c>
      <c r="G3310" t="s">
        <v>10862</v>
      </c>
      <c r="H3310" t="s">
        <v>10891</v>
      </c>
      <c r="I3310" t="s">
        <v>10894</v>
      </c>
    </row>
    <row r="3311" spans="1:9">
      <c r="A3311" t="str">
        <f>"0241255 "</f>
        <v xml:space="preserve">0241255 </v>
      </c>
      <c r="B3311" t="s">
        <v>10862</v>
      </c>
      <c r="C3311" t="s">
        <v>10895</v>
      </c>
      <c r="D3311" t="s">
        <v>10896</v>
      </c>
      <c r="E3311" t="s">
        <v>16</v>
      </c>
      <c r="F3311" t="s">
        <v>10897</v>
      </c>
      <c r="G3311" t="s">
        <v>10862</v>
      </c>
      <c r="H3311" t="s">
        <v>10895</v>
      </c>
      <c r="I3311" t="s">
        <v>10898</v>
      </c>
    </row>
    <row r="3312" spans="1:9">
      <c r="A3312" t="str">
        <f>"0155857 "</f>
        <v xml:space="preserve">0155857 </v>
      </c>
      <c r="B3312" t="s">
        <v>10862</v>
      </c>
      <c r="C3312" t="s">
        <v>10899</v>
      </c>
      <c r="D3312" t="s">
        <v>10900</v>
      </c>
      <c r="E3312" t="s">
        <v>16</v>
      </c>
      <c r="F3312" t="s">
        <v>10901</v>
      </c>
      <c r="G3312" t="s">
        <v>10862</v>
      </c>
      <c r="H3312" t="s">
        <v>10899</v>
      </c>
    </row>
    <row r="3313" spans="1:9">
      <c r="A3313" t="str">
        <f>"0155858 "</f>
        <v xml:space="preserve">0155858 </v>
      </c>
      <c r="B3313" t="s">
        <v>10862</v>
      </c>
      <c r="C3313" t="s">
        <v>10902</v>
      </c>
      <c r="D3313" t="s">
        <v>10903</v>
      </c>
      <c r="E3313" t="s">
        <v>16</v>
      </c>
      <c r="F3313" t="s">
        <v>10904</v>
      </c>
      <c r="G3313" t="s">
        <v>10862</v>
      </c>
      <c r="H3313" t="s">
        <v>10902</v>
      </c>
    </row>
    <row r="3314" spans="1:9">
      <c r="A3314" t="str">
        <f>"0012193 "</f>
        <v xml:space="preserve">0012193 </v>
      </c>
      <c r="B3314" t="s">
        <v>10862</v>
      </c>
      <c r="C3314" t="s">
        <v>10905</v>
      </c>
      <c r="D3314" t="s">
        <v>10906</v>
      </c>
      <c r="E3314">
        <v>4</v>
      </c>
      <c r="F3314" t="s">
        <v>10907</v>
      </c>
      <c r="G3314" t="s">
        <v>10862</v>
      </c>
      <c r="H3314" t="s">
        <v>10905</v>
      </c>
      <c r="I3314" t="s">
        <v>10908</v>
      </c>
    </row>
    <row r="3315" spans="1:9">
      <c r="A3315" t="str">
        <f>"0012194 "</f>
        <v xml:space="preserve">0012194 </v>
      </c>
      <c r="B3315" t="s">
        <v>10862</v>
      </c>
      <c r="C3315" t="s">
        <v>10909</v>
      </c>
      <c r="D3315" t="s">
        <v>10910</v>
      </c>
      <c r="E3315" t="s">
        <v>16</v>
      </c>
      <c r="F3315" t="s">
        <v>10911</v>
      </c>
      <c r="G3315" t="s">
        <v>10862</v>
      </c>
      <c r="H3315" t="s">
        <v>10909</v>
      </c>
      <c r="I3315" t="s">
        <v>10912</v>
      </c>
    </row>
    <row r="3316" spans="1:9">
      <c r="A3316" t="str">
        <f>"0034706 "</f>
        <v xml:space="preserve">0034706 </v>
      </c>
      <c r="B3316" t="s">
        <v>10913</v>
      </c>
      <c r="C3316" t="s">
        <v>10914</v>
      </c>
      <c r="D3316" t="s">
        <v>10915</v>
      </c>
      <c r="E3316">
        <v>1</v>
      </c>
      <c r="F3316" t="s">
        <v>10916</v>
      </c>
      <c r="G3316" t="s">
        <v>10917</v>
      </c>
      <c r="H3316" t="s">
        <v>10914</v>
      </c>
      <c r="I3316" t="s">
        <v>10918</v>
      </c>
    </row>
    <row r="3317" spans="1:9">
      <c r="A3317" t="str">
        <f>"0034713 "</f>
        <v xml:space="preserve">0034713 </v>
      </c>
      <c r="B3317" t="s">
        <v>10913</v>
      </c>
      <c r="C3317" t="s">
        <v>10919</v>
      </c>
      <c r="D3317" t="s">
        <v>10920</v>
      </c>
      <c r="E3317">
        <v>1</v>
      </c>
      <c r="F3317" t="s">
        <v>10921</v>
      </c>
      <c r="G3317" t="s">
        <v>10917</v>
      </c>
      <c r="H3317" t="s">
        <v>10919</v>
      </c>
      <c r="I3317" t="s">
        <v>10922</v>
      </c>
    </row>
    <row r="3318" spans="1:9">
      <c r="A3318" t="str">
        <f>"0035351 "</f>
        <v xml:space="preserve">0035351 </v>
      </c>
      <c r="B3318" t="s">
        <v>10913</v>
      </c>
      <c r="C3318" t="s">
        <v>10923</v>
      </c>
      <c r="D3318" t="s">
        <v>10924</v>
      </c>
      <c r="E3318">
        <v>1</v>
      </c>
      <c r="F3318" t="s">
        <v>10925</v>
      </c>
      <c r="G3318" t="s">
        <v>10917</v>
      </c>
      <c r="H3318" t="s">
        <v>10923</v>
      </c>
      <c r="I3318" t="s">
        <v>10926</v>
      </c>
    </row>
    <row r="3319" spans="1:9">
      <c r="A3319" t="str">
        <f>"0035355 "</f>
        <v xml:space="preserve">0035355 </v>
      </c>
      <c r="B3319" t="s">
        <v>10913</v>
      </c>
      <c r="C3319" t="s">
        <v>10927</v>
      </c>
      <c r="D3319" t="s">
        <v>10928</v>
      </c>
      <c r="E3319">
        <v>1</v>
      </c>
      <c r="F3319" t="s">
        <v>10929</v>
      </c>
      <c r="G3319" t="s">
        <v>10917</v>
      </c>
      <c r="H3319" t="s">
        <v>10927</v>
      </c>
      <c r="I3319" t="s">
        <v>10930</v>
      </c>
    </row>
    <row r="3320" spans="1:9">
      <c r="A3320" t="str">
        <f>"0035358 "</f>
        <v xml:space="preserve">0035358 </v>
      </c>
      <c r="B3320" t="s">
        <v>10913</v>
      </c>
      <c r="C3320" t="s">
        <v>10931</v>
      </c>
      <c r="D3320" t="s">
        <v>10932</v>
      </c>
      <c r="E3320">
        <v>2</v>
      </c>
      <c r="F3320" t="s">
        <v>10933</v>
      </c>
      <c r="G3320" t="s">
        <v>10917</v>
      </c>
      <c r="H3320" t="s">
        <v>10931</v>
      </c>
      <c r="I3320" t="s">
        <v>10934</v>
      </c>
    </row>
    <row r="3321" spans="1:9">
      <c r="A3321" t="str">
        <f>"0034737 "</f>
        <v xml:space="preserve">0034737 </v>
      </c>
      <c r="B3321" t="s">
        <v>10913</v>
      </c>
      <c r="C3321" t="s">
        <v>10935</v>
      </c>
      <c r="D3321" t="s">
        <v>10936</v>
      </c>
      <c r="E3321">
        <v>2</v>
      </c>
      <c r="F3321" t="s">
        <v>10937</v>
      </c>
      <c r="G3321" t="s">
        <v>10917</v>
      </c>
      <c r="H3321" t="s">
        <v>10935</v>
      </c>
      <c r="I3321" t="s">
        <v>10938</v>
      </c>
    </row>
    <row r="3322" spans="1:9">
      <c r="A3322" t="str">
        <f>"0034758 "</f>
        <v xml:space="preserve">0034758 </v>
      </c>
      <c r="B3322" t="s">
        <v>10913</v>
      </c>
      <c r="C3322" t="s">
        <v>10939</v>
      </c>
      <c r="D3322" t="s">
        <v>10940</v>
      </c>
      <c r="E3322">
        <v>1</v>
      </c>
      <c r="F3322" t="s">
        <v>10941</v>
      </c>
      <c r="G3322" t="s">
        <v>10917</v>
      </c>
      <c r="H3322" t="s">
        <v>10939</v>
      </c>
      <c r="I3322" t="s">
        <v>10942</v>
      </c>
    </row>
    <row r="3323" spans="1:9">
      <c r="A3323" t="str">
        <f>"0034798 "</f>
        <v xml:space="preserve">0034798 </v>
      </c>
      <c r="B3323" t="s">
        <v>10913</v>
      </c>
      <c r="C3323" t="s">
        <v>10943</v>
      </c>
      <c r="D3323" t="s">
        <v>10944</v>
      </c>
      <c r="E3323">
        <v>1</v>
      </c>
      <c r="F3323" t="s">
        <v>10945</v>
      </c>
      <c r="G3323" t="s">
        <v>10917</v>
      </c>
      <c r="H3323" t="s">
        <v>10943</v>
      </c>
      <c r="I3323" t="s">
        <v>10946</v>
      </c>
    </row>
    <row r="3324" spans="1:9">
      <c r="A3324" t="str">
        <f>"0034827 "</f>
        <v xml:space="preserve">0034827 </v>
      </c>
      <c r="B3324" t="s">
        <v>10913</v>
      </c>
      <c r="C3324" t="s">
        <v>10947</v>
      </c>
      <c r="D3324" t="s">
        <v>10948</v>
      </c>
      <c r="E3324">
        <v>1</v>
      </c>
      <c r="F3324" t="s">
        <v>10949</v>
      </c>
      <c r="G3324" t="s">
        <v>10917</v>
      </c>
      <c r="H3324" t="s">
        <v>10947</v>
      </c>
      <c r="I3324" s="2" t="s">
        <v>10950</v>
      </c>
    </row>
    <row r="3325" spans="1:9">
      <c r="A3325" t="str">
        <f>"0034831 "</f>
        <v xml:space="preserve">0034831 </v>
      </c>
      <c r="B3325" t="s">
        <v>10913</v>
      </c>
      <c r="C3325" t="s">
        <v>10951</v>
      </c>
      <c r="D3325" t="s">
        <v>10952</v>
      </c>
      <c r="E3325">
        <v>2</v>
      </c>
      <c r="F3325" t="s">
        <v>10953</v>
      </c>
      <c r="G3325" t="s">
        <v>10917</v>
      </c>
      <c r="H3325" t="s">
        <v>10951</v>
      </c>
      <c r="I3325" t="s">
        <v>10954</v>
      </c>
    </row>
    <row r="3326" spans="1:9">
      <c r="A3326" t="str">
        <f>"0034834 "</f>
        <v xml:space="preserve">0034834 </v>
      </c>
      <c r="B3326" t="s">
        <v>10913</v>
      </c>
      <c r="C3326" t="s">
        <v>10955</v>
      </c>
      <c r="D3326" t="s">
        <v>10956</v>
      </c>
      <c r="E3326">
        <v>1</v>
      </c>
      <c r="F3326" t="s">
        <v>10957</v>
      </c>
      <c r="G3326" t="s">
        <v>10917</v>
      </c>
      <c r="H3326" t="s">
        <v>10955</v>
      </c>
      <c r="I3326" s="2" t="s">
        <v>10958</v>
      </c>
    </row>
    <row r="3327" spans="1:9">
      <c r="A3327" t="str">
        <f>"0034835 "</f>
        <v xml:space="preserve">0034835 </v>
      </c>
      <c r="B3327" t="s">
        <v>10913</v>
      </c>
      <c r="C3327" t="s">
        <v>10959</v>
      </c>
      <c r="D3327" t="s">
        <v>10960</v>
      </c>
      <c r="E3327">
        <v>1</v>
      </c>
      <c r="F3327" t="s">
        <v>10961</v>
      </c>
      <c r="G3327" t="s">
        <v>10917</v>
      </c>
      <c r="H3327" t="s">
        <v>10959</v>
      </c>
      <c r="I3327" t="s">
        <v>10962</v>
      </c>
    </row>
    <row r="3328" spans="1:9">
      <c r="A3328" t="str">
        <f>"0154186 "</f>
        <v xml:space="preserve">0154186 </v>
      </c>
      <c r="B3328" t="s">
        <v>10913</v>
      </c>
      <c r="C3328" t="s">
        <v>10963</v>
      </c>
      <c r="D3328" t="s">
        <v>10964</v>
      </c>
      <c r="E3328">
        <v>1</v>
      </c>
      <c r="F3328" t="s">
        <v>10965</v>
      </c>
      <c r="G3328" t="s">
        <v>10917</v>
      </c>
      <c r="H3328" t="s">
        <v>10963</v>
      </c>
      <c r="I3328" t="s">
        <v>10966</v>
      </c>
    </row>
    <row r="3329" spans="1:9">
      <c r="A3329" t="str">
        <f>"0034898 "</f>
        <v xml:space="preserve">0034898 </v>
      </c>
      <c r="B3329" t="s">
        <v>10913</v>
      </c>
      <c r="C3329" t="s">
        <v>10967</v>
      </c>
      <c r="D3329" t="s">
        <v>10968</v>
      </c>
      <c r="E3329">
        <v>1</v>
      </c>
      <c r="F3329" t="s">
        <v>10969</v>
      </c>
      <c r="G3329" t="s">
        <v>10917</v>
      </c>
      <c r="H3329" t="s">
        <v>10967</v>
      </c>
      <c r="I3329" t="s">
        <v>10970</v>
      </c>
    </row>
    <row r="3330" spans="1:9">
      <c r="A3330" t="str">
        <f>"0034900 "</f>
        <v xml:space="preserve">0034900 </v>
      </c>
      <c r="B3330" t="s">
        <v>10913</v>
      </c>
      <c r="C3330" t="s">
        <v>10971</v>
      </c>
      <c r="D3330" t="s">
        <v>10972</v>
      </c>
      <c r="E3330">
        <v>2</v>
      </c>
      <c r="F3330" t="s">
        <v>10969</v>
      </c>
      <c r="G3330" t="s">
        <v>10917</v>
      </c>
      <c r="H3330" t="s">
        <v>10971</v>
      </c>
      <c r="I3330" t="s">
        <v>10973</v>
      </c>
    </row>
    <row r="3331" spans="1:9">
      <c r="A3331" t="str">
        <f>"0034926 "</f>
        <v xml:space="preserve">0034926 </v>
      </c>
      <c r="B3331" t="s">
        <v>10913</v>
      </c>
      <c r="C3331" t="s">
        <v>10974</v>
      </c>
      <c r="D3331" t="s">
        <v>10975</v>
      </c>
      <c r="E3331">
        <v>5</v>
      </c>
      <c r="F3331" t="s">
        <v>10976</v>
      </c>
      <c r="G3331" t="s">
        <v>10917</v>
      </c>
      <c r="H3331" t="s">
        <v>10974</v>
      </c>
      <c r="I3331" t="s">
        <v>5009</v>
      </c>
    </row>
    <row r="3332" spans="1:9">
      <c r="A3332" t="str">
        <f>"0034927 "</f>
        <v xml:space="preserve">0034927 </v>
      </c>
      <c r="B3332" t="s">
        <v>10913</v>
      </c>
      <c r="C3332" t="s">
        <v>10977</v>
      </c>
      <c r="D3332" t="s">
        <v>10978</v>
      </c>
      <c r="E3332">
        <v>1</v>
      </c>
      <c r="F3332" t="s">
        <v>10979</v>
      </c>
      <c r="G3332" t="s">
        <v>10917</v>
      </c>
      <c r="H3332" t="s">
        <v>10977</v>
      </c>
      <c r="I3332" s="2" t="s">
        <v>10980</v>
      </c>
    </row>
    <row r="3333" spans="1:9">
      <c r="A3333" t="str">
        <f>"0034932 "</f>
        <v xml:space="preserve">0034932 </v>
      </c>
      <c r="B3333" t="s">
        <v>10913</v>
      </c>
      <c r="C3333" t="s">
        <v>10981</v>
      </c>
      <c r="D3333" t="s">
        <v>10982</v>
      </c>
      <c r="E3333">
        <v>1</v>
      </c>
      <c r="F3333" t="s">
        <v>10983</v>
      </c>
      <c r="G3333" t="s">
        <v>10917</v>
      </c>
      <c r="H3333" t="s">
        <v>10981</v>
      </c>
      <c r="I3333" t="s">
        <v>10984</v>
      </c>
    </row>
    <row r="3334" spans="1:9">
      <c r="A3334" t="str">
        <f>"0034941 "</f>
        <v xml:space="preserve">0034941 </v>
      </c>
      <c r="B3334" t="s">
        <v>10913</v>
      </c>
      <c r="C3334" t="s">
        <v>10985</v>
      </c>
      <c r="D3334" t="s">
        <v>10986</v>
      </c>
      <c r="E3334">
        <v>1</v>
      </c>
      <c r="F3334" t="s">
        <v>10987</v>
      </c>
      <c r="G3334" t="s">
        <v>10917</v>
      </c>
      <c r="H3334" t="s">
        <v>10985</v>
      </c>
      <c r="I3334" t="s">
        <v>10988</v>
      </c>
    </row>
    <row r="3335" spans="1:9">
      <c r="A3335" t="str">
        <f>"0034949 "</f>
        <v xml:space="preserve">0034949 </v>
      </c>
      <c r="B3335" t="s">
        <v>10913</v>
      </c>
      <c r="C3335" t="s">
        <v>10989</v>
      </c>
      <c r="D3335" t="s">
        <v>10990</v>
      </c>
      <c r="E3335">
        <v>3</v>
      </c>
      <c r="F3335" t="s">
        <v>10991</v>
      </c>
      <c r="G3335" t="s">
        <v>10917</v>
      </c>
      <c r="H3335" t="s">
        <v>10989</v>
      </c>
      <c r="I3335" t="s">
        <v>10992</v>
      </c>
    </row>
    <row r="3336" spans="1:9">
      <c r="A3336" t="str">
        <f>"0034958 "</f>
        <v xml:space="preserve">0034958 </v>
      </c>
      <c r="B3336" t="s">
        <v>10913</v>
      </c>
      <c r="C3336" t="s">
        <v>10993</v>
      </c>
      <c r="D3336" t="s">
        <v>10994</v>
      </c>
      <c r="E3336">
        <v>4</v>
      </c>
      <c r="F3336" t="s">
        <v>10995</v>
      </c>
      <c r="G3336" t="s">
        <v>10917</v>
      </c>
      <c r="H3336" t="s">
        <v>10993</v>
      </c>
      <c r="I3336" t="s">
        <v>10996</v>
      </c>
    </row>
    <row r="3337" spans="1:9">
      <c r="A3337" t="str">
        <f>"0034963 "</f>
        <v xml:space="preserve">0034963 </v>
      </c>
      <c r="B3337" t="s">
        <v>10913</v>
      </c>
      <c r="C3337" t="s">
        <v>10997</v>
      </c>
      <c r="D3337" t="s">
        <v>10998</v>
      </c>
      <c r="E3337">
        <v>1</v>
      </c>
      <c r="F3337" t="s">
        <v>10953</v>
      </c>
      <c r="G3337" t="s">
        <v>10917</v>
      </c>
      <c r="H3337" t="s">
        <v>10997</v>
      </c>
      <c r="I3337" s="2" t="s">
        <v>10999</v>
      </c>
    </row>
    <row r="3338" spans="1:9">
      <c r="A3338" t="str">
        <f>"0034964 "</f>
        <v xml:space="preserve">0034964 </v>
      </c>
      <c r="B3338" t="s">
        <v>10913</v>
      </c>
      <c r="C3338" t="s">
        <v>11000</v>
      </c>
      <c r="D3338" t="s">
        <v>11001</v>
      </c>
      <c r="E3338">
        <v>1</v>
      </c>
      <c r="F3338" t="s">
        <v>11002</v>
      </c>
      <c r="G3338" t="s">
        <v>10917</v>
      </c>
      <c r="H3338" t="s">
        <v>11000</v>
      </c>
      <c r="I3338" s="2" t="s">
        <v>11003</v>
      </c>
    </row>
    <row r="3339" spans="1:9">
      <c r="A3339" t="str">
        <f>"0034968 "</f>
        <v xml:space="preserve">0034968 </v>
      </c>
      <c r="B3339" t="s">
        <v>10913</v>
      </c>
      <c r="C3339" t="s">
        <v>11004</v>
      </c>
      <c r="D3339" t="s">
        <v>11005</v>
      </c>
      <c r="E3339">
        <v>1</v>
      </c>
      <c r="F3339" t="s">
        <v>11006</v>
      </c>
      <c r="G3339" t="s">
        <v>10917</v>
      </c>
      <c r="H3339" t="s">
        <v>11004</v>
      </c>
      <c r="I3339" s="2" t="s">
        <v>11007</v>
      </c>
    </row>
    <row r="3340" spans="1:9">
      <c r="A3340" t="str">
        <f>"0034971 "</f>
        <v xml:space="preserve">0034971 </v>
      </c>
      <c r="B3340" t="s">
        <v>10913</v>
      </c>
      <c r="C3340" t="s">
        <v>11008</v>
      </c>
      <c r="D3340" t="s">
        <v>11009</v>
      </c>
      <c r="E3340">
        <v>1</v>
      </c>
      <c r="F3340" t="s">
        <v>11010</v>
      </c>
      <c r="G3340" t="s">
        <v>10917</v>
      </c>
      <c r="H3340" t="s">
        <v>11008</v>
      </c>
      <c r="I3340" t="s">
        <v>11011</v>
      </c>
    </row>
    <row r="3341" spans="1:9">
      <c r="A3341" t="str">
        <f>"0034981 "</f>
        <v xml:space="preserve">0034981 </v>
      </c>
      <c r="B3341" t="s">
        <v>10913</v>
      </c>
      <c r="C3341" t="s">
        <v>11012</v>
      </c>
      <c r="D3341" t="s">
        <v>11013</v>
      </c>
      <c r="E3341">
        <v>2</v>
      </c>
      <c r="F3341" t="s">
        <v>11014</v>
      </c>
      <c r="G3341" t="s">
        <v>10917</v>
      </c>
      <c r="H3341" t="s">
        <v>11012</v>
      </c>
      <c r="I3341" s="2" t="s">
        <v>11015</v>
      </c>
    </row>
    <row r="3342" spans="1:9">
      <c r="A3342" t="str">
        <f>"0034983 "</f>
        <v xml:space="preserve">0034983 </v>
      </c>
      <c r="B3342" t="s">
        <v>10913</v>
      </c>
      <c r="C3342" t="s">
        <v>11016</v>
      </c>
      <c r="D3342" t="s">
        <v>11017</v>
      </c>
      <c r="E3342">
        <v>4</v>
      </c>
      <c r="F3342" t="s">
        <v>11018</v>
      </c>
      <c r="G3342" t="s">
        <v>10917</v>
      </c>
      <c r="H3342" t="s">
        <v>11016</v>
      </c>
      <c r="I3342" s="2" t="s">
        <v>11019</v>
      </c>
    </row>
    <row r="3343" spans="1:9">
      <c r="A3343" t="str">
        <f>"0034985 "</f>
        <v xml:space="preserve">0034985 </v>
      </c>
      <c r="B3343" t="s">
        <v>10913</v>
      </c>
      <c r="C3343" t="s">
        <v>11020</v>
      </c>
      <c r="D3343" t="s">
        <v>11021</v>
      </c>
      <c r="E3343">
        <v>2</v>
      </c>
      <c r="F3343" t="s">
        <v>11022</v>
      </c>
      <c r="G3343" t="s">
        <v>10917</v>
      </c>
      <c r="H3343" t="s">
        <v>11020</v>
      </c>
      <c r="I3343" t="s">
        <v>11023</v>
      </c>
    </row>
    <row r="3344" spans="1:9">
      <c r="A3344" t="str">
        <f>"0034989 "</f>
        <v xml:space="preserve">0034989 </v>
      </c>
      <c r="B3344" t="s">
        <v>10913</v>
      </c>
      <c r="C3344" t="s">
        <v>11024</v>
      </c>
      <c r="D3344" t="s">
        <v>11025</v>
      </c>
      <c r="E3344">
        <v>2</v>
      </c>
      <c r="F3344" t="s">
        <v>11026</v>
      </c>
      <c r="G3344" t="s">
        <v>10917</v>
      </c>
      <c r="H3344" t="s">
        <v>11024</v>
      </c>
      <c r="I3344" t="s">
        <v>11027</v>
      </c>
    </row>
    <row r="3345" spans="1:9">
      <c r="A3345" t="str">
        <f>"0035014 "</f>
        <v xml:space="preserve">0035014 </v>
      </c>
      <c r="B3345" t="s">
        <v>10913</v>
      </c>
      <c r="C3345" t="s">
        <v>11028</v>
      </c>
      <c r="D3345" t="s">
        <v>11029</v>
      </c>
      <c r="E3345">
        <v>1</v>
      </c>
      <c r="F3345" t="s">
        <v>11030</v>
      </c>
      <c r="G3345" t="s">
        <v>10917</v>
      </c>
      <c r="H3345" t="s">
        <v>11028</v>
      </c>
      <c r="I3345" t="s">
        <v>11031</v>
      </c>
    </row>
    <row r="3346" spans="1:9">
      <c r="A3346" t="str">
        <f>"0035019 "</f>
        <v xml:space="preserve">0035019 </v>
      </c>
      <c r="B3346" t="s">
        <v>10913</v>
      </c>
      <c r="C3346" t="s">
        <v>11032</v>
      </c>
      <c r="D3346" t="s">
        <v>11033</v>
      </c>
      <c r="E3346">
        <v>2</v>
      </c>
      <c r="F3346" t="s">
        <v>11034</v>
      </c>
      <c r="G3346" t="s">
        <v>10917</v>
      </c>
      <c r="H3346" t="s">
        <v>11032</v>
      </c>
      <c r="I3346" t="s">
        <v>11035</v>
      </c>
    </row>
    <row r="3347" spans="1:9">
      <c r="A3347" t="str">
        <f>"0035101 "</f>
        <v xml:space="preserve">0035101 </v>
      </c>
      <c r="B3347" t="s">
        <v>10913</v>
      </c>
      <c r="C3347" t="s">
        <v>11036</v>
      </c>
      <c r="D3347" t="s">
        <v>11037</v>
      </c>
      <c r="E3347">
        <v>1</v>
      </c>
      <c r="F3347" t="s">
        <v>11038</v>
      </c>
      <c r="G3347" t="s">
        <v>10917</v>
      </c>
      <c r="H3347" t="s">
        <v>11036</v>
      </c>
      <c r="I3347" t="s">
        <v>11039</v>
      </c>
    </row>
    <row r="3348" spans="1:9">
      <c r="A3348" t="str">
        <f>"0035105 "</f>
        <v xml:space="preserve">0035105 </v>
      </c>
      <c r="B3348" t="s">
        <v>10913</v>
      </c>
      <c r="C3348" t="s">
        <v>11040</v>
      </c>
      <c r="D3348" t="s">
        <v>11041</v>
      </c>
      <c r="E3348">
        <v>2</v>
      </c>
      <c r="F3348" t="s">
        <v>11042</v>
      </c>
      <c r="G3348" t="s">
        <v>10917</v>
      </c>
      <c r="H3348" t="s">
        <v>11040</v>
      </c>
      <c r="I3348" t="s">
        <v>11043</v>
      </c>
    </row>
    <row r="3349" spans="1:9">
      <c r="A3349" t="str">
        <f>"0035146 "</f>
        <v xml:space="preserve">0035146 </v>
      </c>
      <c r="B3349" t="s">
        <v>10913</v>
      </c>
      <c r="C3349" t="s">
        <v>11044</v>
      </c>
      <c r="D3349" t="s">
        <v>11045</v>
      </c>
      <c r="E3349">
        <v>2</v>
      </c>
      <c r="F3349" t="s">
        <v>11046</v>
      </c>
      <c r="G3349" t="s">
        <v>10917</v>
      </c>
      <c r="H3349" t="s">
        <v>11044</v>
      </c>
      <c r="I3349" s="2" t="s">
        <v>11047</v>
      </c>
    </row>
    <row r="3350" spans="1:9">
      <c r="A3350" t="str">
        <f>"0035152 "</f>
        <v xml:space="preserve">0035152 </v>
      </c>
      <c r="B3350" t="s">
        <v>10913</v>
      </c>
      <c r="C3350" t="s">
        <v>11048</v>
      </c>
      <c r="D3350" t="s">
        <v>11049</v>
      </c>
      <c r="E3350">
        <v>2</v>
      </c>
      <c r="F3350" t="s">
        <v>11050</v>
      </c>
      <c r="G3350" t="s">
        <v>10917</v>
      </c>
      <c r="H3350" t="s">
        <v>11048</v>
      </c>
      <c r="I3350" s="2" t="s">
        <v>11051</v>
      </c>
    </row>
    <row r="3351" spans="1:9">
      <c r="A3351" t="str">
        <f>"0035231 "</f>
        <v xml:space="preserve">0035231 </v>
      </c>
      <c r="B3351" t="s">
        <v>10913</v>
      </c>
      <c r="C3351" t="s">
        <v>11052</v>
      </c>
      <c r="D3351" t="s">
        <v>11053</v>
      </c>
      <c r="E3351">
        <v>1</v>
      </c>
      <c r="F3351" t="s">
        <v>11054</v>
      </c>
      <c r="G3351" t="s">
        <v>10917</v>
      </c>
      <c r="H3351" t="s">
        <v>11052</v>
      </c>
      <c r="I3351" s="2" t="s">
        <v>11055</v>
      </c>
    </row>
    <row r="3352" spans="1:9">
      <c r="A3352" t="str">
        <f>"0035233 "</f>
        <v xml:space="preserve">0035233 </v>
      </c>
      <c r="B3352" t="s">
        <v>10913</v>
      </c>
      <c r="C3352" t="s">
        <v>11056</v>
      </c>
      <c r="D3352" t="s">
        <v>11057</v>
      </c>
      <c r="E3352">
        <v>2</v>
      </c>
      <c r="F3352" t="s">
        <v>11058</v>
      </c>
      <c r="G3352" t="s">
        <v>10917</v>
      </c>
      <c r="H3352" t="s">
        <v>11056</v>
      </c>
      <c r="I3352" s="2" t="s">
        <v>11059</v>
      </c>
    </row>
    <row r="3353" spans="1:9">
      <c r="A3353" t="str">
        <f>"0013122 "</f>
        <v xml:space="preserve">0013122 </v>
      </c>
      <c r="B3353" t="s">
        <v>11060</v>
      </c>
      <c r="C3353">
        <v>705</v>
      </c>
      <c r="D3353" t="s">
        <v>11061</v>
      </c>
      <c r="E3353" t="s">
        <v>16</v>
      </c>
      <c r="F3353" t="s">
        <v>11062</v>
      </c>
      <c r="G3353" t="s">
        <v>11060</v>
      </c>
      <c r="H3353">
        <v>705</v>
      </c>
      <c r="I3353" t="s">
        <v>11063</v>
      </c>
    </row>
    <row r="3354" spans="1:9">
      <c r="A3354" t="str">
        <f>"0013119 "</f>
        <v xml:space="preserve">0013119 </v>
      </c>
      <c r="B3354" t="s">
        <v>11060</v>
      </c>
      <c r="C3354">
        <v>715</v>
      </c>
      <c r="D3354" t="s">
        <v>11064</v>
      </c>
      <c r="E3354" t="s">
        <v>16</v>
      </c>
      <c r="F3354" t="s">
        <v>11065</v>
      </c>
      <c r="G3354" t="s">
        <v>11060</v>
      </c>
      <c r="H3354">
        <v>715</v>
      </c>
      <c r="I3354" t="s">
        <v>11063</v>
      </c>
    </row>
    <row r="3355" spans="1:9">
      <c r="A3355" t="str">
        <f>"0013120 "</f>
        <v xml:space="preserve">0013120 </v>
      </c>
      <c r="B3355" t="s">
        <v>11060</v>
      </c>
      <c r="C3355">
        <v>725</v>
      </c>
      <c r="D3355" t="s">
        <v>11066</v>
      </c>
      <c r="E3355" t="s">
        <v>16</v>
      </c>
      <c r="F3355" t="s">
        <v>11067</v>
      </c>
      <c r="G3355" t="s">
        <v>11060</v>
      </c>
      <c r="H3355">
        <v>725</v>
      </c>
      <c r="I3355" t="s">
        <v>11063</v>
      </c>
    </row>
    <row r="3356" spans="1:9">
      <c r="A3356" t="str">
        <f>"0199165 "</f>
        <v xml:space="preserve">0199165 </v>
      </c>
      <c r="B3356" t="s">
        <v>11060</v>
      </c>
      <c r="C3356">
        <v>740</v>
      </c>
      <c r="D3356" t="s">
        <v>11068</v>
      </c>
      <c r="E3356" t="s">
        <v>16</v>
      </c>
      <c r="F3356" t="s">
        <v>11069</v>
      </c>
      <c r="G3356" t="s">
        <v>11060</v>
      </c>
      <c r="H3356">
        <v>740</v>
      </c>
      <c r="I3356" t="s">
        <v>11063</v>
      </c>
    </row>
    <row r="3357" spans="1:9">
      <c r="A3357" t="str">
        <f>"0013121 "</f>
        <v xml:space="preserve">0013121 </v>
      </c>
      <c r="B3357" t="s">
        <v>11060</v>
      </c>
      <c r="C3357">
        <v>750</v>
      </c>
      <c r="D3357" t="s">
        <v>11070</v>
      </c>
      <c r="E3357" t="s">
        <v>16</v>
      </c>
      <c r="F3357" t="s">
        <v>11071</v>
      </c>
      <c r="G3357" t="s">
        <v>11060</v>
      </c>
      <c r="H3357">
        <v>750</v>
      </c>
      <c r="I3357" t="s">
        <v>11063</v>
      </c>
    </row>
    <row r="3358" spans="1:9">
      <c r="A3358" t="str">
        <f>"0013135 "</f>
        <v xml:space="preserve">0013135 </v>
      </c>
      <c r="B3358" t="s">
        <v>11060</v>
      </c>
      <c r="C3358" t="s">
        <v>11072</v>
      </c>
      <c r="D3358" t="s">
        <v>11073</v>
      </c>
      <c r="E3358" t="s">
        <v>16</v>
      </c>
      <c r="F3358" t="s">
        <v>1824</v>
      </c>
      <c r="G3358" t="s">
        <v>11060</v>
      </c>
      <c r="H3358" t="s">
        <v>11072</v>
      </c>
      <c r="I3358" t="s">
        <v>11063</v>
      </c>
    </row>
    <row r="3359" spans="1:9">
      <c r="A3359" t="str">
        <f>"0013224 "</f>
        <v xml:space="preserve">0013224 </v>
      </c>
      <c r="B3359" t="s">
        <v>11060</v>
      </c>
      <c r="C3359" t="s">
        <v>11074</v>
      </c>
      <c r="D3359" t="s">
        <v>11075</v>
      </c>
      <c r="E3359">
        <v>1</v>
      </c>
      <c r="F3359" t="s">
        <v>11076</v>
      </c>
      <c r="G3359" t="s">
        <v>11060</v>
      </c>
      <c r="H3359" t="s">
        <v>11074</v>
      </c>
      <c r="I3359" t="s">
        <v>11063</v>
      </c>
    </row>
    <row r="3360" spans="1:9">
      <c r="A3360" t="str">
        <f>"0013223 "</f>
        <v xml:space="preserve">0013223 </v>
      </c>
      <c r="B3360" t="s">
        <v>11060</v>
      </c>
      <c r="C3360" t="s">
        <v>11077</v>
      </c>
      <c r="D3360" t="s">
        <v>11078</v>
      </c>
      <c r="E3360" t="s">
        <v>16</v>
      </c>
      <c r="F3360" t="s">
        <v>11079</v>
      </c>
      <c r="G3360" t="s">
        <v>11060</v>
      </c>
      <c r="H3360" t="s">
        <v>11077</v>
      </c>
      <c r="I3360" t="s">
        <v>11063</v>
      </c>
    </row>
    <row r="3361" spans="1:8">
      <c r="A3361" t="str">
        <f>"0200530 "</f>
        <v xml:space="preserve">0200530 </v>
      </c>
      <c r="B3361" t="s">
        <v>11060</v>
      </c>
      <c r="C3361" t="s">
        <v>11080</v>
      </c>
      <c r="D3361" t="s">
        <v>11081</v>
      </c>
      <c r="E3361">
        <v>4</v>
      </c>
      <c r="F3361" t="s">
        <v>11082</v>
      </c>
      <c r="G3361" t="s">
        <v>11060</v>
      </c>
      <c r="H3361" t="s">
        <v>11080</v>
      </c>
    </row>
    <row r="3362" spans="1:8">
      <c r="A3362" t="str">
        <f>"0013251 "</f>
        <v xml:space="preserve">0013251 </v>
      </c>
      <c r="B3362" t="s">
        <v>11060</v>
      </c>
      <c r="C3362" t="s">
        <v>11083</v>
      </c>
      <c r="D3362" t="s">
        <v>11084</v>
      </c>
      <c r="E3362" t="s">
        <v>16</v>
      </c>
      <c r="F3362" t="s">
        <v>11085</v>
      </c>
      <c r="G3362" t="s">
        <v>11060</v>
      </c>
      <c r="H3362" t="s">
        <v>11083</v>
      </c>
    </row>
    <row r="3363" spans="1:8">
      <c r="A3363" t="str">
        <f>"0013250 "</f>
        <v xml:space="preserve">0013250 </v>
      </c>
      <c r="B3363" t="s">
        <v>11060</v>
      </c>
      <c r="C3363" t="s">
        <v>11086</v>
      </c>
      <c r="D3363" t="s">
        <v>11087</v>
      </c>
      <c r="E3363" t="s">
        <v>16</v>
      </c>
      <c r="F3363" s="3">
        <v>21855</v>
      </c>
      <c r="G3363" t="s">
        <v>11060</v>
      </c>
      <c r="H3363" t="s">
        <v>11086</v>
      </c>
    </row>
    <row r="3364" spans="1:8">
      <c r="A3364" t="str">
        <f>"0013252 "</f>
        <v xml:space="preserve">0013252 </v>
      </c>
      <c r="B3364" t="s">
        <v>11060</v>
      </c>
      <c r="C3364" t="s">
        <v>11088</v>
      </c>
      <c r="D3364" t="s">
        <v>11089</v>
      </c>
      <c r="E3364" t="s">
        <v>16</v>
      </c>
      <c r="F3364" t="s">
        <v>11090</v>
      </c>
      <c r="G3364" t="s">
        <v>11060</v>
      </c>
      <c r="H3364" t="s">
        <v>11088</v>
      </c>
    </row>
    <row r="3365" spans="1:8">
      <c r="A3365" t="str">
        <f>"0013254 "</f>
        <v xml:space="preserve">0013254 </v>
      </c>
      <c r="B3365" t="s">
        <v>11060</v>
      </c>
      <c r="C3365" t="s">
        <v>11091</v>
      </c>
      <c r="D3365" t="s">
        <v>11092</v>
      </c>
      <c r="E3365" t="s">
        <v>16</v>
      </c>
      <c r="F3365" t="s">
        <v>11093</v>
      </c>
      <c r="G3365" t="s">
        <v>11060</v>
      </c>
      <c r="H3365" t="s">
        <v>11091</v>
      </c>
    </row>
    <row r="3366" spans="1:8">
      <c r="A3366" t="str">
        <f>"0013257 "</f>
        <v xml:space="preserve">0013257 </v>
      </c>
      <c r="B3366" t="s">
        <v>11060</v>
      </c>
      <c r="C3366" t="s">
        <v>11094</v>
      </c>
      <c r="D3366" t="s">
        <v>11095</v>
      </c>
      <c r="E3366" t="s">
        <v>16</v>
      </c>
      <c r="F3366" t="s">
        <v>11085</v>
      </c>
      <c r="G3366" t="s">
        <v>11060</v>
      </c>
      <c r="H3366" t="s">
        <v>11094</v>
      </c>
    </row>
    <row r="3367" spans="1:8">
      <c r="A3367" t="str">
        <f>"0013256 "</f>
        <v xml:space="preserve">0013256 </v>
      </c>
      <c r="B3367" t="s">
        <v>11060</v>
      </c>
      <c r="C3367" t="s">
        <v>11096</v>
      </c>
      <c r="D3367" t="s">
        <v>11097</v>
      </c>
      <c r="E3367" t="s">
        <v>16</v>
      </c>
      <c r="F3367" t="s">
        <v>11098</v>
      </c>
      <c r="G3367" t="s">
        <v>11060</v>
      </c>
      <c r="H3367" t="s">
        <v>11096</v>
      </c>
    </row>
    <row r="3368" spans="1:8">
      <c r="A3368" t="str">
        <f>"0013258 "</f>
        <v xml:space="preserve">0013258 </v>
      </c>
      <c r="B3368" t="s">
        <v>11060</v>
      </c>
      <c r="C3368" t="s">
        <v>11099</v>
      </c>
      <c r="D3368" t="s">
        <v>11100</v>
      </c>
      <c r="E3368" t="s">
        <v>16</v>
      </c>
      <c r="F3368" t="s">
        <v>11101</v>
      </c>
      <c r="G3368" t="s">
        <v>11060</v>
      </c>
      <c r="H3368" t="s">
        <v>11099</v>
      </c>
    </row>
    <row r="3369" spans="1:8">
      <c r="A3369" t="str">
        <f>"0013260 "</f>
        <v xml:space="preserve">0013260 </v>
      </c>
      <c r="B3369" t="s">
        <v>11060</v>
      </c>
      <c r="C3369" t="s">
        <v>11102</v>
      </c>
      <c r="D3369" t="s">
        <v>11103</v>
      </c>
      <c r="E3369">
        <v>5</v>
      </c>
      <c r="F3369" s="1">
        <v>42752</v>
      </c>
      <c r="G3369" t="s">
        <v>11060</v>
      </c>
      <c r="H3369" t="s">
        <v>11102</v>
      </c>
    </row>
    <row r="3370" spans="1:8">
      <c r="A3370" t="str">
        <f>"0013255 "</f>
        <v xml:space="preserve">0013255 </v>
      </c>
      <c r="B3370" t="s">
        <v>11060</v>
      </c>
      <c r="C3370" t="s">
        <v>11104</v>
      </c>
      <c r="D3370" t="s">
        <v>11105</v>
      </c>
      <c r="E3370" t="s">
        <v>16</v>
      </c>
      <c r="F3370" t="s">
        <v>11106</v>
      </c>
      <c r="G3370" t="s">
        <v>11060</v>
      </c>
      <c r="H3370" t="s">
        <v>11104</v>
      </c>
    </row>
    <row r="3371" spans="1:8">
      <c r="A3371" t="str">
        <f>"0013129 "</f>
        <v xml:space="preserve">0013129 </v>
      </c>
      <c r="B3371" t="s">
        <v>11060</v>
      </c>
      <c r="C3371" t="s">
        <v>11107</v>
      </c>
      <c r="D3371" t="s">
        <v>11108</v>
      </c>
      <c r="E3371" t="s">
        <v>16</v>
      </c>
      <c r="F3371" t="s">
        <v>11109</v>
      </c>
      <c r="G3371" t="s">
        <v>11060</v>
      </c>
      <c r="H3371" t="s">
        <v>11107</v>
      </c>
    </row>
    <row r="3372" spans="1:8">
      <c r="A3372" t="str">
        <f>"0013131 "</f>
        <v xml:space="preserve">0013131 </v>
      </c>
      <c r="B3372" t="s">
        <v>11060</v>
      </c>
      <c r="C3372" t="s">
        <v>11110</v>
      </c>
      <c r="D3372" t="s">
        <v>11111</v>
      </c>
      <c r="E3372" t="s">
        <v>16</v>
      </c>
      <c r="F3372" t="s">
        <v>11112</v>
      </c>
      <c r="G3372" t="s">
        <v>11060</v>
      </c>
      <c r="H3372" t="s">
        <v>11110</v>
      </c>
    </row>
    <row r="3373" spans="1:8">
      <c r="A3373" t="str">
        <f>"0013275 "</f>
        <v xml:space="preserve">0013275 </v>
      </c>
      <c r="B3373" t="s">
        <v>11060</v>
      </c>
      <c r="C3373" t="s">
        <v>11113</v>
      </c>
      <c r="D3373" t="s">
        <v>11114</v>
      </c>
      <c r="E3373" t="s">
        <v>16</v>
      </c>
      <c r="F3373" t="s">
        <v>11115</v>
      </c>
      <c r="G3373" t="s">
        <v>11060</v>
      </c>
      <c r="H3373" t="s">
        <v>11113</v>
      </c>
    </row>
    <row r="3374" spans="1:8">
      <c r="A3374" t="str">
        <f>"0013222 "</f>
        <v xml:space="preserve">0013222 </v>
      </c>
      <c r="B3374" t="s">
        <v>11060</v>
      </c>
      <c r="C3374" t="s">
        <v>11116</v>
      </c>
      <c r="D3374" t="s">
        <v>11117</v>
      </c>
      <c r="E3374" t="s">
        <v>16</v>
      </c>
      <c r="F3374" t="s">
        <v>11118</v>
      </c>
      <c r="G3374" t="s">
        <v>11060</v>
      </c>
      <c r="H3374" t="s">
        <v>11116</v>
      </c>
    </row>
    <row r="3375" spans="1:8">
      <c r="A3375" t="str">
        <f>"0013309 "</f>
        <v xml:space="preserve">0013309 </v>
      </c>
      <c r="B3375" t="s">
        <v>11060</v>
      </c>
      <c r="C3375" t="s">
        <v>11119</v>
      </c>
      <c r="D3375" t="s">
        <v>11120</v>
      </c>
      <c r="E3375" t="s">
        <v>16</v>
      </c>
      <c r="F3375" s="1">
        <v>42833</v>
      </c>
      <c r="G3375" t="s">
        <v>11060</v>
      </c>
      <c r="H3375" t="s">
        <v>11119</v>
      </c>
    </row>
    <row r="3376" spans="1:8">
      <c r="A3376" t="str">
        <f>"0013273 "</f>
        <v xml:space="preserve">0013273 </v>
      </c>
      <c r="B3376" t="s">
        <v>11060</v>
      </c>
      <c r="C3376" t="s">
        <v>11121</v>
      </c>
      <c r="D3376" t="s">
        <v>11122</v>
      </c>
      <c r="E3376" t="s">
        <v>16</v>
      </c>
      <c r="F3376" t="s">
        <v>11123</v>
      </c>
      <c r="G3376" t="s">
        <v>11060</v>
      </c>
      <c r="H3376" t="s">
        <v>11121</v>
      </c>
    </row>
    <row r="3377" spans="1:9">
      <c r="A3377" t="str">
        <f>"0137135 "</f>
        <v xml:space="preserve">0137135 </v>
      </c>
      <c r="B3377" t="s">
        <v>11060</v>
      </c>
      <c r="C3377" t="s">
        <v>11124</v>
      </c>
      <c r="D3377" t="s">
        <v>11125</v>
      </c>
      <c r="E3377" t="s">
        <v>16</v>
      </c>
      <c r="F3377" t="s">
        <v>11126</v>
      </c>
      <c r="G3377" t="s">
        <v>11060</v>
      </c>
      <c r="H3377" t="s">
        <v>11124</v>
      </c>
      <c r="I3377" t="s">
        <v>11127</v>
      </c>
    </row>
    <row r="3378" spans="1:9">
      <c r="A3378" t="str">
        <f>"0013206 "</f>
        <v xml:space="preserve">0013206 </v>
      </c>
      <c r="B3378" t="s">
        <v>11060</v>
      </c>
      <c r="C3378" t="s">
        <v>11128</v>
      </c>
      <c r="D3378" t="s">
        <v>11129</v>
      </c>
      <c r="E3378" t="s">
        <v>16</v>
      </c>
      <c r="F3378" t="s">
        <v>11130</v>
      </c>
      <c r="G3378" t="s">
        <v>11060</v>
      </c>
      <c r="H3378" t="s">
        <v>11128</v>
      </c>
      <c r="I3378" t="s">
        <v>11131</v>
      </c>
    </row>
    <row r="3379" spans="1:9">
      <c r="A3379" t="str">
        <f>"0013204 "</f>
        <v xml:space="preserve">0013204 </v>
      </c>
      <c r="B3379" t="s">
        <v>11060</v>
      </c>
      <c r="C3379" t="s">
        <v>11132</v>
      </c>
      <c r="D3379" t="s">
        <v>11133</v>
      </c>
      <c r="E3379" t="s">
        <v>16</v>
      </c>
      <c r="F3379" t="s">
        <v>11134</v>
      </c>
      <c r="G3379" t="s">
        <v>11060</v>
      </c>
      <c r="H3379" t="s">
        <v>11132</v>
      </c>
      <c r="I3379" t="s">
        <v>11135</v>
      </c>
    </row>
    <row r="3380" spans="1:9">
      <c r="A3380" t="str">
        <f>"0217436 "</f>
        <v xml:space="preserve">0217436 </v>
      </c>
      <c r="B3380" t="s">
        <v>11060</v>
      </c>
      <c r="C3380" t="s">
        <v>11136</v>
      </c>
      <c r="D3380" t="s">
        <v>11137</v>
      </c>
      <c r="E3380" t="s">
        <v>16</v>
      </c>
      <c r="F3380" t="s">
        <v>11138</v>
      </c>
      <c r="G3380" t="s">
        <v>11060</v>
      </c>
      <c r="H3380" t="s">
        <v>11136</v>
      </c>
    </row>
    <row r="3381" spans="1:9">
      <c r="A3381" t="str">
        <f>"0013247 "</f>
        <v xml:space="preserve">0013247 </v>
      </c>
      <c r="B3381" t="s">
        <v>11060</v>
      </c>
      <c r="C3381" t="s">
        <v>11139</v>
      </c>
      <c r="D3381" t="s">
        <v>11140</v>
      </c>
      <c r="E3381" t="s">
        <v>16</v>
      </c>
      <c r="F3381" t="s">
        <v>11141</v>
      </c>
      <c r="G3381" t="s">
        <v>11060</v>
      </c>
      <c r="H3381" t="s">
        <v>11139</v>
      </c>
    </row>
    <row r="3382" spans="1:9">
      <c r="A3382" t="str">
        <f>"0218071 "</f>
        <v xml:space="preserve">0218071 </v>
      </c>
      <c r="B3382" t="s">
        <v>11060</v>
      </c>
      <c r="C3382" t="s">
        <v>11142</v>
      </c>
      <c r="D3382" t="s">
        <v>11143</v>
      </c>
      <c r="E3382" t="s">
        <v>16</v>
      </c>
      <c r="F3382" t="s">
        <v>11144</v>
      </c>
      <c r="G3382" t="s">
        <v>11060</v>
      </c>
      <c r="H3382" t="s">
        <v>11142</v>
      </c>
    </row>
    <row r="3383" spans="1:9">
      <c r="A3383" t="str">
        <f>"0013279 "</f>
        <v xml:space="preserve">0013279 </v>
      </c>
      <c r="B3383" t="s">
        <v>11060</v>
      </c>
      <c r="C3383" t="s">
        <v>11145</v>
      </c>
      <c r="D3383" t="s">
        <v>11146</v>
      </c>
      <c r="E3383" t="s">
        <v>16</v>
      </c>
      <c r="F3383" t="s">
        <v>11147</v>
      </c>
      <c r="G3383" t="s">
        <v>11060</v>
      </c>
      <c r="H3383" t="s">
        <v>11145</v>
      </c>
    </row>
    <row r="3384" spans="1:9">
      <c r="A3384" t="str">
        <f>"0013284 "</f>
        <v xml:space="preserve">0013284 </v>
      </c>
      <c r="B3384" t="s">
        <v>11060</v>
      </c>
      <c r="C3384" t="s">
        <v>11148</v>
      </c>
      <c r="D3384" t="s">
        <v>11149</v>
      </c>
      <c r="E3384" t="s">
        <v>16</v>
      </c>
      <c r="F3384" t="s">
        <v>11147</v>
      </c>
      <c r="G3384" t="s">
        <v>11060</v>
      </c>
      <c r="H3384" t="s">
        <v>11148</v>
      </c>
    </row>
    <row r="3385" spans="1:9">
      <c r="A3385" t="str">
        <f>"0013130 "</f>
        <v xml:space="preserve">0013130 </v>
      </c>
      <c r="B3385" t="s">
        <v>11060</v>
      </c>
      <c r="C3385" t="s">
        <v>11150</v>
      </c>
      <c r="D3385" t="s">
        <v>11151</v>
      </c>
      <c r="E3385" t="s">
        <v>16</v>
      </c>
      <c r="F3385" t="s">
        <v>11152</v>
      </c>
      <c r="G3385" t="s">
        <v>11060</v>
      </c>
      <c r="H3385" t="s">
        <v>11150</v>
      </c>
    </row>
    <row r="3386" spans="1:9">
      <c r="A3386" t="str">
        <f>"0013211 "</f>
        <v xml:space="preserve">0013211 </v>
      </c>
      <c r="B3386" t="s">
        <v>11060</v>
      </c>
      <c r="C3386" t="s">
        <v>11153</v>
      </c>
      <c r="D3386" t="s">
        <v>11154</v>
      </c>
      <c r="E3386" t="s">
        <v>16</v>
      </c>
      <c r="F3386" t="s">
        <v>11155</v>
      </c>
      <c r="G3386" t="s">
        <v>11060</v>
      </c>
      <c r="H3386" t="s">
        <v>11153</v>
      </c>
      <c r="I3386" t="s">
        <v>11156</v>
      </c>
    </row>
    <row r="3387" spans="1:9">
      <c r="A3387" t="str">
        <f>"0013287 "</f>
        <v xml:space="preserve">0013287 </v>
      </c>
      <c r="B3387" t="s">
        <v>11060</v>
      </c>
      <c r="C3387" t="s">
        <v>11157</v>
      </c>
      <c r="D3387" t="s">
        <v>11158</v>
      </c>
      <c r="E3387" t="s">
        <v>16</v>
      </c>
      <c r="F3387" t="s">
        <v>11159</v>
      </c>
      <c r="G3387" t="s">
        <v>11060</v>
      </c>
      <c r="H3387" t="s">
        <v>11157</v>
      </c>
    </row>
    <row r="3388" spans="1:9">
      <c r="A3388" t="str">
        <f>"0131913 "</f>
        <v xml:space="preserve">0131913 </v>
      </c>
      <c r="B3388" t="s">
        <v>11060</v>
      </c>
      <c r="C3388" t="s">
        <v>11160</v>
      </c>
      <c r="D3388" t="s">
        <v>11161</v>
      </c>
      <c r="E3388" t="s">
        <v>16</v>
      </c>
      <c r="F3388" t="s">
        <v>11162</v>
      </c>
      <c r="G3388" t="s">
        <v>11060</v>
      </c>
      <c r="H3388" t="s">
        <v>11160</v>
      </c>
    </row>
    <row r="3389" spans="1:9">
      <c r="A3389" t="str">
        <f>"0137136 "</f>
        <v xml:space="preserve">0137136 </v>
      </c>
      <c r="B3389" t="s">
        <v>11060</v>
      </c>
      <c r="C3389" t="s">
        <v>11163</v>
      </c>
      <c r="D3389" t="s">
        <v>11164</v>
      </c>
      <c r="E3389" t="s">
        <v>16</v>
      </c>
      <c r="F3389" t="s">
        <v>11165</v>
      </c>
      <c r="G3389" t="s">
        <v>11060</v>
      </c>
      <c r="H3389" t="s">
        <v>11163</v>
      </c>
    </row>
    <row r="3390" spans="1:9">
      <c r="A3390" t="str">
        <f>"0013201 "</f>
        <v xml:space="preserve">0013201 </v>
      </c>
      <c r="B3390" t="s">
        <v>11060</v>
      </c>
      <c r="C3390" t="s">
        <v>11166</v>
      </c>
      <c r="D3390" t="s">
        <v>11167</v>
      </c>
      <c r="E3390" t="s">
        <v>16</v>
      </c>
      <c r="F3390" s="1">
        <v>42853</v>
      </c>
      <c r="G3390" t="s">
        <v>11060</v>
      </c>
      <c r="H3390" t="s">
        <v>11166</v>
      </c>
      <c r="I3390" t="s">
        <v>11168</v>
      </c>
    </row>
    <row r="3391" spans="1:9">
      <c r="A3391" t="str">
        <f>"0013200 "</f>
        <v xml:space="preserve">0013200 </v>
      </c>
      <c r="B3391" t="s">
        <v>11060</v>
      </c>
      <c r="C3391" t="s">
        <v>11169</v>
      </c>
      <c r="D3391" t="s">
        <v>11170</v>
      </c>
      <c r="E3391">
        <v>1</v>
      </c>
      <c r="F3391" t="s">
        <v>11065</v>
      </c>
      <c r="G3391" t="s">
        <v>11060</v>
      </c>
      <c r="H3391" t="s">
        <v>11169</v>
      </c>
      <c r="I3391" t="s">
        <v>11171</v>
      </c>
    </row>
    <row r="3392" spans="1:9">
      <c r="A3392" t="str">
        <f>"0013205 "</f>
        <v xml:space="preserve">0013205 </v>
      </c>
      <c r="B3392" t="s">
        <v>11060</v>
      </c>
      <c r="C3392" t="s">
        <v>11172</v>
      </c>
      <c r="D3392" t="s">
        <v>11173</v>
      </c>
      <c r="E3392" t="s">
        <v>16</v>
      </c>
      <c r="F3392" t="s">
        <v>11130</v>
      </c>
      <c r="G3392" t="s">
        <v>11060</v>
      </c>
      <c r="H3392" t="s">
        <v>11172</v>
      </c>
      <c r="I3392" t="s">
        <v>11174</v>
      </c>
    </row>
    <row r="3393" spans="1:9">
      <c r="A3393" t="str">
        <f>"0013203 "</f>
        <v xml:space="preserve">0013203 </v>
      </c>
      <c r="B3393" t="s">
        <v>11060</v>
      </c>
      <c r="C3393" t="s">
        <v>11175</v>
      </c>
      <c r="D3393" t="s">
        <v>11176</v>
      </c>
      <c r="E3393" t="s">
        <v>16</v>
      </c>
      <c r="F3393" t="s">
        <v>11134</v>
      </c>
      <c r="G3393" t="s">
        <v>11060</v>
      </c>
      <c r="H3393" t="s">
        <v>11175</v>
      </c>
      <c r="I3393" t="s">
        <v>11177</v>
      </c>
    </row>
    <row r="3394" spans="1:9">
      <c r="A3394" t="str">
        <f>"0013137 "</f>
        <v xml:space="preserve">0013137 </v>
      </c>
      <c r="B3394" t="s">
        <v>11060</v>
      </c>
      <c r="C3394" t="s">
        <v>11178</v>
      </c>
      <c r="D3394" t="s">
        <v>11179</v>
      </c>
      <c r="E3394" t="s">
        <v>16</v>
      </c>
      <c r="F3394" t="s">
        <v>11180</v>
      </c>
      <c r="G3394" t="s">
        <v>11060</v>
      </c>
      <c r="H3394" t="s">
        <v>11178</v>
      </c>
      <c r="I3394" t="s">
        <v>11181</v>
      </c>
    </row>
    <row r="3395" spans="1:9">
      <c r="A3395" t="str">
        <f>"0013134 "</f>
        <v xml:space="preserve">0013134 </v>
      </c>
      <c r="B3395" t="s">
        <v>11060</v>
      </c>
      <c r="C3395" t="s">
        <v>11182</v>
      </c>
      <c r="D3395" t="s">
        <v>11183</v>
      </c>
      <c r="E3395" t="s">
        <v>16</v>
      </c>
      <c r="F3395" t="s">
        <v>11184</v>
      </c>
      <c r="G3395" t="s">
        <v>11060</v>
      </c>
      <c r="H3395" t="s">
        <v>11182</v>
      </c>
      <c r="I3395" t="s">
        <v>11185</v>
      </c>
    </row>
    <row r="3396" spans="1:9">
      <c r="A3396" t="str">
        <f>"0013133 "</f>
        <v xml:space="preserve">0013133 </v>
      </c>
      <c r="B3396" t="s">
        <v>11060</v>
      </c>
      <c r="C3396" t="s">
        <v>11186</v>
      </c>
      <c r="D3396" t="s">
        <v>11187</v>
      </c>
      <c r="E3396" t="s">
        <v>16</v>
      </c>
      <c r="F3396" t="s">
        <v>11188</v>
      </c>
      <c r="G3396" t="s">
        <v>11060</v>
      </c>
      <c r="H3396" t="s">
        <v>11186</v>
      </c>
      <c r="I3396" t="s">
        <v>11189</v>
      </c>
    </row>
    <row r="3397" spans="1:9">
      <c r="A3397" t="str">
        <f>"0131911 "</f>
        <v xml:space="preserve">0131911 </v>
      </c>
      <c r="B3397" t="s">
        <v>11060</v>
      </c>
      <c r="C3397" t="s">
        <v>11190</v>
      </c>
      <c r="D3397" t="s">
        <v>11191</v>
      </c>
      <c r="E3397" t="s">
        <v>16</v>
      </c>
      <c r="F3397" t="s">
        <v>11192</v>
      </c>
      <c r="G3397" t="s">
        <v>11060</v>
      </c>
      <c r="H3397" t="s">
        <v>11190</v>
      </c>
      <c r="I3397" t="s">
        <v>11193</v>
      </c>
    </row>
    <row r="3398" spans="1:9">
      <c r="A3398" t="str">
        <f>"0013123 "</f>
        <v xml:space="preserve">0013123 </v>
      </c>
      <c r="B3398" t="s">
        <v>11060</v>
      </c>
      <c r="C3398" t="s">
        <v>11194</v>
      </c>
      <c r="D3398" t="s">
        <v>11195</v>
      </c>
      <c r="E3398" t="s">
        <v>16</v>
      </c>
      <c r="F3398" t="s">
        <v>11196</v>
      </c>
      <c r="G3398" t="s">
        <v>11060</v>
      </c>
      <c r="H3398" t="s">
        <v>11194</v>
      </c>
      <c r="I3398" t="s">
        <v>11197</v>
      </c>
    </row>
    <row r="3399" spans="1:9">
      <c r="A3399" t="str">
        <f>"0086621 "</f>
        <v xml:space="preserve">0086621 </v>
      </c>
      <c r="B3399" t="s">
        <v>11060</v>
      </c>
      <c r="C3399" t="s">
        <v>11198</v>
      </c>
      <c r="D3399" t="s">
        <v>11199</v>
      </c>
      <c r="E3399" t="s">
        <v>16</v>
      </c>
      <c r="F3399" t="s">
        <v>11200</v>
      </c>
      <c r="G3399" t="s">
        <v>11060</v>
      </c>
      <c r="H3399" t="s">
        <v>11198</v>
      </c>
    </row>
    <row r="3400" spans="1:9">
      <c r="A3400" t="str">
        <f>"0013269 "</f>
        <v xml:space="preserve">0013269 </v>
      </c>
      <c r="B3400" t="s">
        <v>11060</v>
      </c>
      <c r="C3400" t="s">
        <v>11201</v>
      </c>
      <c r="D3400" t="s">
        <v>11202</v>
      </c>
      <c r="E3400" t="s">
        <v>16</v>
      </c>
      <c r="F3400" t="s">
        <v>3342</v>
      </c>
      <c r="G3400" t="s">
        <v>11060</v>
      </c>
      <c r="H3400" t="s">
        <v>11201</v>
      </c>
    </row>
    <row r="3401" spans="1:9">
      <c r="A3401" t="str">
        <f>"0137137 "</f>
        <v xml:space="preserve">0137137 </v>
      </c>
      <c r="B3401" t="s">
        <v>11060</v>
      </c>
      <c r="C3401" t="s">
        <v>11203</v>
      </c>
      <c r="D3401" t="s">
        <v>11204</v>
      </c>
      <c r="E3401" t="s">
        <v>16</v>
      </c>
      <c r="F3401" t="s">
        <v>11165</v>
      </c>
      <c r="G3401" t="s">
        <v>11060</v>
      </c>
      <c r="H3401" t="s">
        <v>11203</v>
      </c>
    </row>
    <row r="3402" spans="1:9">
      <c r="A3402" t="str">
        <f>"0160800 "</f>
        <v xml:space="preserve">0160800 </v>
      </c>
      <c r="B3402" t="s">
        <v>11060</v>
      </c>
      <c r="C3402" t="s">
        <v>11205</v>
      </c>
      <c r="D3402" t="s">
        <v>11206</v>
      </c>
      <c r="E3402" t="s">
        <v>16</v>
      </c>
      <c r="F3402" t="s">
        <v>11207</v>
      </c>
      <c r="G3402" t="s">
        <v>11060</v>
      </c>
      <c r="H3402" t="s">
        <v>11205</v>
      </c>
    </row>
    <row r="3403" spans="1:9">
      <c r="A3403" t="str">
        <f>"0013147 "</f>
        <v xml:space="preserve">0013147 </v>
      </c>
      <c r="B3403" t="s">
        <v>11060</v>
      </c>
      <c r="C3403" t="s">
        <v>11208</v>
      </c>
      <c r="D3403" t="s">
        <v>11209</v>
      </c>
      <c r="E3403" t="s">
        <v>16</v>
      </c>
      <c r="F3403" t="s">
        <v>11210</v>
      </c>
      <c r="G3403" t="s">
        <v>11060</v>
      </c>
      <c r="H3403" t="s">
        <v>11208</v>
      </c>
    </row>
    <row r="3404" spans="1:9">
      <c r="A3404" t="str">
        <f>"0204300 "</f>
        <v xml:space="preserve">0204300 </v>
      </c>
      <c r="B3404" t="s">
        <v>11060</v>
      </c>
      <c r="C3404" t="s">
        <v>11211</v>
      </c>
      <c r="D3404" t="s">
        <v>11212</v>
      </c>
      <c r="E3404" t="s">
        <v>16</v>
      </c>
      <c r="F3404" t="s">
        <v>11210</v>
      </c>
      <c r="G3404" t="s">
        <v>11060</v>
      </c>
      <c r="H3404" t="s">
        <v>11211</v>
      </c>
    </row>
    <row r="3405" spans="1:9">
      <c r="A3405" t="str">
        <f>"0013148 "</f>
        <v xml:space="preserve">0013148 </v>
      </c>
      <c r="B3405" t="s">
        <v>11060</v>
      </c>
      <c r="C3405" t="s">
        <v>11213</v>
      </c>
      <c r="D3405" t="s">
        <v>11214</v>
      </c>
      <c r="E3405" t="s">
        <v>16</v>
      </c>
      <c r="F3405" t="s">
        <v>11210</v>
      </c>
      <c r="G3405" t="s">
        <v>11060</v>
      </c>
      <c r="H3405" t="s">
        <v>11213</v>
      </c>
    </row>
    <row r="3406" spans="1:9">
      <c r="A3406" t="str">
        <f>"0013149 "</f>
        <v xml:space="preserve">0013149 </v>
      </c>
      <c r="B3406" t="s">
        <v>11060</v>
      </c>
      <c r="C3406" t="s">
        <v>11215</v>
      </c>
      <c r="D3406" t="s">
        <v>11216</v>
      </c>
      <c r="E3406" t="s">
        <v>16</v>
      </c>
      <c r="F3406" t="s">
        <v>11210</v>
      </c>
      <c r="G3406" t="s">
        <v>11060</v>
      </c>
      <c r="H3406" t="s">
        <v>11215</v>
      </c>
    </row>
    <row r="3407" spans="1:9">
      <c r="A3407" t="str">
        <f>"0013160 "</f>
        <v xml:space="preserve">0013160 </v>
      </c>
      <c r="B3407" t="s">
        <v>11060</v>
      </c>
      <c r="C3407" t="s">
        <v>11217</v>
      </c>
      <c r="D3407" t="s">
        <v>11218</v>
      </c>
      <c r="E3407" t="s">
        <v>16</v>
      </c>
      <c r="F3407" t="s">
        <v>11219</v>
      </c>
      <c r="G3407" t="s">
        <v>11060</v>
      </c>
      <c r="H3407" t="s">
        <v>11217</v>
      </c>
    </row>
    <row r="3408" spans="1:9">
      <c r="A3408" t="str">
        <f>"0117156 "</f>
        <v xml:space="preserve">0117156 </v>
      </c>
      <c r="B3408" t="s">
        <v>11060</v>
      </c>
      <c r="C3408" t="s">
        <v>11220</v>
      </c>
      <c r="D3408" t="s">
        <v>11221</v>
      </c>
      <c r="E3408" t="s">
        <v>16</v>
      </c>
      <c r="F3408" t="s">
        <v>11219</v>
      </c>
      <c r="G3408" t="s">
        <v>11060</v>
      </c>
      <c r="H3408" t="s">
        <v>11220</v>
      </c>
    </row>
    <row r="3409" spans="1:9">
      <c r="A3409" t="str">
        <f>"0013163 "</f>
        <v xml:space="preserve">0013163 </v>
      </c>
      <c r="B3409" t="s">
        <v>11060</v>
      </c>
      <c r="C3409" t="s">
        <v>11222</v>
      </c>
      <c r="D3409" t="s">
        <v>11223</v>
      </c>
      <c r="E3409" t="s">
        <v>16</v>
      </c>
      <c r="F3409" t="s">
        <v>11219</v>
      </c>
      <c r="G3409" t="s">
        <v>11060</v>
      </c>
      <c r="H3409" t="s">
        <v>11222</v>
      </c>
    </row>
    <row r="3410" spans="1:9">
      <c r="A3410" t="str">
        <f>"0013164 "</f>
        <v xml:space="preserve">0013164 </v>
      </c>
      <c r="B3410" t="s">
        <v>11060</v>
      </c>
      <c r="C3410" t="s">
        <v>11224</v>
      </c>
      <c r="D3410" t="s">
        <v>11225</v>
      </c>
      <c r="E3410" t="s">
        <v>16</v>
      </c>
      <c r="F3410" t="s">
        <v>11219</v>
      </c>
      <c r="G3410" t="s">
        <v>11060</v>
      </c>
      <c r="H3410" t="s">
        <v>11224</v>
      </c>
    </row>
    <row r="3411" spans="1:9">
      <c r="A3411" t="str">
        <f>"0013166 "</f>
        <v xml:space="preserve">0013166 </v>
      </c>
      <c r="B3411" t="s">
        <v>11060</v>
      </c>
      <c r="C3411" t="s">
        <v>11226</v>
      </c>
      <c r="D3411" t="s">
        <v>11227</v>
      </c>
      <c r="E3411" t="s">
        <v>16</v>
      </c>
      <c r="F3411" t="s">
        <v>11219</v>
      </c>
      <c r="G3411" t="s">
        <v>11060</v>
      </c>
      <c r="H3411" t="s">
        <v>11226</v>
      </c>
    </row>
    <row r="3412" spans="1:9">
      <c r="A3412" t="str">
        <f>"0013167 "</f>
        <v xml:space="preserve">0013167 </v>
      </c>
      <c r="B3412" t="s">
        <v>11060</v>
      </c>
      <c r="C3412" t="s">
        <v>11228</v>
      </c>
      <c r="D3412" t="s">
        <v>11229</v>
      </c>
      <c r="E3412" t="s">
        <v>16</v>
      </c>
      <c r="F3412" t="s">
        <v>11219</v>
      </c>
      <c r="G3412" t="s">
        <v>11060</v>
      </c>
      <c r="H3412" t="s">
        <v>11228</v>
      </c>
    </row>
    <row r="3413" spans="1:9">
      <c r="A3413" t="str">
        <f>"0267624 "</f>
        <v xml:space="preserve">0267624 </v>
      </c>
      <c r="B3413" t="s">
        <v>11060</v>
      </c>
      <c r="C3413" t="s">
        <v>11230</v>
      </c>
      <c r="D3413" t="s">
        <v>11231</v>
      </c>
      <c r="E3413" t="s">
        <v>16</v>
      </c>
      <c r="F3413" t="s">
        <v>11219</v>
      </c>
      <c r="G3413" t="s">
        <v>11060</v>
      </c>
      <c r="H3413" t="s">
        <v>11230</v>
      </c>
    </row>
    <row r="3414" spans="1:9">
      <c r="A3414" t="str">
        <f>"0013159 "</f>
        <v xml:space="preserve">0013159 </v>
      </c>
      <c r="B3414" t="s">
        <v>11060</v>
      </c>
      <c r="C3414" t="s">
        <v>11232</v>
      </c>
      <c r="D3414" t="s">
        <v>11233</v>
      </c>
      <c r="E3414" t="s">
        <v>16</v>
      </c>
      <c r="F3414" t="s">
        <v>11219</v>
      </c>
      <c r="G3414" t="s">
        <v>11060</v>
      </c>
      <c r="H3414" t="s">
        <v>11232</v>
      </c>
    </row>
    <row r="3415" spans="1:9">
      <c r="A3415" t="str">
        <f>"0117157 "</f>
        <v xml:space="preserve">0117157 </v>
      </c>
      <c r="B3415" t="s">
        <v>11060</v>
      </c>
      <c r="C3415" t="s">
        <v>11234</v>
      </c>
      <c r="D3415" t="s">
        <v>11235</v>
      </c>
      <c r="E3415" t="s">
        <v>16</v>
      </c>
      <c r="F3415" t="s">
        <v>11236</v>
      </c>
      <c r="G3415" t="s">
        <v>11060</v>
      </c>
      <c r="H3415" t="s">
        <v>11234</v>
      </c>
    </row>
    <row r="3416" spans="1:9">
      <c r="A3416" t="str">
        <f>"0013174 "</f>
        <v xml:space="preserve">0013174 </v>
      </c>
      <c r="B3416" t="s">
        <v>11060</v>
      </c>
      <c r="C3416" t="s">
        <v>11237</v>
      </c>
      <c r="D3416" t="s">
        <v>11238</v>
      </c>
      <c r="E3416">
        <v>1</v>
      </c>
      <c r="F3416" t="s">
        <v>11236</v>
      </c>
      <c r="G3416" t="s">
        <v>11060</v>
      </c>
      <c r="H3416" t="s">
        <v>11237</v>
      </c>
    </row>
    <row r="3417" spans="1:9">
      <c r="A3417" t="str">
        <f>"0013177 "</f>
        <v xml:space="preserve">0013177 </v>
      </c>
      <c r="B3417" t="s">
        <v>11060</v>
      </c>
      <c r="C3417" t="s">
        <v>11239</v>
      </c>
      <c r="D3417" t="s">
        <v>11240</v>
      </c>
      <c r="E3417" t="s">
        <v>16</v>
      </c>
      <c r="F3417" t="s">
        <v>11236</v>
      </c>
      <c r="G3417" t="s">
        <v>11060</v>
      </c>
      <c r="H3417" t="s">
        <v>11239</v>
      </c>
    </row>
    <row r="3418" spans="1:9">
      <c r="A3418" t="str">
        <f>"0013170 "</f>
        <v xml:space="preserve">0013170 </v>
      </c>
      <c r="B3418" t="s">
        <v>11060</v>
      </c>
      <c r="C3418" t="s">
        <v>11241</v>
      </c>
      <c r="D3418" t="s">
        <v>11242</v>
      </c>
      <c r="E3418" t="s">
        <v>16</v>
      </c>
      <c r="F3418" t="s">
        <v>11236</v>
      </c>
      <c r="G3418" t="s">
        <v>11060</v>
      </c>
      <c r="H3418" t="s">
        <v>11241</v>
      </c>
    </row>
    <row r="3419" spans="1:9">
      <c r="A3419" t="str">
        <f>"0087958 "</f>
        <v xml:space="preserve">0087958 </v>
      </c>
      <c r="B3419" t="s">
        <v>11060</v>
      </c>
      <c r="C3419" t="s">
        <v>11243</v>
      </c>
      <c r="D3419" t="s">
        <v>11244</v>
      </c>
      <c r="E3419" t="s">
        <v>16</v>
      </c>
      <c r="F3419" t="s">
        <v>11245</v>
      </c>
      <c r="G3419" t="s">
        <v>11060</v>
      </c>
      <c r="H3419" t="s">
        <v>11243</v>
      </c>
    </row>
    <row r="3420" spans="1:9">
      <c r="A3420" t="str">
        <f>"0013243 "</f>
        <v xml:space="preserve">0013243 </v>
      </c>
      <c r="B3420" t="s">
        <v>11060</v>
      </c>
      <c r="C3420" t="s">
        <v>11246</v>
      </c>
      <c r="D3420" t="s">
        <v>11247</v>
      </c>
      <c r="E3420" t="s">
        <v>16</v>
      </c>
      <c r="F3420" t="s">
        <v>7619</v>
      </c>
      <c r="G3420" t="s">
        <v>11060</v>
      </c>
      <c r="H3420" t="s">
        <v>11246</v>
      </c>
    </row>
    <row r="3421" spans="1:9">
      <c r="A3421" t="str">
        <f>"0131912 "</f>
        <v xml:space="preserve">0131912 </v>
      </c>
      <c r="B3421" t="s">
        <v>11060</v>
      </c>
      <c r="C3421" t="s">
        <v>11248</v>
      </c>
      <c r="D3421" t="s">
        <v>11249</v>
      </c>
      <c r="E3421" t="s">
        <v>16</v>
      </c>
      <c r="F3421" t="s">
        <v>11250</v>
      </c>
      <c r="G3421" t="s">
        <v>11060</v>
      </c>
      <c r="H3421" t="s">
        <v>11248</v>
      </c>
    </row>
    <row r="3422" spans="1:9">
      <c r="A3422" t="str">
        <f>"0013236 "</f>
        <v xml:space="preserve">0013236 </v>
      </c>
      <c r="B3422" t="s">
        <v>11060</v>
      </c>
      <c r="C3422" t="s">
        <v>11251</v>
      </c>
      <c r="D3422" t="s">
        <v>11252</v>
      </c>
      <c r="E3422" t="s">
        <v>16</v>
      </c>
      <c r="F3422" t="s">
        <v>11076</v>
      </c>
      <c r="G3422" t="s">
        <v>11060</v>
      </c>
      <c r="H3422" t="s">
        <v>11251</v>
      </c>
      <c r="I3422" t="s">
        <v>11253</v>
      </c>
    </row>
    <row r="3423" spans="1:9">
      <c r="A3423" t="str">
        <f>"0013289 "</f>
        <v xml:space="preserve">0013289 </v>
      </c>
      <c r="B3423" t="s">
        <v>11060</v>
      </c>
      <c r="C3423" t="s">
        <v>11254</v>
      </c>
      <c r="D3423" t="s">
        <v>11255</v>
      </c>
      <c r="E3423" t="s">
        <v>16</v>
      </c>
      <c r="F3423" t="s">
        <v>11256</v>
      </c>
      <c r="G3423" t="s">
        <v>11060</v>
      </c>
      <c r="H3423" t="s">
        <v>11254</v>
      </c>
      <c r="I3423" t="s">
        <v>11257</v>
      </c>
    </row>
    <row r="3424" spans="1:9">
      <c r="A3424" t="str">
        <f>"0013125 "</f>
        <v xml:space="preserve">0013125 </v>
      </c>
      <c r="B3424" t="s">
        <v>11060</v>
      </c>
      <c r="C3424" t="s">
        <v>11258</v>
      </c>
      <c r="D3424" t="s">
        <v>11259</v>
      </c>
      <c r="E3424" t="s">
        <v>16</v>
      </c>
      <c r="F3424" t="s">
        <v>11200</v>
      </c>
      <c r="G3424" t="s">
        <v>11060</v>
      </c>
      <c r="H3424" t="s">
        <v>11258</v>
      </c>
    </row>
    <row r="3425" spans="1:9">
      <c r="A3425" t="str">
        <f>"0013126 "</f>
        <v xml:space="preserve">0013126 </v>
      </c>
      <c r="B3425" t="s">
        <v>11060</v>
      </c>
      <c r="C3425" t="s">
        <v>11260</v>
      </c>
      <c r="D3425" t="s">
        <v>11261</v>
      </c>
      <c r="E3425">
        <v>2</v>
      </c>
      <c r="F3425" t="s">
        <v>11207</v>
      </c>
      <c r="G3425" t="s">
        <v>11060</v>
      </c>
      <c r="H3425" t="s">
        <v>11260</v>
      </c>
    </row>
    <row r="3426" spans="1:9">
      <c r="A3426" t="str">
        <f>"0013127 "</f>
        <v xml:space="preserve">0013127 </v>
      </c>
      <c r="B3426" t="s">
        <v>11060</v>
      </c>
      <c r="C3426" t="s">
        <v>11262</v>
      </c>
      <c r="D3426" t="s">
        <v>11263</v>
      </c>
      <c r="E3426" t="s">
        <v>16</v>
      </c>
      <c r="F3426" t="s">
        <v>11236</v>
      </c>
      <c r="G3426" t="s">
        <v>11060</v>
      </c>
      <c r="H3426" t="s">
        <v>11262</v>
      </c>
    </row>
    <row r="3427" spans="1:9">
      <c r="A3427" t="str">
        <f>"0013212 "</f>
        <v xml:space="preserve">0013212 </v>
      </c>
      <c r="B3427" t="s">
        <v>11060</v>
      </c>
      <c r="C3427" t="s">
        <v>11264</v>
      </c>
      <c r="D3427" t="s">
        <v>11265</v>
      </c>
      <c r="E3427" t="s">
        <v>16</v>
      </c>
      <c r="F3427" t="s">
        <v>11266</v>
      </c>
      <c r="G3427" t="s">
        <v>11060</v>
      </c>
      <c r="H3427" t="s">
        <v>11264</v>
      </c>
    </row>
    <row r="3428" spans="1:9">
      <c r="A3428" t="str">
        <f>"0013249 "</f>
        <v xml:space="preserve">0013249 </v>
      </c>
      <c r="B3428" t="s">
        <v>11060</v>
      </c>
      <c r="C3428" t="s">
        <v>11267</v>
      </c>
      <c r="D3428" t="s">
        <v>11268</v>
      </c>
      <c r="E3428" t="s">
        <v>16</v>
      </c>
      <c r="F3428" t="s">
        <v>11200</v>
      </c>
      <c r="G3428" t="s">
        <v>11060</v>
      </c>
      <c r="H3428" t="s">
        <v>11267</v>
      </c>
      <c r="I3428" t="s">
        <v>11269</v>
      </c>
    </row>
    <row r="3429" spans="1:9">
      <c r="A3429" t="str">
        <f>"0013213 "</f>
        <v xml:space="preserve">0013213 </v>
      </c>
      <c r="B3429" t="s">
        <v>11060</v>
      </c>
      <c r="C3429" t="s">
        <v>11270</v>
      </c>
      <c r="D3429" t="s">
        <v>11271</v>
      </c>
      <c r="E3429" t="s">
        <v>16</v>
      </c>
      <c r="F3429" t="s">
        <v>11076</v>
      </c>
      <c r="G3429" t="s">
        <v>11060</v>
      </c>
      <c r="H3429" t="s">
        <v>11270</v>
      </c>
    </row>
    <row r="3430" spans="1:9">
      <c r="A3430" t="str">
        <f>"0013246 "</f>
        <v xml:space="preserve">0013246 </v>
      </c>
      <c r="B3430" t="s">
        <v>11060</v>
      </c>
      <c r="C3430" t="s">
        <v>11272</v>
      </c>
      <c r="D3430" t="s">
        <v>11273</v>
      </c>
      <c r="E3430" t="s">
        <v>16</v>
      </c>
      <c r="F3430" t="s">
        <v>11274</v>
      </c>
      <c r="G3430" t="s">
        <v>11060</v>
      </c>
      <c r="H3430" t="s">
        <v>11272</v>
      </c>
    </row>
    <row r="3431" spans="1:9">
      <c r="A3431" t="str">
        <f>"0218070 "</f>
        <v xml:space="preserve">0218070 </v>
      </c>
      <c r="B3431" t="s">
        <v>11060</v>
      </c>
      <c r="C3431" t="s">
        <v>11275</v>
      </c>
      <c r="D3431" t="s">
        <v>11276</v>
      </c>
      <c r="E3431" t="s">
        <v>16</v>
      </c>
      <c r="F3431" t="s">
        <v>11277</v>
      </c>
      <c r="G3431" t="s">
        <v>11060</v>
      </c>
      <c r="H3431" t="s">
        <v>11275</v>
      </c>
    </row>
    <row r="3432" spans="1:9">
      <c r="A3432" t="str">
        <f>"0013261 "</f>
        <v xml:space="preserve">0013261 </v>
      </c>
      <c r="B3432" t="s">
        <v>11060</v>
      </c>
      <c r="C3432" t="s">
        <v>11278</v>
      </c>
      <c r="D3432" t="s">
        <v>11279</v>
      </c>
      <c r="E3432" t="s">
        <v>16</v>
      </c>
      <c r="F3432" s="3">
        <v>26268</v>
      </c>
      <c r="G3432" t="s">
        <v>11060</v>
      </c>
      <c r="H3432" t="s">
        <v>11278</v>
      </c>
    </row>
    <row r="3433" spans="1:9">
      <c r="A3433" t="str">
        <f>"0013265 "</f>
        <v xml:space="preserve">0013265 </v>
      </c>
      <c r="B3433" t="s">
        <v>11060</v>
      </c>
      <c r="C3433" t="s">
        <v>11280</v>
      </c>
      <c r="D3433" t="s">
        <v>11281</v>
      </c>
      <c r="E3433" t="s">
        <v>16</v>
      </c>
      <c r="F3433" t="s">
        <v>11282</v>
      </c>
      <c r="G3433" t="s">
        <v>11060</v>
      </c>
      <c r="H3433" t="s">
        <v>11280</v>
      </c>
    </row>
    <row r="3434" spans="1:9">
      <c r="A3434" t="str">
        <f>"0013280 "</f>
        <v xml:space="preserve">0013280 </v>
      </c>
      <c r="B3434" t="s">
        <v>11060</v>
      </c>
      <c r="C3434" t="s">
        <v>11283</v>
      </c>
      <c r="D3434" t="s">
        <v>11284</v>
      </c>
      <c r="E3434" t="s">
        <v>16</v>
      </c>
      <c r="F3434" t="s">
        <v>10844</v>
      </c>
      <c r="G3434" t="s">
        <v>11060</v>
      </c>
      <c r="H3434" t="s">
        <v>11283</v>
      </c>
    </row>
    <row r="3435" spans="1:9">
      <c r="A3435" t="str">
        <f>"0013283 "</f>
        <v xml:space="preserve">0013283 </v>
      </c>
      <c r="B3435" t="s">
        <v>11060</v>
      </c>
      <c r="C3435" t="s">
        <v>11285</v>
      </c>
      <c r="D3435" t="s">
        <v>11286</v>
      </c>
      <c r="E3435" t="s">
        <v>16</v>
      </c>
      <c r="F3435" t="s">
        <v>11287</v>
      </c>
      <c r="G3435" t="s">
        <v>11060</v>
      </c>
      <c r="H3435" t="s">
        <v>11285</v>
      </c>
    </row>
    <row r="3436" spans="1:9">
      <c r="A3436" t="str">
        <f>"0013281 "</f>
        <v xml:space="preserve">0013281 </v>
      </c>
      <c r="B3436" t="s">
        <v>11060</v>
      </c>
      <c r="C3436" t="s">
        <v>11288</v>
      </c>
      <c r="D3436" t="s">
        <v>11289</v>
      </c>
      <c r="E3436" t="s">
        <v>16</v>
      </c>
      <c r="F3436" t="s">
        <v>11290</v>
      </c>
      <c r="G3436" t="s">
        <v>11060</v>
      </c>
      <c r="H3436" t="s">
        <v>11288</v>
      </c>
    </row>
    <row r="3437" spans="1:9">
      <c r="A3437" t="str">
        <f>"0203725 "</f>
        <v xml:space="preserve">0203725 </v>
      </c>
      <c r="B3437" t="s">
        <v>11060</v>
      </c>
      <c r="C3437" t="s">
        <v>11291</v>
      </c>
      <c r="D3437" t="s">
        <v>11292</v>
      </c>
      <c r="E3437" t="s">
        <v>16</v>
      </c>
      <c r="F3437" t="s">
        <v>11293</v>
      </c>
      <c r="G3437" t="s">
        <v>11060</v>
      </c>
      <c r="H3437" t="s">
        <v>11291</v>
      </c>
    </row>
    <row r="3438" spans="1:9">
      <c r="A3438" t="str">
        <f>"0013197 "</f>
        <v xml:space="preserve">0013197 </v>
      </c>
      <c r="B3438" t="s">
        <v>11060</v>
      </c>
      <c r="C3438" t="s">
        <v>11294</v>
      </c>
      <c r="D3438" t="s">
        <v>11295</v>
      </c>
      <c r="E3438" t="s">
        <v>16</v>
      </c>
      <c r="F3438" t="s">
        <v>11296</v>
      </c>
      <c r="G3438" t="s">
        <v>11060</v>
      </c>
      <c r="H3438" t="s">
        <v>11294</v>
      </c>
    </row>
    <row r="3439" spans="1:9">
      <c r="A3439" t="str">
        <f>"0015110 "</f>
        <v xml:space="preserve">0015110 </v>
      </c>
      <c r="B3439" t="s">
        <v>11060</v>
      </c>
      <c r="C3439" t="s">
        <v>11297</v>
      </c>
      <c r="D3439" t="s">
        <v>11298</v>
      </c>
      <c r="E3439" t="s">
        <v>16</v>
      </c>
      <c r="F3439" t="s">
        <v>11101</v>
      </c>
      <c r="G3439" t="s">
        <v>11060</v>
      </c>
      <c r="H3439" t="s">
        <v>11297</v>
      </c>
    </row>
    <row r="3440" spans="1:9">
      <c r="A3440" t="str">
        <f>"0013231 "</f>
        <v xml:space="preserve">0013231 </v>
      </c>
      <c r="B3440" t="s">
        <v>11060</v>
      </c>
      <c r="C3440" t="s">
        <v>11299</v>
      </c>
      <c r="D3440" t="s">
        <v>11300</v>
      </c>
      <c r="E3440" t="s">
        <v>16</v>
      </c>
      <c r="F3440" t="s">
        <v>8340</v>
      </c>
      <c r="G3440" t="s">
        <v>11060</v>
      </c>
      <c r="H3440" t="s">
        <v>11299</v>
      </c>
    </row>
    <row r="3441" spans="1:8">
      <c r="A3441" t="str">
        <f>"0013267 "</f>
        <v xml:space="preserve">0013267 </v>
      </c>
      <c r="B3441" t="s">
        <v>11060</v>
      </c>
      <c r="C3441" t="s">
        <v>11301</v>
      </c>
      <c r="D3441" t="s">
        <v>11302</v>
      </c>
      <c r="E3441" t="s">
        <v>16</v>
      </c>
      <c r="F3441" t="s">
        <v>11303</v>
      </c>
      <c r="G3441" t="s">
        <v>11060</v>
      </c>
      <c r="H3441" t="s">
        <v>11301</v>
      </c>
    </row>
    <row r="3442" spans="1:8">
      <c r="A3442" t="str">
        <f>"0199192 "</f>
        <v xml:space="preserve">0199192 </v>
      </c>
      <c r="B3442" t="s">
        <v>11060</v>
      </c>
      <c r="C3442" t="s">
        <v>11304</v>
      </c>
      <c r="D3442" t="s">
        <v>11305</v>
      </c>
      <c r="E3442" t="s">
        <v>16</v>
      </c>
      <c r="F3442" t="s">
        <v>11306</v>
      </c>
      <c r="G3442" t="s">
        <v>11060</v>
      </c>
      <c r="H3442" t="s">
        <v>11304</v>
      </c>
    </row>
    <row r="3443" spans="1:8">
      <c r="A3443" t="str">
        <f>"0199193 "</f>
        <v xml:space="preserve">0199193 </v>
      </c>
      <c r="B3443" t="s">
        <v>11060</v>
      </c>
      <c r="C3443" t="s">
        <v>11307</v>
      </c>
      <c r="D3443" t="s">
        <v>11308</v>
      </c>
      <c r="E3443" t="s">
        <v>16</v>
      </c>
      <c r="F3443" t="s">
        <v>11306</v>
      </c>
      <c r="G3443" t="s">
        <v>11060</v>
      </c>
      <c r="H3443" t="s">
        <v>11307</v>
      </c>
    </row>
    <row r="3444" spans="1:8">
      <c r="A3444" t="str">
        <f>"0199194 "</f>
        <v xml:space="preserve">0199194 </v>
      </c>
      <c r="B3444" t="s">
        <v>11060</v>
      </c>
      <c r="C3444" t="s">
        <v>11309</v>
      </c>
      <c r="D3444" t="s">
        <v>11310</v>
      </c>
      <c r="E3444" t="s">
        <v>16</v>
      </c>
      <c r="F3444" t="s">
        <v>11306</v>
      </c>
      <c r="G3444" t="s">
        <v>11060</v>
      </c>
      <c r="H3444" t="s">
        <v>11309</v>
      </c>
    </row>
    <row r="3445" spans="1:8">
      <c r="A3445" t="str">
        <f>"0199195 "</f>
        <v xml:space="preserve">0199195 </v>
      </c>
      <c r="B3445" t="s">
        <v>11060</v>
      </c>
      <c r="C3445" t="s">
        <v>11311</v>
      </c>
      <c r="D3445" t="s">
        <v>11312</v>
      </c>
      <c r="E3445" t="s">
        <v>16</v>
      </c>
      <c r="F3445" t="s">
        <v>11306</v>
      </c>
      <c r="G3445" t="s">
        <v>11060</v>
      </c>
      <c r="H3445" t="s">
        <v>11311</v>
      </c>
    </row>
    <row r="3446" spans="1:8">
      <c r="A3446" t="str">
        <f>"0199175 "</f>
        <v xml:space="preserve">0199175 </v>
      </c>
      <c r="B3446" t="s">
        <v>11060</v>
      </c>
      <c r="C3446" t="s">
        <v>11313</v>
      </c>
      <c r="D3446" t="s">
        <v>11314</v>
      </c>
      <c r="E3446" t="s">
        <v>16</v>
      </c>
      <c r="F3446" t="s">
        <v>11315</v>
      </c>
      <c r="G3446" t="s">
        <v>11060</v>
      </c>
      <c r="H3446" t="s">
        <v>11313</v>
      </c>
    </row>
    <row r="3447" spans="1:8">
      <c r="A3447" t="str">
        <f>"0218072 "</f>
        <v xml:space="preserve">0218072 </v>
      </c>
      <c r="B3447" t="s">
        <v>11060</v>
      </c>
      <c r="C3447" t="s">
        <v>11316</v>
      </c>
      <c r="D3447" t="s">
        <v>11317</v>
      </c>
      <c r="E3447" t="s">
        <v>16</v>
      </c>
      <c r="F3447" t="s">
        <v>11315</v>
      </c>
      <c r="G3447" t="s">
        <v>11060</v>
      </c>
      <c r="H3447" t="s">
        <v>11316</v>
      </c>
    </row>
    <row r="3448" spans="1:8">
      <c r="A3448" t="str">
        <f>"0199176 "</f>
        <v xml:space="preserve">0199176 </v>
      </c>
      <c r="B3448" t="s">
        <v>11060</v>
      </c>
      <c r="C3448" t="s">
        <v>11318</v>
      </c>
      <c r="D3448" t="s">
        <v>11319</v>
      </c>
      <c r="E3448" t="s">
        <v>16</v>
      </c>
      <c r="F3448" t="s">
        <v>11315</v>
      </c>
      <c r="G3448" t="s">
        <v>11060</v>
      </c>
      <c r="H3448" t="s">
        <v>11318</v>
      </c>
    </row>
    <row r="3449" spans="1:8">
      <c r="A3449" t="str">
        <f>"0218073 "</f>
        <v xml:space="preserve">0218073 </v>
      </c>
      <c r="B3449" t="s">
        <v>11060</v>
      </c>
      <c r="C3449" t="s">
        <v>11320</v>
      </c>
      <c r="D3449" t="s">
        <v>11321</v>
      </c>
      <c r="E3449" t="s">
        <v>16</v>
      </c>
      <c r="F3449" t="s">
        <v>11315</v>
      </c>
      <c r="G3449" t="s">
        <v>11060</v>
      </c>
      <c r="H3449" t="s">
        <v>11320</v>
      </c>
    </row>
    <row r="3450" spans="1:8">
      <c r="A3450" t="str">
        <f>"0199177 "</f>
        <v xml:space="preserve">0199177 </v>
      </c>
      <c r="B3450" t="s">
        <v>11060</v>
      </c>
      <c r="C3450" t="s">
        <v>11322</v>
      </c>
      <c r="D3450" t="s">
        <v>11323</v>
      </c>
      <c r="E3450" t="s">
        <v>16</v>
      </c>
      <c r="F3450" t="s">
        <v>11315</v>
      </c>
      <c r="G3450" t="s">
        <v>11060</v>
      </c>
      <c r="H3450" t="s">
        <v>11322</v>
      </c>
    </row>
    <row r="3451" spans="1:8">
      <c r="A3451" t="str">
        <f>"0218074 "</f>
        <v xml:space="preserve">0218074 </v>
      </c>
      <c r="B3451" t="s">
        <v>11060</v>
      </c>
      <c r="C3451" t="s">
        <v>11324</v>
      </c>
      <c r="D3451" t="s">
        <v>11325</v>
      </c>
      <c r="E3451" t="s">
        <v>16</v>
      </c>
      <c r="F3451" t="s">
        <v>11315</v>
      </c>
      <c r="G3451" t="s">
        <v>11060</v>
      </c>
      <c r="H3451" t="s">
        <v>11324</v>
      </c>
    </row>
    <row r="3452" spans="1:8">
      <c r="A3452" t="str">
        <f>"0199178 "</f>
        <v xml:space="preserve">0199178 </v>
      </c>
      <c r="B3452" t="s">
        <v>11060</v>
      </c>
      <c r="C3452" t="s">
        <v>11326</v>
      </c>
      <c r="D3452" t="s">
        <v>11327</v>
      </c>
      <c r="E3452" t="s">
        <v>16</v>
      </c>
      <c r="F3452" t="s">
        <v>11315</v>
      </c>
      <c r="G3452" t="s">
        <v>11060</v>
      </c>
      <c r="H3452" t="s">
        <v>11326</v>
      </c>
    </row>
    <row r="3453" spans="1:8">
      <c r="A3453" t="str">
        <f>"0218075 "</f>
        <v xml:space="preserve">0218075 </v>
      </c>
      <c r="B3453" t="s">
        <v>11060</v>
      </c>
      <c r="C3453" t="s">
        <v>11328</v>
      </c>
      <c r="D3453" t="s">
        <v>11329</v>
      </c>
      <c r="E3453" t="s">
        <v>16</v>
      </c>
      <c r="F3453" t="s">
        <v>11315</v>
      </c>
      <c r="G3453" t="s">
        <v>11060</v>
      </c>
      <c r="H3453" t="s">
        <v>11328</v>
      </c>
    </row>
    <row r="3454" spans="1:8">
      <c r="A3454" t="str">
        <f>"0199181 "</f>
        <v xml:space="preserve">0199181 </v>
      </c>
      <c r="B3454" t="s">
        <v>11060</v>
      </c>
      <c r="C3454" t="s">
        <v>11330</v>
      </c>
      <c r="D3454" t="s">
        <v>11331</v>
      </c>
      <c r="E3454" t="s">
        <v>16</v>
      </c>
      <c r="F3454" t="s">
        <v>11332</v>
      </c>
      <c r="G3454" t="s">
        <v>11060</v>
      </c>
      <c r="H3454" t="s">
        <v>11330</v>
      </c>
    </row>
    <row r="3455" spans="1:8">
      <c r="A3455" t="str">
        <f>"0199182 "</f>
        <v xml:space="preserve">0199182 </v>
      </c>
      <c r="B3455" t="s">
        <v>11060</v>
      </c>
      <c r="C3455" t="s">
        <v>11333</v>
      </c>
      <c r="D3455" t="s">
        <v>11334</v>
      </c>
      <c r="E3455" t="s">
        <v>16</v>
      </c>
      <c r="F3455" t="s">
        <v>11332</v>
      </c>
      <c r="G3455" t="s">
        <v>11060</v>
      </c>
      <c r="H3455" t="s">
        <v>11333</v>
      </c>
    </row>
    <row r="3456" spans="1:8">
      <c r="A3456" t="str">
        <f>"0199183 "</f>
        <v xml:space="preserve">0199183 </v>
      </c>
      <c r="B3456" t="s">
        <v>11060</v>
      </c>
      <c r="C3456" t="s">
        <v>11335</v>
      </c>
      <c r="D3456" t="s">
        <v>11336</v>
      </c>
      <c r="E3456" t="s">
        <v>16</v>
      </c>
      <c r="F3456" t="s">
        <v>11332</v>
      </c>
      <c r="G3456" t="s">
        <v>11060</v>
      </c>
      <c r="H3456" t="s">
        <v>11335</v>
      </c>
    </row>
    <row r="3457" spans="1:8">
      <c r="A3457" t="str">
        <f>"0199184 "</f>
        <v xml:space="preserve">0199184 </v>
      </c>
      <c r="B3457" t="s">
        <v>11060</v>
      </c>
      <c r="C3457" t="s">
        <v>11337</v>
      </c>
      <c r="D3457" t="s">
        <v>11338</v>
      </c>
      <c r="E3457" t="s">
        <v>16</v>
      </c>
      <c r="F3457" t="s">
        <v>11339</v>
      </c>
      <c r="G3457" t="s">
        <v>11060</v>
      </c>
      <c r="H3457" t="s">
        <v>11337</v>
      </c>
    </row>
    <row r="3458" spans="1:8">
      <c r="A3458" t="str">
        <f>"0199185 "</f>
        <v xml:space="preserve">0199185 </v>
      </c>
      <c r="B3458" t="s">
        <v>11060</v>
      </c>
      <c r="C3458" t="s">
        <v>11340</v>
      </c>
      <c r="D3458" t="s">
        <v>11341</v>
      </c>
      <c r="E3458" t="s">
        <v>16</v>
      </c>
      <c r="F3458" t="s">
        <v>11339</v>
      </c>
      <c r="G3458" t="s">
        <v>11060</v>
      </c>
      <c r="H3458" t="s">
        <v>11340</v>
      </c>
    </row>
    <row r="3459" spans="1:8">
      <c r="A3459" t="str">
        <f>"0199186 "</f>
        <v xml:space="preserve">0199186 </v>
      </c>
      <c r="B3459" t="s">
        <v>11060</v>
      </c>
      <c r="C3459" t="s">
        <v>11342</v>
      </c>
      <c r="D3459" t="s">
        <v>11343</v>
      </c>
      <c r="E3459" t="s">
        <v>16</v>
      </c>
      <c r="F3459" t="s">
        <v>11339</v>
      </c>
      <c r="G3459" t="s">
        <v>11060</v>
      </c>
      <c r="H3459" t="s">
        <v>11342</v>
      </c>
    </row>
    <row r="3460" spans="1:8">
      <c r="A3460" t="str">
        <f>"0199187 "</f>
        <v xml:space="preserve">0199187 </v>
      </c>
      <c r="B3460" t="s">
        <v>11060</v>
      </c>
      <c r="C3460" t="s">
        <v>11344</v>
      </c>
      <c r="D3460" t="s">
        <v>11345</v>
      </c>
      <c r="E3460" t="s">
        <v>16</v>
      </c>
      <c r="F3460" t="s">
        <v>11339</v>
      </c>
      <c r="G3460" t="s">
        <v>11060</v>
      </c>
      <c r="H3460" t="s">
        <v>11344</v>
      </c>
    </row>
    <row r="3461" spans="1:8">
      <c r="A3461" t="str">
        <f>"0199188 "</f>
        <v xml:space="preserve">0199188 </v>
      </c>
      <c r="B3461" t="s">
        <v>11060</v>
      </c>
      <c r="C3461" t="s">
        <v>11346</v>
      </c>
      <c r="D3461" t="s">
        <v>11347</v>
      </c>
      <c r="E3461" t="s">
        <v>16</v>
      </c>
      <c r="F3461" t="s">
        <v>11339</v>
      </c>
      <c r="G3461" t="s">
        <v>11060</v>
      </c>
      <c r="H3461" t="s">
        <v>11346</v>
      </c>
    </row>
    <row r="3462" spans="1:8">
      <c r="A3462" t="str">
        <f>"0199189 "</f>
        <v xml:space="preserve">0199189 </v>
      </c>
      <c r="B3462" t="s">
        <v>11060</v>
      </c>
      <c r="C3462" t="s">
        <v>11348</v>
      </c>
      <c r="D3462" t="s">
        <v>11349</v>
      </c>
      <c r="E3462" t="s">
        <v>16</v>
      </c>
      <c r="F3462" t="s">
        <v>11339</v>
      </c>
      <c r="G3462" t="s">
        <v>11060</v>
      </c>
      <c r="H3462" t="s">
        <v>11348</v>
      </c>
    </row>
    <row r="3463" spans="1:8">
      <c r="A3463" t="str">
        <f>"0199190 "</f>
        <v xml:space="preserve">0199190 </v>
      </c>
      <c r="B3463" t="s">
        <v>11060</v>
      </c>
      <c r="C3463" t="s">
        <v>11350</v>
      </c>
      <c r="D3463" t="s">
        <v>11351</v>
      </c>
      <c r="E3463" t="s">
        <v>16</v>
      </c>
      <c r="F3463" t="s">
        <v>11339</v>
      </c>
      <c r="G3463" t="s">
        <v>11060</v>
      </c>
      <c r="H3463" t="s">
        <v>11350</v>
      </c>
    </row>
    <row r="3464" spans="1:8">
      <c r="A3464" t="str">
        <f>"0199191 "</f>
        <v xml:space="preserve">0199191 </v>
      </c>
      <c r="B3464" t="s">
        <v>11060</v>
      </c>
      <c r="C3464" t="s">
        <v>11352</v>
      </c>
      <c r="D3464" t="s">
        <v>11353</v>
      </c>
      <c r="E3464" t="s">
        <v>16</v>
      </c>
      <c r="F3464" t="s">
        <v>11339</v>
      </c>
      <c r="G3464" t="s">
        <v>11060</v>
      </c>
      <c r="H3464" t="s">
        <v>11352</v>
      </c>
    </row>
    <row r="3465" spans="1:8">
      <c r="A3465" t="str">
        <f>"0199167 "</f>
        <v xml:space="preserve">0199167 </v>
      </c>
      <c r="B3465" t="s">
        <v>11060</v>
      </c>
      <c r="C3465" t="s">
        <v>11354</v>
      </c>
      <c r="D3465" t="s">
        <v>11355</v>
      </c>
      <c r="E3465" t="s">
        <v>16</v>
      </c>
      <c r="F3465" s="1">
        <v>43093</v>
      </c>
      <c r="G3465" t="s">
        <v>11060</v>
      </c>
      <c r="H3465" t="s">
        <v>11354</v>
      </c>
    </row>
    <row r="3466" spans="1:8">
      <c r="A3466" t="str">
        <f>"0199168 "</f>
        <v xml:space="preserve">0199168 </v>
      </c>
      <c r="B3466" t="s">
        <v>11060</v>
      </c>
      <c r="C3466" t="s">
        <v>11356</v>
      </c>
      <c r="D3466" t="s">
        <v>11357</v>
      </c>
      <c r="E3466" t="s">
        <v>16</v>
      </c>
      <c r="F3466" s="1">
        <v>43093</v>
      </c>
      <c r="G3466" t="s">
        <v>11060</v>
      </c>
      <c r="H3466" t="s">
        <v>11356</v>
      </c>
    </row>
    <row r="3467" spans="1:8">
      <c r="A3467" t="str">
        <f>"0199169 "</f>
        <v xml:space="preserve">0199169 </v>
      </c>
      <c r="B3467" t="s">
        <v>11060</v>
      </c>
      <c r="C3467" t="s">
        <v>11358</v>
      </c>
      <c r="D3467" t="s">
        <v>11359</v>
      </c>
      <c r="E3467" t="s">
        <v>16</v>
      </c>
      <c r="F3467" s="1">
        <v>43093</v>
      </c>
      <c r="G3467" t="s">
        <v>11060</v>
      </c>
      <c r="H3467" t="s">
        <v>11358</v>
      </c>
    </row>
    <row r="3468" spans="1:8">
      <c r="A3468" t="str">
        <f>"0199170 "</f>
        <v xml:space="preserve">0199170 </v>
      </c>
      <c r="B3468" t="s">
        <v>11060</v>
      </c>
      <c r="C3468" t="s">
        <v>11360</v>
      </c>
      <c r="D3468" t="s">
        <v>11361</v>
      </c>
      <c r="E3468" t="s">
        <v>16</v>
      </c>
      <c r="F3468" s="1">
        <v>43093</v>
      </c>
      <c r="G3468" t="s">
        <v>11060</v>
      </c>
      <c r="H3468" t="s">
        <v>11360</v>
      </c>
    </row>
    <row r="3469" spans="1:8">
      <c r="A3469" t="str">
        <f>"0199171 "</f>
        <v xml:space="preserve">0199171 </v>
      </c>
      <c r="B3469" t="s">
        <v>11060</v>
      </c>
      <c r="C3469" t="s">
        <v>11362</v>
      </c>
      <c r="D3469" t="s">
        <v>11363</v>
      </c>
      <c r="E3469" t="s">
        <v>16</v>
      </c>
      <c r="F3469" s="1">
        <v>43093</v>
      </c>
      <c r="G3469" t="s">
        <v>11060</v>
      </c>
      <c r="H3469" t="s">
        <v>11362</v>
      </c>
    </row>
    <row r="3470" spans="1:8">
      <c r="A3470" t="str">
        <f>"0199172 "</f>
        <v xml:space="preserve">0199172 </v>
      </c>
      <c r="B3470" t="s">
        <v>11060</v>
      </c>
      <c r="C3470" t="s">
        <v>11364</v>
      </c>
      <c r="D3470" t="s">
        <v>11365</v>
      </c>
      <c r="E3470" t="s">
        <v>16</v>
      </c>
      <c r="F3470" s="1">
        <v>43093</v>
      </c>
      <c r="G3470" t="s">
        <v>11060</v>
      </c>
      <c r="H3470" t="s">
        <v>11364</v>
      </c>
    </row>
    <row r="3471" spans="1:8">
      <c r="A3471" t="str">
        <f>"0199173 "</f>
        <v xml:space="preserve">0199173 </v>
      </c>
      <c r="B3471" t="s">
        <v>11060</v>
      </c>
      <c r="C3471" t="s">
        <v>11366</v>
      </c>
      <c r="D3471" t="s">
        <v>11367</v>
      </c>
      <c r="E3471" t="s">
        <v>16</v>
      </c>
      <c r="F3471" s="1">
        <v>43093</v>
      </c>
      <c r="G3471" t="s">
        <v>11060</v>
      </c>
      <c r="H3471" t="s">
        <v>11366</v>
      </c>
    </row>
    <row r="3472" spans="1:8">
      <c r="A3472" t="str">
        <f>"0199174 "</f>
        <v xml:space="preserve">0199174 </v>
      </c>
      <c r="B3472" t="s">
        <v>11060</v>
      </c>
      <c r="C3472" t="s">
        <v>11368</v>
      </c>
      <c r="D3472" t="s">
        <v>11369</v>
      </c>
      <c r="E3472" t="s">
        <v>16</v>
      </c>
      <c r="F3472" s="1">
        <v>43093</v>
      </c>
      <c r="G3472" t="s">
        <v>11060</v>
      </c>
      <c r="H3472" t="s">
        <v>11368</v>
      </c>
    </row>
    <row r="3473" spans="1:9">
      <c r="A3473" t="str">
        <f>"0013216 "</f>
        <v xml:space="preserve">0013216 </v>
      </c>
      <c r="B3473" t="s">
        <v>11060</v>
      </c>
      <c r="C3473" t="s">
        <v>11370</v>
      </c>
      <c r="D3473" t="s">
        <v>11371</v>
      </c>
      <c r="E3473" t="s">
        <v>16</v>
      </c>
      <c r="F3473" t="s">
        <v>11372</v>
      </c>
      <c r="G3473" t="s">
        <v>11060</v>
      </c>
      <c r="H3473" t="s">
        <v>11370</v>
      </c>
    </row>
    <row r="3474" spans="1:9">
      <c r="A3474" t="str">
        <f>"0013291 "</f>
        <v xml:space="preserve">0013291 </v>
      </c>
      <c r="B3474" t="s">
        <v>11060</v>
      </c>
      <c r="C3474" t="s">
        <v>11373</v>
      </c>
      <c r="D3474" t="s">
        <v>11374</v>
      </c>
      <c r="E3474" t="s">
        <v>16</v>
      </c>
      <c r="F3474" t="s">
        <v>11375</v>
      </c>
      <c r="G3474" t="s">
        <v>11060</v>
      </c>
      <c r="H3474" t="s">
        <v>11373</v>
      </c>
    </row>
    <row r="3475" spans="1:9">
      <c r="A3475" t="str">
        <f>"0199166 "</f>
        <v xml:space="preserve">0199166 </v>
      </c>
      <c r="B3475" t="s">
        <v>11060</v>
      </c>
      <c r="C3475" t="s">
        <v>11376</v>
      </c>
      <c r="D3475" t="s">
        <v>11377</v>
      </c>
      <c r="E3475" t="s">
        <v>16</v>
      </c>
      <c r="F3475" t="s">
        <v>11378</v>
      </c>
      <c r="G3475" t="s">
        <v>11060</v>
      </c>
      <c r="H3475" t="s">
        <v>11376</v>
      </c>
    </row>
    <row r="3476" spans="1:9">
      <c r="A3476" t="str">
        <f>"0013345 "</f>
        <v xml:space="preserve">0013345 </v>
      </c>
      <c r="B3476" t="s">
        <v>11379</v>
      </c>
      <c r="C3476">
        <v>993</v>
      </c>
      <c r="D3476" t="s">
        <v>11380</v>
      </c>
      <c r="E3476" t="s">
        <v>16</v>
      </c>
      <c r="F3476" t="s">
        <v>11381</v>
      </c>
      <c r="G3476" t="s">
        <v>11379</v>
      </c>
      <c r="H3476">
        <v>993</v>
      </c>
    </row>
    <row r="3477" spans="1:9">
      <c r="A3477" t="str">
        <f>"0015796 "</f>
        <v xml:space="preserve">0015796 </v>
      </c>
      <c r="B3477" t="s">
        <v>11382</v>
      </c>
      <c r="C3477" t="s">
        <v>11383</v>
      </c>
      <c r="D3477" t="s">
        <v>11384</v>
      </c>
      <c r="E3477">
        <v>1</v>
      </c>
      <c r="F3477" t="s">
        <v>4930</v>
      </c>
      <c r="G3477" t="s">
        <v>11385</v>
      </c>
      <c r="H3477" t="s">
        <v>11383</v>
      </c>
      <c r="I3477" t="s">
        <v>11386</v>
      </c>
    </row>
    <row r="3478" spans="1:9">
      <c r="A3478" t="str">
        <f>"0015829 "</f>
        <v xml:space="preserve">0015829 </v>
      </c>
      <c r="B3478" t="s">
        <v>11382</v>
      </c>
      <c r="C3478" t="s">
        <v>11387</v>
      </c>
      <c r="D3478" t="s">
        <v>11388</v>
      </c>
      <c r="E3478">
        <v>3</v>
      </c>
      <c r="F3478" t="s">
        <v>11389</v>
      </c>
      <c r="G3478" t="s">
        <v>11385</v>
      </c>
      <c r="H3478" t="s">
        <v>11387</v>
      </c>
      <c r="I3478" t="s">
        <v>11390</v>
      </c>
    </row>
    <row r="3479" spans="1:9">
      <c r="A3479" t="str">
        <f>"0015833 "</f>
        <v xml:space="preserve">0015833 </v>
      </c>
      <c r="B3479" t="s">
        <v>11382</v>
      </c>
      <c r="C3479" t="s">
        <v>11391</v>
      </c>
      <c r="D3479" t="s">
        <v>11392</v>
      </c>
      <c r="E3479">
        <v>1</v>
      </c>
      <c r="F3479" t="s">
        <v>11393</v>
      </c>
      <c r="G3479" t="s">
        <v>11385</v>
      </c>
      <c r="H3479" t="s">
        <v>11391</v>
      </c>
      <c r="I3479" t="s">
        <v>11394</v>
      </c>
    </row>
    <row r="3480" spans="1:9">
      <c r="A3480" t="str">
        <f>"0015836 "</f>
        <v xml:space="preserve">0015836 </v>
      </c>
      <c r="B3480" t="s">
        <v>11382</v>
      </c>
      <c r="C3480" t="s">
        <v>11395</v>
      </c>
      <c r="D3480" t="s">
        <v>11396</v>
      </c>
      <c r="E3480">
        <v>2</v>
      </c>
      <c r="F3480" t="s">
        <v>11397</v>
      </c>
      <c r="G3480" t="s">
        <v>11385</v>
      </c>
      <c r="H3480" t="s">
        <v>11395</v>
      </c>
      <c r="I3480" t="s">
        <v>11398</v>
      </c>
    </row>
    <row r="3481" spans="1:9">
      <c r="A3481" t="str">
        <f>"0015840 "</f>
        <v xml:space="preserve">0015840 </v>
      </c>
      <c r="B3481" t="s">
        <v>11382</v>
      </c>
      <c r="C3481" t="s">
        <v>11399</v>
      </c>
      <c r="D3481" t="s">
        <v>11400</v>
      </c>
      <c r="E3481">
        <v>1</v>
      </c>
      <c r="F3481" t="s">
        <v>11401</v>
      </c>
      <c r="G3481" t="s">
        <v>11385</v>
      </c>
      <c r="H3481" t="s">
        <v>11399</v>
      </c>
      <c r="I3481" t="s">
        <v>11402</v>
      </c>
    </row>
    <row r="3482" spans="1:9">
      <c r="A3482" t="str">
        <f>"0015842 "</f>
        <v xml:space="preserve">0015842 </v>
      </c>
      <c r="B3482" t="s">
        <v>11382</v>
      </c>
      <c r="C3482" t="s">
        <v>11403</v>
      </c>
      <c r="D3482" t="s">
        <v>11404</v>
      </c>
      <c r="E3482">
        <v>2</v>
      </c>
      <c r="F3482" t="s">
        <v>11405</v>
      </c>
      <c r="G3482" t="s">
        <v>11385</v>
      </c>
      <c r="H3482" t="s">
        <v>11403</v>
      </c>
      <c r="I3482" t="s">
        <v>11406</v>
      </c>
    </row>
    <row r="3483" spans="1:9">
      <c r="A3483" t="str">
        <f>"0015846 "</f>
        <v xml:space="preserve">0015846 </v>
      </c>
      <c r="B3483" t="s">
        <v>11382</v>
      </c>
      <c r="C3483" t="s">
        <v>11407</v>
      </c>
      <c r="D3483" t="s">
        <v>11408</v>
      </c>
      <c r="E3483">
        <v>1</v>
      </c>
      <c r="F3483" t="s">
        <v>11409</v>
      </c>
      <c r="G3483" t="s">
        <v>11385</v>
      </c>
      <c r="H3483" t="s">
        <v>11407</v>
      </c>
      <c r="I3483" t="s">
        <v>11410</v>
      </c>
    </row>
    <row r="3484" spans="1:9">
      <c r="A3484" t="str">
        <f>"0015847 "</f>
        <v xml:space="preserve">0015847 </v>
      </c>
      <c r="B3484" t="s">
        <v>11382</v>
      </c>
      <c r="C3484" t="s">
        <v>11411</v>
      </c>
      <c r="D3484" t="s">
        <v>11412</v>
      </c>
      <c r="E3484" t="s">
        <v>16</v>
      </c>
      <c r="F3484" t="s">
        <v>11413</v>
      </c>
      <c r="G3484" t="s">
        <v>11385</v>
      </c>
      <c r="H3484" t="s">
        <v>11411</v>
      </c>
      <c r="I3484" t="s">
        <v>11414</v>
      </c>
    </row>
    <row r="3485" spans="1:9">
      <c r="A3485" t="str">
        <f>"0015850 "</f>
        <v xml:space="preserve">0015850 </v>
      </c>
      <c r="B3485" t="s">
        <v>11382</v>
      </c>
      <c r="C3485" t="s">
        <v>11415</v>
      </c>
      <c r="D3485" t="s">
        <v>11416</v>
      </c>
      <c r="E3485">
        <v>2</v>
      </c>
      <c r="F3485" t="s">
        <v>11417</v>
      </c>
      <c r="G3485" t="s">
        <v>11385</v>
      </c>
      <c r="H3485" t="s">
        <v>11415</v>
      </c>
      <c r="I3485" t="s">
        <v>11418</v>
      </c>
    </row>
    <row r="3486" spans="1:9">
      <c r="A3486" t="str">
        <f>"0015855 "</f>
        <v xml:space="preserve">0015855 </v>
      </c>
      <c r="B3486" t="s">
        <v>11382</v>
      </c>
      <c r="C3486" t="s">
        <v>11419</v>
      </c>
      <c r="D3486" t="s">
        <v>11420</v>
      </c>
      <c r="E3486">
        <v>2</v>
      </c>
      <c r="F3486" t="s">
        <v>11421</v>
      </c>
      <c r="G3486" t="s">
        <v>11385</v>
      </c>
      <c r="H3486" t="s">
        <v>11419</v>
      </c>
      <c r="I3486" t="s">
        <v>11422</v>
      </c>
    </row>
    <row r="3487" spans="1:9">
      <c r="A3487" t="str">
        <f>"0015859 "</f>
        <v xml:space="preserve">0015859 </v>
      </c>
      <c r="B3487" t="s">
        <v>11382</v>
      </c>
      <c r="C3487" t="s">
        <v>11423</v>
      </c>
      <c r="D3487" t="s">
        <v>11424</v>
      </c>
      <c r="E3487">
        <v>1</v>
      </c>
      <c r="F3487" t="s">
        <v>11425</v>
      </c>
      <c r="G3487" t="s">
        <v>11385</v>
      </c>
      <c r="H3487" t="s">
        <v>11423</v>
      </c>
      <c r="I3487" t="s">
        <v>11426</v>
      </c>
    </row>
    <row r="3488" spans="1:9">
      <c r="A3488" t="str">
        <f>"0015864 "</f>
        <v xml:space="preserve">0015864 </v>
      </c>
      <c r="B3488" t="s">
        <v>11382</v>
      </c>
      <c r="C3488" t="s">
        <v>11427</v>
      </c>
      <c r="D3488" t="s">
        <v>11428</v>
      </c>
      <c r="E3488" t="s">
        <v>16</v>
      </c>
      <c r="F3488" t="s">
        <v>11429</v>
      </c>
      <c r="G3488" t="s">
        <v>11385</v>
      </c>
      <c r="H3488" t="s">
        <v>11427</v>
      </c>
      <c r="I3488" t="s">
        <v>11430</v>
      </c>
    </row>
    <row r="3489" spans="1:9">
      <c r="A3489" t="str">
        <f>"0015867 "</f>
        <v xml:space="preserve">0015867 </v>
      </c>
      <c r="B3489" t="s">
        <v>11382</v>
      </c>
      <c r="C3489" t="s">
        <v>11431</v>
      </c>
      <c r="D3489" t="s">
        <v>11432</v>
      </c>
      <c r="E3489">
        <v>2</v>
      </c>
      <c r="F3489" t="s">
        <v>11433</v>
      </c>
      <c r="G3489" t="s">
        <v>11385</v>
      </c>
      <c r="H3489" t="s">
        <v>11431</v>
      </c>
      <c r="I3489" t="s">
        <v>11434</v>
      </c>
    </row>
    <row r="3490" spans="1:9">
      <c r="A3490" t="str">
        <f>"0015876 "</f>
        <v xml:space="preserve">0015876 </v>
      </c>
      <c r="B3490" t="s">
        <v>11382</v>
      </c>
      <c r="C3490" t="s">
        <v>11435</v>
      </c>
      <c r="D3490" t="s">
        <v>11436</v>
      </c>
      <c r="E3490">
        <v>3</v>
      </c>
      <c r="F3490" t="s">
        <v>1298</v>
      </c>
      <c r="G3490" t="s">
        <v>11385</v>
      </c>
      <c r="H3490" t="s">
        <v>11435</v>
      </c>
      <c r="I3490" t="s">
        <v>11437</v>
      </c>
    </row>
    <row r="3491" spans="1:9">
      <c r="A3491" t="str">
        <f>"0015877 "</f>
        <v xml:space="preserve">0015877 </v>
      </c>
      <c r="B3491" t="s">
        <v>11382</v>
      </c>
      <c r="C3491" t="s">
        <v>11438</v>
      </c>
      <c r="D3491" t="s">
        <v>11439</v>
      </c>
      <c r="E3491">
        <v>1</v>
      </c>
      <c r="F3491" t="s">
        <v>11440</v>
      </c>
      <c r="G3491" t="s">
        <v>11385</v>
      </c>
      <c r="H3491" t="s">
        <v>11438</v>
      </c>
      <c r="I3491" t="s">
        <v>11441</v>
      </c>
    </row>
    <row r="3492" spans="1:9">
      <c r="A3492" t="str">
        <f>"0015879 "</f>
        <v xml:space="preserve">0015879 </v>
      </c>
      <c r="B3492" t="s">
        <v>11382</v>
      </c>
      <c r="C3492" t="s">
        <v>11442</v>
      </c>
      <c r="D3492" t="s">
        <v>11443</v>
      </c>
      <c r="E3492">
        <v>5</v>
      </c>
      <c r="F3492" t="s">
        <v>11444</v>
      </c>
      <c r="G3492" t="s">
        <v>11385</v>
      </c>
      <c r="H3492" t="s">
        <v>11442</v>
      </c>
      <c r="I3492" t="s">
        <v>11445</v>
      </c>
    </row>
    <row r="3493" spans="1:9">
      <c r="A3493" t="str">
        <f>"0015884 "</f>
        <v xml:space="preserve">0015884 </v>
      </c>
      <c r="B3493" t="s">
        <v>11382</v>
      </c>
      <c r="C3493" t="s">
        <v>11446</v>
      </c>
      <c r="D3493" t="s">
        <v>11447</v>
      </c>
      <c r="E3493" t="s">
        <v>16</v>
      </c>
      <c r="F3493" t="s">
        <v>11448</v>
      </c>
      <c r="G3493" t="s">
        <v>11385</v>
      </c>
      <c r="H3493" t="s">
        <v>11446</v>
      </c>
      <c r="I3493" t="s">
        <v>11449</v>
      </c>
    </row>
    <row r="3494" spans="1:9">
      <c r="A3494" t="str">
        <f>"0018959 "</f>
        <v xml:space="preserve">0018959 </v>
      </c>
      <c r="B3494" t="s">
        <v>11382</v>
      </c>
      <c r="C3494" t="s">
        <v>11450</v>
      </c>
      <c r="D3494" t="s">
        <v>11451</v>
      </c>
      <c r="E3494">
        <v>2</v>
      </c>
      <c r="F3494" t="s">
        <v>11452</v>
      </c>
      <c r="G3494" t="s">
        <v>11385</v>
      </c>
      <c r="H3494" t="s">
        <v>11450</v>
      </c>
      <c r="I3494" t="s">
        <v>11453</v>
      </c>
    </row>
    <row r="3495" spans="1:9">
      <c r="A3495" t="str">
        <f>"0015887 "</f>
        <v xml:space="preserve">0015887 </v>
      </c>
      <c r="B3495" t="s">
        <v>11382</v>
      </c>
      <c r="C3495" t="s">
        <v>11454</v>
      </c>
      <c r="D3495" t="s">
        <v>11455</v>
      </c>
      <c r="E3495">
        <v>1</v>
      </c>
      <c r="F3495" t="s">
        <v>11456</v>
      </c>
      <c r="G3495" t="s">
        <v>11385</v>
      </c>
      <c r="H3495" t="s">
        <v>11454</v>
      </c>
      <c r="I3495" t="s">
        <v>11457</v>
      </c>
    </row>
    <row r="3496" spans="1:9">
      <c r="A3496" t="str">
        <f>"0018603 "</f>
        <v xml:space="preserve">0018603 </v>
      </c>
      <c r="B3496" t="s">
        <v>11382</v>
      </c>
      <c r="C3496" t="s">
        <v>11458</v>
      </c>
      <c r="D3496" t="s">
        <v>11459</v>
      </c>
      <c r="E3496">
        <v>1</v>
      </c>
      <c r="F3496" t="s">
        <v>11460</v>
      </c>
      <c r="G3496" t="s">
        <v>11385</v>
      </c>
      <c r="H3496" t="s">
        <v>11458</v>
      </c>
      <c r="I3496" t="s">
        <v>11461</v>
      </c>
    </row>
    <row r="3497" spans="1:9">
      <c r="A3497" t="str">
        <f>"0015897 "</f>
        <v xml:space="preserve">0015897 </v>
      </c>
      <c r="B3497" t="s">
        <v>11382</v>
      </c>
      <c r="C3497" t="s">
        <v>11462</v>
      </c>
      <c r="D3497" t="s">
        <v>11463</v>
      </c>
      <c r="E3497">
        <v>3</v>
      </c>
      <c r="F3497" t="s">
        <v>11464</v>
      </c>
      <c r="G3497" t="s">
        <v>11385</v>
      </c>
      <c r="H3497" t="s">
        <v>11462</v>
      </c>
      <c r="I3497" t="s">
        <v>11465</v>
      </c>
    </row>
    <row r="3498" spans="1:9">
      <c r="A3498" t="str">
        <f>"0015905 "</f>
        <v xml:space="preserve">0015905 </v>
      </c>
      <c r="B3498" t="s">
        <v>11382</v>
      </c>
      <c r="C3498" t="s">
        <v>11466</v>
      </c>
      <c r="D3498" t="s">
        <v>11467</v>
      </c>
      <c r="E3498" t="s">
        <v>16</v>
      </c>
      <c r="F3498" t="s">
        <v>11468</v>
      </c>
      <c r="G3498" t="s">
        <v>11385</v>
      </c>
      <c r="H3498" t="s">
        <v>11466</v>
      </c>
      <c r="I3498" t="s">
        <v>11469</v>
      </c>
    </row>
    <row r="3499" spans="1:9">
      <c r="A3499" t="str">
        <f>"0015906 "</f>
        <v xml:space="preserve">0015906 </v>
      </c>
      <c r="B3499" t="s">
        <v>11382</v>
      </c>
      <c r="C3499" t="s">
        <v>11470</v>
      </c>
      <c r="D3499" t="s">
        <v>11471</v>
      </c>
      <c r="E3499">
        <v>2</v>
      </c>
      <c r="F3499" t="s">
        <v>11472</v>
      </c>
      <c r="G3499" t="s">
        <v>11385</v>
      </c>
      <c r="H3499" t="s">
        <v>11470</v>
      </c>
      <c r="I3499" t="s">
        <v>11473</v>
      </c>
    </row>
    <row r="3500" spans="1:9">
      <c r="A3500" t="str">
        <f>"0015910 "</f>
        <v xml:space="preserve">0015910 </v>
      </c>
      <c r="B3500" t="s">
        <v>11382</v>
      </c>
      <c r="C3500" t="s">
        <v>11474</v>
      </c>
      <c r="D3500" t="s">
        <v>11475</v>
      </c>
      <c r="E3500">
        <v>3</v>
      </c>
      <c r="F3500" t="s">
        <v>11476</v>
      </c>
      <c r="G3500" t="s">
        <v>11385</v>
      </c>
      <c r="H3500" t="s">
        <v>11474</v>
      </c>
      <c r="I3500" t="s">
        <v>11477</v>
      </c>
    </row>
    <row r="3501" spans="1:9">
      <c r="A3501" t="str">
        <f>"0015921 "</f>
        <v xml:space="preserve">0015921 </v>
      </c>
      <c r="B3501" t="s">
        <v>11382</v>
      </c>
      <c r="C3501" t="s">
        <v>11478</v>
      </c>
      <c r="D3501" t="s">
        <v>11479</v>
      </c>
      <c r="E3501">
        <v>1</v>
      </c>
      <c r="F3501" t="s">
        <v>11480</v>
      </c>
      <c r="G3501" t="s">
        <v>11385</v>
      </c>
      <c r="H3501" t="s">
        <v>11478</v>
      </c>
      <c r="I3501" t="s">
        <v>11481</v>
      </c>
    </row>
    <row r="3502" spans="1:9">
      <c r="A3502" t="str">
        <f>"0015926 "</f>
        <v xml:space="preserve">0015926 </v>
      </c>
      <c r="B3502" t="s">
        <v>11382</v>
      </c>
      <c r="C3502" t="s">
        <v>11482</v>
      </c>
      <c r="D3502" t="s">
        <v>11483</v>
      </c>
      <c r="E3502">
        <v>1</v>
      </c>
      <c r="F3502" t="s">
        <v>11484</v>
      </c>
      <c r="G3502" t="s">
        <v>11385</v>
      </c>
      <c r="H3502" t="s">
        <v>11482</v>
      </c>
      <c r="I3502" t="s">
        <v>11485</v>
      </c>
    </row>
    <row r="3503" spans="1:9">
      <c r="A3503" t="str">
        <f>"0015927 "</f>
        <v xml:space="preserve">0015927 </v>
      </c>
      <c r="B3503" t="s">
        <v>11382</v>
      </c>
      <c r="C3503" t="s">
        <v>11486</v>
      </c>
      <c r="D3503" t="s">
        <v>11487</v>
      </c>
      <c r="E3503" t="s">
        <v>16</v>
      </c>
      <c r="F3503" t="s">
        <v>11488</v>
      </c>
      <c r="G3503" t="s">
        <v>11385</v>
      </c>
      <c r="H3503" t="s">
        <v>11486</v>
      </c>
      <c r="I3503" t="s">
        <v>11489</v>
      </c>
    </row>
    <row r="3504" spans="1:9">
      <c r="A3504" t="str">
        <f>"0015948 "</f>
        <v xml:space="preserve">0015948 </v>
      </c>
      <c r="B3504" t="s">
        <v>11382</v>
      </c>
      <c r="C3504" t="s">
        <v>11490</v>
      </c>
      <c r="D3504" t="s">
        <v>11491</v>
      </c>
      <c r="E3504">
        <v>1</v>
      </c>
      <c r="F3504" t="s">
        <v>11492</v>
      </c>
      <c r="G3504" t="s">
        <v>11385</v>
      </c>
      <c r="H3504" t="s">
        <v>11490</v>
      </c>
      <c r="I3504" t="s">
        <v>11493</v>
      </c>
    </row>
    <row r="3505" spans="1:9">
      <c r="A3505" t="str">
        <f>"0015955 "</f>
        <v xml:space="preserve">0015955 </v>
      </c>
      <c r="B3505" t="s">
        <v>11382</v>
      </c>
      <c r="C3505" t="s">
        <v>11494</v>
      </c>
      <c r="D3505" t="s">
        <v>11495</v>
      </c>
      <c r="E3505">
        <v>1</v>
      </c>
      <c r="F3505" t="s">
        <v>11496</v>
      </c>
      <c r="G3505" t="s">
        <v>11385</v>
      </c>
      <c r="H3505" t="s">
        <v>11494</v>
      </c>
      <c r="I3505" t="s">
        <v>11497</v>
      </c>
    </row>
    <row r="3506" spans="1:9">
      <c r="A3506" t="str">
        <f>"0015968 "</f>
        <v xml:space="preserve">0015968 </v>
      </c>
      <c r="B3506" t="s">
        <v>11382</v>
      </c>
      <c r="C3506" t="s">
        <v>11498</v>
      </c>
      <c r="D3506" t="s">
        <v>11499</v>
      </c>
      <c r="E3506">
        <v>3</v>
      </c>
      <c r="F3506" s="1">
        <v>42755</v>
      </c>
      <c r="G3506" t="s">
        <v>11385</v>
      </c>
      <c r="H3506" t="s">
        <v>11498</v>
      </c>
      <c r="I3506" t="s">
        <v>11500</v>
      </c>
    </row>
    <row r="3507" spans="1:9">
      <c r="A3507" t="str">
        <f>"0015978 "</f>
        <v xml:space="preserve">0015978 </v>
      </c>
      <c r="B3507" t="s">
        <v>11382</v>
      </c>
      <c r="C3507" t="s">
        <v>11501</v>
      </c>
      <c r="D3507" t="s">
        <v>11502</v>
      </c>
      <c r="E3507">
        <v>1</v>
      </c>
      <c r="F3507" t="s">
        <v>11503</v>
      </c>
      <c r="G3507" t="s">
        <v>11385</v>
      </c>
      <c r="H3507" t="s">
        <v>11501</v>
      </c>
      <c r="I3507" t="s">
        <v>11504</v>
      </c>
    </row>
    <row r="3508" spans="1:9">
      <c r="A3508" t="str">
        <f>"0015985 "</f>
        <v xml:space="preserve">0015985 </v>
      </c>
      <c r="B3508" t="s">
        <v>11382</v>
      </c>
      <c r="C3508" t="s">
        <v>11505</v>
      </c>
      <c r="D3508" t="s">
        <v>11506</v>
      </c>
      <c r="E3508">
        <v>3</v>
      </c>
      <c r="F3508" t="s">
        <v>11507</v>
      </c>
      <c r="G3508" t="s">
        <v>11385</v>
      </c>
      <c r="H3508" t="s">
        <v>11505</v>
      </c>
      <c r="I3508" t="s">
        <v>11508</v>
      </c>
    </row>
    <row r="3509" spans="1:9">
      <c r="A3509" t="str">
        <f>"0015989 "</f>
        <v xml:space="preserve">0015989 </v>
      </c>
      <c r="B3509" t="s">
        <v>11382</v>
      </c>
      <c r="C3509" t="s">
        <v>11509</v>
      </c>
      <c r="D3509" t="s">
        <v>11510</v>
      </c>
      <c r="E3509">
        <v>1</v>
      </c>
      <c r="F3509" t="s">
        <v>11511</v>
      </c>
      <c r="G3509" t="s">
        <v>11385</v>
      </c>
      <c r="H3509" t="s">
        <v>11509</v>
      </c>
      <c r="I3509" t="s">
        <v>11512</v>
      </c>
    </row>
    <row r="3510" spans="1:9">
      <c r="A3510" t="str">
        <f>"0086592 "</f>
        <v xml:space="preserve">0086592 </v>
      </c>
      <c r="B3510" t="s">
        <v>11382</v>
      </c>
      <c r="C3510" t="s">
        <v>11513</v>
      </c>
      <c r="D3510" t="s">
        <v>11514</v>
      </c>
      <c r="E3510">
        <v>1</v>
      </c>
      <c r="F3510" t="s">
        <v>11515</v>
      </c>
      <c r="G3510" t="s">
        <v>11385</v>
      </c>
      <c r="H3510" t="s">
        <v>11513</v>
      </c>
      <c r="I3510" t="s">
        <v>11516</v>
      </c>
    </row>
    <row r="3511" spans="1:9">
      <c r="A3511" t="str">
        <f>"0015999 "</f>
        <v xml:space="preserve">0015999 </v>
      </c>
      <c r="B3511" t="s">
        <v>11382</v>
      </c>
      <c r="C3511" t="s">
        <v>11517</v>
      </c>
      <c r="D3511" t="s">
        <v>11518</v>
      </c>
      <c r="E3511">
        <v>3</v>
      </c>
      <c r="F3511" t="s">
        <v>11519</v>
      </c>
      <c r="G3511" t="s">
        <v>11385</v>
      </c>
      <c r="H3511" t="s">
        <v>11517</v>
      </c>
      <c r="I3511" t="s">
        <v>11520</v>
      </c>
    </row>
    <row r="3512" spans="1:9">
      <c r="A3512" t="str">
        <f>"0016016 "</f>
        <v xml:space="preserve">0016016 </v>
      </c>
      <c r="B3512" t="s">
        <v>11382</v>
      </c>
      <c r="C3512" t="s">
        <v>11521</v>
      </c>
      <c r="D3512" t="s">
        <v>11522</v>
      </c>
      <c r="E3512">
        <v>1</v>
      </c>
      <c r="F3512" t="s">
        <v>11523</v>
      </c>
      <c r="G3512" t="s">
        <v>11385</v>
      </c>
      <c r="H3512" t="s">
        <v>11521</v>
      </c>
      <c r="I3512" t="s">
        <v>11524</v>
      </c>
    </row>
    <row r="3513" spans="1:9">
      <c r="A3513" t="str">
        <f>"0016019 "</f>
        <v xml:space="preserve">0016019 </v>
      </c>
      <c r="B3513" t="s">
        <v>11382</v>
      </c>
      <c r="C3513" t="s">
        <v>11525</v>
      </c>
      <c r="D3513" t="s">
        <v>11526</v>
      </c>
      <c r="E3513">
        <v>5</v>
      </c>
      <c r="F3513" t="s">
        <v>11464</v>
      </c>
      <c r="G3513" t="s">
        <v>11385</v>
      </c>
      <c r="H3513" t="s">
        <v>11525</v>
      </c>
      <c r="I3513" t="s">
        <v>11527</v>
      </c>
    </row>
    <row r="3514" spans="1:9">
      <c r="A3514" t="str">
        <f>"0016030 "</f>
        <v xml:space="preserve">0016030 </v>
      </c>
      <c r="B3514" t="s">
        <v>11382</v>
      </c>
      <c r="C3514" t="s">
        <v>11528</v>
      </c>
      <c r="D3514" t="s">
        <v>11529</v>
      </c>
      <c r="E3514">
        <v>2</v>
      </c>
      <c r="F3514" t="s">
        <v>11530</v>
      </c>
      <c r="G3514" t="s">
        <v>11385</v>
      </c>
      <c r="H3514" t="s">
        <v>11528</v>
      </c>
      <c r="I3514" t="s">
        <v>11531</v>
      </c>
    </row>
    <row r="3515" spans="1:9">
      <c r="A3515" t="str">
        <f>"0016031 "</f>
        <v xml:space="preserve">0016031 </v>
      </c>
      <c r="B3515" t="s">
        <v>11382</v>
      </c>
      <c r="C3515" t="s">
        <v>11532</v>
      </c>
      <c r="D3515" t="s">
        <v>11533</v>
      </c>
      <c r="E3515">
        <v>1</v>
      </c>
      <c r="F3515" t="s">
        <v>11534</v>
      </c>
      <c r="G3515" t="s">
        <v>11385</v>
      </c>
      <c r="H3515" t="s">
        <v>11532</v>
      </c>
      <c r="I3515" t="s">
        <v>11535</v>
      </c>
    </row>
    <row r="3516" spans="1:9">
      <c r="A3516" t="str">
        <f>"0016032 "</f>
        <v xml:space="preserve">0016032 </v>
      </c>
      <c r="B3516" t="s">
        <v>11382</v>
      </c>
      <c r="C3516" t="s">
        <v>11536</v>
      </c>
      <c r="D3516" t="s">
        <v>11537</v>
      </c>
      <c r="E3516">
        <v>3</v>
      </c>
      <c r="F3516" t="s">
        <v>11538</v>
      </c>
      <c r="G3516" t="s">
        <v>11385</v>
      </c>
      <c r="H3516" t="s">
        <v>11536</v>
      </c>
      <c r="I3516" t="s">
        <v>11539</v>
      </c>
    </row>
    <row r="3517" spans="1:9">
      <c r="A3517" t="str">
        <f>"0016043 "</f>
        <v xml:space="preserve">0016043 </v>
      </c>
      <c r="B3517" t="s">
        <v>11382</v>
      </c>
      <c r="C3517" t="s">
        <v>11540</v>
      </c>
      <c r="D3517" t="s">
        <v>11541</v>
      </c>
      <c r="E3517">
        <v>1</v>
      </c>
      <c r="F3517" t="s">
        <v>11542</v>
      </c>
      <c r="G3517" t="s">
        <v>11385</v>
      </c>
      <c r="H3517" t="s">
        <v>11540</v>
      </c>
      <c r="I3517" t="s">
        <v>11543</v>
      </c>
    </row>
    <row r="3518" spans="1:9">
      <c r="A3518" t="str">
        <f>"0016049 "</f>
        <v xml:space="preserve">0016049 </v>
      </c>
      <c r="B3518" t="s">
        <v>11382</v>
      </c>
      <c r="C3518" t="s">
        <v>11544</v>
      </c>
      <c r="D3518" t="s">
        <v>11545</v>
      </c>
      <c r="E3518">
        <v>2</v>
      </c>
      <c r="F3518" t="s">
        <v>11546</v>
      </c>
      <c r="G3518" t="s">
        <v>11385</v>
      </c>
      <c r="H3518" t="s">
        <v>11544</v>
      </c>
      <c r="I3518" t="s">
        <v>11547</v>
      </c>
    </row>
    <row r="3519" spans="1:9">
      <c r="A3519" t="str">
        <f>"0016054 "</f>
        <v xml:space="preserve">0016054 </v>
      </c>
      <c r="B3519" t="s">
        <v>11382</v>
      </c>
      <c r="C3519" t="s">
        <v>11548</v>
      </c>
      <c r="D3519" t="s">
        <v>11549</v>
      </c>
      <c r="E3519">
        <v>1</v>
      </c>
      <c r="F3519" t="s">
        <v>11550</v>
      </c>
      <c r="G3519" t="s">
        <v>11385</v>
      </c>
      <c r="H3519" t="s">
        <v>11548</v>
      </c>
      <c r="I3519" t="s">
        <v>11551</v>
      </c>
    </row>
    <row r="3520" spans="1:9">
      <c r="A3520" t="str">
        <f>"0016058 "</f>
        <v xml:space="preserve">0016058 </v>
      </c>
      <c r="B3520" t="s">
        <v>11382</v>
      </c>
      <c r="C3520" t="s">
        <v>11552</v>
      </c>
      <c r="D3520" t="s">
        <v>11553</v>
      </c>
      <c r="E3520">
        <v>1</v>
      </c>
      <c r="F3520" t="s">
        <v>11554</v>
      </c>
      <c r="G3520" t="s">
        <v>11385</v>
      </c>
      <c r="H3520" t="s">
        <v>11552</v>
      </c>
      <c r="I3520" t="s">
        <v>11555</v>
      </c>
    </row>
    <row r="3521" spans="1:9">
      <c r="A3521" t="str">
        <f>"0038989 "</f>
        <v xml:space="preserve">0038989 </v>
      </c>
      <c r="B3521" t="s">
        <v>11382</v>
      </c>
      <c r="C3521" t="s">
        <v>11556</v>
      </c>
      <c r="D3521" t="s">
        <v>11557</v>
      </c>
      <c r="E3521">
        <v>1</v>
      </c>
      <c r="F3521" t="s">
        <v>11558</v>
      </c>
      <c r="G3521" t="s">
        <v>11385</v>
      </c>
      <c r="H3521" t="s">
        <v>11556</v>
      </c>
      <c r="I3521" t="s">
        <v>11559</v>
      </c>
    </row>
    <row r="3522" spans="1:9">
      <c r="A3522" t="str">
        <f>"0016089 "</f>
        <v xml:space="preserve">0016089 </v>
      </c>
      <c r="B3522" t="s">
        <v>11382</v>
      </c>
      <c r="C3522" t="s">
        <v>11560</v>
      </c>
      <c r="D3522" t="s">
        <v>11561</v>
      </c>
      <c r="E3522">
        <v>1</v>
      </c>
      <c r="F3522" t="s">
        <v>11456</v>
      </c>
      <c r="G3522" t="s">
        <v>11385</v>
      </c>
      <c r="H3522" t="s">
        <v>11560</v>
      </c>
      <c r="I3522" t="s">
        <v>11562</v>
      </c>
    </row>
    <row r="3523" spans="1:9">
      <c r="A3523" t="str">
        <f>"0016094 "</f>
        <v xml:space="preserve">0016094 </v>
      </c>
      <c r="B3523" t="s">
        <v>11382</v>
      </c>
      <c r="C3523" t="s">
        <v>11563</v>
      </c>
      <c r="D3523" t="s">
        <v>11564</v>
      </c>
      <c r="E3523">
        <v>1</v>
      </c>
      <c r="F3523" t="s">
        <v>11565</v>
      </c>
      <c r="G3523" t="s">
        <v>11385</v>
      </c>
      <c r="H3523" t="s">
        <v>11563</v>
      </c>
      <c r="I3523" t="s">
        <v>11566</v>
      </c>
    </row>
    <row r="3524" spans="1:9">
      <c r="A3524" t="str">
        <f>"0016105 "</f>
        <v xml:space="preserve">0016105 </v>
      </c>
      <c r="B3524" t="s">
        <v>11382</v>
      </c>
      <c r="C3524" t="s">
        <v>11567</v>
      </c>
      <c r="D3524" t="s">
        <v>11568</v>
      </c>
      <c r="E3524">
        <v>1</v>
      </c>
      <c r="F3524" t="s">
        <v>11569</v>
      </c>
      <c r="G3524" t="s">
        <v>11385</v>
      </c>
      <c r="H3524" t="s">
        <v>11567</v>
      </c>
      <c r="I3524" t="s">
        <v>11570</v>
      </c>
    </row>
    <row r="3525" spans="1:9">
      <c r="A3525" t="str">
        <f>"0016139 "</f>
        <v xml:space="preserve">0016139 </v>
      </c>
      <c r="B3525" t="s">
        <v>11382</v>
      </c>
      <c r="C3525" t="s">
        <v>11571</v>
      </c>
      <c r="D3525" t="s">
        <v>11572</v>
      </c>
      <c r="E3525">
        <v>1</v>
      </c>
      <c r="F3525" t="s">
        <v>11573</v>
      </c>
      <c r="G3525" t="s">
        <v>11385</v>
      </c>
      <c r="H3525" t="s">
        <v>11571</v>
      </c>
      <c r="I3525" t="s">
        <v>11574</v>
      </c>
    </row>
    <row r="3526" spans="1:9">
      <c r="A3526" t="str">
        <f>"0016143 "</f>
        <v xml:space="preserve">0016143 </v>
      </c>
      <c r="B3526" t="s">
        <v>11382</v>
      </c>
      <c r="C3526" t="s">
        <v>11575</v>
      </c>
      <c r="D3526" t="s">
        <v>11576</v>
      </c>
      <c r="E3526">
        <v>3</v>
      </c>
      <c r="F3526" t="s">
        <v>11577</v>
      </c>
      <c r="G3526" t="s">
        <v>11385</v>
      </c>
      <c r="H3526" t="s">
        <v>11575</v>
      </c>
      <c r="I3526" t="s">
        <v>11578</v>
      </c>
    </row>
    <row r="3527" spans="1:9">
      <c r="A3527" t="str">
        <f>"0016144 "</f>
        <v xml:space="preserve">0016144 </v>
      </c>
      <c r="B3527" t="s">
        <v>11382</v>
      </c>
      <c r="C3527" t="s">
        <v>11579</v>
      </c>
      <c r="D3527" t="s">
        <v>11580</v>
      </c>
      <c r="E3527">
        <v>5</v>
      </c>
      <c r="F3527" t="s">
        <v>11581</v>
      </c>
      <c r="G3527" t="s">
        <v>11385</v>
      </c>
      <c r="H3527" t="s">
        <v>11579</v>
      </c>
      <c r="I3527" t="s">
        <v>11582</v>
      </c>
    </row>
    <row r="3528" spans="1:9">
      <c r="A3528" t="str">
        <f>"0016149 "</f>
        <v xml:space="preserve">0016149 </v>
      </c>
      <c r="B3528" t="s">
        <v>11382</v>
      </c>
      <c r="C3528" t="s">
        <v>11583</v>
      </c>
      <c r="D3528" t="s">
        <v>11584</v>
      </c>
      <c r="E3528">
        <v>1</v>
      </c>
      <c r="F3528" t="s">
        <v>11585</v>
      </c>
      <c r="G3528" t="s">
        <v>11385</v>
      </c>
      <c r="H3528" t="s">
        <v>11583</v>
      </c>
      <c r="I3528" t="s">
        <v>1363</v>
      </c>
    </row>
    <row r="3529" spans="1:9">
      <c r="A3529" t="str">
        <f>"0018619 "</f>
        <v xml:space="preserve">0018619 </v>
      </c>
      <c r="B3529" t="s">
        <v>11382</v>
      </c>
      <c r="C3529" t="s">
        <v>11586</v>
      </c>
      <c r="D3529" t="s">
        <v>11587</v>
      </c>
      <c r="E3529">
        <v>2</v>
      </c>
      <c r="F3529" t="s">
        <v>11588</v>
      </c>
      <c r="G3529" t="s">
        <v>11385</v>
      </c>
      <c r="H3529" t="s">
        <v>11586</v>
      </c>
      <c r="I3529" t="s">
        <v>11589</v>
      </c>
    </row>
    <row r="3530" spans="1:9">
      <c r="A3530" t="str">
        <f>"0016151 "</f>
        <v xml:space="preserve">0016151 </v>
      </c>
      <c r="B3530" t="s">
        <v>11382</v>
      </c>
      <c r="C3530" t="s">
        <v>11590</v>
      </c>
      <c r="D3530" t="s">
        <v>11591</v>
      </c>
      <c r="E3530">
        <v>1</v>
      </c>
      <c r="F3530" t="s">
        <v>11592</v>
      </c>
      <c r="G3530" t="s">
        <v>11385</v>
      </c>
      <c r="H3530" t="s">
        <v>11590</v>
      </c>
      <c r="I3530" t="s">
        <v>11593</v>
      </c>
    </row>
    <row r="3531" spans="1:9">
      <c r="A3531" t="str">
        <f>"0018966 "</f>
        <v xml:space="preserve">0018966 </v>
      </c>
      <c r="B3531" t="s">
        <v>11382</v>
      </c>
      <c r="C3531" t="s">
        <v>11594</v>
      </c>
      <c r="D3531" t="s">
        <v>11595</v>
      </c>
      <c r="E3531">
        <v>1</v>
      </c>
      <c r="F3531" t="s">
        <v>11596</v>
      </c>
      <c r="G3531" t="s">
        <v>11385</v>
      </c>
      <c r="H3531" t="s">
        <v>11594</v>
      </c>
      <c r="I3531" t="s">
        <v>11597</v>
      </c>
    </row>
    <row r="3532" spans="1:9">
      <c r="A3532" t="str">
        <f>"0016157 "</f>
        <v xml:space="preserve">0016157 </v>
      </c>
      <c r="B3532" t="s">
        <v>11382</v>
      </c>
      <c r="C3532" t="s">
        <v>11598</v>
      </c>
      <c r="D3532" t="s">
        <v>11599</v>
      </c>
      <c r="E3532">
        <v>3</v>
      </c>
      <c r="F3532" t="s">
        <v>11600</v>
      </c>
      <c r="G3532" t="s">
        <v>11385</v>
      </c>
      <c r="H3532" t="s">
        <v>11598</v>
      </c>
      <c r="I3532" t="s">
        <v>11601</v>
      </c>
    </row>
    <row r="3533" spans="1:9">
      <c r="A3533" t="str">
        <f>"0086533 "</f>
        <v xml:space="preserve">0086533 </v>
      </c>
      <c r="B3533" t="s">
        <v>11382</v>
      </c>
      <c r="C3533" t="s">
        <v>11602</v>
      </c>
      <c r="D3533" t="s">
        <v>11603</v>
      </c>
      <c r="E3533">
        <v>1</v>
      </c>
      <c r="F3533" t="s">
        <v>11604</v>
      </c>
      <c r="G3533" t="s">
        <v>11385</v>
      </c>
      <c r="H3533" t="s">
        <v>11602</v>
      </c>
      <c r="I3533" t="s">
        <v>11605</v>
      </c>
    </row>
    <row r="3534" spans="1:9">
      <c r="A3534" t="str">
        <f>"0038758 "</f>
        <v xml:space="preserve">0038758 </v>
      </c>
      <c r="B3534" t="s">
        <v>11382</v>
      </c>
      <c r="C3534" t="s">
        <v>11606</v>
      </c>
      <c r="D3534" t="s">
        <v>11607</v>
      </c>
      <c r="E3534">
        <v>1</v>
      </c>
      <c r="F3534" t="s">
        <v>11608</v>
      </c>
      <c r="G3534" t="s">
        <v>11385</v>
      </c>
      <c r="H3534" t="s">
        <v>11606</v>
      </c>
      <c r="I3534" t="s">
        <v>11609</v>
      </c>
    </row>
    <row r="3535" spans="1:9">
      <c r="A3535" t="str">
        <f>"0016160 "</f>
        <v xml:space="preserve">0016160 </v>
      </c>
      <c r="B3535" t="s">
        <v>11382</v>
      </c>
      <c r="C3535" t="s">
        <v>11610</v>
      </c>
      <c r="D3535" t="s">
        <v>11611</v>
      </c>
      <c r="E3535">
        <v>2</v>
      </c>
      <c r="F3535" t="s">
        <v>11612</v>
      </c>
      <c r="G3535" t="s">
        <v>11385</v>
      </c>
      <c r="H3535" t="s">
        <v>11610</v>
      </c>
      <c r="I3535" t="s">
        <v>11613</v>
      </c>
    </row>
    <row r="3536" spans="1:9">
      <c r="A3536" t="str">
        <f>"0016164 "</f>
        <v xml:space="preserve">0016164 </v>
      </c>
      <c r="B3536" t="s">
        <v>11382</v>
      </c>
      <c r="C3536" t="s">
        <v>11614</v>
      </c>
      <c r="D3536" t="s">
        <v>11615</v>
      </c>
      <c r="E3536" t="s">
        <v>16</v>
      </c>
      <c r="F3536" t="s">
        <v>11616</v>
      </c>
      <c r="G3536" t="s">
        <v>11385</v>
      </c>
      <c r="H3536" t="s">
        <v>11614</v>
      </c>
      <c r="I3536" t="s">
        <v>11617</v>
      </c>
    </row>
    <row r="3537" spans="1:9">
      <c r="A3537" t="str">
        <f>"0016181 "</f>
        <v xml:space="preserve">0016181 </v>
      </c>
      <c r="B3537" t="s">
        <v>11382</v>
      </c>
      <c r="C3537" t="s">
        <v>11618</v>
      </c>
      <c r="D3537" t="s">
        <v>11619</v>
      </c>
      <c r="E3537">
        <v>2</v>
      </c>
      <c r="F3537" t="s">
        <v>11620</v>
      </c>
      <c r="G3537" t="s">
        <v>11385</v>
      </c>
      <c r="H3537" t="s">
        <v>11618</v>
      </c>
      <c r="I3537" t="s">
        <v>11621</v>
      </c>
    </row>
    <row r="3538" spans="1:9">
      <c r="A3538" t="str">
        <f>"0016189 "</f>
        <v xml:space="preserve">0016189 </v>
      </c>
      <c r="B3538" t="s">
        <v>11382</v>
      </c>
      <c r="C3538" t="s">
        <v>11622</v>
      </c>
      <c r="D3538" t="s">
        <v>11623</v>
      </c>
      <c r="E3538">
        <v>2</v>
      </c>
      <c r="F3538" t="s">
        <v>11624</v>
      </c>
      <c r="G3538" t="s">
        <v>11385</v>
      </c>
      <c r="H3538" t="s">
        <v>11622</v>
      </c>
      <c r="I3538" t="s">
        <v>11625</v>
      </c>
    </row>
    <row r="3539" spans="1:9">
      <c r="A3539" t="str">
        <f>"0016190 "</f>
        <v xml:space="preserve">0016190 </v>
      </c>
      <c r="B3539" t="s">
        <v>11382</v>
      </c>
      <c r="C3539" t="s">
        <v>11626</v>
      </c>
      <c r="D3539" t="s">
        <v>11627</v>
      </c>
      <c r="E3539">
        <v>1</v>
      </c>
      <c r="F3539" t="s">
        <v>11628</v>
      </c>
      <c r="G3539" t="s">
        <v>11385</v>
      </c>
      <c r="H3539" t="s">
        <v>11626</v>
      </c>
      <c r="I3539" t="s">
        <v>11629</v>
      </c>
    </row>
    <row r="3540" spans="1:9">
      <c r="A3540" t="str">
        <f>"0016195 "</f>
        <v xml:space="preserve">0016195 </v>
      </c>
      <c r="B3540" t="s">
        <v>11382</v>
      </c>
      <c r="C3540" t="s">
        <v>11630</v>
      </c>
      <c r="D3540" t="s">
        <v>11631</v>
      </c>
      <c r="E3540">
        <v>2</v>
      </c>
      <c r="F3540" t="s">
        <v>11632</v>
      </c>
      <c r="G3540" t="s">
        <v>11385</v>
      </c>
      <c r="H3540" t="s">
        <v>11630</v>
      </c>
      <c r="I3540" t="s">
        <v>11633</v>
      </c>
    </row>
    <row r="3541" spans="1:9">
      <c r="A3541" t="str">
        <f>"0020342 "</f>
        <v xml:space="preserve">0020342 </v>
      </c>
      <c r="B3541" t="s">
        <v>11382</v>
      </c>
      <c r="C3541" t="s">
        <v>11634</v>
      </c>
      <c r="D3541" t="s">
        <v>11635</v>
      </c>
      <c r="E3541">
        <v>2</v>
      </c>
      <c r="F3541" t="s">
        <v>11636</v>
      </c>
      <c r="G3541" t="s">
        <v>11385</v>
      </c>
      <c r="H3541" t="s">
        <v>11634</v>
      </c>
      <c r="I3541" t="s">
        <v>11637</v>
      </c>
    </row>
    <row r="3542" spans="1:9">
      <c r="A3542" t="str">
        <f>"0016202 "</f>
        <v xml:space="preserve">0016202 </v>
      </c>
      <c r="B3542" t="s">
        <v>11382</v>
      </c>
      <c r="C3542" t="s">
        <v>11638</v>
      </c>
      <c r="D3542" t="s">
        <v>11639</v>
      </c>
      <c r="E3542" t="s">
        <v>16</v>
      </c>
      <c r="F3542" t="s">
        <v>11640</v>
      </c>
      <c r="G3542" t="s">
        <v>11385</v>
      </c>
      <c r="H3542" t="s">
        <v>11638</v>
      </c>
      <c r="I3542" t="s">
        <v>11641</v>
      </c>
    </row>
    <row r="3543" spans="1:9">
      <c r="A3543" t="str">
        <f>"0016203 "</f>
        <v xml:space="preserve">0016203 </v>
      </c>
      <c r="B3543" t="s">
        <v>11382</v>
      </c>
      <c r="C3543" t="s">
        <v>11642</v>
      </c>
      <c r="D3543" t="s">
        <v>11643</v>
      </c>
      <c r="E3543">
        <v>2</v>
      </c>
      <c r="F3543" t="s">
        <v>11644</v>
      </c>
      <c r="G3543" t="s">
        <v>11385</v>
      </c>
      <c r="H3543" t="s">
        <v>11642</v>
      </c>
      <c r="I3543" t="s">
        <v>11645</v>
      </c>
    </row>
    <row r="3544" spans="1:9">
      <c r="A3544" t="str">
        <f>"0016204 "</f>
        <v xml:space="preserve">0016204 </v>
      </c>
      <c r="B3544" t="s">
        <v>11382</v>
      </c>
      <c r="C3544" t="s">
        <v>11646</v>
      </c>
      <c r="D3544" t="s">
        <v>11647</v>
      </c>
      <c r="E3544">
        <v>1</v>
      </c>
      <c r="F3544" t="s">
        <v>11648</v>
      </c>
      <c r="G3544" t="s">
        <v>11385</v>
      </c>
      <c r="H3544" t="s">
        <v>11646</v>
      </c>
      <c r="I3544" t="s">
        <v>11649</v>
      </c>
    </row>
    <row r="3545" spans="1:9">
      <c r="A3545" t="str">
        <f>"0016209 "</f>
        <v xml:space="preserve">0016209 </v>
      </c>
      <c r="B3545" t="s">
        <v>11382</v>
      </c>
      <c r="C3545" t="s">
        <v>11650</v>
      </c>
      <c r="D3545" t="s">
        <v>11651</v>
      </c>
      <c r="E3545">
        <v>1</v>
      </c>
      <c r="F3545" t="s">
        <v>11652</v>
      </c>
      <c r="G3545" t="s">
        <v>11385</v>
      </c>
      <c r="H3545" t="s">
        <v>11650</v>
      </c>
      <c r="I3545" t="s">
        <v>11653</v>
      </c>
    </row>
    <row r="3546" spans="1:9">
      <c r="A3546" t="str">
        <f>"0016211 "</f>
        <v xml:space="preserve">0016211 </v>
      </c>
      <c r="B3546" t="s">
        <v>11382</v>
      </c>
      <c r="C3546" t="s">
        <v>11654</v>
      </c>
      <c r="D3546" t="s">
        <v>11655</v>
      </c>
      <c r="E3546" t="s">
        <v>16</v>
      </c>
      <c r="F3546" t="s">
        <v>11656</v>
      </c>
      <c r="G3546" t="s">
        <v>11385</v>
      </c>
      <c r="H3546" t="s">
        <v>11654</v>
      </c>
      <c r="I3546" t="s">
        <v>11657</v>
      </c>
    </row>
    <row r="3547" spans="1:9">
      <c r="A3547" t="str">
        <f>"0016212 "</f>
        <v xml:space="preserve">0016212 </v>
      </c>
      <c r="B3547" t="s">
        <v>11382</v>
      </c>
      <c r="C3547" t="s">
        <v>11658</v>
      </c>
      <c r="D3547" t="s">
        <v>11659</v>
      </c>
      <c r="E3547">
        <v>4</v>
      </c>
      <c r="F3547" t="s">
        <v>11660</v>
      </c>
      <c r="G3547" t="s">
        <v>11385</v>
      </c>
      <c r="H3547" t="s">
        <v>11658</v>
      </c>
      <c r="I3547" t="s">
        <v>11661</v>
      </c>
    </row>
    <row r="3548" spans="1:9">
      <c r="A3548" t="str">
        <f>"0016213 "</f>
        <v xml:space="preserve">0016213 </v>
      </c>
      <c r="B3548" t="s">
        <v>11382</v>
      </c>
      <c r="C3548" t="s">
        <v>11662</v>
      </c>
      <c r="D3548" t="s">
        <v>11663</v>
      </c>
      <c r="E3548">
        <v>2</v>
      </c>
      <c r="F3548" t="s">
        <v>11664</v>
      </c>
      <c r="G3548" t="s">
        <v>11385</v>
      </c>
      <c r="H3548" t="s">
        <v>11662</v>
      </c>
      <c r="I3548" t="s">
        <v>11665</v>
      </c>
    </row>
    <row r="3549" spans="1:9">
      <c r="A3549" t="str">
        <f>"0217427 "</f>
        <v xml:space="preserve">0217427 </v>
      </c>
      <c r="B3549" t="s">
        <v>11382</v>
      </c>
      <c r="C3549" t="s">
        <v>11666</v>
      </c>
      <c r="D3549" t="s">
        <v>11667</v>
      </c>
      <c r="E3549">
        <v>1</v>
      </c>
      <c r="F3549" t="s">
        <v>11668</v>
      </c>
      <c r="G3549" t="s">
        <v>11385</v>
      </c>
      <c r="H3549" t="s">
        <v>11666</v>
      </c>
      <c r="I3549" t="s">
        <v>11669</v>
      </c>
    </row>
    <row r="3550" spans="1:9">
      <c r="A3550" t="str">
        <f>"0016223 "</f>
        <v xml:space="preserve">0016223 </v>
      </c>
      <c r="B3550" t="s">
        <v>11382</v>
      </c>
      <c r="C3550" t="s">
        <v>11670</v>
      </c>
      <c r="D3550" t="s">
        <v>11671</v>
      </c>
      <c r="E3550">
        <v>1</v>
      </c>
      <c r="F3550" t="s">
        <v>11672</v>
      </c>
      <c r="G3550" t="s">
        <v>11385</v>
      </c>
      <c r="H3550" t="s">
        <v>11670</v>
      </c>
      <c r="I3550" t="s">
        <v>11673</v>
      </c>
    </row>
    <row r="3551" spans="1:9">
      <c r="A3551" t="str">
        <f>"0016234 "</f>
        <v xml:space="preserve">0016234 </v>
      </c>
      <c r="B3551" t="s">
        <v>11382</v>
      </c>
      <c r="C3551" t="s">
        <v>11674</v>
      </c>
      <c r="D3551" t="s">
        <v>11675</v>
      </c>
      <c r="E3551">
        <v>1</v>
      </c>
      <c r="F3551" t="s">
        <v>11676</v>
      </c>
      <c r="G3551" t="s">
        <v>11385</v>
      </c>
      <c r="H3551" t="s">
        <v>11674</v>
      </c>
      <c r="I3551" t="s">
        <v>11677</v>
      </c>
    </row>
    <row r="3552" spans="1:9">
      <c r="A3552" t="str">
        <f>"0016236 "</f>
        <v xml:space="preserve">0016236 </v>
      </c>
      <c r="B3552" t="s">
        <v>11382</v>
      </c>
      <c r="C3552" t="s">
        <v>11678</v>
      </c>
      <c r="D3552" t="s">
        <v>11679</v>
      </c>
      <c r="E3552">
        <v>1</v>
      </c>
      <c r="F3552" t="s">
        <v>11680</v>
      </c>
      <c r="G3552" t="s">
        <v>11385</v>
      </c>
      <c r="H3552" t="s">
        <v>11678</v>
      </c>
      <c r="I3552" t="s">
        <v>11681</v>
      </c>
    </row>
    <row r="3553" spans="1:9">
      <c r="A3553" t="str">
        <f>"0016237 "</f>
        <v xml:space="preserve">0016237 </v>
      </c>
      <c r="B3553" t="s">
        <v>11382</v>
      </c>
      <c r="C3553" t="s">
        <v>11682</v>
      </c>
      <c r="D3553" t="s">
        <v>11683</v>
      </c>
      <c r="E3553">
        <v>3</v>
      </c>
      <c r="F3553" t="s">
        <v>11684</v>
      </c>
      <c r="G3553" t="s">
        <v>11385</v>
      </c>
      <c r="H3553" t="s">
        <v>11682</v>
      </c>
      <c r="I3553" t="s">
        <v>11685</v>
      </c>
    </row>
    <row r="3554" spans="1:9">
      <c r="A3554" t="str">
        <f>"0016240 "</f>
        <v xml:space="preserve">0016240 </v>
      </c>
      <c r="B3554" t="s">
        <v>11382</v>
      </c>
      <c r="C3554" t="s">
        <v>11686</v>
      </c>
      <c r="D3554" t="s">
        <v>11687</v>
      </c>
      <c r="E3554">
        <v>1</v>
      </c>
      <c r="F3554" t="s">
        <v>11688</v>
      </c>
      <c r="G3554" t="s">
        <v>11385</v>
      </c>
      <c r="H3554" t="s">
        <v>11686</v>
      </c>
      <c r="I3554" t="s">
        <v>11689</v>
      </c>
    </row>
    <row r="3555" spans="1:9">
      <c r="A3555" t="str">
        <f>"0016242 "</f>
        <v xml:space="preserve">0016242 </v>
      </c>
      <c r="B3555" t="s">
        <v>11382</v>
      </c>
      <c r="C3555" t="s">
        <v>11690</v>
      </c>
      <c r="D3555" t="s">
        <v>11691</v>
      </c>
      <c r="E3555">
        <v>3</v>
      </c>
      <c r="F3555" t="s">
        <v>11692</v>
      </c>
      <c r="G3555" t="s">
        <v>11385</v>
      </c>
      <c r="H3555" t="s">
        <v>11690</v>
      </c>
      <c r="I3555" t="s">
        <v>11693</v>
      </c>
    </row>
    <row r="3556" spans="1:9">
      <c r="A3556" t="str">
        <f>"0016249 "</f>
        <v xml:space="preserve">0016249 </v>
      </c>
      <c r="B3556" t="s">
        <v>11382</v>
      </c>
      <c r="C3556" t="s">
        <v>11694</v>
      </c>
      <c r="D3556" t="s">
        <v>11695</v>
      </c>
      <c r="E3556">
        <v>1</v>
      </c>
      <c r="F3556" t="s">
        <v>11696</v>
      </c>
      <c r="G3556" t="s">
        <v>11385</v>
      </c>
      <c r="H3556" t="s">
        <v>11694</v>
      </c>
      <c r="I3556" t="s">
        <v>11697</v>
      </c>
    </row>
    <row r="3557" spans="1:9">
      <c r="A3557" t="str">
        <f>"0016252 "</f>
        <v xml:space="preserve">0016252 </v>
      </c>
      <c r="B3557" t="s">
        <v>11382</v>
      </c>
      <c r="C3557" t="s">
        <v>11698</v>
      </c>
      <c r="D3557" t="s">
        <v>11699</v>
      </c>
      <c r="E3557">
        <v>1</v>
      </c>
      <c r="F3557" t="s">
        <v>11700</v>
      </c>
      <c r="G3557" t="s">
        <v>11385</v>
      </c>
      <c r="H3557" t="s">
        <v>11698</v>
      </c>
      <c r="I3557" t="s">
        <v>11701</v>
      </c>
    </row>
    <row r="3558" spans="1:9">
      <c r="A3558" t="str">
        <f>"0016262 "</f>
        <v xml:space="preserve">0016262 </v>
      </c>
      <c r="B3558" t="s">
        <v>11382</v>
      </c>
      <c r="C3558" t="s">
        <v>11702</v>
      </c>
      <c r="D3558" t="s">
        <v>11703</v>
      </c>
      <c r="E3558">
        <v>1</v>
      </c>
      <c r="F3558" t="s">
        <v>11704</v>
      </c>
      <c r="G3558" t="s">
        <v>11385</v>
      </c>
      <c r="H3558" t="s">
        <v>11702</v>
      </c>
      <c r="I3558" t="s">
        <v>11705</v>
      </c>
    </row>
    <row r="3559" spans="1:9">
      <c r="A3559" t="str">
        <f>"0016266 "</f>
        <v xml:space="preserve">0016266 </v>
      </c>
      <c r="B3559" t="s">
        <v>11382</v>
      </c>
      <c r="C3559" t="s">
        <v>11706</v>
      </c>
      <c r="D3559" t="s">
        <v>11707</v>
      </c>
      <c r="E3559">
        <v>1</v>
      </c>
      <c r="F3559" t="s">
        <v>11708</v>
      </c>
      <c r="G3559" t="s">
        <v>11385</v>
      </c>
      <c r="H3559" t="s">
        <v>11706</v>
      </c>
      <c r="I3559" t="s">
        <v>11709</v>
      </c>
    </row>
    <row r="3560" spans="1:9">
      <c r="A3560" t="str">
        <f>"0016268 "</f>
        <v xml:space="preserve">0016268 </v>
      </c>
      <c r="B3560" t="s">
        <v>11382</v>
      </c>
      <c r="C3560" t="s">
        <v>11710</v>
      </c>
      <c r="D3560" t="s">
        <v>11711</v>
      </c>
      <c r="E3560">
        <v>2</v>
      </c>
      <c r="F3560" t="s">
        <v>523</v>
      </c>
      <c r="G3560" t="s">
        <v>11385</v>
      </c>
      <c r="H3560" t="s">
        <v>11710</v>
      </c>
      <c r="I3560" t="s">
        <v>11712</v>
      </c>
    </row>
    <row r="3561" spans="1:9">
      <c r="A3561" t="str">
        <f>"0016285 "</f>
        <v xml:space="preserve">0016285 </v>
      </c>
      <c r="B3561" t="s">
        <v>11382</v>
      </c>
      <c r="C3561" t="s">
        <v>11713</v>
      </c>
      <c r="D3561" t="s">
        <v>11714</v>
      </c>
      <c r="E3561">
        <v>1</v>
      </c>
      <c r="F3561" t="s">
        <v>11715</v>
      </c>
      <c r="G3561" t="s">
        <v>11385</v>
      </c>
      <c r="H3561" t="s">
        <v>11713</v>
      </c>
      <c r="I3561" t="s">
        <v>11716</v>
      </c>
    </row>
    <row r="3562" spans="1:9">
      <c r="A3562" t="str">
        <f>"0016294 "</f>
        <v xml:space="preserve">0016294 </v>
      </c>
      <c r="B3562" t="s">
        <v>11382</v>
      </c>
      <c r="C3562" t="s">
        <v>11717</v>
      </c>
      <c r="D3562" t="s">
        <v>11718</v>
      </c>
      <c r="E3562">
        <v>2</v>
      </c>
      <c r="F3562" t="s">
        <v>11719</v>
      </c>
      <c r="G3562" t="s">
        <v>11385</v>
      </c>
      <c r="H3562" t="s">
        <v>11717</v>
      </c>
      <c r="I3562" t="s">
        <v>11720</v>
      </c>
    </row>
    <row r="3563" spans="1:9">
      <c r="A3563" t="str">
        <f>"0016309 "</f>
        <v xml:space="preserve">0016309 </v>
      </c>
      <c r="B3563" t="s">
        <v>11382</v>
      </c>
      <c r="C3563" t="s">
        <v>11721</v>
      </c>
      <c r="D3563" t="s">
        <v>11722</v>
      </c>
      <c r="E3563">
        <v>3</v>
      </c>
      <c r="F3563" t="s">
        <v>11719</v>
      </c>
      <c r="G3563" t="s">
        <v>11385</v>
      </c>
      <c r="H3563" t="s">
        <v>11721</v>
      </c>
      <c r="I3563" t="s">
        <v>11723</v>
      </c>
    </row>
    <row r="3564" spans="1:9">
      <c r="A3564" t="str">
        <f>"0016324 "</f>
        <v xml:space="preserve">0016324 </v>
      </c>
      <c r="B3564" t="s">
        <v>11382</v>
      </c>
      <c r="C3564" t="s">
        <v>11724</v>
      </c>
      <c r="D3564" t="s">
        <v>11725</v>
      </c>
      <c r="E3564">
        <v>1</v>
      </c>
      <c r="F3564" t="s">
        <v>11726</v>
      </c>
      <c r="G3564" t="s">
        <v>11385</v>
      </c>
      <c r="H3564" t="s">
        <v>11724</v>
      </c>
      <c r="I3564" t="s">
        <v>11727</v>
      </c>
    </row>
    <row r="3565" spans="1:9">
      <c r="A3565" t="str">
        <f>"0016328 "</f>
        <v xml:space="preserve">0016328 </v>
      </c>
      <c r="B3565" t="s">
        <v>11382</v>
      </c>
      <c r="C3565" t="s">
        <v>11728</v>
      </c>
      <c r="D3565" t="s">
        <v>11729</v>
      </c>
      <c r="E3565">
        <v>1</v>
      </c>
      <c r="F3565" t="s">
        <v>11730</v>
      </c>
      <c r="G3565" t="s">
        <v>11385</v>
      </c>
      <c r="H3565" t="s">
        <v>11728</v>
      </c>
      <c r="I3565" t="s">
        <v>11731</v>
      </c>
    </row>
    <row r="3566" spans="1:9">
      <c r="A3566" t="str">
        <f>"0016330 "</f>
        <v xml:space="preserve">0016330 </v>
      </c>
      <c r="B3566" t="s">
        <v>11382</v>
      </c>
      <c r="C3566" t="s">
        <v>11732</v>
      </c>
      <c r="D3566" t="s">
        <v>11733</v>
      </c>
      <c r="E3566">
        <v>2</v>
      </c>
      <c r="F3566" t="s">
        <v>11734</v>
      </c>
      <c r="G3566" t="s">
        <v>11385</v>
      </c>
      <c r="H3566" t="s">
        <v>11732</v>
      </c>
      <c r="I3566" t="s">
        <v>11735</v>
      </c>
    </row>
    <row r="3567" spans="1:9">
      <c r="A3567" t="str">
        <f>"0016347 "</f>
        <v xml:space="preserve">0016347 </v>
      </c>
      <c r="B3567" t="s">
        <v>11382</v>
      </c>
      <c r="C3567" t="s">
        <v>11736</v>
      </c>
      <c r="D3567" t="s">
        <v>11737</v>
      </c>
      <c r="E3567">
        <v>1</v>
      </c>
      <c r="F3567" t="s">
        <v>11738</v>
      </c>
      <c r="G3567" t="s">
        <v>11385</v>
      </c>
      <c r="H3567" t="s">
        <v>11736</v>
      </c>
      <c r="I3567" t="s">
        <v>5080</v>
      </c>
    </row>
    <row r="3568" spans="1:9">
      <c r="A3568" t="str">
        <f>"0016349 "</f>
        <v xml:space="preserve">0016349 </v>
      </c>
      <c r="B3568" t="s">
        <v>11382</v>
      </c>
      <c r="C3568" t="s">
        <v>11739</v>
      </c>
      <c r="D3568" t="s">
        <v>11740</v>
      </c>
      <c r="E3568">
        <v>1</v>
      </c>
      <c r="F3568" t="s">
        <v>11741</v>
      </c>
      <c r="G3568" t="s">
        <v>11385</v>
      </c>
      <c r="H3568" t="s">
        <v>11739</v>
      </c>
      <c r="I3568" t="s">
        <v>11742</v>
      </c>
    </row>
    <row r="3569" spans="1:9">
      <c r="A3569" t="str">
        <f>"0016352 "</f>
        <v xml:space="preserve">0016352 </v>
      </c>
      <c r="B3569" t="s">
        <v>11382</v>
      </c>
      <c r="C3569" t="s">
        <v>11743</v>
      </c>
      <c r="D3569" t="s">
        <v>11744</v>
      </c>
      <c r="E3569">
        <v>1</v>
      </c>
      <c r="F3569" t="s">
        <v>11745</v>
      </c>
      <c r="G3569" t="s">
        <v>11385</v>
      </c>
      <c r="H3569" t="s">
        <v>11743</v>
      </c>
      <c r="I3569" t="s">
        <v>11746</v>
      </c>
    </row>
    <row r="3570" spans="1:9">
      <c r="A3570" t="str">
        <f>"0016354 "</f>
        <v xml:space="preserve">0016354 </v>
      </c>
      <c r="B3570" t="s">
        <v>11382</v>
      </c>
      <c r="C3570" t="s">
        <v>11747</v>
      </c>
      <c r="D3570" t="s">
        <v>11748</v>
      </c>
      <c r="E3570">
        <v>1</v>
      </c>
      <c r="F3570" t="s">
        <v>11749</v>
      </c>
      <c r="G3570" t="s">
        <v>11385</v>
      </c>
      <c r="H3570" t="s">
        <v>11747</v>
      </c>
      <c r="I3570" t="s">
        <v>11750</v>
      </c>
    </row>
    <row r="3571" spans="1:9">
      <c r="A3571" t="str">
        <f>"0016355 "</f>
        <v xml:space="preserve">0016355 </v>
      </c>
      <c r="B3571" t="s">
        <v>11382</v>
      </c>
      <c r="C3571" t="s">
        <v>11751</v>
      </c>
      <c r="D3571" t="s">
        <v>11752</v>
      </c>
      <c r="E3571">
        <v>1</v>
      </c>
      <c r="F3571" t="s">
        <v>11741</v>
      </c>
      <c r="G3571" t="s">
        <v>11385</v>
      </c>
      <c r="H3571" t="s">
        <v>11751</v>
      </c>
      <c r="I3571" t="s">
        <v>11753</v>
      </c>
    </row>
    <row r="3572" spans="1:9">
      <c r="A3572" t="str">
        <f>"0016358 "</f>
        <v xml:space="preserve">0016358 </v>
      </c>
      <c r="B3572" t="s">
        <v>11382</v>
      </c>
      <c r="C3572" t="s">
        <v>11754</v>
      </c>
      <c r="D3572" t="s">
        <v>11755</v>
      </c>
      <c r="E3572">
        <v>2</v>
      </c>
      <c r="F3572" t="s">
        <v>11756</v>
      </c>
      <c r="G3572" t="s">
        <v>11385</v>
      </c>
      <c r="H3572" t="s">
        <v>11754</v>
      </c>
      <c r="I3572" t="s">
        <v>11757</v>
      </c>
    </row>
    <row r="3573" spans="1:9">
      <c r="A3573" t="str">
        <f>"0016359 "</f>
        <v xml:space="preserve">0016359 </v>
      </c>
      <c r="B3573" t="s">
        <v>11382</v>
      </c>
      <c r="C3573" t="s">
        <v>11758</v>
      </c>
      <c r="D3573" t="s">
        <v>11759</v>
      </c>
      <c r="E3573" t="s">
        <v>16</v>
      </c>
      <c r="F3573" t="s">
        <v>11760</v>
      </c>
      <c r="G3573" t="s">
        <v>11385</v>
      </c>
      <c r="H3573" t="s">
        <v>11758</v>
      </c>
      <c r="I3573" t="s">
        <v>11761</v>
      </c>
    </row>
    <row r="3574" spans="1:9">
      <c r="A3574" t="str">
        <f>"0016364 "</f>
        <v xml:space="preserve">0016364 </v>
      </c>
      <c r="B3574" t="s">
        <v>11382</v>
      </c>
      <c r="C3574" t="s">
        <v>11762</v>
      </c>
      <c r="D3574" t="s">
        <v>11763</v>
      </c>
      <c r="E3574">
        <v>1</v>
      </c>
      <c r="F3574" t="s">
        <v>11764</v>
      </c>
      <c r="G3574" t="s">
        <v>11385</v>
      </c>
      <c r="H3574" t="s">
        <v>11762</v>
      </c>
      <c r="I3574" t="s">
        <v>1194</v>
      </c>
    </row>
    <row r="3575" spans="1:9">
      <c r="A3575" t="str">
        <f>"0016381 "</f>
        <v xml:space="preserve">0016381 </v>
      </c>
      <c r="B3575" t="s">
        <v>11382</v>
      </c>
      <c r="C3575" t="s">
        <v>11765</v>
      </c>
      <c r="D3575" t="s">
        <v>11766</v>
      </c>
      <c r="E3575">
        <v>1</v>
      </c>
      <c r="F3575" t="s">
        <v>11767</v>
      </c>
      <c r="G3575" t="s">
        <v>11385</v>
      </c>
      <c r="H3575" t="s">
        <v>11765</v>
      </c>
      <c r="I3575" t="s">
        <v>11768</v>
      </c>
    </row>
    <row r="3576" spans="1:9">
      <c r="A3576" t="str">
        <f>"0016395 "</f>
        <v xml:space="preserve">0016395 </v>
      </c>
      <c r="B3576" t="s">
        <v>11382</v>
      </c>
      <c r="C3576" t="s">
        <v>11769</v>
      </c>
      <c r="D3576" t="s">
        <v>11770</v>
      </c>
      <c r="E3576">
        <v>2</v>
      </c>
      <c r="F3576" t="s">
        <v>11771</v>
      </c>
      <c r="G3576" t="s">
        <v>11385</v>
      </c>
      <c r="H3576" t="s">
        <v>11769</v>
      </c>
      <c r="I3576" t="s">
        <v>11772</v>
      </c>
    </row>
    <row r="3577" spans="1:9">
      <c r="A3577" t="str">
        <f>"0016403 "</f>
        <v xml:space="preserve">0016403 </v>
      </c>
      <c r="B3577" t="s">
        <v>11382</v>
      </c>
      <c r="C3577" t="s">
        <v>11773</v>
      </c>
      <c r="D3577" t="s">
        <v>11774</v>
      </c>
      <c r="E3577">
        <v>1</v>
      </c>
      <c r="F3577" t="s">
        <v>11775</v>
      </c>
      <c r="G3577" t="s">
        <v>11385</v>
      </c>
      <c r="H3577" t="s">
        <v>11773</v>
      </c>
      <c r="I3577" t="s">
        <v>11776</v>
      </c>
    </row>
    <row r="3578" spans="1:9">
      <c r="A3578" t="str">
        <f>"0016404 "</f>
        <v xml:space="preserve">0016404 </v>
      </c>
      <c r="B3578" t="s">
        <v>11382</v>
      </c>
      <c r="C3578" t="s">
        <v>11777</v>
      </c>
      <c r="D3578" t="s">
        <v>11778</v>
      </c>
      <c r="E3578">
        <v>1</v>
      </c>
      <c r="F3578" t="s">
        <v>11779</v>
      </c>
      <c r="G3578" t="s">
        <v>11385</v>
      </c>
      <c r="H3578" t="s">
        <v>11777</v>
      </c>
      <c r="I3578" t="s">
        <v>11780</v>
      </c>
    </row>
    <row r="3579" spans="1:9">
      <c r="A3579" t="str">
        <f>"0016418 "</f>
        <v xml:space="preserve">0016418 </v>
      </c>
      <c r="B3579" t="s">
        <v>11382</v>
      </c>
      <c r="C3579" t="s">
        <v>11781</v>
      </c>
      <c r="D3579" t="s">
        <v>11782</v>
      </c>
      <c r="E3579">
        <v>1</v>
      </c>
      <c r="F3579" t="s">
        <v>11783</v>
      </c>
      <c r="G3579" t="s">
        <v>11385</v>
      </c>
      <c r="H3579" t="s">
        <v>11781</v>
      </c>
      <c r="I3579" t="s">
        <v>11784</v>
      </c>
    </row>
    <row r="3580" spans="1:9">
      <c r="A3580" t="str">
        <f>"0016455 "</f>
        <v xml:space="preserve">0016455 </v>
      </c>
      <c r="B3580" t="s">
        <v>11382</v>
      </c>
      <c r="C3580" t="s">
        <v>11785</v>
      </c>
      <c r="D3580" t="s">
        <v>11786</v>
      </c>
      <c r="E3580">
        <v>1</v>
      </c>
      <c r="F3580" t="s">
        <v>4960</v>
      </c>
      <c r="G3580" t="s">
        <v>11385</v>
      </c>
      <c r="H3580" t="s">
        <v>11785</v>
      </c>
      <c r="I3580" t="s">
        <v>11787</v>
      </c>
    </row>
    <row r="3581" spans="1:9">
      <c r="A3581" t="str">
        <f>"0016463 "</f>
        <v xml:space="preserve">0016463 </v>
      </c>
      <c r="B3581" t="s">
        <v>11382</v>
      </c>
      <c r="C3581" t="s">
        <v>11788</v>
      </c>
      <c r="D3581" t="s">
        <v>11789</v>
      </c>
      <c r="E3581">
        <v>1</v>
      </c>
      <c r="F3581" t="s">
        <v>11790</v>
      </c>
      <c r="G3581" t="s">
        <v>11385</v>
      </c>
      <c r="H3581" t="s">
        <v>11788</v>
      </c>
      <c r="I3581" t="s">
        <v>11791</v>
      </c>
    </row>
    <row r="3582" spans="1:9">
      <c r="A3582" t="str">
        <f>"0162493 "</f>
        <v xml:space="preserve">0162493 </v>
      </c>
      <c r="B3582" t="s">
        <v>11382</v>
      </c>
      <c r="C3582" t="s">
        <v>11792</v>
      </c>
      <c r="D3582" t="s">
        <v>11793</v>
      </c>
      <c r="E3582">
        <v>1</v>
      </c>
      <c r="F3582" t="s">
        <v>11794</v>
      </c>
      <c r="G3582" t="s">
        <v>11385</v>
      </c>
      <c r="H3582" t="s">
        <v>11792</v>
      </c>
      <c r="I3582" t="s">
        <v>11795</v>
      </c>
    </row>
    <row r="3583" spans="1:9">
      <c r="A3583" t="str">
        <f>"0016469 "</f>
        <v xml:space="preserve">0016469 </v>
      </c>
      <c r="B3583" t="s">
        <v>11382</v>
      </c>
      <c r="C3583" t="s">
        <v>11796</v>
      </c>
      <c r="D3583" t="s">
        <v>11797</v>
      </c>
      <c r="E3583">
        <v>1</v>
      </c>
      <c r="F3583" t="s">
        <v>11798</v>
      </c>
      <c r="G3583" t="s">
        <v>11385</v>
      </c>
      <c r="H3583" t="s">
        <v>11796</v>
      </c>
      <c r="I3583" t="s">
        <v>11799</v>
      </c>
    </row>
    <row r="3584" spans="1:9">
      <c r="A3584" t="str">
        <f>"0016490 "</f>
        <v xml:space="preserve">0016490 </v>
      </c>
      <c r="B3584" t="s">
        <v>11382</v>
      </c>
      <c r="C3584" t="s">
        <v>11800</v>
      </c>
      <c r="D3584" t="s">
        <v>11801</v>
      </c>
      <c r="E3584">
        <v>2</v>
      </c>
      <c r="F3584" t="s">
        <v>11802</v>
      </c>
      <c r="G3584" t="s">
        <v>11385</v>
      </c>
      <c r="H3584" t="s">
        <v>11800</v>
      </c>
      <c r="I3584" t="s">
        <v>11803</v>
      </c>
    </row>
    <row r="3585" spans="1:9">
      <c r="A3585" t="str">
        <f>"0016510 "</f>
        <v xml:space="preserve">0016510 </v>
      </c>
      <c r="B3585" t="s">
        <v>11382</v>
      </c>
      <c r="C3585" t="s">
        <v>11804</v>
      </c>
      <c r="D3585" t="s">
        <v>11805</v>
      </c>
      <c r="E3585">
        <v>1</v>
      </c>
      <c r="F3585" t="s">
        <v>11806</v>
      </c>
      <c r="G3585" t="s">
        <v>11385</v>
      </c>
      <c r="H3585" t="s">
        <v>11804</v>
      </c>
      <c r="I3585" t="s">
        <v>11807</v>
      </c>
    </row>
    <row r="3586" spans="1:9">
      <c r="A3586" t="str">
        <f>"0016519 "</f>
        <v xml:space="preserve">0016519 </v>
      </c>
      <c r="B3586" t="s">
        <v>11382</v>
      </c>
      <c r="C3586" t="s">
        <v>11808</v>
      </c>
      <c r="D3586" t="s">
        <v>11809</v>
      </c>
      <c r="E3586">
        <v>1</v>
      </c>
      <c r="F3586" t="s">
        <v>11810</v>
      </c>
      <c r="G3586" t="s">
        <v>11385</v>
      </c>
      <c r="H3586" t="s">
        <v>11808</v>
      </c>
      <c r="I3586" t="s">
        <v>11811</v>
      </c>
    </row>
    <row r="3587" spans="1:9">
      <c r="A3587" t="str">
        <f>"0016545 "</f>
        <v xml:space="preserve">0016545 </v>
      </c>
      <c r="B3587" t="s">
        <v>11382</v>
      </c>
      <c r="C3587" t="s">
        <v>11812</v>
      </c>
      <c r="D3587" t="s">
        <v>11813</v>
      </c>
      <c r="E3587">
        <v>1</v>
      </c>
      <c r="F3587" t="s">
        <v>11814</v>
      </c>
      <c r="G3587" t="s">
        <v>11385</v>
      </c>
      <c r="H3587" t="s">
        <v>11812</v>
      </c>
      <c r="I3587" t="s">
        <v>11815</v>
      </c>
    </row>
    <row r="3588" spans="1:9">
      <c r="A3588" t="str">
        <f>"0016547 "</f>
        <v xml:space="preserve">0016547 </v>
      </c>
      <c r="B3588" t="s">
        <v>11382</v>
      </c>
      <c r="C3588" t="s">
        <v>11816</v>
      </c>
      <c r="D3588" t="s">
        <v>11817</v>
      </c>
      <c r="E3588">
        <v>1</v>
      </c>
      <c r="F3588" t="s">
        <v>11818</v>
      </c>
      <c r="G3588" t="s">
        <v>11385</v>
      </c>
      <c r="H3588" t="s">
        <v>11816</v>
      </c>
      <c r="I3588" t="s">
        <v>11819</v>
      </c>
    </row>
    <row r="3589" spans="1:9">
      <c r="A3589" t="str">
        <f>"0016577 "</f>
        <v xml:space="preserve">0016577 </v>
      </c>
      <c r="B3589" t="s">
        <v>11382</v>
      </c>
      <c r="C3589" t="s">
        <v>11820</v>
      </c>
      <c r="D3589" t="s">
        <v>11821</v>
      </c>
      <c r="E3589">
        <v>1</v>
      </c>
      <c r="F3589" t="s">
        <v>11822</v>
      </c>
      <c r="G3589" t="s">
        <v>11385</v>
      </c>
      <c r="H3589" t="s">
        <v>11820</v>
      </c>
      <c r="I3589" t="s">
        <v>11823</v>
      </c>
    </row>
    <row r="3590" spans="1:9">
      <c r="A3590" t="str">
        <f>"0162439 "</f>
        <v xml:space="preserve">0162439 </v>
      </c>
      <c r="B3590" t="s">
        <v>11382</v>
      </c>
      <c r="C3590" t="s">
        <v>11824</v>
      </c>
      <c r="D3590" t="s">
        <v>11825</v>
      </c>
      <c r="E3590">
        <v>1</v>
      </c>
      <c r="F3590" t="s">
        <v>11826</v>
      </c>
      <c r="G3590" t="s">
        <v>11385</v>
      </c>
      <c r="H3590" t="s">
        <v>11824</v>
      </c>
      <c r="I3590" t="s">
        <v>11827</v>
      </c>
    </row>
    <row r="3591" spans="1:9">
      <c r="A3591" t="str">
        <f>"0016611 "</f>
        <v xml:space="preserve">0016611 </v>
      </c>
      <c r="B3591" t="s">
        <v>11382</v>
      </c>
      <c r="C3591" t="s">
        <v>11828</v>
      </c>
      <c r="D3591" t="s">
        <v>11829</v>
      </c>
      <c r="E3591">
        <v>2</v>
      </c>
      <c r="F3591" t="s">
        <v>11830</v>
      </c>
      <c r="G3591" t="s">
        <v>11385</v>
      </c>
      <c r="H3591" t="s">
        <v>11828</v>
      </c>
      <c r="I3591" t="s">
        <v>11831</v>
      </c>
    </row>
    <row r="3592" spans="1:9">
      <c r="A3592" t="str">
        <f>"0016620 "</f>
        <v xml:space="preserve">0016620 </v>
      </c>
      <c r="B3592" t="s">
        <v>11382</v>
      </c>
      <c r="C3592" t="s">
        <v>11832</v>
      </c>
      <c r="D3592" t="s">
        <v>11833</v>
      </c>
      <c r="E3592">
        <v>1</v>
      </c>
      <c r="F3592" t="s">
        <v>11834</v>
      </c>
      <c r="G3592" t="s">
        <v>11385</v>
      </c>
      <c r="H3592" t="s">
        <v>11832</v>
      </c>
      <c r="I3592" t="s">
        <v>11835</v>
      </c>
    </row>
    <row r="3593" spans="1:9">
      <c r="A3593" t="str">
        <f>"0016633 "</f>
        <v xml:space="preserve">0016633 </v>
      </c>
      <c r="B3593" t="s">
        <v>11382</v>
      </c>
      <c r="C3593" t="s">
        <v>11836</v>
      </c>
      <c r="D3593" t="s">
        <v>11837</v>
      </c>
      <c r="E3593">
        <v>1</v>
      </c>
      <c r="F3593" t="s">
        <v>11838</v>
      </c>
      <c r="G3593" t="s">
        <v>11385</v>
      </c>
      <c r="H3593" t="s">
        <v>11836</v>
      </c>
      <c r="I3593" t="s">
        <v>11839</v>
      </c>
    </row>
    <row r="3594" spans="1:9">
      <c r="A3594" t="str">
        <f>"0016644 "</f>
        <v xml:space="preserve">0016644 </v>
      </c>
      <c r="B3594" t="s">
        <v>11382</v>
      </c>
      <c r="C3594" t="s">
        <v>11840</v>
      </c>
      <c r="D3594" t="s">
        <v>11841</v>
      </c>
      <c r="E3594">
        <v>1</v>
      </c>
      <c r="F3594" t="s">
        <v>11842</v>
      </c>
      <c r="G3594" t="s">
        <v>11385</v>
      </c>
      <c r="H3594" t="s">
        <v>11840</v>
      </c>
      <c r="I3594" t="s">
        <v>11843</v>
      </c>
    </row>
    <row r="3595" spans="1:9">
      <c r="A3595" t="str">
        <f>"0016660 "</f>
        <v xml:space="preserve">0016660 </v>
      </c>
      <c r="B3595" t="s">
        <v>11382</v>
      </c>
      <c r="C3595" t="s">
        <v>11844</v>
      </c>
      <c r="D3595" t="s">
        <v>11845</v>
      </c>
      <c r="E3595">
        <v>1</v>
      </c>
      <c r="F3595" t="s">
        <v>11846</v>
      </c>
      <c r="G3595" t="s">
        <v>11385</v>
      </c>
      <c r="H3595" t="s">
        <v>11844</v>
      </c>
      <c r="I3595" t="s">
        <v>893</v>
      </c>
    </row>
    <row r="3596" spans="1:9">
      <c r="A3596" t="str">
        <f>"0016674 "</f>
        <v xml:space="preserve">0016674 </v>
      </c>
      <c r="B3596" t="s">
        <v>11382</v>
      </c>
      <c r="C3596" t="s">
        <v>11847</v>
      </c>
      <c r="D3596" t="s">
        <v>11848</v>
      </c>
      <c r="E3596">
        <v>1</v>
      </c>
      <c r="F3596" t="s">
        <v>11849</v>
      </c>
      <c r="G3596" t="s">
        <v>11385</v>
      </c>
      <c r="H3596" t="s">
        <v>11847</v>
      </c>
      <c r="I3596" t="s">
        <v>11850</v>
      </c>
    </row>
    <row r="3597" spans="1:9">
      <c r="A3597" t="str">
        <f>"0016684 "</f>
        <v xml:space="preserve">0016684 </v>
      </c>
      <c r="B3597" t="s">
        <v>11382</v>
      </c>
      <c r="C3597" t="s">
        <v>11851</v>
      </c>
      <c r="D3597" t="s">
        <v>11852</v>
      </c>
      <c r="E3597" t="s">
        <v>16</v>
      </c>
      <c r="F3597" t="s">
        <v>11853</v>
      </c>
      <c r="G3597" t="s">
        <v>11385</v>
      </c>
      <c r="H3597" t="s">
        <v>11851</v>
      </c>
      <c r="I3597" t="s">
        <v>953</v>
      </c>
    </row>
    <row r="3598" spans="1:9">
      <c r="A3598" t="str">
        <f>"0016708 "</f>
        <v xml:space="preserve">0016708 </v>
      </c>
      <c r="B3598" t="s">
        <v>11382</v>
      </c>
      <c r="C3598" t="s">
        <v>11854</v>
      </c>
      <c r="D3598" t="s">
        <v>11855</v>
      </c>
      <c r="E3598">
        <v>1</v>
      </c>
      <c r="F3598" t="s">
        <v>11856</v>
      </c>
      <c r="G3598" t="s">
        <v>11385</v>
      </c>
      <c r="H3598" t="s">
        <v>11854</v>
      </c>
      <c r="I3598" t="s">
        <v>11857</v>
      </c>
    </row>
    <row r="3599" spans="1:9">
      <c r="A3599" t="str">
        <f>"0016732 "</f>
        <v xml:space="preserve">0016732 </v>
      </c>
      <c r="B3599" t="s">
        <v>11382</v>
      </c>
      <c r="C3599" t="s">
        <v>11858</v>
      </c>
      <c r="D3599" t="s">
        <v>11859</v>
      </c>
      <c r="E3599">
        <v>2</v>
      </c>
      <c r="F3599" t="s">
        <v>11860</v>
      </c>
      <c r="G3599" t="s">
        <v>11385</v>
      </c>
      <c r="H3599" t="s">
        <v>11858</v>
      </c>
      <c r="I3599" t="s">
        <v>11861</v>
      </c>
    </row>
    <row r="3600" spans="1:9">
      <c r="A3600" t="str">
        <f>"0016740 "</f>
        <v xml:space="preserve">0016740 </v>
      </c>
      <c r="B3600" t="s">
        <v>11382</v>
      </c>
      <c r="C3600" t="s">
        <v>11862</v>
      </c>
      <c r="D3600" t="s">
        <v>11863</v>
      </c>
      <c r="E3600">
        <v>1</v>
      </c>
      <c r="F3600" t="s">
        <v>11864</v>
      </c>
      <c r="G3600" t="s">
        <v>11385</v>
      </c>
      <c r="H3600" t="s">
        <v>11862</v>
      </c>
      <c r="I3600" t="s">
        <v>11865</v>
      </c>
    </row>
    <row r="3601" spans="1:9">
      <c r="A3601" t="str">
        <f>"0016762 "</f>
        <v xml:space="preserve">0016762 </v>
      </c>
      <c r="B3601" t="s">
        <v>11382</v>
      </c>
      <c r="C3601" t="s">
        <v>11866</v>
      </c>
      <c r="D3601" t="s">
        <v>11867</v>
      </c>
      <c r="E3601">
        <v>1</v>
      </c>
      <c r="F3601" t="s">
        <v>11868</v>
      </c>
      <c r="G3601" t="s">
        <v>11385</v>
      </c>
      <c r="H3601" t="s">
        <v>11866</v>
      </c>
      <c r="I3601" t="s">
        <v>11869</v>
      </c>
    </row>
    <row r="3602" spans="1:9">
      <c r="A3602" t="str">
        <f>"0016771 "</f>
        <v xml:space="preserve">0016771 </v>
      </c>
      <c r="B3602" t="s">
        <v>11382</v>
      </c>
      <c r="C3602" t="s">
        <v>11870</v>
      </c>
      <c r="D3602" t="s">
        <v>11871</v>
      </c>
      <c r="E3602">
        <v>1</v>
      </c>
      <c r="F3602" t="s">
        <v>11872</v>
      </c>
      <c r="G3602" t="s">
        <v>11385</v>
      </c>
      <c r="H3602" t="s">
        <v>11870</v>
      </c>
      <c r="I3602" t="s">
        <v>11873</v>
      </c>
    </row>
    <row r="3603" spans="1:9">
      <c r="A3603" t="str">
        <f>"0016780 "</f>
        <v xml:space="preserve">0016780 </v>
      </c>
      <c r="B3603" t="s">
        <v>11382</v>
      </c>
      <c r="C3603" t="s">
        <v>11874</v>
      </c>
      <c r="D3603" t="s">
        <v>11875</v>
      </c>
      <c r="E3603">
        <v>1</v>
      </c>
      <c r="F3603" t="s">
        <v>2057</v>
      </c>
      <c r="G3603" t="s">
        <v>11385</v>
      </c>
      <c r="H3603" t="s">
        <v>11874</v>
      </c>
      <c r="I3603" t="s">
        <v>11876</v>
      </c>
    </row>
    <row r="3604" spans="1:9">
      <c r="A3604" t="str">
        <f>"0016787 "</f>
        <v xml:space="preserve">0016787 </v>
      </c>
      <c r="B3604" t="s">
        <v>11382</v>
      </c>
      <c r="C3604" t="s">
        <v>11877</v>
      </c>
      <c r="D3604" t="s">
        <v>11878</v>
      </c>
      <c r="E3604" t="s">
        <v>16</v>
      </c>
      <c r="F3604" t="s">
        <v>11879</v>
      </c>
      <c r="G3604" t="s">
        <v>11385</v>
      </c>
      <c r="H3604" t="s">
        <v>11877</v>
      </c>
      <c r="I3604" t="s">
        <v>11880</v>
      </c>
    </row>
    <row r="3605" spans="1:9">
      <c r="A3605" t="str">
        <f>"0016795 "</f>
        <v xml:space="preserve">0016795 </v>
      </c>
      <c r="B3605" t="s">
        <v>11382</v>
      </c>
      <c r="C3605" t="s">
        <v>11881</v>
      </c>
      <c r="D3605" t="s">
        <v>11882</v>
      </c>
      <c r="E3605">
        <v>2</v>
      </c>
      <c r="F3605" t="s">
        <v>11883</v>
      </c>
      <c r="G3605" t="s">
        <v>11385</v>
      </c>
      <c r="H3605" t="s">
        <v>11881</v>
      </c>
      <c r="I3605" t="s">
        <v>11884</v>
      </c>
    </row>
    <row r="3606" spans="1:9">
      <c r="A3606" t="str">
        <f>"0016802 "</f>
        <v xml:space="preserve">0016802 </v>
      </c>
      <c r="B3606" t="s">
        <v>11382</v>
      </c>
      <c r="C3606" t="s">
        <v>11885</v>
      </c>
      <c r="D3606" t="s">
        <v>11886</v>
      </c>
      <c r="E3606">
        <v>2</v>
      </c>
      <c r="F3606" t="s">
        <v>11887</v>
      </c>
      <c r="G3606" t="s">
        <v>11385</v>
      </c>
      <c r="H3606" t="s">
        <v>11885</v>
      </c>
      <c r="I3606" t="s">
        <v>11888</v>
      </c>
    </row>
    <row r="3607" spans="1:9">
      <c r="A3607" t="str">
        <f>"0016846 "</f>
        <v xml:space="preserve">0016846 </v>
      </c>
      <c r="B3607" t="s">
        <v>11382</v>
      </c>
      <c r="C3607" t="s">
        <v>11889</v>
      </c>
      <c r="D3607" t="s">
        <v>11890</v>
      </c>
      <c r="E3607">
        <v>1</v>
      </c>
      <c r="F3607" t="s">
        <v>11891</v>
      </c>
      <c r="G3607" t="s">
        <v>11385</v>
      </c>
      <c r="H3607" t="s">
        <v>11889</v>
      </c>
      <c r="I3607" t="s">
        <v>11892</v>
      </c>
    </row>
    <row r="3608" spans="1:9">
      <c r="A3608" t="str">
        <f>"0016871 "</f>
        <v xml:space="preserve">0016871 </v>
      </c>
      <c r="B3608" t="s">
        <v>11382</v>
      </c>
      <c r="C3608" t="s">
        <v>11893</v>
      </c>
      <c r="D3608" t="s">
        <v>11894</v>
      </c>
      <c r="E3608">
        <v>1</v>
      </c>
      <c r="F3608" t="s">
        <v>11895</v>
      </c>
      <c r="G3608" t="s">
        <v>11385</v>
      </c>
      <c r="H3608" t="s">
        <v>11893</v>
      </c>
      <c r="I3608" t="s">
        <v>11896</v>
      </c>
    </row>
    <row r="3609" spans="1:9">
      <c r="A3609" t="str">
        <f>"0016872 "</f>
        <v xml:space="preserve">0016872 </v>
      </c>
      <c r="B3609" t="s">
        <v>11382</v>
      </c>
      <c r="C3609" t="s">
        <v>11897</v>
      </c>
      <c r="D3609" t="s">
        <v>11898</v>
      </c>
      <c r="E3609">
        <v>1</v>
      </c>
      <c r="F3609" t="s">
        <v>11899</v>
      </c>
      <c r="G3609" t="s">
        <v>11385</v>
      </c>
      <c r="H3609" t="s">
        <v>11897</v>
      </c>
      <c r="I3609" t="s">
        <v>11900</v>
      </c>
    </row>
    <row r="3610" spans="1:9">
      <c r="A3610" t="str">
        <f>"0033752 "</f>
        <v xml:space="preserve">0033752 </v>
      </c>
      <c r="B3610" t="s">
        <v>11382</v>
      </c>
      <c r="C3610" t="s">
        <v>11901</v>
      </c>
      <c r="D3610" t="s">
        <v>11902</v>
      </c>
      <c r="E3610">
        <v>3</v>
      </c>
      <c r="F3610" t="s">
        <v>1411</v>
      </c>
      <c r="G3610" t="s">
        <v>11385</v>
      </c>
      <c r="H3610" t="s">
        <v>11901</v>
      </c>
      <c r="I3610" t="s">
        <v>11903</v>
      </c>
    </row>
    <row r="3611" spans="1:9">
      <c r="A3611" t="str">
        <f>"0016892 "</f>
        <v xml:space="preserve">0016892 </v>
      </c>
      <c r="B3611" t="s">
        <v>11382</v>
      </c>
      <c r="C3611" t="s">
        <v>11904</v>
      </c>
      <c r="D3611" t="s">
        <v>11905</v>
      </c>
      <c r="E3611">
        <v>2</v>
      </c>
      <c r="F3611" t="s">
        <v>11906</v>
      </c>
      <c r="G3611" t="s">
        <v>11385</v>
      </c>
      <c r="H3611" t="s">
        <v>11904</v>
      </c>
      <c r="I3611" t="s">
        <v>11907</v>
      </c>
    </row>
    <row r="3612" spans="1:9">
      <c r="A3612" t="str">
        <f>"0016904 "</f>
        <v xml:space="preserve">0016904 </v>
      </c>
      <c r="B3612" t="s">
        <v>11382</v>
      </c>
      <c r="C3612" t="s">
        <v>11908</v>
      </c>
      <c r="D3612" t="s">
        <v>11909</v>
      </c>
      <c r="E3612">
        <v>2</v>
      </c>
      <c r="F3612" t="s">
        <v>11910</v>
      </c>
      <c r="G3612" t="s">
        <v>11385</v>
      </c>
      <c r="H3612" t="s">
        <v>11908</v>
      </c>
      <c r="I3612" t="s">
        <v>11911</v>
      </c>
    </row>
    <row r="3613" spans="1:9">
      <c r="A3613" t="str">
        <f>"0016919 "</f>
        <v xml:space="preserve">0016919 </v>
      </c>
      <c r="B3613" t="s">
        <v>11382</v>
      </c>
      <c r="C3613" t="s">
        <v>11912</v>
      </c>
      <c r="D3613" t="s">
        <v>11913</v>
      </c>
      <c r="E3613">
        <v>1</v>
      </c>
      <c r="F3613" t="s">
        <v>11914</v>
      </c>
      <c r="G3613" t="s">
        <v>11385</v>
      </c>
      <c r="H3613" t="s">
        <v>11912</v>
      </c>
      <c r="I3613" t="s">
        <v>11915</v>
      </c>
    </row>
    <row r="3614" spans="1:9">
      <c r="A3614" t="str">
        <f>"0016925 "</f>
        <v xml:space="preserve">0016925 </v>
      </c>
      <c r="B3614" t="s">
        <v>11382</v>
      </c>
      <c r="C3614" t="s">
        <v>11916</v>
      </c>
      <c r="D3614" t="s">
        <v>11917</v>
      </c>
      <c r="E3614">
        <v>5</v>
      </c>
      <c r="F3614" t="s">
        <v>11918</v>
      </c>
      <c r="G3614" t="s">
        <v>11385</v>
      </c>
      <c r="H3614" t="s">
        <v>11916</v>
      </c>
      <c r="I3614" t="s">
        <v>11919</v>
      </c>
    </row>
    <row r="3615" spans="1:9">
      <c r="A3615" t="str">
        <f>"0039005 "</f>
        <v xml:space="preserve">0039005 </v>
      </c>
      <c r="B3615" t="s">
        <v>11382</v>
      </c>
      <c r="C3615" t="s">
        <v>11920</v>
      </c>
      <c r="D3615" t="s">
        <v>11921</v>
      </c>
      <c r="E3615">
        <v>1</v>
      </c>
      <c r="F3615" t="s">
        <v>11922</v>
      </c>
      <c r="G3615" t="s">
        <v>11385</v>
      </c>
      <c r="H3615" t="s">
        <v>11920</v>
      </c>
      <c r="I3615" t="s">
        <v>11923</v>
      </c>
    </row>
    <row r="3616" spans="1:9">
      <c r="A3616" t="str">
        <f>"0039006 "</f>
        <v xml:space="preserve">0039006 </v>
      </c>
      <c r="B3616" t="s">
        <v>11382</v>
      </c>
      <c r="C3616" t="s">
        <v>11924</v>
      </c>
      <c r="D3616" t="s">
        <v>11925</v>
      </c>
      <c r="E3616">
        <v>1</v>
      </c>
      <c r="F3616" t="s">
        <v>11926</v>
      </c>
      <c r="G3616" t="s">
        <v>11385</v>
      </c>
      <c r="H3616" t="s">
        <v>11924</v>
      </c>
      <c r="I3616" t="s">
        <v>11927</v>
      </c>
    </row>
    <row r="3617" spans="1:9">
      <c r="A3617" t="str">
        <f>"0038104 "</f>
        <v xml:space="preserve">0038104 </v>
      </c>
      <c r="B3617" t="s">
        <v>11382</v>
      </c>
      <c r="C3617" t="s">
        <v>11928</v>
      </c>
      <c r="D3617" t="s">
        <v>11929</v>
      </c>
      <c r="E3617">
        <v>1</v>
      </c>
      <c r="F3617" t="s">
        <v>11604</v>
      </c>
      <c r="G3617" t="s">
        <v>11385</v>
      </c>
      <c r="H3617" t="s">
        <v>11928</v>
      </c>
      <c r="I3617" t="s">
        <v>11930</v>
      </c>
    </row>
    <row r="3618" spans="1:9">
      <c r="A3618" t="str">
        <f>"0016938 "</f>
        <v xml:space="preserve">0016938 </v>
      </c>
      <c r="B3618" t="s">
        <v>11382</v>
      </c>
      <c r="C3618" t="s">
        <v>11931</v>
      </c>
      <c r="D3618" t="s">
        <v>11932</v>
      </c>
      <c r="E3618">
        <v>1</v>
      </c>
      <c r="F3618" t="s">
        <v>11933</v>
      </c>
      <c r="G3618" t="s">
        <v>11385</v>
      </c>
      <c r="H3618" t="s">
        <v>11931</v>
      </c>
      <c r="I3618" t="s">
        <v>11934</v>
      </c>
    </row>
    <row r="3619" spans="1:9">
      <c r="A3619" t="str">
        <f>"0016940 "</f>
        <v xml:space="preserve">0016940 </v>
      </c>
      <c r="B3619" t="s">
        <v>11382</v>
      </c>
      <c r="C3619" t="s">
        <v>11935</v>
      </c>
      <c r="D3619" t="s">
        <v>11936</v>
      </c>
      <c r="E3619">
        <v>1</v>
      </c>
      <c r="F3619" t="s">
        <v>11937</v>
      </c>
      <c r="G3619" t="s">
        <v>11385</v>
      </c>
      <c r="H3619" t="s">
        <v>11935</v>
      </c>
      <c r="I3619" t="s">
        <v>11938</v>
      </c>
    </row>
    <row r="3620" spans="1:9">
      <c r="A3620" t="str">
        <f>"0016951 "</f>
        <v xml:space="preserve">0016951 </v>
      </c>
      <c r="B3620" t="s">
        <v>11382</v>
      </c>
      <c r="C3620" t="s">
        <v>11939</v>
      </c>
      <c r="D3620" t="s">
        <v>11940</v>
      </c>
      <c r="E3620">
        <v>1</v>
      </c>
      <c r="F3620" t="s">
        <v>11941</v>
      </c>
      <c r="G3620" t="s">
        <v>11385</v>
      </c>
      <c r="H3620" t="s">
        <v>11939</v>
      </c>
      <c r="I3620" t="s">
        <v>11942</v>
      </c>
    </row>
    <row r="3621" spans="1:9">
      <c r="A3621" t="str">
        <f>"0033753 "</f>
        <v xml:space="preserve">0033753 </v>
      </c>
      <c r="B3621" t="s">
        <v>11382</v>
      </c>
      <c r="C3621" t="s">
        <v>11943</v>
      </c>
      <c r="D3621" t="s">
        <v>11944</v>
      </c>
      <c r="E3621">
        <v>2</v>
      </c>
      <c r="F3621" t="s">
        <v>11945</v>
      </c>
      <c r="G3621" t="s">
        <v>11385</v>
      </c>
      <c r="H3621" t="s">
        <v>11943</v>
      </c>
      <c r="I3621" t="s">
        <v>11946</v>
      </c>
    </row>
    <row r="3622" spans="1:9">
      <c r="A3622" t="str">
        <f>"0016968 "</f>
        <v xml:space="preserve">0016968 </v>
      </c>
      <c r="B3622" t="s">
        <v>11382</v>
      </c>
      <c r="C3622" t="s">
        <v>11947</v>
      </c>
      <c r="D3622" t="s">
        <v>11948</v>
      </c>
      <c r="E3622">
        <v>2</v>
      </c>
      <c r="F3622" t="s">
        <v>11949</v>
      </c>
      <c r="G3622" t="s">
        <v>11385</v>
      </c>
      <c r="H3622" t="s">
        <v>11947</v>
      </c>
      <c r="I3622" t="s">
        <v>11950</v>
      </c>
    </row>
    <row r="3623" spans="1:9">
      <c r="A3623" t="str">
        <f>"0038767 "</f>
        <v xml:space="preserve">0038767 </v>
      </c>
      <c r="B3623" t="s">
        <v>11382</v>
      </c>
      <c r="C3623" t="s">
        <v>11951</v>
      </c>
      <c r="D3623" t="s">
        <v>11952</v>
      </c>
      <c r="E3623">
        <v>1</v>
      </c>
      <c r="F3623" t="s">
        <v>11953</v>
      </c>
      <c r="G3623" t="s">
        <v>11385</v>
      </c>
      <c r="H3623" t="s">
        <v>11951</v>
      </c>
      <c r="I3623" t="s">
        <v>11954</v>
      </c>
    </row>
    <row r="3624" spans="1:9">
      <c r="A3624" t="str">
        <f>"0016991 "</f>
        <v xml:space="preserve">0016991 </v>
      </c>
      <c r="B3624" t="s">
        <v>11382</v>
      </c>
      <c r="C3624" t="s">
        <v>11955</v>
      </c>
      <c r="D3624" t="s">
        <v>11956</v>
      </c>
      <c r="E3624">
        <v>1</v>
      </c>
      <c r="F3624" t="s">
        <v>11957</v>
      </c>
      <c r="G3624" t="s">
        <v>11385</v>
      </c>
      <c r="H3624" t="s">
        <v>11955</v>
      </c>
      <c r="I3624" t="s">
        <v>707</v>
      </c>
    </row>
    <row r="3625" spans="1:9">
      <c r="A3625" t="str">
        <f>"0016997 "</f>
        <v xml:space="preserve">0016997 </v>
      </c>
      <c r="B3625" t="s">
        <v>11382</v>
      </c>
      <c r="C3625" t="s">
        <v>11958</v>
      </c>
      <c r="D3625" t="s">
        <v>11959</v>
      </c>
      <c r="E3625">
        <v>1</v>
      </c>
      <c r="F3625" t="s">
        <v>11960</v>
      </c>
      <c r="G3625" t="s">
        <v>11385</v>
      </c>
      <c r="H3625" t="s">
        <v>11958</v>
      </c>
      <c r="I3625" t="s">
        <v>11961</v>
      </c>
    </row>
    <row r="3626" spans="1:9">
      <c r="A3626" t="str">
        <f>"0016998 "</f>
        <v xml:space="preserve">0016998 </v>
      </c>
      <c r="B3626" t="s">
        <v>11382</v>
      </c>
      <c r="C3626" t="s">
        <v>11962</v>
      </c>
      <c r="D3626" t="s">
        <v>11963</v>
      </c>
      <c r="E3626">
        <v>1</v>
      </c>
      <c r="F3626" t="s">
        <v>11802</v>
      </c>
      <c r="G3626" t="s">
        <v>11385</v>
      </c>
      <c r="H3626" t="s">
        <v>11962</v>
      </c>
      <c r="I3626" t="s">
        <v>11964</v>
      </c>
    </row>
    <row r="3627" spans="1:9">
      <c r="A3627" t="str">
        <f>"0017009 "</f>
        <v xml:space="preserve">0017009 </v>
      </c>
      <c r="B3627" t="s">
        <v>11382</v>
      </c>
      <c r="C3627" t="s">
        <v>11965</v>
      </c>
      <c r="D3627" t="s">
        <v>11966</v>
      </c>
      <c r="E3627">
        <v>4</v>
      </c>
      <c r="F3627" t="s">
        <v>11967</v>
      </c>
      <c r="G3627" t="s">
        <v>11385</v>
      </c>
      <c r="H3627" t="s">
        <v>11965</v>
      </c>
      <c r="I3627" t="s">
        <v>11968</v>
      </c>
    </row>
    <row r="3628" spans="1:9">
      <c r="A3628" t="str">
        <f>"0017039 "</f>
        <v xml:space="preserve">0017039 </v>
      </c>
      <c r="B3628" t="s">
        <v>11382</v>
      </c>
      <c r="C3628" t="s">
        <v>11969</v>
      </c>
      <c r="D3628" t="s">
        <v>11970</v>
      </c>
      <c r="E3628">
        <v>1</v>
      </c>
      <c r="F3628" t="s">
        <v>11971</v>
      </c>
      <c r="G3628" t="s">
        <v>11385</v>
      </c>
      <c r="H3628" t="s">
        <v>11969</v>
      </c>
      <c r="I3628" t="s">
        <v>11972</v>
      </c>
    </row>
    <row r="3629" spans="1:9">
      <c r="A3629" t="str">
        <f>"0018693 "</f>
        <v xml:space="preserve">0018693 </v>
      </c>
      <c r="B3629" t="s">
        <v>11382</v>
      </c>
      <c r="C3629" t="s">
        <v>11973</v>
      </c>
      <c r="D3629" t="s">
        <v>11974</v>
      </c>
      <c r="E3629">
        <v>1</v>
      </c>
      <c r="F3629" t="s">
        <v>11975</v>
      </c>
      <c r="G3629" t="s">
        <v>11385</v>
      </c>
      <c r="H3629" t="s">
        <v>11973</v>
      </c>
      <c r="I3629" t="s">
        <v>11976</v>
      </c>
    </row>
    <row r="3630" spans="1:9">
      <c r="A3630" t="str">
        <f>"0017050 "</f>
        <v xml:space="preserve">0017050 </v>
      </c>
      <c r="B3630" t="s">
        <v>11382</v>
      </c>
      <c r="C3630" t="s">
        <v>11977</v>
      </c>
      <c r="D3630" t="s">
        <v>11978</v>
      </c>
      <c r="E3630">
        <v>1</v>
      </c>
      <c r="F3630" t="s">
        <v>11979</v>
      </c>
      <c r="G3630" t="s">
        <v>11385</v>
      </c>
      <c r="H3630" t="s">
        <v>11977</v>
      </c>
      <c r="I3630" t="s">
        <v>11980</v>
      </c>
    </row>
    <row r="3631" spans="1:9">
      <c r="A3631" t="str">
        <f>"0018703 "</f>
        <v xml:space="preserve">0018703 </v>
      </c>
      <c r="B3631" t="s">
        <v>11382</v>
      </c>
      <c r="C3631" t="s">
        <v>11981</v>
      </c>
      <c r="D3631" t="s">
        <v>11982</v>
      </c>
      <c r="E3631">
        <v>1</v>
      </c>
      <c r="F3631" t="s">
        <v>11983</v>
      </c>
      <c r="G3631" t="s">
        <v>11385</v>
      </c>
      <c r="H3631" t="s">
        <v>11981</v>
      </c>
      <c r="I3631" t="s">
        <v>11984</v>
      </c>
    </row>
    <row r="3632" spans="1:9">
      <c r="A3632" t="str">
        <f>"0018714 "</f>
        <v xml:space="preserve">0018714 </v>
      </c>
      <c r="B3632" t="s">
        <v>11382</v>
      </c>
      <c r="C3632" t="s">
        <v>11985</v>
      </c>
      <c r="D3632" t="s">
        <v>11986</v>
      </c>
      <c r="E3632">
        <v>2</v>
      </c>
      <c r="F3632" t="s">
        <v>11987</v>
      </c>
      <c r="G3632" t="s">
        <v>11385</v>
      </c>
      <c r="H3632" t="s">
        <v>11985</v>
      </c>
      <c r="I3632" t="s">
        <v>11988</v>
      </c>
    </row>
    <row r="3633" spans="1:9">
      <c r="A3633" t="str">
        <f>"0020144 "</f>
        <v xml:space="preserve">0020144 </v>
      </c>
      <c r="B3633" t="s">
        <v>11382</v>
      </c>
      <c r="C3633" t="s">
        <v>11989</v>
      </c>
      <c r="D3633" t="s">
        <v>11990</v>
      </c>
      <c r="E3633">
        <v>1</v>
      </c>
      <c r="F3633" t="s">
        <v>11991</v>
      </c>
      <c r="G3633" t="s">
        <v>11385</v>
      </c>
      <c r="H3633" t="s">
        <v>11989</v>
      </c>
      <c r="I3633" t="s">
        <v>11992</v>
      </c>
    </row>
    <row r="3634" spans="1:9">
      <c r="A3634" t="str">
        <f>"0020145 "</f>
        <v xml:space="preserve">0020145 </v>
      </c>
      <c r="B3634" t="s">
        <v>11382</v>
      </c>
      <c r="C3634" t="s">
        <v>11993</v>
      </c>
      <c r="D3634" t="s">
        <v>11994</v>
      </c>
      <c r="E3634">
        <v>1</v>
      </c>
      <c r="F3634" t="s">
        <v>11995</v>
      </c>
      <c r="G3634" t="s">
        <v>11385</v>
      </c>
      <c r="H3634" t="s">
        <v>11993</v>
      </c>
      <c r="I3634" t="s">
        <v>11996</v>
      </c>
    </row>
    <row r="3635" spans="1:9">
      <c r="A3635" t="str">
        <f>"0039010 "</f>
        <v xml:space="preserve">0039010 </v>
      </c>
      <c r="B3635" t="s">
        <v>11382</v>
      </c>
      <c r="C3635" t="s">
        <v>11997</v>
      </c>
      <c r="D3635" t="s">
        <v>11998</v>
      </c>
      <c r="E3635">
        <v>1</v>
      </c>
      <c r="F3635" t="s">
        <v>11741</v>
      </c>
      <c r="G3635" t="s">
        <v>11385</v>
      </c>
      <c r="H3635" t="s">
        <v>11997</v>
      </c>
      <c r="I3635" t="s">
        <v>11999</v>
      </c>
    </row>
    <row r="3636" spans="1:9">
      <c r="A3636" t="str">
        <f>"0033759 "</f>
        <v xml:space="preserve">0033759 </v>
      </c>
      <c r="B3636" t="s">
        <v>11382</v>
      </c>
      <c r="C3636" t="s">
        <v>12000</v>
      </c>
      <c r="D3636" t="s">
        <v>12001</v>
      </c>
      <c r="E3636">
        <v>1</v>
      </c>
      <c r="F3636" t="s">
        <v>12002</v>
      </c>
      <c r="G3636" t="s">
        <v>11385</v>
      </c>
      <c r="H3636" t="s">
        <v>12000</v>
      </c>
      <c r="I3636" t="s">
        <v>12003</v>
      </c>
    </row>
    <row r="3637" spans="1:9">
      <c r="A3637" t="str">
        <f>"0038114 "</f>
        <v xml:space="preserve">0038114 </v>
      </c>
      <c r="B3637" t="s">
        <v>11382</v>
      </c>
      <c r="C3637" t="s">
        <v>12004</v>
      </c>
      <c r="D3637" t="s">
        <v>12005</v>
      </c>
      <c r="E3637">
        <v>1</v>
      </c>
      <c r="F3637" t="s">
        <v>11941</v>
      </c>
      <c r="G3637" t="s">
        <v>11385</v>
      </c>
      <c r="H3637" t="s">
        <v>12004</v>
      </c>
      <c r="I3637" t="s">
        <v>1053</v>
      </c>
    </row>
    <row r="3638" spans="1:9">
      <c r="A3638" t="str">
        <f>"0033761 "</f>
        <v xml:space="preserve">0033761 </v>
      </c>
      <c r="B3638" t="s">
        <v>11382</v>
      </c>
      <c r="C3638" t="s">
        <v>12006</v>
      </c>
      <c r="D3638" t="s">
        <v>12007</v>
      </c>
      <c r="E3638">
        <v>1</v>
      </c>
      <c r="F3638" t="s">
        <v>11991</v>
      </c>
      <c r="G3638" t="s">
        <v>11385</v>
      </c>
      <c r="H3638" t="s">
        <v>12006</v>
      </c>
      <c r="I3638" t="s">
        <v>12008</v>
      </c>
    </row>
    <row r="3639" spans="1:9">
      <c r="A3639" t="str">
        <f>"0017076 "</f>
        <v xml:space="preserve">0017076 </v>
      </c>
      <c r="B3639" t="s">
        <v>11382</v>
      </c>
      <c r="C3639" t="s">
        <v>12009</v>
      </c>
      <c r="D3639" t="s">
        <v>12010</v>
      </c>
      <c r="E3639">
        <v>1</v>
      </c>
      <c r="F3639" t="s">
        <v>12011</v>
      </c>
      <c r="G3639" t="s">
        <v>11385</v>
      </c>
      <c r="H3639" t="s">
        <v>12009</v>
      </c>
      <c r="I3639" t="s">
        <v>12012</v>
      </c>
    </row>
    <row r="3640" spans="1:9">
      <c r="A3640" t="str">
        <f>"0038126 "</f>
        <v xml:space="preserve">0038126 </v>
      </c>
      <c r="B3640" t="s">
        <v>11382</v>
      </c>
      <c r="C3640" t="s">
        <v>12013</v>
      </c>
      <c r="D3640" t="s">
        <v>12014</v>
      </c>
      <c r="E3640">
        <v>1</v>
      </c>
      <c r="F3640" t="s">
        <v>12015</v>
      </c>
      <c r="G3640" t="s">
        <v>11385</v>
      </c>
      <c r="H3640" t="s">
        <v>12013</v>
      </c>
      <c r="I3640" t="s">
        <v>12016</v>
      </c>
    </row>
    <row r="3641" spans="1:9">
      <c r="A3641" t="str">
        <f>"0017110 "</f>
        <v xml:space="preserve">0017110 </v>
      </c>
      <c r="B3641" t="s">
        <v>11382</v>
      </c>
      <c r="C3641" t="s">
        <v>12017</v>
      </c>
      <c r="D3641" t="s">
        <v>12018</v>
      </c>
      <c r="E3641">
        <v>1</v>
      </c>
      <c r="F3641" t="s">
        <v>12019</v>
      </c>
      <c r="G3641" t="s">
        <v>11385</v>
      </c>
      <c r="H3641" t="s">
        <v>12017</v>
      </c>
      <c r="I3641" t="s">
        <v>12020</v>
      </c>
    </row>
    <row r="3642" spans="1:9">
      <c r="A3642" t="str">
        <f>"0017111 "</f>
        <v xml:space="preserve">0017111 </v>
      </c>
      <c r="B3642" t="s">
        <v>11382</v>
      </c>
      <c r="C3642" t="s">
        <v>12021</v>
      </c>
      <c r="D3642" t="s">
        <v>12022</v>
      </c>
      <c r="E3642">
        <v>1</v>
      </c>
      <c r="F3642" t="s">
        <v>12023</v>
      </c>
      <c r="G3642" t="s">
        <v>11385</v>
      </c>
      <c r="H3642" t="s">
        <v>12021</v>
      </c>
      <c r="I3642" t="s">
        <v>12024</v>
      </c>
    </row>
    <row r="3643" spans="1:9">
      <c r="A3643" t="str">
        <f>"0017156 "</f>
        <v xml:space="preserve">0017156 </v>
      </c>
      <c r="B3643" t="s">
        <v>11382</v>
      </c>
      <c r="C3643" t="s">
        <v>12025</v>
      </c>
      <c r="D3643" t="s">
        <v>12026</v>
      </c>
      <c r="E3643">
        <v>1</v>
      </c>
      <c r="F3643" t="s">
        <v>12027</v>
      </c>
      <c r="G3643" t="s">
        <v>11385</v>
      </c>
      <c r="H3643" t="s">
        <v>12025</v>
      </c>
      <c r="I3643" t="s">
        <v>12028</v>
      </c>
    </row>
    <row r="3644" spans="1:9">
      <c r="A3644" t="str">
        <f>"0017221 "</f>
        <v xml:space="preserve">0017221 </v>
      </c>
      <c r="B3644" t="s">
        <v>11382</v>
      </c>
      <c r="C3644" t="s">
        <v>12029</v>
      </c>
      <c r="D3644" t="s">
        <v>12030</v>
      </c>
      <c r="E3644" t="s">
        <v>16</v>
      </c>
      <c r="F3644" t="s">
        <v>12031</v>
      </c>
      <c r="G3644" t="s">
        <v>11385</v>
      </c>
      <c r="H3644" t="s">
        <v>12029</v>
      </c>
      <c r="I3644" t="s">
        <v>12032</v>
      </c>
    </row>
    <row r="3645" spans="1:9">
      <c r="A3645" t="str">
        <f>"0017247 "</f>
        <v xml:space="preserve">0017247 </v>
      </c>
      <c r="B3645" t="s">
        <v>11382</v>
      </c>
      <c r="C3645" t="s">
        <v>12033</v>
      </c>
      <c r="D3645" t="s">
        <v>12034</v>
      </c>
      <c r="E3645">
        <v>3</v>
      </c>
      <c r="F3645" t="s">
        <v>12035</v>
      </c>
      <c r="G3645" t="s">
        <v>11385</v>
      </c>
      <c r="H3645" t="s">
        <v>12033</v>
      </c>
      <c r="I3645" t="s">
        <v>12036</v>
      </c>
    </row>
    <row r="3646" spans="1:9">
      <c r="A3646" t="str">
        <f>"0017252 "</f>
        <v xml:space="preserve">0017252 </v>
      </c>
      <c r="B3646" t="s">
        <v>11382</v>
      </c>
      <c r="C3646" t="s">
        <v>12037</v>
      </c>
      <c r="D3646" t="s">
        <v>12038</v>
      </c>
      <c r="E3646">
        <v>1</v>
      </c>
      <c r="F3646" t="s">
        <v>4953</v>
      </c>
      <c r="G3646" t="s">
        <v>11385</v>
      </c>
      <c r="H3646" t="s">
        <v>12037</v>
      </c>
      <c r="I3646" t="s">
        <v>12039</v>
      </c>
    </row>
    <row r="3647" spans="1:9">
      <c r="A3647" t="str">
        <f>"0017274 "</f>
        <v xml:space="preserve">0017274 </v>
      </c>
      <c r="B3647" t="s">
        <v>11382</v>
      </c>
      <c r="C3647" t="s">
        <v>12040</v>
      </c>
      <c r="D3647" t="s">
        <v>12041</v>
      </c>
      <c r="E3647">
        <v>2</v>
      </c>
      <c r="F3647" t="s">
        <v>11719</v>
      </c>
      <c r="G3647" t="s">
        <v>11385</v>
      </c>
      <c r="H3647" t="s">
        <v>12040</v>
      </c>
      <c r="I3647" t="s">
        <v>12042</v>
      </c>
    </row>
    <row r="3648" spans="1:9">
      <c r="A3648" t="str">
        <f>"0017294 "</f>
        <v xml:space="preserve">0017294 </v>
      </c>
      <c r="B3648" t="s">
        <v>11382</v>
      </c>
      <c r="C3648" t="s">
        <v>12043</v>
      </c>
      <c r="D3648" t="s">
        <v>12044</v>
      </c>
      <c r="E3648">
        <v>1</v>
      </c>
      <c r="F3648" t="s">
        <v>12045</v>
      </c>
      <c r="G3648" t="s">
        <v>11385</v>
      </c>
      <c r="H3648" t="s">
        <v>12043</v>
      </c>
      <c r="I3648" t="s">
        <v>12046</v>
      </c>
    </row>
    <row r="3649" spans="1:9">
      <c r="A3649" t="str">
        <f>"0017396 "</f>
        <v xml:space="preserve">0017396 </v>
      </c>
      <c r="B3649" t="s">
        <v>11382</v>
      </c>
      <c r="C3649" t="s">
        <v>12047</v>
      </c>
      <c r="D3649" t="s">
        <v>12048</v>
      </c>
      <c r="E3649">
        <v>1</v>
      </c>
      <c r="F3649" t="s">
        <v>12049</v>
      </c>
      <c r="G3649" t="s">
        <v>11385</v>
      </c>
      <c r="H3649" t="s">
        <v>12047</v>
      </c>
      <c r="I3649" t="s">
        <v>12050</v>
      </c>
    </row>
    <row r="3650" spans="1:9">
      <c r="A3650" t="str">
        <f>"0017460 "</f>
        <v xml:space="preserve">0017460 </v>
      </c>
      <c r="B3650" t="s">
        <v>11382</v>
      </c>
      <c r="C3650" t="s">
        <v>12051</v>
      </c>
      <c r="D3650" t="s">
        <v>12052</v>
      </c>
      <c r="E3650">
        <v>1</v>
      </c>
      <c r="F3650" t="s">
        <v>11719</v>
      </c>
      <c r="G3650" t="s">
        <v>11385</v>
      </c>
      <c r="H3650" t="s">
        <v>12051</v>
      </c>
      <c r="I3650" t="s">
        <v>12053</v>
      </c>
    </row>
    <row r="3651" spans="1:9">
      <c r="A3651" t="str">
        <f>"0017470 "</f>
        <v xml:space="preserve">0017470 </v>
      </c>
      <c r="B3651" t="s">
        <v>11382</v>
      </c>
      <c r="C3651" t="s">
        <v>12054</v>
      </c>
      <c r="D3651" t="s">
        <v>12055</v>
      </c>
      <c r="E3651">
        <v>2</v>
      </c>
      <c r="F3651" t="s">
        <v>12056</v>
      </c>
      <c r="G3651" t="s">
        <v>11385</v>
      </c>
      <c r="H3651" t="s">
        <v>12054</v>
      </c>
      <c r="I3651" t="s">
        <v>969</v>
      </c>
    </row>
    <row r="3652" spans="1:9">
      <c r="A3652" t="str">
        <f>"0017483 "</f>
        <v xml:space="preserve">0017483 </v>
      </c>
      <c r="B3652" t="s">
        <v>11382</v>
      </c>
      <c r="C3652" t="s">
        <v>12057</v>
      </c>
      <c r="D3652" t="s">
        <v>12058</v>
      </c>
      <c r="E3652">
        <v>3</v>
      </c>
      <c r="F3652" t="s">
        <v>12059</v>
      </c>
      <c r="G3652" t="s">
        <v>11385</v>
      </c>
      <c r="H3652" t="s">
        <v>12057</v>
      </c>
      <c r="I3652" t="s">
        <v>12060</v>
      </c>
    </row>
    <row r="3653" spans="1:9">
      <c r="A3653" t="str">
        <f>"0017508 "</f>
        <v xml:space="preserve">0017508 </v>
      </c>
      <c r="B3653" t="s">
        <v>11382</v>
      </c>
      <c r="C3653" t="s">
        <v>12061</v>
      </c>
      <c r="D3653" t="s">
        <v>12062</v>
      </c>
      <c r="E3653">
        <v>2</v>
      </c>
      <c r="F3653" t="s">
        <v>12063</v>
      </c>
      <c r="G3653" t="s">
        <v>11385</v>
      </c>
      <c r="H3653" t="s">
        <v>12061</v>
      </c>
      <c r="I3653" t="s">
        <v>12064</v>
      </c>
    </row>
    <row r="3654" spans="1:9">
      <c r="A3654" t="str">
        <f>"0017516 "</f>
        <v xml:space="preserve">0017516 </v>
      </c>
      <c r="B3654" t="s">
        <v>11382</v>
      </c>
      <c r="C3654" t="s">
        <v>12065</v>
      </c>
      <c r="D3654" t="s">
        <v>12066</v>
      </c>
      <c r="E3654">
        <v>2</v>
      </c>
      <c r="F3654" t="s">
        <v>12067</v>
      </c>
      <c r="G3654" t="s">
        <v>11385</v>
      </c>
      <c r="H3654" t="s">
        <v>12065</v>
      </c>
      <c r="I3654" t="s">
        <v>12068</v>
      </c>
    </row>
    <row r="3655" spans="1:9">
      <c r="A3655" t="str">
        <f>"0017703 "</f>
        <v xml:space="preserve">0017703 </v>
      </c>
      <c r="B3655" t="s">
        <v>11382</v>
      </c>
      <c r="C3655" t="s">
        <v>12069</v>
      </c>
      <c r="D3655" t="s">
        <v>12070</v>
      </c>
      <c r="E3655" t="s">
        <v>16</v>
      </c>
      <c r="F3655" t="s">
        <v>12071</v>
      </c>
      <c r="G3655" t="s">
        <v>11385</v>
      </c>
      <c r="H3655" t="s">
        <v>12069</v>
      </c>
      <c r="I3655" t="s">
        <v>12072</v>
      </c>
    </row>
    <row r="3656" spans="1:9">
      <c r="A3656" t="str">
        <f>"0086539 "</f>
        <v xml:space="preserve">0086539 </v>
      </c>
      <c r="B3656" t="s">
        <v>11382</v>
      </c>
      <c r="C3656" t="s">
        <v>12073</v>
      </c>
      <c r="D3656" t="s">
        <v>12074</v>
      </c>
      <c r="E3656">
        <v>1</v>
      </c>
      <c r="F3656" t="s">
        <v>12075</v>
      </c>
      <c r="G3656" t="s">
        <v>11385</v>
      </c>
      <c r="H3656" t="s">
        <v>12073</v>
      </c>
      <c r="I3656" t="s">
        <v>12076</v>
      </c>
    </row>
    <row r="3657" spans="1:9">
      <c r="A3657" t="str">
        <f>"0153041 "</f>
        <v xml:space="preserve">0153041 </v>
      </c>
      <c r="B3657" t="s">
        <v>11382</v>
      </c>
      <c r="C3657" t="s">
        <v>12077</v>
      </c>
      <c r="D3657" t="s">
        <v>12078</v>
      </c>
      <c r="E3657">
        <v>1</v>
      </c>
      <c r="F3657" t="s">
        <v>12079</v>
      </c>
      <c r="G3657" t="s">
        <v>11385</v>
      </c>
      <c r="H3657" t="s">
        <v>12077</v>
      </c>
      <c r="I3657" t="s">
        <v>12080</v>
      </c>
    </row>
    <row r="3658" spans="1:9">
      <c r="A3658" t="str">
        <f>"0090644 "</f>
        <v xml:space="preserve">0090644 </v>
      </c>
      <c r="B3658" t="s">
        <v>11382</v>
      </c>
      <c r="C3658" t="s">
        <v>12081</v>
      </c>
      <c r="D3658" t="s">
        <v>12082</v>
      </c>
      <c r="E3658">
        <v>5</v>
      </c>
      <c r="F3658" t="s">
        <v>12083</v>
      </c>
      <c r="G3658" t="s">
        <v>11385</v>
      </c>
      <c r="H3658" t="s">
        <v>12081</v>
      </c>
      <c r="I3658" t="s">
        <v>12084</v>
      </c>
    </row>
    <row r="3659" spans="1:9">
      <c r="A3659" t="str">
        <f>"0017708 "</f>
        <v xml:space="preserve">0017708 </v>
      </c>
      <c r="B3659" t="s">
        <v>11382</v>
      </c>
      <c r="C3659" t="s">
        <v>12085</v>
      </c>
      <c r="D3659" t="s">
        <v>12086</v>
      </c>
      <c r="E3659">
        <v>1</v>
      </c>
      <c r="F3659" t="s">
        <v>12087</v>
      </c>
      <c r="G3659" t="s">
        <v>11385</v>
      </c>
      <c r="H3659" t="s">
        <v>12085</v>
      </c>
      <c r="I3659" t="s">
        <v>12088</v>
      </c>
    </row>
    <row r="3660" spans="1:9">
      <c r="A3660" t="str">
        <f>"0017709 "</f>
        <v xml:space="preserve">0017709 </v>
      </c>
      <c r="B3660" t="s">
        <v>11382</v>
      </c>
      <c r="C3660" t="s">
        <v>12089</v>
      </c>
      <c r="D3660" t="s">
        <v>12090</v>
      </c>
      <c r="E3660">
        <v>1</v>
      </c>
      <c r="F3660" t="s">
        <v>12091</v>
      </c>
      <c r="G3660" t="s">
        <v>11385</v>
      </c>
      <c r="H3660" t="s">
        <v>12089</v>
      </c>
      <c r="I3660" t="s">
        <v>12088</v>
      </c>
    </row>
    <row r="3661" spans="1:9">
      <c r="A3661" t="str">
        <f>"0017714 "</f>
        <v xml:space="preserve">0017714 </v>
      </c>
      <c r="B3661" t="s">
        <v>11382</v>
      </c>
      <c r="C3661" t="s">
        <v>12092</v>
      </c>
      <c r="D3661" t="s">
        <v>12093</v>
      </c>
      <c r="E3661">
        <v>1</v>
      </c>
      <c r="F3661" t="s">
        <v>12094</v>
      </c>
      <c r="G3661" t="s">
        <v>11385</v>
      </c>
      <c r="H3661" t="s">
        <v>12092</v>
      </c>
      <c r="I3661" t="s">
        <v>12095</v>
      </c>
    </row>
    <row r="3662" spans="1:9">
      <c r="A3662" t="str">
        <f>"0017715 "</f>
        <v xml:space="preserve">0017715 </v>
      </c>
      <c r="B3662" t="s">
        <v>11382</v>
      </c>
      <c r="C3662" t="s">
        <v>12096</v>
      </c>
      <c r="D3662" t="s">
        <v>12097</v>
      </c>
      <c r="E3662" t="s">
        <v>16</v>
      </c>
      <c r="F3662" t="s">
        <v>12098</v>
      </c>
      <c r="G3662" t="s">
        <v>11385</v>
      </c>
      <c r="H3662" t="s">
        <v>12096</v>
      </c>
      <c r="I3662" t="s">
        <v>12099</v>
      </c>
    </row>
    <row r="3663" spans="1:9">
      <c r="A3663" t="str">
        <f>"0017735 "</f>
        <v xml:space="preserve">0017735 </v>
      </c>
      <c r="B3663" t="s">
        <v>11382</v>
      </c>
      <c r="C3663" t="s">
        <v>12100</v>
      </c>
      <c r="D3663" t="s">
        <v>12101</v>
      </c>
      <c r="E3663">
        <v>2</v>
      </c>
      <c r="F3663" t="s">
        <v>12102</v>
      </c>
      <c r="G3663" t="s">
        <v>11385</v>
      </c>
      <c r="H3663" t="s">
        <v>12100</v>
      </c>
      <c r="I3663" t="s">
        <v>12103</v>
      </c>
    </row>
    <row r="3664" spans="1:9">
      <c r="A3664" t="str">
        <f>"0017736 "</f>
        <v xml:space="preserve">0017736 </v>
      </c>
      <c r="B3664" t="s">
        <v>11382</v>
      </c>
      <c r="C3664" t="s">
        <v>12104</v>
      </c>
      <c r="D3664" t="s">
        <v>12105</v>
      </c>
      <c r="E3664" t="s">
        <v>16</v>
      </c>
      <c r="F3664" t="s">
        <v>12106</v>
      </c>
      <c r="G3664" t="s">
        <v>11385</v>
      </c>
      <c r="H3664" t="s">
        <v>12104</v>
      </c>
      <c r="I3664" t="s">
        <v>12107</v>
      </c>
    </row>
    <row r="3665" spans="1:9">
      <c r="A3665" t="str">
        <f>"0017743 "</f>
        <v xml:space="preserve">0017743 </v>
      </c>
      <c r="B3665" t="s">
        <v>11382</v>
      </c>
      <c r="C3665" t="s">
        <v>12108</v>
      </c>
      <c r="D3665" t="s">
        <v>12109</v>
      </c>
      <c r="E3665">
        <v>1</v>
      </c>
      <c r="F3665" t="s">
        <v>12110</v>
      </c>
      <c r="G3665" t="s">
        <v>11385</v>
      </c>
      <c r="H3665" t="s">
        <v>12108</v>
      </c>
      <c r="I3665" t="s">
        <v>12111</v>
      </c>
    </row>
    <row r="3666" spans="1:9">
      <c r="A3666" t="str">
        <f>"0017744 "</f>
        <v xml:space="preserve">0017744 </v>
      </c>
      <c r="B3666" t="s">
        <v>11382</v>
      </c>
      <c r="C3666" t="s">
        <v>12112</v>
      </c>
      <c r="D3666" t="s">
        <v>12113</v>
      </c>
      <c r="E3666" t="s">
        <v>16</v>
      </c>
      <c r="F3666" t="s">
        <v>12114</v>
      </c>
      <c r="G3666" t="s">
        <v>11385</v>
      </c>
      <c r="H3666" t="s">
        <v>12112</v>
      </c>
      <c r="I3666" t="s">
        <v>12115</v>
      </c>
    </row>
    <row r="3667" spans="1:9">
      <c r="A3667" t="str">
        <f>"0017750 "</f>
        <v xml:space="preserve">0017750 </v>
      </c>
      <c r="B3667" t="s">
        <v>11382</v>
      </c>
      <c r="C3667" t="s">
        <v>12116</v>
      </c>
      <c r="D3667" t="s">
        <v>12117</v>
      </c>
      <c r="E3667" t="s">
        <v>16</v>
      </c>
      <c r="F3667" t="s">
        <v>12118</v>
      </c>
      <c r="G3667" t="s">
        <v>11385</v>
      </c>
      <c r="H3667" t="s">
        <v>12116</v>
      </c>
      <c r="I3667" t="s">
        <v>12119</v>
      </c>
    </row>
    <row r="3668" spans="1:9">
      <c r="A3668" t="str">
        <f>"0017757 "</f>
        <v xml:space="preserve">0017757 </v>
      </c>
      <c r="B3668" t="s">
        <v>11382</v>
      </c>
      <c r="C3668" t="s">
        <v>12120</v>
      </c>
      <c r="D3668" t="s">
        <v>12121</v>
      </c>
      <c r="E3668">
        <v>1</v>
      </c>
      <c r="F3668" t="s">
        <v>12122</v>
      </c>
      <c r="G3668" t="s">
        <v>11385</v>
      </c>
      <c r="H3668" t="s">
        <v>12120</v>
      </c>
      <c r="I3668" t="s">
        <v>12123</v>
      </c>
    </row>
    <row r="3669" spans="1:9">
      <c r="A3669" t="str">
        <f>"0017762 "</f>
        <v xml:space="preserve">0017762 </v>
      </c>
      <c r="B3669" t="s">
        <v>11382</v>
      </c>
      <c r="C3669" t="s">
        <v>12124</v>
      </c>
      <c r="D3669" t="s">
        <v>12125</v>
      </c>
      <c r="E3669" t="s">
        <v>16</v>
      </c>
      <c r="F3669" t="s">
        <v>12126</v>
      </c>
      <c r="G3669" t="s">
        <v>11385</v>
      </c>
      <c r="H3669" t="s">
        <v>12124</v>
      </c>
      <c r="I3669" t="s">
        <v>12127</v>
      </c>
    </row>
    <row r="3670" spans="1:9">
      <c r="A3670" t="str">
        <f>"0017764 "</f>
        <v xml:space="preserve">0017764 </v>
      </c>
      <c r="B3670" t="s">
        <v>11382</v>
      </c>
      <c r="C3670" t="s">
        <v>12128</v>
      </c>
      <c r="D3670" t="s">
        <v>12129</v>
      </c>
      <c r="E3670" t="s">
        <v>16</v>
      </c>
      <c r="F3670" t="s">
        <v>784</v>
      </c>
      <c r="G3670" t="s">
        <v>11385</v>
      </c>
      <c r="H3670" t="s">
        <v>12128</v>
      </c>
      <c r="I3670" t="s">
        <v>12130</v>
      </c>
    </row>
    <row r="3671" spans="1:9">
      <c r="A3671" t="str">
        <f>"0017768 "</f>
        <v xml:space="preserve">0017768 </v>
      </c>
      <c r="B3671" t="s">
        <v>11382</v>
      </c>
      <c r="C3671" t="s">
        <v>12131</v>
      </c>
      <c r="D3671" t="s">
        <v>12132</v>
      </c>
      <c r="E3671">
        <v>1</v>
      </c>
      <c r="F3671" t="s">
        <v>12133</v>
      </c>
      <c r="G3671" t="s">
        <v>11385</v>
      </c>
      <c r="H3671" t="s">
        <v>12131</v>
      </c>
      <c r="I3671" t="s">
        <v>12134</v>
      </c>
    </row>
    <row r="3672" spans="1:9">
      <c r="A3672" t="str">
        <f>"0017777 "</f>
        <v xml:space="preserve">0017777 </v>
      </c>
      <c r="B3672" t="s">
        <v>11382</v>
      </c>
      <c r="C3672" t="s">
        <v>12135</v>
      </c>
      <c r="D3672" t="s">
        <v>12136</v>
      </c>
      <c r="E3672">
        <v>2</v>
      </c>
      <c r="F3672" t="s">
        <v>12137</v>
      </c>
      <c r="G3672" t="s">
        <v>11385</v>
      </c>
      <c r="H3672" t="s">
        <v>12135</v>
      </c>
      <c r="I3672" t="s">
        <v>12138</v>
      </c>
    </row>
    <row r="3673" spans="1:9">
      <c r="A3673" t="str">
        <f>"0017788 "</f>
        <v xml:space="preserve">0017788 </v>
      </c>
      <c r="B3673" t="s">
        <v>11382</v>
      </c>
      <c r="C3673" t="s">
        <v>12139</v>
      </c>
      <c r="D3673" t="s">
        <v>12140</v>
      </c>
      <c r="E3673" t="s">
        <v>16</v>
      </c>
      <c r="F3673" t="s">
        <v>12141</v>
      </c>
      <c r="G3673" t="s">
        <v>11385</v>
      </c>
      <c r="H3673" t="s">
        <v>12139</v>
      </c>
      <c r="I3673" t="s">
        <v>12142</v>
      </c>
    </row>
    <row r="3674" spans="1:9">
      <c r="A3674" t="str">
        <f>"0017795 "</f>
        <v xml:space="preserve">0017795 </v>
      </c>
      <c r="B3674" t="s">
        <v>11382</v>
      </c>
      <c r="C3674" t="s">
        <v>12143</v>
      </c>
      <c r="D3674" t="s">
        <v>12144</v>
      </c>
      <c r="E3674">
        <v>1</v>
      </c>
      <c r="F3674" t="s">
        <v>12145</v>
      </c>
      <c r="G3674" t="s">
        <v>11385</v>
      </c>
      <c r="H3674" t="s">
        <v>12143</v>
      </c>
      <c r="I3674" t="s">
        <v>12146</v>
      </c>
    </row>
    <row r="3675" spans="1:9">
      <c r="A3675" t="str">
        <f>"0017796 "</f>
        <v xml:space="preserve">0017796 </v>
      </c>
      <c r="B3675" t="s">
        <v>11382</v>
      </c>
      <c r="C3675" t="s">
        <v>12147</v>
      </c>
      <c r="D3675" t="s">
        <v>12148</v>
      </c>
      <c r="E3675" t="s">
        <v>16</v>
      </c>
      <c r="F3675" t="s">
        <v>12149</v>
      </c>
      <c r="G3675" t="s">
        <v>11385</v>
      </c>
      <c r="H3675" t="s">
        <v>12147</v>
      </c>
      <c r="I3675" t="s">
        <v>12150</v>
      </c>
    </row>
    <row r="3676" spans="1:9">
      <c r="A3676" t="str">
        <f>"0017797 "</f>
        <v xml:space="preserve">0017797 </v>
      </c>
      <c r="B3676" t="s">
        <v>11382</v>
      </c>
      <c r="C3676" t="s">
        <v>12151</v>
      </c>
      <c r="D3676" t="s">
        <v>12152</v>
      </c>
      <c r="E3676">
        <v>3</v>
      </c>
      <c r="F3676" t="s">
        <v>10048</v>
      </c>
      <c r="G3676" t="s">
        <v>11385</v>
      </c>
      <c r="H3676" t="s">
        <v>12151</v>
      </c>
      <c r="I3676" t="s">
        <v>12153</v>
      </c>
    </row>
    <row r="3677" spans="1:9">
      <c r="A3677" t="str">
        <f>"0017804 "</f>
        <v xml:space="preserve">0017804 </v>
      </c>
      <c r="B3677" t="s">
        <v>11382</v>
      </c>
      <c r="C3677" t="s">
        <v>12154</v>
      </c>
      <c r="D3677" t="s">
        <v>12155</v>
      </c>
      <c r="E3677">
        <v>1</v>
      </c>
      <c r="F3677" t="s">
        <v>12156</v>
      </c>
      <c r="G3677" t="s">
        <v>11385</v>
      </c>
      <c r="H3677" t="s">
        <v>12154</v>
      </c>
      <c r="I3677" t="s">
        <v>12157</v>
      </c>
    </row>
    <row r="3678" spans="1:9">
      <c r="A3678" t="str">
        <f>"0017808 "</f>
        <v xml:space="preserve">0017808 </v>
      </c>
      <c r="B3678" t="s">
        <v>11382</v>
      </c>
      <c r="C3678" t="s">
        <v>12158</v>
      </c>
      <c r="D3678" t="s">
        <v>12159</v>
      </c>
      <c r="E3678">
        <v>1</v>
      </c>
      <c r="F3678" t="s">
        <v>12160</v>
      </c>
      <c r="G3678" t="s">
        <v>11385</v>
      </c>
      <c r="H3678" t="s">
        <v>12158</v>
      </c>
      <c r="I3678" t="s">
        <v>12161</v>
      </c>
    </row>
    <row r="3679" spans="1:9">
      <c r="A3679" t="str">
        <f>"0018166 "</f>
        <v xml:space="preserve">0018166 </v>
      </c>
      <c r="B3679" t="s">
        <v>11382</v>
      </c>
      <c r="C3679" t="s">
        <v>12162</v>
      </c>
      <c r="D3679" t="s">
        <v>12163</v>
      </c>
      <c r="E3679" t="s">
        <v>16</v>
      </c>
      <c r="F3679" t="s">
        <v>12164</v>
      </c>
      <c r="G3679" t="s">
        <v>11385</v>
      </c>
      <c r="H3679" t="s">
        <v>12162</v>
      </c>
      <c r="I3679" t="s">
        <v>12165</v>
      </c>
    </row>
    <row r="3680" spans="1:9">
      <c r="A3680" t="str">
        <f>"0017846 "</f>
        <v xml:space="preserve">0017846 </v>
      </c>
      <c r="B3680" t="s">
        <v>11382</v>
      </c>
      <c r="C3680" t="s">
        <v>12166</v>
      </c>
      <c r="D3680" t="s">
        <v>12167</v>
      </c>
      <c r="E3680">
        <v>1</v>
      </c>
      <c r="F3680" t="s">
        <v>12168</v>
      </c>
      <c r="G3680" t="s">
        <v>11385</v>
      </c>
      <c r="H3680" t="s">
        <v>12166</v>
      </c>
      <c r="I3680" t="s">
        <v>12169</v>
      </c>
    </row>
    <row r="3681" spans="1:9">
      <c r="A3681" t="str">
        <f>"0017854 "</f>
        <v xml:space="preserve">0017854 </v>
      </c>
      <c r="B3681" t="s">
        <v>11382</v>
      </c>
      <c r="C3681" t="s">
        <v>12170</v>
      </c>
      <c r="D3681" t="s">
        <v>12171</v>
      </c>
      <c r="E3681">
        <v>2</v>
      </c>
      <c r="F3681" t="s">
        <v>11957</v>
      </c>
      <c r="G3681" t="s">
        <v>11385</v>
      </c>
      <c r="H3681" t="s">
        <v>12170</v>
      </c>
      <c r="I3681" t="s">
        <v>12172</v>
      </c>
    </row>
    <row r="3682" spans="1:9">
      <c r="A3682" t="str">
        <f>"0017871 "</f>
        <v xml:space="preserve">0017871 </v>
      </c>
      <c r="B3682" t="s">
        <v>11382</v>
      </c>
      <c r="C3682" t="s">
        <v>12173</v>
      </c>
      <c r="D3682" t="s">
        <v>12174</v>
      </c>
      <c r="E3682" t="s">
        <v>16</v>
      </c>
      <c r="F3682" t="s">
        <v>12175</v>
      </c>
      <c r="G3682" t="s">
        <v>11385</v>
      </c>
      <c r="H3682" t="s">
        <v>12173</v>
      </c>
      <c r="I3682" t="s">
        <v>12176</v>
      </c>
    </row>
    <row r="3683" spans="1:9">
      <c r="A3683" t="str">
        <f>"0017876 "</f>
        <v xml:space="preserve">0017876 </v>
      </c>
      <c r="B3683" t="s">
        <v>11382</v>
      </c>
      <c r="C3683" t="s">
        <v>12177</v>
      </c>
      <c r="D3683" t="s">
        <v>12178</v>
      </c>
      <c r="E3683">
        <v>3</v>
      </c>
      <c r="F3683" t="s">
        <v>12179</v>
      </c>
      <c r="G3683" t="s">
        <v>11385</v>
      </c>
      <c r="H3683" t="s">
        <v>12177</v>
      </c>
      <c r="I3683" t="s">
        <v>12180</v>
      </c>
    </row>
    <row r="3684" spans="1:9">
      <c r="A3684" t="str">
        <f>"0017877 "</f>
        <v xml:space="preserve">0017877 </v>
      </c>
      <c r="B3684" t="s">
        <v>11382</v>
      </c>
      <c r="C3684" t="s">
        <v>12181</v>
      </c>
      <c r="D3684" t="s">
        <v>12182</v>
      </c>
      <c r="E3684">
        <v>1</v>
      </c>
      <c r="F3684" t="s">
        <v>12183</v>
      </c>
      <c r="G3684" t="s">
        <v>11385</v>
      </c>
      <c r="H3684" t="s">
        <v>12181</v>
      </c>
      <c r="I3684" t="s">
        <v>12184</v>
      </c>
    </row>
    <row r="3685" spans="1:9">
      <c r="A3685" t="str">
        <f>"0017878 "</f>
        <v xml:space="preserve">0017878 </v>
      </c>
      <c r="B3685" t="s">
        <v>11382</v>
      </c>
      <c r="C3685" t="s">
        <v>12185</v>
      </c>
      <c r="D3685" t="s">
        <v>12186</v>
      </c>
      <c r="E3685">
        <v>1</v>
      </c>
      <c r="F3685" t="s">
        <v>12187</v>
      </c>
      <c r="G3685" t="s">
        <v>11385</v>
      </c>
      <c r="H3685" t="s">
        <v>12185</v>
      </c>
      <c r="I3685" t="s">
        <v>12188</v>
      </c>
    </row>
    <row r="3686" spans="1:9">
      <c r="A3686" t="str">
        <f>"0017879 "</f>
        <v xml:space="preserve">0017879 </v>
      </c>
      <c r="B3686" t="s">
        <v>11382</v>
      </c>
      <c r="C3686" t="s">
        <v>12189</v>
      </c>
      <c r="D3686" t="s">
        <v>12190</v>
      </c>
      <c r="E3686">
        <v>2</v>
      </c>
      <c r="F3686" t="s">
        <v>12191</v>
      </c>
      <c r="G3686" t="s">
        <v>11385</v>
      </c>
      <c r="H3686" t="s">
        <v>12189</v>
      </c>
      <c r="I3686" t="s">
        <v>12192</v>
      </c>
    </row>
    <row r="3687" spans="1:9">
      <c r="A3687" t="str">
        <f>"0017888 "</f>
        <v xml:space="preserve">0017888 </v>
      </c>
      <c r="B3687" t="s">
        <v>11382</v>
      </c>
      <c r="C3687" t="s">
        <v>12193</v>
      </c>
      <c r="D3687" t="s">
        <v>12194</v>
      </c>
      <c r="E3687" t="s">
        <v>16</v>
      </c>
      <c r="F3687" t="s">
        <v>1902</v>
      </c>
      <c r="G3687" t="s">
        <v>11385</v>
      </c>
      <c r="H3687" t="s">
        <v>12193</v>
      </c>
      <c r="I3687" t="s">
        <v>12195</v>
      </c>
    </row>
    <row r="3688" spans="1:9">
      <c r="A3688" t="str">
        <f>"0017902 "</f>
        <v xml:space="preserve">0017902 </v>
      </c>
      <c r="B3688" t="s">
        <v>11382</v>
      </c>
      <c r="C3688" t="s">
        <v>12196</v>
      </c>
      <c r="D3688" t="s">
        <v>12197</v>
      </c>
      <c r="E3688">
        <v>1</v>
      </c>
      <c r="F3688" t="s">
        <v>12198</v>
      </c>
      <c r="G3688" t="s">
        <v>11385</v>
      </c>
      <c r="H3688" t="s">
        <v>12196</v>
      </c>
      <c r="I3688" t="s">
        <v>12199</v>
      </c>
    </row>
    <row r="3689" spans="1:9">
      <c r="A3689" t="str">
        <f>"0017903 "</f>
        <v xml:space="preserve">0017903 </v>
      </c>
      <c r="B3689" t="s">
        <v>11382</v>
      </c>
      <c r="C3689" t="s">
        <v>12200</v>
      </c>
      <c r="D3689" t="s">
        <v>12201</v>
      </c>
      <c r="E3689">
        <v>1</v>
      </c>
      <c r="F3689" t="s">
        <v>12202</v>
      </c>
      <c r="G3689" t="s">
        <v>11385</v>
      </c>
      <c r="H3689" t="s">
        <v>12200</v>
      </c>
      <c r="I3689" t="s">
        <v>12203</v>
      </c>
    </row>
    <row r="3690" spans="1:9">
      <c r="A3690" t="str">
        <f>"0017906 "</f>
        <v xml:space="preserve">0017906 </v>
      </c>
      <c r="B3690" t="s">
        <v>11382</v>
      </c>
      <c r="C3690" t="s">
        <v>12204</v>
      </c>
      <c r="D3690" t="s">
        <v>12205</v>
      </c>
      <c r="E3690">
        <v>2</v>
      </c>
      <c r="F3690" t="s">
        <v>12206</v>
      </c>
      <c r="G3690" t="s">
        <v>11385</v>
      </c>
      <c r="H3690" t="s">
        <v>12204</v>
      </c>
      <c r="I3690" t="s">
        <v>12207</v>
      </c>
    </row>
    <row r="3691" spans="1:9">
      <c r="A3691" t="str">
        <f>"0020356 "</f>
        <v xml:space="preserve">0020356 </v>
      </c>
      <c r="B3691" t="s">
        <v>11382</v>
      </c>
      <c r="C3691" t="s">
        <v>12208</v>
      </c>
      <c r="D3691" t="s">
        <v>12209</v>
      </c>
      <c r="E3691">
        <v>1</v>
      </c>
      <c r="F3691" t="s">
        <v>12210</v>
      </c>
      <c r="G3691" t="s">
        <v>11385</v>
      </c>
      <c r="H3691" t="s">
        <v>12208</v>
      </c>
      <c r="I3691" t="s">
        <v>12211</v>
      </c>
    </row>
    <row r="3692" spans="1:9">
      <c r="A3692" t="str">
        <f>"0203742 "</f>
        <v xml:space="preserve">0203742 </v>
      </c>
      <c r="B3692" t="s">
        <v>11382</v>
      </c>
      <c r="C3692" t="s">
        <v>12212</v>
      </c>
      <c r="D3692" t="s">
        <v>12213</v>
      </c>
      <c r="E3692">
        <v>5</v>
      </c>
      <c r="F3692" t="s">
        <v>12214</v>
      </c>
      <c r="G3692" t="s">
        <v>11385</v>
      </c>
      <c r="H3692" t="s">
        <v>12212</v>
      </c>
      <c r="I3692" t="s">
        <v>12215</v>
      </c>
    </row>
    <row r="3693" spans="1:9">
      <c r="A3693" t="str">
        <f>"0201641 "</f>
        <v xml:space="preserve">0201641 </v>
      </c>
      <c r="B3693" t="s">
        <v>11382</v>
      </c>
      <c r="C3693" t="s">
        <v>12216</v>
      </c>
      <c r="D3693" t="s">
        <v>12217</v>
      </c>
      <c r="E3693">
        <v>2</v>
      </c>
      <c r="F3693" t="s">
        <v>12218</v>
      </c>
      <c r="G3693" t="s">
        <v>11385</v>
      </c>
      <c r="H3693" t="s">
        <v>12216</v>
      </c>
      <c r="I3693" t="s">
        <v>12219</v>
      </c>
    </row>
    <row r="3694" spans="1:9">
      <c r="A3694" t="str">
        <f>"0020159 "</f>
        <v xml:space="preserve">0020159 </v>
      </c>
      <c r="B3694" t="s">
        <v>11382</v>
      </c>
      <c r="C3694" t="s">
        <v>12220</v>
      </c>
      <c r="D3694" t="s">
        <v>12221</v>
      </c>
      <c r="E3694">
        <v>1</v>
      </c>
      <c r="F3694" t="s">
        <v>12222</v>
      </c>
      <c r="G3694" t="s">
        <v>11385</v>
      </c>
      <c r="H3694" t="s">
        <v>12220</v>
      </c>
      <c r="I3694" t="s">
        <v>12223</v>
      </c>
    </row>
    <row r="3695" spans="1:9">
      <c r="A3695" t="str">
        <f>"0020161 "</f>
        <v xml:space="preserve">0020161 </v>
      </c>
      <c r="B3695" t="s">
        <v>11382</v>
      </c>
      <c r="C3695" t="s">
        <v>12224</v>
      </c>
      <c r="D3695" t="s">
        <v>12225</v>
      </c>
      <c r="E3695">
        <v>5</v>
      </c>
      <c r="F3695" t="s">
        <v>12226</v>
      </c>
      <c r="G3695" t="s">
        <v>11385</v>
      </c>
      <c r="H3695" t="s">
        <v>12224</v>
      </c>
      <c r="I3695" t="s">
        <v>12227</v>
      </c>
    </row>
    <row r="3696" spans="1:9">
      <c r="A3696" t="str">
        <f>"0033771 "</f>
        <v xml:space="preserve">0033771 </v>
      </c>
      <c r="B3696" t="s">
        <v>11382</v>
      </c>
      <c r="C3696" t="s">
        <v>12228</v>
      </c>
      <c r="D3696" t="s">
        <v>12229</v>
      </c>
      <c r="E3696">
        <v>2</v>
      </c>
      <c r="F3696" t="s">
        <v>12230</v>
      </c>
      <c r="G3696" t="s">
        <v>11385</v>
      </c>
      <c r="H3696" t="s">
        <v>12228</v>
      </c>
      <c r="I3696" t="s">
        <v>12231</v>
      </c>
    </row>
    <row r="3697" spans="1:9">
      <c r="A3697" t="str">
        <f>"0033772 "</f>
        <v xml:space="preserve">0033772 </v>
      </c>
      <c r="B3697" t="s">
        <v>11382</v>
      </c>
      <c r="C3697" t="s">
        <v>12232</v>
      </c>
      <c r="D3697" t="s">
        <v>12233</v>
      </c>
      <c r="E3697">
        <v>4</v>
      </c>
      <c r="F3697" t="s">
        <v>4967</v>
      </c>
      <c r="G3697" t="s">
        <v>11385</v>
      </c>
      <c r="H3697" t="s">
        <v>12232</v>
      </c>
      <c r="I3697" t="s">
        <v>12234</v>
      </c>
    </row>
    <row r="3698" spans="1:9">
      <c r="A3698" t="str">
        <f>"0017951 "</f>
        <v xml:space="preserve">0017951 </v>
      </c>
      <c r="B3698" t="s">
        <v>11382</v>
      </c>
      <c r="C3698" t="s">
        <v>12235</v>
      </c>
      <c r="D3698" t="s">
        <v>12236</v>
      </c>
      <c r="E3698">
        <v>1</v>
      </c>
      <c r="F3698" t="s">
        <v>12237</v>
      </c>
      <c r="G3698" t="s">
        <v>11385</v>
      </c>
      <c r="H3698" t="s">
        <v>12235</v>
      </c>
      <c r="I3698" t="s">
        <v>12238</v>
      </c>
    </row>
    <row r="3699" spans="1:9">
      <c r="A3699" t="str">
        <f>"0017952 "</f>
        <v xml:space="preserve">0017952 </v>
      </c>
      <c r="B3699" t="s">
        <v>11382</v>
      </c>
      <c r="C3699" t="s">
        <v>12239</v>
      </c>
      <c r="D3699" t="s">
        <v>12240</v>
      </c>
      <c r="E3699">
        <v>1</v>
      </c>
      <c r="F3699" t="s">
        <v>12241</v>
      </c>
      <c r="G3699" t="s">
        <v>11385</v>
      </c>
      <c r="H3699" t="s">
        <v>12239</v>
      </c>
      <c r="I3699" t="s">
        <v>12238</v>
      </c>
    </row>
    <row r="3700" spans="1:9">
      <c r="A3700" t="str">
        <f>"0017966 "</f>
        <v xml:space="preserve">0017966 </v>
      </c>
      <c r="B3700" t="s">
        <v>11382</v>
      </c>
      <c r="C3700" t="s">
        <v>12242</v>
      </c>
      <c r="D3700" t="s">
        <v>12243</v>
      </c>
      <c r="E3700">
        <v>1</v>
      </c>
      <c r="F3700" t="s">
        <v>12244</v>
      </c>
      <c r="G3700" t="s">
        <v>11385</v>
      </c>
      <c r="H3700" t="s">
        <v>12242</v>
      </c>
      <c r="I3700" t="s">
        <v>12245</v>
      </c>
    </row>
    <row r="3701" spans="1:9">
      <c r="A3701" t="str">
        <f>"0017967 "</f>
        <v xml:space="preserve">0017967 </v>
      </c>
      <c r="B3701" t="s">
        <v>11382</v>
      </c>
      <c r="C3701" t="s">
        <v>12246</v>
      </c>
      <c r="D3701" t="s">
        <v>12247</v>
      </c>
      <c r="E3701" t="s">
        <v>16</v>
      </c>
      <c r="F3701" t="s">
        <v>12248</v>
      </c>
      <c r="G3701" t="s">
        <v>11385</v>
      </c>
      <c r="H3701" t="s">
        <v>12246</v>
      </c>
      <c r="I3701" t="s">
        <v>12249</v>
      </c>
    </row>
    <row r="3702" spans="1:9">
      <c r="A3702" t="str">
        <f>"0017968 "</f>
        <v xml:space="preserve">0017968 </v>
      </c>
      <c r="B3702" t="s">
        <v>11382</v>
      </c>
      <c r="C3702" t="s">
        <v>12250</v>
      </c>
      <c r="D3702" t="s">
        <v>12251</v>
      </c>
      <c r="E3702">
        <v>1</v>
      </c>
      <c r="F3702" t="s">
        <v>12252</v>
      </c>
      <c r="G3702" t="s">
        <v>11385</v>
      </c>
      <c r="H3702" t="s">
        <v>12250</v>
      </c>
      <c r="I3702" t="s">
        <v>12253</v>
      </c>
    </row>
    <row r="3703" spans="1:9">
      <c r="A3703" t="str">
        <f>"0017976 "</f>
        <v xml:space="preserve">0017976 </v>
      </c>
      <c r="B3703" t="s">
        <v>11382</v>
      </c>
      <c r="C3703" t="s">
        <v>12254</v>
      </c>
      <c r="D3703" t="s">
        <v>12255</v>
      </c>
      <c r="E3703" t="s">
        <v>16</v>
      </c>
      <c r="F3703" t="s">
        <v>12256</v>
      </c>
      <c r="G3703" t="s">
        <v>11385</v>
      </c>
      <c r="H3703" t="s">
        <v>12254</v>
      </c>
      <c r="I3703" t="s">
        <v>12257</v>
      </c>
    </row>
    <row r="3704" spans="1:9">
      <c r="A3704" t="str">
        <f>"0017985 "</f>
        <v xml:space="preserve">0017985 </v>
      </c>
      <c r="B3704" t="s">
        <v>11382</v>
      </c>
      <c r="C3704" t="s">
        <v>12258</v>
      </c>
      <c r="D3704" t="s">
        <v>12259</v>
      </c>
      <c r="E3704" t="s">
        <v>16</v>
      </c>
      <c r="F3704" t="s">
        <v>12260</v>
      </c>
      <c r="G3704" t="s">
        <v>11385</v>
      </c>
      <c r="H3704" t="s">
        <v>12258</v>
      </c>
      <c r="I3704" t="s">
        <v>12261</v>
      </c>
    </row>
    <row r="3705" spans="1:9">
      <c r="A3705" t="str">
        <f>"0017990 "</f>
        <v xml:space="preserve">0017990 </v>
      </c>
      <c r="B3705" t="s">
        <v>11382</v>
      </c>
      <c r="C3705" t="s">
        <v>12262</v>
      </c>
      <c r="D3705" t="s">
        <v>12263</v>
      </c>
      <c r="E3705">
        <v>1</v>
      </c>
      <c r="F3705" t="s">
        <v>12264</v>
      </c>
      <c r="G3705" t="s">
        <v>11385</v>
      </c>
      <c r="H3705" t="s">
        <v>12262</v>
      </c>
      <c r="I3705" t="s">
        <v>12265</v>
      </c>
    </row>
    <row r="3706" spans="1:9">
      <c r="A3706" t="str">
        <f>"0017995 "</f>
        <v xml:space="preserve">0017995 </v>
      </c>
      <c r="B3706" t="s">
        <v>11382</v>
      </c>
      <c r="C3706" t="s">
        <v>12266</v>
      </c>
      <c r="D3706" t="s">
        <v>12267</v>
      </c>
      <c r="E3706">
        <v>1</v>
      </c>
      <c r="F3706" t="s">
        <v>12268</v>
      </c>
      <c r="G3706" t="s">
        <v>11385</v>
      </c>
      <c r="H3706" t="s">
        <v>12266</v>
      </c>
      <c r="I3706" t="s">
        <v>12269</v>
      </c>
    </row>
    <row r="3707" spans="1:9">
      <c r="A3707" t="str">
        <f>"0017996 "</f>
        <v xml:space="preserve">0017996 </v>
      </c>
      <c r="B3707" t="s">
        <v>11382</v>
      </c>
      <c r="C3707" t="s">
        <v>12270</v>
      </c>
      <c r="D3707" t="s">
        <v>12271</v>
      </c>
      <c r="E3707">
        <v>2</v>
      </c>
      <c r="F3707" t="s">
        <v>12272</v>
      </c>
      <c r="G3707" t="s">
        <v>11385</v>
      </c>
      <c r="H3707" t="s">
        <v>12270</v>
      </c>
      <c r="I3707" t="s">
        <v>12273</v>
      </c>
    </row>
    <row r="3708" spans="1:9">
      <c r="A3708" t="str">
        <f>"0017997 "</f>
        <v xml:space="preserve">0017997 </v>
      </c>
      <c r="B3708" t="s">
        <v>11382</v>
      </c>
      <c r="C3708" t="s">
        <v>12274</v>
      </c>
      <c r="D3708" t="s">
        <v>12275</v>
      </c>
      <c r="E3708">
        <v>5</v>
      </c>
      <c r="F3708" t="s">
        <v>12276</v>
      </c>
      <c r="G3708" t="s">
        <v>11385</v>
      </c>
      <c r="H3708" t="s">
        <v>12274</v>
      </c>
      <c r="I3708" t="s">
        <v>1631</v>
      </c>
    </row>
    <row r="3709" spans="1:9">
      <c r="A3709" t="str">
        <f>"0017998 "</f>
        <v xml:space="preserve">0017998 </v>
      </c>
      <c r="B3709" t="s">
        <v>11382</v>
      </c>
      <c r="C3709" t="s">
        <v>12277</v>
      </c>
      <c r="D3709" t="s">
        <v>12278</v>
      </c>
      <c r="E3709">
        <v>2</v>
      </c>
      <c r="F3709" t="s">
        <v>12279</v>
      </c>
      <c r="G3709" t="s">
        <v>11385</v>
      </c>
      <c r="H3709" t="s">
        <v>12277</v>
      </c>
      <c r="I3709" t="s">
        <v>12280</v>
      </c>
    </row>
    <row r="3710" spans="1:9">
      <c r="A3710" t="str">
        <f>"0018000 "</f>
        <v xml:space="preserve">0018000 </v>
      </c>
      <c r="B3710" t="s">
        <v>11382</v>
      </c>
      <c r="C3710" t="s">
        <v>12281</v>
      </c>
      <c r="D3710" t="s">
        <v>12282</v>
      </c>
      <c r="E3710" t="s">
        <v>16</v>
      </c>
      <c r="F3710" t="s">
        <v>12283</v>
      </c>
      <c r="G3710" t="s">
        <v>11385</v>
      </c>
      <c r="H3710" t="s">
        <v>12281</v>
      </c>
      <c r="I3710" t="s">
        <v>12284</v>
      </c>
    </row>
    <row r="3711" spans="1:9">
      <c r="A3711" t="str">
        <f>"0018002 "</f>
        <v xml:space="preserve">0018002 </v>
      </c>
      <c r="B3711" t="s">
        <v>11382</v>
      </c>
      <c r="C3711" t="s">
        <v>12285</v>
      </c>
      <c r="D3711" t="s">
        <v>12286</v>
      </c>
      <c r="E3711">
        <v>2</v>
      </c>
      <c r="F3711" t="s">
        <v>12287</v>
      </c>
      <c r="G3711" t="s">
        <v>11385</v>
      </c>
      <c r="H3711" t="s">
        <v>12285</v>
      </c>
      <c r="I3711" t="s">
        <v>12288</v>
      </c>
    </row>
    <row r="3712" spans="1:9">
      <c r="A3712" t="str">
        <f>"0018005 "</f>
        <v xml:space="preserve">0018005 </v>
      </c>
      <c r="B3712" t="s">
        <v>11382</v>
      </c>
      <c r="C3712" t="s">
        <v>12289</v>
      </c>
      <c r="D3712" t="s">
        <v>12290</v>
      </c>
      <c r="E3712">
        <v>1</v>
      </c>
      <c r="F3712" t="s">
        <v>12291</v>
      </c>
      <c r="G3712" t="s">
        <v>11385</v>
      </c>
      <c r="H3712" t="s">
        <v>12289</v>
      </c>
      <c r="I3712" t="s">
        <v>12292</v>
      </c>
    </row>
    <row r="3713" spans="1:9">
      <c r="A3713" t="str">
        <f>"0018010 "</f>
        <v xml:space="preserve">0018010 </v>
      </c>
      <c r="B3713" t="s">
        <v>11382</v>
      </c>
      <c r="C3713" t="s">
        <v>12293</v>
      </c>
      <c r="D3713" t="s">
        <v>12294</v>
      </c>
      <c r="E3713">
        <v>1</v>
      </c>
      <c r="F3713" t="s">
        <v>12295</v>
      </c>
      <c r="G3713" t="s">
        <v>11385</v>
      </c>
      <c r="H3713" t="s">
        <v>12293</v>
      </c>
      <c r="I3713" t="s">
        <v>12296</v>
      </c>
    </row>
    <row r="3714" spans="1:9">
      <c r="A3714" t="str">
        <f>"0018011 "</f>
        <v xml:space="preserve">0018011 </v>
      </c>
      <c r="B3714" t="s">
        <v>11382</v>
      </c>
      <c r="C3714" t="s">
        <v>12297</v>
      </c>
      <c r="D3714" t="s">
        <v>12298</v>
      </c>
      <c r="E3714">
        <v>4</v>
      </c>
      <c r="F3714" t="s">
        <v>12299</v>
      </c>
      <c r="G3714" t="s">
        <v>11385</v>
      </c>
      <c r="H3714" t="s">
        <v>12297</v>
      </c>
      <c r="I3714" t="s">
        <v>11681</v>
      </c>
    </row>
    <row r="3715" spans="1:9">
      <c r="A3715" t="str">
        <f>"0018013 "</f>
        <v xml:space="preserve">0018013 </v>
      </c>
      <c r="B3715" t="s">
        <v>11382</v>
      </c>
      <c r="C3715" t="s">
        <v>12300</v>
      </c>
      <c r="D3715" t="s">
        <v>12301</v>
      </c>
      <c r="E3715">
        <v>2</v>
      </c>
      <c r="F3715" t="s">
        <v>12302</v>
      </c>
      <c r="G3715" t="s">
        <v>11385</v>
      </c>
      <c r="H3715" t="s">
        <v>12300</v>
      </c>
      <c r="I3715" t="s">
        <v>12303</v>
      </c>
    </row>
    <row r="3716" spans="1:9">
      <c r="A3716" t="str">
        <f>"0018014 "</f>
        <v xml:space="preserve">0018014 </v>
      </c>
      <c r="B3716" t="s">
        <v>11382</v>
      </c>
      <c r="C3716" t="s">
        <v>12304</v>
      </c>
      <c r="D3716" t="s">
        <v>12305</v>
      </c>
      <c r="E3716">
        <v>1</v>
      </c>
      <c r="F3716" t="s">
        <v>12306</v>
      </c>
      <c r="G3716" t="s">
        <v>11385</v>
      </c>
      <c r="H3716" t="s">
        <v>12304</v>
      </c>
      <c r="I3716" t="s">
        <v>1639</v>
      </c>
    </row>
    <row r="3717" spans="1:9">
      <c r="A3717" t="str">
        <f>"0018019 "</f>
        <v xml:space="preserve">0018019 </v>
      </c>
      <c r="B3717" t="s">
        <v>11382</v>
      </c>
      <c r="C3717" t="s">
        <v>12307</v>
      </c>
      <c r="D3717" t="s">
        <v>12308</v>
      </c>
      <c r="E3717">
        <v>1</v>
      </c>
      <c r="F3717" t="s">
        <v>784</v>
      </c>
      <c r="G3717" t="s">
        <v>11385</v>
      </c>
      <c r="H3717" t="s">
        <v>12307</v>
      </c>
      <c r="I3717" t="s">
        <v>12309</v>
      </c>
    </row>
    <row r="3718" spans="1:9">
      <c r="A3718" t="str">
        <f>"0018022 "</f>
        <v xml:space="preserve">0018022 </v>
      </c>
      <c r="B3718" t="s">
        <v>11382</v>
      </c>
      <c r="C3718" t="s">
        <v>12310</v>
      </c>
      <c r="D3718" t="s">
        <v>12311</v>
      </c>
      <c r="E3718">
        <v>1</v>
      </c>
      <c r="F3718" t="s">
        <v>12312</v>
      </c>
      <c r="G3718" t="s">
        <v>11385</v>
      </c>
      <c r="H3718" t="s">
        <v>12310</v>
      </c>
      <c r="I3718" t="s">
        <v>12313</v>
      </c>
    </row>
    <row r="3719" spans="1:9">
      <c r="A3719" t="str">
        <f>"0018025 "</f>
        <v xml:space="preserve">0018025 </v>
      </c>
      <c r="B3719" t="s">
        <v>11382</v>
      </c>
      <c r="C3719" t="s">
        <v>12314</v>
      </c>
      <c r="D3719" t="s">
        <v>12315</v>
      </c>
      <c r="E3719">
        <v>1</v>
      </c>
      <c r="F3719" t="s">
        <v>12316</v>
      </c>
      <c r="G3719" t="s">
        <v>11385</v>
      </c>
      <c r="H3719" t="s">
        <v>12314</v>
      </c>
      <c r="I3719" t="s">
        <v>12317</v>
      </c>
    </row>
    <row r="3720" spans="1:9">
      <c r="A3720" t="str">
        <f>"0018030 "</f>
        <v xml:space="preserve">0018030 </v>
      </c>
      <c r="B3720" t="s">
        <v>11382</v>
      </c>
      <c r="C3720" t="s">
        <v>12318</v>
      </c>
      <c r="D3720" t="s">
        <v>12319</v>
      </c>
      <c r="E3720" t="s">
        <v>16</v>
      </c>
      <c r="F3720" t="s">
        <v>12320</v>
      </c>
      <c r="G3720" t="s">
        <v>11385</v>
      </c>
      <c r="H3720" t="s">
        <v>12318</v>
      </c>
      <c r="I3720" t="s">
        <v>12321</v>
      </c>
    </row>
    <row r="3721" spans="1:9">
      <c r="A3721" t="str">
        <f>"0018031 "</f>
        <v xml:space="preserve">0018031 </v>
      </c>
      <c r="B3721" t="s">
        <v>11382</v>
      </c>
      <c r="C3721" t="s">
        <v>12322</v>
      </c>
      <c r="D3721" t="s">
        <v>12323</v>
      </c>
      <c r="E3721" t="s">
        <v>16</v>
      </c>
      <c r="F3721" t="s">
        <v>12324</v>
      </c>
      <c r="G3721" t="s">
        <v>11385</v>
      </c>
      <c r="H3721" t="s">
        <v>12322</v>
      </c>
      <c r="I3721" t="s">
        <v>1687</v>
      </c>
    </row>
    <row r="3722" spans="1:9">
      <c r="A3722" t="str">
        <f>"0018034 "</f>
        <v xml:space="preserve">0018034 </v>
      </c>
      <c r="B3722" t="s">
        <v>11382</v>
      </c>
      <c r="C3722" t="s">
        <v>12325</v>
      </c>
      <c r="D3722" t="s">
        <v>12326</v>
      </c>
      <c r="E3722">
        <v>1</v>
      </c>
      <c r="F3722" t="s">
        <v>12327</v>
      </c>
      <c r="G3722" t="s">
        <v>11385</v>
      </c>
      <c r="H3722" t="s">
        <v>12325</v>
      </c>
      <c r="I3722" t="s">
        <v>12328</v>
      </c>
    </row>
    <row r="3723" spans="1:9">
      <c r="A3723" t="str">
        <f>"0018035 "</f>
        <v xml:space="preserve">0018035 </v>
      </c>
      <c r="B3723" t="s">
        <v>11382</v>
      </c>
      <c r="C3723" t="s">
        <v>12329</v>
      </c>
      <c r="D3723" t="s">
        <v>12330</v>
      </c>
      <c r="E3723">
        <v>1</v>
      </c>
      <c r="F3723" t="s">
        <v>2057</v>
      </c>
      <c r="G3723" t="s">
        <v>11385</v>
      </c>
      <c r="H3723" t="s">
        <v>12329</v>
      </c>
      <c r="I3723" t="s">
        <v>12331</v>
      </c>
    </row>
    <row r="3724" spans="1:9">
      <c r="A3724" t="str">
        <f>"0018721 "</f>
        <v xml:space="preserve">0018721 </v>
      </c>
      <c r="B3724" t="s">
        <v>11382</v>
      </c>
      <c r="C3724" t="s">
        <v>12332</v>
      </c>
      <c r="D3724" t="s">
        <v>12333</v>
      </c>
      <c r="E3724">
        <v>1</v>
      </c>
      <c r="F3724" t="s">
        <v>12334</v>
      </c>
      <c r="G3724" t="s">
        <v>11385</v>
      </c>
      <c r="H3724" t="s">
        <v>12332</v>
      </c>
      <c r="I3724" t="s">
        <v>12335</v>
      </c>
    </row>
    <row r="3725" spans="1:9">
      <c r="A3725" t="str">
        <f>"0018043 "</f>
        <v xml:space="preserve">0018043 </v>
      </c>
      <c r="B3725" t="s">
        <v>11382</v>
      </c>
      <c r="C3725" t="s">
        <v>12336</v>
      </c>
      <c r="D3725" t="s">
        <v>12337</v>
      </c>
      <c r="E3725">
        <v>2</v>
      </c>
      <c r="F3725" t="s">
        <v>12338</v>
      </c>
      <c r="G3725" t="s">
        <v>11385</v>
      </c>
      <c r="H3725" t="s">
        <v>12336</v>
      </c>
      <c r="I3725" t="s">
        <v>12339</v>
      </c>
    </row>
    <row r="3726" spans="1:9">
      <c r="A3726" t="str">
        <f>"0018722 "</f>
        <v xml:space="preserve">0018722 </v>
      </c>
      <c r="B3726" t="s">
        <v>11382</v>
      </c>
      <c r="C3726" t="s">
        <v>12340</v>
      </c>
      <c r="D3726" t="s">
        <v>12341</v>
      </c>
      <c r="E3726">
        <v>2</v>
      </c>
      <c r="F3726" t="s">
        <v>11684</v>
      </c>
      <c r="G3726" t="s">
        <v>11385</v>
      </c>
      <c r="H3726" t="s">
        <v>12340</v>
      </c>
      <c r="I3726" t="s">
        <v>12342</v>
      </c>
    </row>
    <row r="3727" spans="1:9">
      <c r="A3727" t="str">
        <f>"0018058 "</f>
        <v xml:space="preserve">0018058 </v>
      </c>
      <c r="B3727" t="s">
        <v>11382</v>
      </c>
      <c r="C3727" t="s">
        <v>12343</v>
      </c>
      <c r="D3727" t="s">
        <v>12344</v>
      </c>
      <c r="E3727" t="s">
        <v>16</v>
      </c>
      <c r="F3727" t="s">
        <v>12302</v>
      </c>
      <c r="G3727" t="s">
        <v>11385</v>
      </c>
      <c r="H3727" t="s">
        <v>12343</v>
      </c>
      <c r="I3727" t="s">
        <v>12345</v>
      </c>
    </row>
    <row r="3728" spans="1:9">
      <c r="A3728" t="str">
        <f>"0018723 "</f>
        <v xml:space="preserve">0018723 </v>
      </c>
      <c r="B3728" t="s">
        <v>11382</v>
      </c>
      <c r="C3728" t="s">
        <v>12346</v>
      </c>
      <c r="D3728" t="s">
        <v>12347</v>
      </c>
      <c r="E3728">
        <v>4</v>
      </c>
      <c r="F3728" t="s">
        <v>12348</v>
      </c>
      <c r="G3728" t="s">
        <v>11385</v>
      </c>
      <c r="H3728" t="s">
        <v>12346</v>
      </c>
      <c r="I3728" t="s">
        <v>12349</v>
      </c>
    </row>
    <row r="3729" spans="1:9">
      <c r="A3729" t="str">
        <f>"0018087 "</f>
        <v xml:space="preserve">0018087 </v>
      </c>
      <c r="B3729" t="s">
        <v>11382</v>
      </c>
      <c r="C3729" t="s">
        <v>12350</v>
      </c>
      <c r="D3729" t="s">
        <v>12351</v>
      </c>
      <c r="E3729">
        <v>1</v>
      </c>
      <c r="F3729" t="s">
        <v>12352</v>
      </c>
      <c r="G3729" t="s">
        <v>11385</v>
      </c>
      <c r="H3729" t="s">
        <v>12350</v>
      </c>
      <c r="I3729" t="s">
        <v>12353</v>
      </c>
    </row>
    <row r="3730" spans="1:9">
      <c r="A3730" t="str">
        <f>"0033774 "</f>
        <v xml:space="preserve">0033774 </v>
      </c>
      <c r="B3730" t="s">
        <v>11382</v>
      </c>
      <c r="C3730" t="s">
        <v>12354</v>
      </c>
      <c r="D3730" t="s">
        <v>12355</v>
      </c>
      <c r="E3730">
        <v>3</v>
      </c>
      <c r="F3730" t="s">
        <v>11895</v>
      </c>
      <c r="G3730" t="s">
        <v>11385</v>
      </c>
      <c r="H3730" t="s">
        <v>12354</v>
      </c>
      <c r="I3730" t="s">
        <v>12356</v>
      </c>
    </row>
    <row r="3731" spans="1:9">
      <c r="A3731" t="str">
        <f>"0018091 "</f>
        <v xml:space="preserve">0018091 </v>
      </c>
      <c r="B3731" t="s">
        <v>11382</v>
      </c>
      <c r="C3731" t="s">
        <v>12357</v>
      </c>
      <c r="D3731" t="s">
        <v>12358</v>
      </c>
      <c r="E3731">
        <v>5</v>
      </c>
      <c r="F3731" t="s">
        <v>12359</v>
      </c>
      <c r="G3731" t="s">
        <v>11385</v>
      </c>
      <c r="H3731" t="s">
        <v>12357</v>
      </c>
      <c r="I3731" t="s">
        <v>12360</v>
      </c>
    </row>
    <row r="3732" spans="1:9">
      <c r="A3732" t="str">
        <f>"0018094 "</f>
        <v xml:space="preserve">0018094 </v>
      </c>
      <c r="B3732" t="s">
        <v>11382</v>
      </c>
      <c r="C3732" t="s">
        <v>12361</v>
      </c>
      <c r="D3732" t="s">
        <v>12362</v>
      </c>
      <c r="E3732">
        <v>1</v>
      </c>
      <c r="F3732" t="s">
        <v>12363</v>
      </c>
      <c r="G3732" t="s">
        <v>11385</v>
      </c>
      <c r="H3732" t="s">
        <v>12361</v>
      </c>
      <c r="I3732" t="s">
        <v>12364</v>
      </c>
    </row>
    <row r="3733" spans="1:9">
      <c r="A3733" t="str">
        <f>"0018095 "</f>
        <v xml:space="preserve">0018095 </v>
      </c>
      <c r="B3733" t="s">
        <v>11382</v>
      </c>
      <c r="C3733" t="s">
        <v>12365</v>
      </c>
      <c r="D3733" t="s">
        <v>12366</v>
      </c>
      <c r="E3733">
        <v>1</v>
      </c>
      <c r="F3733" t="s">
        <v>12295</v>
      </c>
      <c r="G3733" t="s">
        <v>11385</v>
      </c>
      <c r="H3733" t="s">
        <v>12365</v>
      </c>
      <c r="I3733" t="s">
        <v>12367</v>
      </c>
    </row>
    <row r="3734" spans="1:9">
      <c r="A3734" t="str">
        <f>"0018726 "</f>
        <v xml:space="preserve">0018726 </v>
      </c>
      <c r="B3734" t="s">
        <v>11382</v>
      </c>
      <c r="C3734" t="s">
        <v>12368</v>
      </c>
      <c r="D3734" t="s">
        <v>12369</v>
      </c>
      <c r="E3734">
        <v>3</v>
      </c>
      <c r="F3734" t="s">
        <v>12370</v>
      </c>
      <c r="G3734" t="s">
        <v>11385</v>
      </c>
      <c r="H3734" t="s">
        <v>12368</v>
      </c>
      <c r="I3734" t="s">
        <v>12371</v>
      </c>
    </row>
    <row r="3735" spans="1:9">
      <c r="A3735" t="str">
        <f>"0018727 "</f>
        <v xml:space="preserve">0018727 </v>
      </c>
      <c r="B3735" t="s">
        <v>11382</v>
      </c>
      <c r="C3735" t="s">
        <v>12372</v>
      </c>
      <c r="D3735" t="s">
        <v>12373</v>
      </c>
      <c r="E3735">
        <v>2</v>
      </c>
      <c r="F3735" t="s">
        <v>12374</v>
      </c>
      <c r="G3735" t="s">
        <v>11385</v>
      </c>
      <c r="H3735" t="s">
        <v>12372</v>
      </c>
      <c r="I3735" t="s">
        <v>12375</v>
      </c>
    </row>
    <row r="3736" spans="1:9">
      <c r="A3736" t="str">
        <f>"0018729 "</f>
        <v xml:space="preserve">0018729 </v>
      </c>
      <c r="B3736" t="s">
        <v>11382</v>
      </c>
      <c r="C3736" t="s">
        <v>12376</v>
      </c>
      <c r="D3736" t="s">
        <v>12377</v>
      </c>
      <c r="E3736">
        <v>1</v>
      </c>
      <c r="F3736" t="s">
        <v>4953</v>
      </c>
      <c r="G3736" t="s">
        <v>11385</v>
      </c>
      <c r="H3736" t="s">
        <v>12376</v>
      </c>
      <c r="I3736" t="s">
        <v>12378</v>
      </c>
    </row>
    <row r="3737" spans="1:9">
      <c r="A3737" t="str">
        <f>"0020164 "</f>
        <v xml:space="preserve">0020164 </v>
      </c>
      <c r="B3737" t="s">
        <v>11382</v>
      </c>
      <c r="C3737" t="s">
        <v>12379</v>
      </c>
      <c r="D3737" t="s">
        <v>12380</v>
      </c>
      <c r="E3737">
        <v>2</v>
      </c>
      <c r="F3737" t="s">
        <v>12222</v>
      </c>
      <c r="G3737" t="s">
        <v>11385</v>
      </c>
      <c r="H3737" t="s">
        <v>12379</v>
      </c>
      <c r="I3737" t="s">
        <v>12381</v>
      </c>
    </row>
    <row r="3738" spans="1:9">
      <c r="A3738" t="str">
        <f>"0020165 "</f>
        <v xml:space="preserve">0020165 </v>
      </c>
      <c r="B3738" t="s">
        <v>11382</v>
      </c>
      <c r="C3738" t="s">
        <v>12382</v>
      </c>
      <c r="D3738" t="s">
        <v>12383</v>
      </c>
      <c r="E3738" t="s">
        <v>16</v>
      </c>
      <c r="F3738" t="s">
        <v>12384</v>
      </c>
      <c r="G3738" t="s">
        <v>11385</v>
      </c>
      <c r="H3738" t="s">
        <v>12382</v>
      </c>
      <c r="I3738" t="s">
        <v>12385</v>
      </c>
    </row>
    <row r="3739" spans="1:9">
      <c r="A3739" t="str">
        <f>"0018110 "</f>
        <v xml:space="preserve">0018110 </v>
      </c>
      <c r="B3739" t="s">
        <v>11382</v>
      </c>
      <c r="C3739" t="s">
        <v>12386</v>
      </c>
      <c r="D3739" t="s">
        <v>12387</v>
      </c>
      <c r="E3739">
        <v>2</v>
      </c>
      <c r="F3739" t="s">
        <v>12388</v>
      </c>
      <c r="G3739" t="s">
        <v>11385</v>
      </c>
      <c r="H3739" t="s">
        <v>12386</v>
      </c>
      <c r="I3739" t="s">
        <v>12389</v>
      </c>
    </row>
    <row r="3740" spans="1:9">
      <c r="A3740" t="str">
        <f>"0020166 "</f>
        <v xml:space="preserve">0020166 </v>
      </c>
      <c r="B3740" t="s">
        <v>11382</v>
      </c>
      <c r="C3740" t="s">
        <v>12390</v>
      </c>
      <c r="D3740" t="s">
        <v>12391</v>
      </c>
      <c r="E3740">
        <v>2</v>
      </c>
      <c r="F3740" t="s">
        <v>11719</v>
      </c>
      <c r="G3740" t="s">
        <v>11385</v>
      </c>
      <c r="H3740" t="s">
        <v>12390</v>
      </c>
      <c r="I3740" t="s">
        <v>12392</v>
      </c>
    </row>
    <row r="3741" spans="1:9">
      <c r="A3741" t="str">
        <f>"0018989 "</f>
        <v xml:space="preserve">0018989 </v>
      </c>
      <c r="B3741" t="s">
        <v>11382</v>
      </c>
      <c r="C3741" t="s">
        <v>12393</v>
      </c>
      <c r="D3741" t="s">
        <v>12394</v>
      </c>
      <c r="E3741">
        <v>2</v>
      </c>
      <c r="F3741" t="s">
        <v>12395</v>
      </c>
      <c r="G3741" t="s">
        <v>11385</v>
      </c>
      <c r="H3741" t="s">
        <v>12393</v>
      </c>
      <c r="I3741" t="s">
        <v>12396</v>
      </c>
    </row>
    <row r="3742" spans="1:9">
      <c r="A3742" t="str">
        <f>"0018135 "</f>
        <v xml:space="preserve">0018135 </v>
      </c>
      <c r="B3742" t="s">
        <v>11382</v>
      </c>
      <c r="C3742" t="s">
        <v>12397</v>
      </c>
      <c r="D3742" t="s">
        <v>12398</v>
      </c>
      <c r="E3742">
        <v>3</v>
      </c>
      <c r="F3742" t="s">
        <v>12399</v>
      </c>
      <c r="G3742" t="s">
        <v>11385</v>
      </c>
      <c r="H3742" t="s">
        <v>12397</v>
      </c>
      <c r="I3742" t="s">
        <v>12400</v>
      </c>
    </row>
    <row r="3743" spans="1:9">
      <c r="A3743" t="str">
        <f>"0018137 "</f>
        <v xml:space="preserve">0018137 </v>
      </c>
      <c r="B3743" t="s">
        <v>11382</v>
      </c>
      <c r="C3743" t="s">
        <v>12401</v>
      </c>
      <c r="D3743" t="s">
        <v>12402</v>
      </c>
      <c r="E3743">
        <v>1</v>
      </c>
      <c r="F3743" t="s">
        <v>12403</v>
      </c>
      <c r="G3743" t="s">
        <v>11385</v>
      </c>
      <c r="H3743" t="s">
        <v>12401</v>
      </c>
      <c r="I3743" t="s">
        <v>12404</v>
      </c>
    </row>
    <row r="3744" spans="1:9">
      <c r="A3744" t="str">
        <f>"0018153 "</f>
        <v xml:space="preserve">0018153 </v>
      </c>
      <c r="B3744" t="s">
        <v>11382</v>
      </c>
      <c r="C3744" t="s">
        <v>12405</v>
      </c>
      <c r="D3744" t="s">
        <v>12406</v>
      </c>
      <c r="E3744">
        <v>2</v>
      </c>
      <c r="F3744" t="s">
        <v>4881</v>
      </c>
      <c r="G3744" t="s">
        <v>11385</v>
      </c>
      <c r="H3744" t="s">
        <v>12405</v>
      </c>
      <c r="I3744" t="s">
        <v>12407</v>
      </c>
    </row>
    <row r="3745" spans="1:9">
      <c r="A3745" t="str">
        <f>"0039601 "</f>
        <v xml:space="preserve">0039601 </v>
      </c>
      <c r="B3745" t="s">
        <v>12408</v>
      </c>
      <c r="C3745" t="s">
        <v>12409</v>
      </c>
      <c r="D3745" t="s">
        <v>12410</v>
      </c>
      <c r="E3745">
        <v>1</v>
      </c>
      <c r="F3745" t="s">
        <v>12411</v>
      </c>
      <c r="G3745" t="s">
        <v>12408</v>
      </c>
      <c r="H3745">
        <v>331014</v>
      </c>
      <c r="I3745" t="s">
        <v>12412</v>
      </c>
    </row>
    <row r="3746" spans="1:9">
      <c r="A3746" t="str">
        <f>"0039602 "</f>
        <v xml:space="preserve">0039602 </v>
      </c>
      <c r="B3746" t="s">
        <v>12408</v>
      </c>
      <c r="C3746" t="s">
        <v>12413</v>
      </c>
      <c r="D3746" t="s">
        <v>12414</v>
      </c>
      <c r="E3746">
        <v>1</v>
      </c>
      <c r="F3746" t="s">
        <v>12411</v>
      </c>
      <c r="G3746" t="s">
        <v>12408</v>
      </c>
      <c r="H3746">
        <v>331015</v>
      </c>
      <c r="I3746" t="s">
        <v>12415</v>
      </c>
    </row>
    <row r="3747" spans="1:9">
      <c r="A3747" t="str">
        <f>"0039620 "</f>
        <v xml:space="preserve">0039620 </v>
      </c>
      <c r="B3747" t="s">
        <v>12408</v>
      </c>
      <c r="C3747" t="s">
        <v>12416</v>
      </c>
      <c r="D3747" t="s">
        <v>12417</v>
      </c>
      <c r="E3747">
        <v>2</v>
      </c>
      <c r="F3747" t="s">
        <v>12418</v>
      </c>
      <c r="G3747" t="s">
        <v>12408</v>
      </c>
      <c r="H3747">
        <v>331701</v>
      </c>
      <c r="I3747" t="s">
        <v>12419</v>
      </c>
    </row>
    <row r="3748" spans="1:9">
      <c r="A3748" t="str">
        <f>"0039621 "</f>
        <v xml:space="preserve">0039621 </v>
      </c>
      <c r="B3748" t="s">
        <v>12408</v>
      </c>
      <c r="C3748" t="s">
        <v>12420</v>
      </c>
      <c r="D3748" t="s">
        <v>12421</v>
      </c>
      <c r="E3748">
        <v>2</v>
      </c>
      <c r="F3748" t="s">
        <v>12422</v>
      </c>
      <c r="G3748" t="s">
        <v>12408</v>
      </c>
      <c r="H3748">
        <v>331702</v>
      </c>
      <c r="I3748" t="s">
        <v>12423</v>
      </c>
    </row>
    <row r="3749" spans="1:9">
      <c r="A3749" t="str">
        <f>"0039714 "</f>
        <v xml:space="preserve">0039714 </v>
      </c>
      <c r="B3749" t="s">
        <v>12408</v>
      </c>
      <c r="C3749" t="s">
        <v>12424</v>
      </c>
      <c r="D3749" t="s">
        <v>12425</v>
      </c>
      <c r="E3749">
        <v>1</v>
      </c>
      <c r="F3749" t="s">
        <v>12426</v>
      </c>
      <c r="G3749" t="s">
        <v>12408</v>
      </c>
      <c r="H3749">
        <v>332100</v>
      </c>
      <c r="I3749" t="s">
        <v>12427</v>
      </c>
    </row>
    <row r="3750" spans="1:9">
      <c r="A3750" t="str">
        <f>"0039715 "</f>
        <v xml:space="preserve">0039715 </v>
      </c>
      <c r="B3750" t="s">
        <v>12408</v>
      </c>
      <c r="C3750" t="s">
        <v>12428</v>
      </c>
      <c r="D3750" t="s">
        <v>12429</v>
      </c>
      <c r="E3750">
        <v>1</v>
      </c>
      <c r="F3750" t="s">
        <v>12426</v>
      </c>
      <c r="G3750" t="s">
        <v>12408</v>
      </c>
      <c r="H3750">
        <v>332101</v>
      </c>
      <c r="I3750" t="s">
        <v>12430</v>
      </c>
    </row>
    <row r="3751" spans="1:9">
      <c r="A3751" t="str">
        <f>"0039723 "</f>
        <v xml:space="preserve">0039723 </v>
      </c>
      <c r="B3751" t="s">
        <v>12408</v>
      </c>
      <c r="C3751" t="s">
        <v>12431</v>
      </c>
      <c r="D3751" t="s">
        <v>12432</v>
      </c>
      <c r="E3751">
        <v>1</v>
      </c>
      <c r="F3751" t="s">
        <v>12433</v>
      </c>
      <c r="G3751" t="s">
        <v>12408</v>
      </c>
      <c r="H3751">
        <v>332109</v>
      </c>
      <c r="I3751" t="s">
        <v>12434</v>
      </c>
    </row>
    <row r="3752" spans="1:9">
      <c r="A3752" t="str">
        <f>"0040032 "</f>
        <v xml:space="preserve">0040032 </v>
      </c>
      <c r="B3752" t="s">
        <v>12408</v>
      </c>
      <c r="C3752" t="s">
        <v>12435</v>
      </c>
      <c r="D3752" t="s">
        <v>12436</v>
      </c>
      <c r="E3752">
        <v>3</v>
      </c>
      <c r="F3752" t="s">
        <v>12437</v>
      </c>
      <c r="G3752" t="s">
        <v>12408</v>
      </c>
      <c r="H3752">
        <v>333310</v>
      </c>
      <c r="I3752" t="s">
        <v>12438</v>
      </c>
    </row>
    <row r="3753" spans="1:9">
      <c r="A3753" t="str">
        <f>"0040033 "</f>
        <v xml:space="preserve">0040033 </v>
      </c>
      <c r="B3753" t="s">
        <v>12408</v>
      </c>
      <c r="C3753" t="s">
        <v>12439</v>
      </c>
      <c r="D3753" t="s">
        <v>12440</v>
      </c>
      <c r="E3753">
        <v>3</v>
      </c>
      <c r="F3753" t="s">
        <v>12437</v>
      </c>
      <c r="G3753" t="s">
        <v>12408</v>
      </c>
      <c r="H3753">
        <v>333311</v>
      </c>
      <c r="I3753" t="s">
        <v>12441</v>
      </c>
    </row>
    <row r="3754" spans="1:9">
      <c r="A3754" t="str">
        <f>"0040077 "</f>
        <v xml:space="preserve">0040077 </v>
      </c>
      <c r="B3754" t="s">
        <v>12408</v>
      </c>
      <c r="C3754" t="s">
        <v>12442</v>
      </c>
      <c r="D3754" t="s">
        <v>12443</v>
      </c>
      <c r="E3754">
        <v>2</v>
      </c>
      <c r="F3754" t="s">
        <v>12444</v>
      </c>
      <c r="G3754" t="s">
        <v>12408</v>
      </c>
      <c r="H3754">
        <v>333366</v>
      </c>
      <c r="I3754" t="s">
        <v>12445</v>
      </c>
    </row>
    <row r="3755" spans="1:9">
      <c r="A3755" t="str">
        <f>"0040078 "</f>
        <v xml:space="preserve">0040078 </v>
      </c>
      <c r="B3755" t="s">
        <v>12408</v>
      </c>
      <c r="C3755" t="s">
        <v>12446</v>
      </c>
      <c r="D3755" t="s">
        <v>12447</v>
      </c>
      <c r="E3755">
        <v>2</v>
      </c>
      <c r="F3755" t="s">
        <v>12444</v>
      </c>
      <c r="G3755" t="s">
        <v>12408</v>
      </c>
      <c r="H3755">
        <v>333367</v>
      </c>
      <c r="I3755" t="s">
        <v>12448</v>
      </c>
    </row>
    <row r="3756" spans="1:9">
      <c r="A3756" t="str">
        <f>"0040079 "</f>
        <v xml:space="preserve">0040079 </v>
      </c>
      <c r="B3756" t="s">
        <v>12408</v>
      </c>
      <c r="C3756" t="s">
        <v>12449</v>
      </c>
      <c r="D3756" t="s">
        <v>12450</v>
      </c>
      <c r="E3756">
        <v>4</v>
      </c>
      <c r="F3756" t="s">
        <v>12451</v>
      </c>
      <c r="G3756" t="s">
        <v>12408</v>
      </c>
      <c r="H3756">
        <v>333368</v>
      </c>
      <c r="I3756" t="s">
        <v>12452</v>
      </c>
    </row>
    <row r="3757" spans="1:9">
      <c r="A3757" t="str">
        <f>"0040101 "</f>
        <v xml:space="preserve">0040101 </v>
      </c>
      <c r="B3757" t="s">
        <v>12408</v>
      </c>
      <c r="C3757" t="s">
        <v>12453</v>
      </c>
      <c r="D3757" t="s">
        <v>12454</v>
      </c>
      <c r="E3757">
        <v>2</v>
      </c>
      <c r="F3757" t="s">
        <v>12437</v>
      </c>
      <c r="G3757" t="s">
        <v>12408</v>
      </c>
      <c r="H3757">
        <v>333390</v>
      </c>
      <c r="I3757" t="s">
        <v>12455</v>
      </c>
    </row>
    <row r="3758" spans="1:9">
      <c r="A3758" t="str">
        <f>"0040102 "</f>
        <v xml:space="preserve">0040102 </v>
      </c>
      <c r="B3758" t="s">
        <v>12408</v>
      </c>
      <c r="C3758" t="s">
        <v>12456</v>
      </c>
      <c r="D3758" t="s">
        <v>12457</v>
      </c>
      <c r="E3758">
        <v>2</v>
      </c>
      <c r="F3758" t="s">
        <v>12437</v>
      </c>
      <c r="G3758" t="s">
        <v>12408</v>
      </c>
      <c r="H3758">
        <v>333391</v>
      </c>
      <c r="I3758" t="s">
        <v>12458</v>
      </c>
    </row>
    <row r="3759" spans="1:9">
      <c r="A3759" t="str">
        <f>"0040121 "</f>
        <v xml:space="preserve">0040121 </v>
      </c>
      <c r="B3759" t="s">
        <v>12408</v>
      </c>
      <c r="C3759" t="s">
        <v>12459</v>
      </c>
      <c r="D3759" t="s">
        <v>12460</v>
      </c>
      <c r="E3759" t="s">
        <v>16</v>
      </c>
      <c r="F3759" t="s">
        <v>12461</v>
      </c>
      <c r="G3759" t="s">
        <v>12408</v>
      </c>
      <c r="H3759">
        <v>333417</v>
      </c>
      <c r="I3759" t="s">
        <v>12462</v>
      </c>
    </row>
    <row r="3760" spans="1:9">
      <c r="A3760" t="str">
        <f>"0040122 "</f>
        <v xml:space="preserve">0040122 </v>
      </c>
      <c r="B3760" t="s">
        <v>12408</v>
      </c>
      <c r="C3760" t="s">
        <v>12463</v>
      </c>
      <c r="D3760" t="s">
        <v>12464</v>
      </c>
      <c r="E3760" t="s">
        <v>16</v>
      </c>
      <c r="F3760" t="s">
        <v>12461</v>
      </c>
      <c r="G3760" t="s">
        <v>12408</v>
      </c>
      <c r="H3760">
        <v>333418</v>
      </c>
      <c r="I3760" t="s">
        <v>12465</v>
      </c>
    </row>
    <row r="3761" spans="1:9">
      <c r="A3761" t="str">
        <f>"0040123 "</f>
        <v xml:space="preserve">0040123 </v>
      </c>
      <c r="B3761" t="s">
        <v>12408</v>
      </c>
      <c r="C3761" t="s">
        <v>12466</v>
      </c>
      <c r="D3761" t="s">
        <v>12467</v>
      </c>
      <c r="E3761" t="s">
        <v>16</v>
      </c>
      <c r="F3761" t="s">
        <v>12468</v>
      </c>
      <c r="G3761" t="s">
        <v>12408</v>
      </c>
      <c r="H3761">
        <v>333419</v>
      </c>
      <c r="I3761" t="s">
        <v>12469</v>
      </c>
    </row>
    <row r="3762" spans="1:9">
      <c r="A3762" t="str">
        <f>"0040124 "</f>
        <v xml:space="preserve">0040124 </v>
      </c>
      <c r="B3762" t="s">
        <v>12408</v>
      </c>
      <c r="C3762" t="s">
        <v>12470</v>
      </c>
      <c r="D3762" t="s">
        <v>12471</v>
      </c>
      <c r="E3762" t="s">
        <v>16</v>
      </c>
      <c r="F3762" t="s">
        <v>12468</v>
      </c>
      <c r="G3762" t="s">
        <v>12408</v>
      </c>
      <c r="H3762">
        <v>333420</v>
      </c>
      <c r="I3762" t="s">
        <v>12472</v>
      </c>
    </row>
    <row r="3763" spans="1:9">
      <c r="A3763" t="str">
        <f>"0040158 "</f>
        <v xml:space="preserve">0040158 </v>
      </c>
      <c r="B3763" t="s">
        <v>12408</v>
      </c>
      <c r="C3763" t="s">
        <v>12473</v>
      </c>
      <c r="D3763" t="s">
        <v>12474</v>
      </c>
      <c r="E3763">
        <v>2</v>
      </c>
      <c r="F3763" t="s">
        <v>12475</v>
      </c>
      <c r="G3763" t="s">
        <v>12408</v>
      </c>
      <c r="H3763">
        <v>333490</v>
      </c>
      <c r="I3763" t="s">
        <v>12476</v>
      </c>
    </row>
    <row r="3764" spans="1:9">
      <c r="A3764" t="str">
        <f>"0040159 "</f>
        <v xml:space="preserve">0040159 </v>
      </c>
      <c r="B3764" t="s">
        <v>12408</v>
      </c>
      <c r="C3764" t="s">
        <v>12477</v>
      </c>
      <c r="D3764" t="s">
        <v>12478</v>
      </c>
      <c r="E3764">
        <v>2</v>
      </c>
      <c r="F3764" t="s">
        <v>12475</v>
      </c>
      <c r="G3764" t="s">
        <v>12408</v>
      </c>
      <c r="H3764">
        <v>333491</v>
      </c>
      <c r="I3764" t="s">
        <v>12479</v>
      </c>
    </row>
    <row r="3765" spans="1:9">
      <c r="A3765" t="str">
        <f>"0040160 "</f>
        <v xml:space="preserve">0040160 </v>
      </c>
      <c r="B3765" t="s">
        <v>12408</v>
      </c>
      <c r="C3765" t="s">
        <v>12480</v>
      </c>
      <c r="D3765" t="s">
        <v>12481</v>
      </c>
      <c r="E3765">
        <v>1</v>
      </c>
      <c r="F3765" t="s">
        <v>12482</v>
      </c>
      <c r="G3765" t="s">
        <v>12408</v>
      </c>
      <c r="H3765">
        <v>333492</v>
      </c>
      <c r="I3765" t="s">
        <v>12483</v>
      </c>
    </row>
    <row r="3766" spans="1:9">
      <c r="A3766" t="str">
        <f>"0040161 "</f>
        <v xml:space="preserve">0040161 </v>
      </c>
      <c r="B3766" t="s">
        <v>12408</v>
      </c>
      <c r="C3766" t="s">
        <v>12484</v>
      </c>
      <c r="D3766" t="s">
        <v>12485</v>
      </c>
      <c r="E3766">
        <v>1</v>
      </c>
      <c r="F3766" t="s">
        <v>12482</v>
      </c>
      <c r="G3766" t="s">
        <v>12408</v>
      </c>
      <c r="H3766">
        <v>333493</v>
      </c>
      <c r="I3766" t="s">
        <v>12486</v>
      </c>
    </row>
    <row r="3767" spans="1:9">
      <c r="A3767" t="str">
        <f>"0040171 "</f>
        <v xml:space="preserve">0040171 </v>
      </c>
      <c r="B3767" t="s">
        <v>12408</v>
      </c>
      <c r="C3767" t="s">
        <v>12487</v>
      </c>
      <c r="D3767" t="s">
        <v>12488</v>
      </c>
      <c r="E3767">
        <v>1</v>
      </c>
      <c r="F3767" t="s">
        <v>12489</v>
      </c>
      <c r="G3767" t="s">
        <v>12408</v>
      </c>
      <c r="H3767">
        <v>333504</v>
      </c>
      <c r="I3767" t="s">
        <v>12490</v>
      </c>
    </row>
    <row r="3768" spans="1:9">
      <c r="A3768" t="str">
        <f>"0040172 "</f>
        <v xml:space="preserve">0040172 </v>
      </c>
      <c r="B3768" t="s">
        <v>12408</v>
      </c>
      <c r="C3768" t="s">
        <v>12491</v>
      </c>
      <c r="D3768" t="s">
        <v>12492</v>
      </c>
      <c r="E3768">
        <v>1</v>
      </c>
      <c r="F3768" t="s">
        <v>12489</v>
      </c>
      <c r="G3768" t="s">
        <v>12408</v>
      </c>
      <c r="H3768">
        <v>333505</v>
      </c>
      <c r="I3768" t="s">
        <v>12493</v>
      </c>
    </row>
    <row r="3769" spans="1:9">
      <c r="A3769" t="str">
        <f>"0040181 "</f>
        <v xml:space="preserve">0040181 </v>
      </c>
      <c r="B3769" t="s">
        <v>12408</v>
      </c>
      <c r="C3769" t="s">
        <v>12494</v>
      </c>
      <c r="D3769" t="s">
        <v>12495</v>
      </c>
      <c r="E3769">
        <v>5</v>
      </c>
      <c r="F3769" t="s">
        <v>12437</v>
      </c>
      <c r="G3769" t="s">
        <v>12408</v>
      </c>
      <c r="H3769">
        <v>333516</v>
      </c>
      <c r="I3769" t="s">
        <v>12496</v>
      </c>
    </row>
    <row r="3770" spans="1:9">
      <c r="A3770" t="str">
        <f>"0040182 "</f>
        <v xml:space="preserve">0040182 </v>
      </c>
      <c r="B3770" t="s">
        <v>12408</v>
      </c>
      <c r="C3770" t="s">
        <v>12497</v>
      </c>
      <c r="D3770" t="s">
        <v>12498</v>
      </c>
      <c r="E3770">
        <v>2</v>
      </c>
      <c r="F3770" t="s">
        <v>12437</v>
      </c>
      <c r="G3770" t="s">
        <v>12408</v>
      </c>
      <c r="H3770">
        <v>333517</v>
      </c>
      <c r="I3770" t="s">
        <v>12499</v>
      </c>
    </row>
    <row r="3771" spans="1:9">
      <c r="A3771" t="str">
        <f>"0040192 "</f>
        <v xml:space="preserve">0040192 </v>
      </c>
      <c r="B3771" t="s">
        <v>12408</v>
      </c>
      <c r="C3771" t="s">
        <v>12500</v>
      </c>
      <c r="D3771" t="s">
        <v>12501</v>
      </c>
      <c r="E3771">
        <v>2</v>
      </c>
      <c r="F3771" t="s">
        <v>12489</v>
      </c>
      <c r="G3771" t="s">
        <v>12408</v>
      </c>
      <c r="H3771">
        <v>333707</v>
      </c>
      <c r="I3771" t="s">
        <v>12502</v>
      </c>
    </row>
    <row r="3772" spans="1:9">
      <c r="A3772" t="str">
        <f>"0040197 "</f>
        <v xml:space="preserve">0040197 </v>
      </c>
      <c r="B3772" t="s">
        <v>12408</v>
      </c>
      <c r="C3772" t="s">
        <v>12503</v>
      </c>
      <c r="D3772" t="s">
        <v>12504</v>
      </c>
      <c r="E3772">
        <v>2</v>
      </c>
      <c r="F3772" t="s">
        <v>12505</v>
      </c>
      <c r="G3772" t="s">
        <v>12408</v>
      </c>
      <c r="H3772">
        <v>333712</v>
      </c>
      <c r="I3772" t="s">
        <v>12506</v>
      </c>
    </row>
    <row r="3773" spans="1:9">
      <c r="A3773" t="str">
        <f>"0040198 "</f>
        <v xml:space="preserve">0040198 </v>
      </c>
      <c r="B3773" t="s">
        <v>12408</v>
      </c>
      <c r="C3773" t="s">
        <v>12507</v>
      </c>
      <c r="D3773" t="s">
        <v>12508</v>
      </c>
      <c r="E3773">
        <v>2</v>
      </c>
      <c r="F3773" t="s">
        <v>12509</v>
      </c>
      <c r="G3773" t="s">
        <v>12408</v>
      </c>
      <c r="H3773">
        <v>333713</v>
      </c>
      <c r="I3773" t="s">
        <v>12510</v>
      </c>
    </row>
    <row r="3774" spans="1:9">
      <c r="A3774" t="str">
        <f>"0040200 "</f>
        <v xml:space="preserve">0040200 </v>
      </c>
      <c r="B3774" t="s">
        <v>12408</v>
      </c>
      <c r="C3774" t="s">
        <v>12511</v>
      </c>
      <c r="D3774" t="s">
        <v>12512</v>
      </c>
      <c r="E3774">
        <v>2</v>
      </c>
      <c r="F3774" t="s">
        <v>12513</v>
      </c>
      <c r="G3774" t="s">
        <v>12408</v>
      </c>
      <c r="H3774">
        <v>333715</v>
      </c>
      <c r="I3774" t="s">
        <v>12514</v>
      </c>
    </row>
    <row r="3775" spans="1:9">
      <c r="A3775" t="str">
        <f>"0040201 "</f>
        <v xml:space="preserve">0040201 </v>
      </c>
      <c r="B3775" t="s">
        <v>12408</v>
      </c>
      <c r="C3775" t="s">
        <v>12515</v>
      </c>
      <c r="D3775" t="s">
        <v>12516</v>
      </c>
      <c r="E3775">
        <v>1</v>
      </c>
      <c r="F3775" t="s">
        <v>12513</v>
      </c>
      <c r="G3775" t="s">
        <v>12408</v>
      </c>
      <c r="H3775">
        <v>333716</v>
      </c>
      <c r="I3775" t="s">
        <v>12517</v>
      </c>
    </row>
    <row r="3776" spans="1:9">
      <c r="A3776" t="str">
        <f>"0040204 "</f>
        <v xml:space="preserve">0040204 </v>
      </c>
      <c r="B3776" t="s">
        <v>12408</v>
      </c>
      <c r="C3776" t="s">
        <v>12518</v>
      </c>
      <c r="D3776" t="s">
        <v>12519</v>
      </c>
      <c r="E3776">
        <v>2</v>
      </c>
      <c r="F3776" t="s">
        <v>12437</v>
      </c>
      <c r="G3776" t="s">
        <v>12408</v>
      </c>
      <c r="H3776">
        <v>333721</v>
      </c>
      <c r="I3776" t="s">
        <v>12520</v>
      </c>
    </row>
    <row r="3777" spans="1:9">
      <c r="A3777" t="str">
        <f>"0040205 "</f>
        <v xml:space="preserve">0040205 </v>
      </c>
      <c r="B3777" t="s">
        <v>12408</v>
      </c>
      <c r="C3777" t="s">
        <v>12521</v>
      </c>
      <c r="D3777" t="s">
        <v>12522</v>
      </c>
      <c r="E3777">
        <v>2</v>
      </c>
      <c r="F3777" t="s">
        <v>12437</v>
      </c>
      <c r="G3777" t="s">
        <v>12408</v>
      </c>
      <c r="H3777">
        <v>333722</v>
      </c>
      <c r="I3777" t="s">
        <v>12523</v>
      </c>
    </row>
    <row r="3778" spans="1:9">
      <c r="A3778" t="str">
        <f>"0040210 "</f>
        <v xml:space="preserve">0040210 </v>
      </c>
      <c r="B3778" t="s">
        <v>12408</v>
      </c>
      <c r="C3778" t="s">
        <v>12524</v>
      </c>
      <c r="D3778" t="s">
        <v>12525</v>
      </c>
      <c r="E3778">
        <v>1</v>
      </c>
      <c r="F3778" t="s">
        <v>12526</v>
      </c>
      <c r="G3778" t="s">
        <v>12408</v>
      </c>
      <c r="H3778">
        <v>333729</v>
      </c>
      <c r="I3778" t="s">
        <v>12527</v>
      </c>
    </row>
    <row r="3779" spans="1:9">
      <c r="A3779" t="str">
        <f>"0040211 "</f>
        <v xml:space="preserve">0040211 </v>
      </c>
      <c r="B3779" t="s">
        <v>12408</v>
      </c>
      <c r="C3779" t="s">
        <v>12528</v>
      </c>
      <c r="D3779" t="s">
        <v>12529</v>
      </c>
      <c r="E3779">
        <v>2</v>
      </c>
      <c r="F3779" t="s">
        <v>12526</v>
      </c>
      <c r="G3779" t="s">
        <v>12408</v>
      </c>
      <c r="H3779">
        <v>333730</v>
      </c>
      <c r="I3779" t="s">
        <v>12530</v>
      </c>
    </row>
    <row r="3780" spans="1:9">
      <c r="A3780" t="str">
        <f>"0040222 "</f>
        <v xml:space="preserve">0040222 </v>
      </c>
      <c r="B3780" t="s">
        <v>12408</v>
      </c>
      <c r="C3780" t="s">
        <v>12531</v>
      </c>
      <c r="D3780" t="s">
        <v>12532</v>
      </c>
      <c r="E3780">
        <v>4</v>
      </c>
      <c r="F3780" t="s">
        <v>12533</v>
      </c>
      <c r="G3780" t="s">
        <v>12408</v>
      </c>
      <c r="H3780">
        <v>333741</v>
      </c>
      <c r="I3780" t="s">
        <v>12534</v>
      </c>
    </row>
    <row r="3781" spans="1:9">
      <c r="A3781" t="str">
        <f>"0040232 "</f>
        <v xml:space="preserve">0040232 </v>
      </c>
      <c r="B3781" t="s">
        <v>12408</v>
      </c>
      <c r="C3781" t="s">
        <v>12535</v>
      </c>
      <c r="D3781" t="s">
        <v>12536</v>
      </c>
      <c r="E3781">
        <v>2</v>
      </c>
      <c r="F3781" t="s">
        <v>12537</v>
      </c>
      <c r="G3781" t="s">
        <v>12408</v>
      </c>
      <c r="H3781">
        <v>333751</v>
      </c>
      <c r="I3781" t="s">
        <v>12538</v>
      </c>
    </row>
    <row r="3782" spans="1:9">
      <c r="A3782" t="str">
        <f>"0040233 "</f>
        <v xml:space="preserve">0040233 </v>
      </c>
      <c r="B3782" t="s">
        <v>12408</v>
      </c>
      <c r="C3782" t="s">
        <v>12539</v>
      </c>
      <c r="D3782" t="s">
        <v>12540</v>
      </c>
      <c r="E3782">
        <v>2</v>
      </c>
      <c r="F3782" t="s">
        <v>12537</v>
      </c>
      <c r="G3782" t="s">
        <v>12408</v>
      </c>
      <c r="H3782">
        <v>333752</v>
      </c>
      <c r="I3782" t="s">
        <v>12541</v>
      </c>
    </row>
    <row r="3783" spans="1:9">
      <c r="A3783" t="str">
        <f>"0040234 "</f>
        <v xml:space="preserve">0040234 </v>
      </c>
      <c r="B3783" t="s">
        <v>12408</v>
      </c>
      <c r="C3783" t="s">
        <v>12542</v>
      </c>
      <c r="D3783" t="s">
        <v>12543</v>
      </c>
      <c r="E3783">
        <v>1</v>
      </c>
      <c r="F3783" t="s">
        <v>12544</v>
      </c>
      <c r="G3783" t="s">
        <v>12408</v>
      </c>
      <c r="H3783">
        <v>333753</v>
      </c>
      <c r="I3783" t="s">
        <v>12545</v>
      </c>
    </row>
    <row r="3784" spans="1:9">
      <c r="A3784" t="str">
        <f>"0040235 "</f>
        <v xml:space="preserve">0040235 </v>
      </c>
      <c r="B3784" t="s">
        <v>12408</v>
      </c>
      <c r="C3784" t="s">
        <v>12546</v>
      </c>
      <c r="D3784" t="s">
        <v>12547</v>
      </c>
      <c r="E3784">
        <v>1</v>
      </c>
      <c r="F3784" t="s">
        <v>12544</v>
      </c>
      <c r="G3784" t="s">
        <v>12408</v>
      </c>
      <c r="H3784">
        <v>333754</v>
      </c>
      <c r="I3784" t="s">
        <v>12548</v>
      </c>
    </row>
    <row r="3785" spans="1:9">
      <c r="A3785" t="str">
        <f>"0040236 "</f>
        <v xml:space="preserve">0040236 </v>
      </c>
      <c r="B3785" t="s">
        <v>12408</v>
      </c>
      <c r="C3785" t="s">
        <v>12549</v>
      </c>
      <c r="D3785" t="s">
        <v>12550</v>
      </c>
      <c r="E3785">
        <v>1</v>
      </c>
      <c r="F3785" t="s">
        <v>12551</v>
      </c>
      <c r="G3785" t="s">
        <v>12408</v>
      </c>
      <c r="H3785">
        <v>333755</v>
      </c>
      <c r="I3785" t="s">
        <v>12552</v>
      </c>
    </row>
    <row r="3786" spans="1:9">
      <c r="A3786" t="str">
        <f>"0040237 "</f>
        <v xml:space="preserve">0040237 </v>
      </c>
      <c r="B3786" t="s">
        <v>12408</v>
      </c>
      <c r="C3786" t="s">
        <v>12553</v>
      </c>
      <c r="D3786" t="s">
        <v>12554</v>
      </c>
      <c r="E3786">
        <v>1</v>
      </c>
      <c r="F3786" t="s">
        <v>12551</v>
      </c>
      <c r="G3786" t="s">
        <v>12408</v>
      </c>
      <c r="H3786">
        <v>333756</v>
      </c>
      <c r="I3786" t="s">
        <v>12555</v>
      </c>
    </row>
    <row r="3787" spans="1:9">
      <c r="A3787" t="str">
        <f>"0153361 "</f>
        <v xml:space="preserve">0153361 </v>
      </c>
      <c r="B3787" t="s">
        <v>12408</v>
      </c>
      <c r="C3787" t="s">
        <v>12556</v>
      </c>
      <c r="D3787" t="s">
        <v>12557</v>
      </c>
      <c r="E3787">
        <v>1</v>
      </c>
      <c r="F3787" t="s">
        <v>12558</v>
      </c>
      <c r="G3787" t="s">
        <v>12408</v>
      </c>
      <c r="H3787">
        <v>333768</v>
      </c>
      <c r="I3787" t="s">
        <v>12559</v>
      </c>
    </row>
    <row r="3788" spans="1:9">
      <c r="A3788" t="str">
        <f>"0153362 "</f>
        <v xml:space="preserve">0153362 </v>
      </c>
      <c r="B3788" t="s">
        <v>12408</v>
      </c>
      <c r="C3788" t="s">
        <v>12560</v>
      </c>
      <c r="D3788" t="s">
        <v>12561</v>
      </c>
      <c r="E3788">
        <v>1</v>
      </c>
      <c r="F3788" t="s">
        <v>12558</v>
      </c>
      <c r="G3788" t="s">
        <v>12408</v>
      </c>
      <c r="H3788">
        <v>333769</v>
      </c>
      <c r="I3788" t="s">
        <v>12562</v>
      </c>
    </row>
    <row r="3789" spans="1:9">
      <c r="A3789" t="str">
        <f>"0040293 "</f>
        <v xml:space="preserve">0040293 </v>
      </c>
      <c r="B3789" t="s">
        <v>12408</v>
      </c>
      <c r="C3789" t="s">
        <v>12563</v>
      </c>
      <c r="D3789" t="s">
        <v>12564</v>
      </c>
      <c r="E3789">
        <v>4</v>
      </c>
      <c r="F3789" t="s">
        <v>12565</v>
      </c>
      <c r="G3789" t="s">
        <v>12408</v>
      </c>
      <c r="H3789">
        <v>333848</v>
      </c>
      <c r="I3789" t="s">
        <v>12566</v>
      </c>
    </row>
    <row r="3790" spans="1:9">
      <c r="A3790" t="str">
        <f>"0040378 "</f>
        <v xml:space="preserve">0040378 </v>
      </c>
      <c r="B3790" t="s">
        <v>12408</v>
      </c>
      <c r="C3790" t="s">
        <v>12567</v>
      </c>
      <c r="D3790" t="s">
        <v>12568</v>
      </c>
      <c r="E3790">
        <v>2</v>
      </c>
      <c r="F3790" t="s">
        <v>12569</v>
      </c>
      <c r="G3790" t="s">
        <v>12408</v>
      </c>
      <c r="H3790">
        <v>334017</v>
      </c>
      <c r="I3790" t="s">
        <v>12570</v>
      </c>
    </row>
    <row r="3791" spans="1:9">
      <c r="A3791" t="str">
        <f>"0040549 "</f>
        <v xml:space="preserve">0040549 </v>
      </c>
      <c r="B3791" t="s">
        <v>12408</v>
      </c>
      <c r="C3791" t="s">
        <v>12571</v>
      </c>
      <c r="D3791" t="s">
        <v>12572</v>
      </c>
      <c r="E3791">
        <v>1</v>
      </c>
      <c r="F3791" t="s">
        <v>12573</v>
      </c>
      <c r="G3791" t="s">
        <v>12408</v>
      </c>
      <c r="H3791">
        <v>334203</v>
      </c>
      <c r="I3791" t="s">
        <v>12574</v>
      </c>
    </row>
    <row r="3792" spans="1:9">
      <c r="A3792" t="str">
        <f>"0040550 "</f>
        <v xml:space="preserve">0040550 </v>
      </c>
      <c r="B3792" t="s">
        <v>12408</v>
      </c>
      <c r="C3792" t="s">
        <v>12575</v>
      </c>
      <c r="D3792" t="s">
        <v>12576</v>
      </c>
      <c r="E3792">
        <v>1</v>
      </c>
      <c r="F3792" t="s">
        <v>12573</v>
      </c>
      <c r="G3792" t="s">
        <v>12408</v>
      </c>
      <c r="H3792">
        <v>334204</v>
      </c>
      <c r="I3792" t="s">
        <v>12577</v>
      </c>
    </row>
    <row r="3793" spans="1:9">
      <c r="A3793" t="str">
        <f>"0040673 "</f>
        <v xml:space="preserve">0040673 </v>
      </c>
      <c r="B3793" t="s">
        <v>12408</v>
      </c>
      <c r="C3793" t="s">
        <v>12578</v>
      </c>
      <c r="D3793" t="s">
        <v>12579</v>
      </c>
      <c r="E3793">
        <v>1</v>
      </c>
      <c r="F3793" t="s">
        <v>12580</v>
      </c>
      <c r="G3793" t="s">
        <v>12408</v>
      </c>
      <c r="H3793">
        <v>334338</v>
      </c>
      <c r="I3793" t="s">
        <v>12581</v>
      </c>
    </row>
    <row r="3794" spans="1:9">
      <c r="A3794" t="str">
        <f>"0040674 "</f>
        <v xml:space="preserve">0040674 </v>
      </c>
      <c r="B3794" t="s">
        <v>12408</v>
      </c>
      <c r="C3794" t="s">
        <v>12582</v>
      </c>
      <c r="D3794" t="s">
        <v>12583</v>
      </c>
      <c r="E3794">
        <v>1</v>
      </c>
      <c r="F3794" t="s">
        <v>12580</v>
      </c>
      <c r="G3794" t="s">
        <v>12408</v>
      </c>
      <c r="H3794">
        <v>334339</v>
      </c>
      <c r="I3794" t="s">
        <v>12584</v>
      </c>
    </row>
    <row r="3795" spans="1:9">
      <c r="A3795" t="str">
        <f>"0040675 "</f>
        <v xml:space="preserve">0040675 </v>
      </c>
      <c r="B3795" t="s">
        <v>12408</v>
      </c>
      <c r="C3795" t="s">
        <v>12585</v>
      </c>
      <c r="D3795" t="s">
        <v>12586</v>
      </c>
      <c r="E3795">
        <v>1</v>
      </c>
      <c r="F3795" t="s">
        <v>12411</v>
      </c>
      <c r="G3795" t="s">
        <v>12408</v>
      </c>
      <c r="H3795">
        <v>334340</v>
      </c>
      <c r="I3795" t="s">
        <v>12587</v>
      </c>
    </row>
    <row r="3796" spans="1:9">
      <c r="A3796" t="str">
        <f>"0040676 "</f>
        <v xml:space="preserve">0040676 </v>
      </c>
      <c r="B3796" t="s">
        <v>12408</v>
      </c>
      <c r="C3796" t="s">
        <v>12588</v>
      </c>
      <c r="D3796" t="s">
        <v>12589</v>
      </c>
      <c r="E3796">
        <v>1</v>
      </c>
      <c r="F3796" t="s">
        <v>12411</v>
      </c>
      <c r="G3796" t="s">
        <v>12408</v>
      </c>
      <c r="H3796">
        <v>334341</v>
      </c>
      <c r="I3796" t="s">
        <v>12590</v>
      </c>
    </row>
    <row r="3797" spans="1:9">
      <c r="A3797" t="str">
        <f>"0040679 "</f>
        <v xml:space="preserve">0040679 </v>
      </c>
      <c r="B3797" t="s">
        <v>12408</v>
      </c>
      <c r="C3797" t="s">
        <v>12591</v>
      </c>
      <c r="D3797" t="s">
        <v>12592</v>
      </c>
      <c r="E3797">
        <v>4</v>
      </c>
      <c r="F3797" t="s">
        <v>12593</v>
      </c>
      <c r="G3797" t="s">
        <v>12408</v>
      </c>
      <c r="H3797">
        <v>334344</v>
      </c>
      <c r="I3797" t="s">
        <v>12594</v>
      </c>
    </row>
    <row r="3798" spans="1:9">
      <c r="A3798" t="str">
        <f>"0040680 "</f>
        <v xml:space="preserve">0040680 </v>
      </c>
      <c r="B3798" t="s">
        <v>12408</v>
      </c>
      <c r="C3798" t="s">
        <v>12595</v>
      </c>
      <c r="D3798" t="s">
        <v>12596</v>
      </c>
      <c r="E3798">
        <v>2</v>
      </c>
      <c r="F3798" t="s">
        <v>12593</v>
      </c>
      <c r="G3798" t="s">
        <v>12408</v>
      </c>
      <c r="H3798">
        <v>334345</v>
      </c>
      <c r="I3798" t="s">
        <v>12597</v>
      </c>
    </row>
    <row r="3799" spans="1:9">
      <c r="A3799" t="str">
        <f>"0040693 "</f>
        <v xml:space="preserve">0040693 </v>
      </c>
      <c r="B3799" t="s">
        <v>12408</v>
      </c>
      <c r="C3799" t="s">
        <v>12598</v>
      </c>
      <c r="D3799" t="s">
        <v>12599</v>
      </c>
      <c r="E3799">
        <v>1</v>
      </c>
      <c r="F3799" t="s">
        <v>12444</v>
      </c>
      <c r="G3799" t="s">
        <v>12408</v>
      </c>
      <c r="H3799">
        <v>334360</v>
      </c>
      <c r="I3799" t="s">
        <v>12600</v>
      </c>
    </row>
    <row r="3800" spans="1:9">
      <c r="A3800" t="str">
        <f>"0040694 "</f>
        <v xml:space="preserve">0040694 </v>
      </c>
      <c r="B3800" t="s">
        <v>12408</v>
      </c>
      <c r="C3800" t="s">
        <v>12601</v>
      </c>
      <c r="D3800" t="s">
        <v>12602</v>
      </c>
      <c r="E3800">
        <v>1</v>
      </c>
      <c r="F3800" t="s">
        <v>12444</v>
      </c>
      <c r="G3800" t="s">
        <v>12408</v>
      </c>
      <c r="H3800">
        <v>334361</v>
      </c>
      <c r="I3800" t="s">
        <v>12603</v>
      </c>
    </row>
    <row r="3801" spans="1:9">
      <c r="A3801" t="str">
        <f>"0040695 "</f>
        <v xml:space="preserve">0040695 </v>
      </c>
      <c r="B3801" t="s">
        <v>12408</v>
      </c>
      <c r="C3801" t="s">
        <v>12604</v>
      </c>
      <c r="D3801" t="s">
        <v>12605</v>
      </c>
      <c r="E3801">
        <v>1</v>
      </c>
      <c r="F3801" t="s">
        <v>12606</v>
      </c>
      <c r="G3801" t="s">
        <v>12408</v>
      </c>
      <c r="H3801">
        <v>334362</v>
      </c>
      <c r="I3801" t="s">
        <v>12607</v>
      </c>
    </row>
    <row r="3802" spans="1:9">
      <c r="A3802" t="str">
        <f>"0040696 "</f>
        <v xml:space="preserve">0040696 </v>
      </c>
      <c r="B3802" t="s">
        <v>12408</v>
      </c>
      <c r="C3802" t="s">
        <v>12608</v>
      </c>
      <c r="D3802" t="s">
        <v>12609</v>
      </c>
      <c r="E3802">
        <v>1</v>
      </c>
      <c r="F3802" t="s">
        <v>12606</v>
      </c>
      <c r="G3802" t="s">
        <v>12408</v>
      </c>
      <c r="H3802">
        <v>334363</v>
      </c>
      <c r="I3802" t="s">
        <v>12610</v>
      </c>
    </row>
    <row r="3803" spans="1:9">
      <c r="A3803" t="str">
        <f>"0040702 "</f>
        <v xml:space="preserve">0040702 </v>
      </c>
      <c r="B3803" t="s">
        <v>12408</v>
      </c>
      <c r="C3803" t="s">
        <v>12611</v>
      </c>
      <c r="D3803" t="s">
        <v>12612</v>
      </c>
      <c r="E3803">
        <v>4</v>
      </c>
      <c r="F3803" t="s">
        <v>12613</v>
      </c>
      <c r="G3803" t="s">
        <v>12408</v>
      </c>
      <c r="H3803">
        <v>334369</v>
      </c>
      <c r="I3803" t="s">
        <v>12614</v>
      </c>
    </row>
    <row r="3804" spans="1:9">
      <c r="A3804" t="str">
        <f>"0040707 "</f>
        <v xml:space="preserve">0040707 </v>
      </c>
      <c r="B3804" t="s">
        <v>12408</v>
      </c>
      <c r="C3804" t="s">
        <v>12615</v>
      </c>
      <c r="D3804" t="s">
        <v>12616</v>
      </c>
      <c r="E3804">
        <v>1</v>
      </c>
      <c r="F3804" t="s">
        <v>12617</v>
      </c>
      <c r="G3804" t="s">
        <v>12408</v>
      </c>
      <c r="H3804">
        <v>334374</v>
      </c>
      <c r="I3804" t="s">
        <v>12618</v>
      </c>
    </row>
    <row r="3805" spans="1:9">
      <c r="A3805" t="str">
        <f>"0040708 "</f>
        <v xml:space="preserve">0040708 </v>
      </c>
      <c r="B3805" t="s">
        <v>12408</v>
      </c>
      <c r="C3805" t="s">
        <v>12619</v>
      </c>
      <c r="D3805" t="s">
        <v>12620</v>
      </c>
      <c r="E3805">
        <v>1</v>
      </c>
      <c r="F3805" t="s">
        <v>12617</v>
      </c>
      <c r="G3805" t="s">
        <v>12408</v>
      </c>
      <c r="H3805">
        <v>334375</v>
      </c>
      <c r="I3805" t="s">
        <v>12621</v>
      </c>
    </row>
    <row r="3806" spans="1:9">
      <c r="A3806" t="str">
        <f>"0040719 "</f>
        <v xml:space="preserve">0040719 </v>
      </c>
      <c r="B3806" t="s">
        <v>12408</v>
      </c>
      <c r="C3806" t="s">
        <v>12622</v>
      </c>
      <c r="D3806" t="s">
        <v>12623</v>
      </c>
      <c r="E3806">
        <v>1</v>
      </c>
      <c r="F3806" t="s">
        <v>12624</v>
      </c>
      <c r="G3806" t="s">
        <v>12408</v>
      </c>
      <c r="H3806">
        <v>334386</v>
      </c>
      <c r="I3806" t="s">
        <v>12625</v>
      </c>
    </row>
    <row r="3807" spans="1:9">
      <c r="A3807" t="str">
        <f>"0040720 "</f>
        <v xml:space="preserve">0040720 </v>
      </c>
      <c r="B3807" t="s">
        <v>12408</v>
      </c>
      <c r="C3807" t="s">
        <v>12626</v>
      </c>
      <c r="D3807" t="s">
        <v>12627</v>
      </c>
      <c r="E3807">
        <v>1</v>
      </c>
      <c r="F3807" t="s">
        <v>12624</v>
      </c>
      <c r="G3807" t="s">
        <v>12408</v>
      </c>
      <c r="H3807">
        <v>334387</v>
      </c>
      <c r="I3807" t="s">
        <v>12628</v>
      </c>
    </row>
    <row r="3808" spans="1:9">
      <c r="A3808" t="str">
        <f>"0040721 "</f>
        <v xml:space="preserve">0040721 </v>
      </c>
      <c r="B3808" t="s">
        <v>12408</v>
      </c>
      <c r="C3808" t="s">
        <v>12629</v>
      </c>
      <c r="D3808" t="s">
        <v>12630</v>
      </c>
      <c r="E3808">
        <v>1</v>
      </c>
      <c r="F3808" t="s">
        <v>12631</v>
      </c>
      <c r="G3808" t="s">
        <v>12408</v>
      </c>
      <c r="H3808">
        <v>334388</v>
      </c>
      <c r="I3808" t="s">
        <v>12632</v>
      </c>
    </row>
    <row r="3809" spans="1:9">
      <c r="A3809" t="str">
        <f>"0040722 "</f>
        <v xml:space="preserve">0040722 </v>
      </c>
      <c r="B3809" t="s">
        <v>12408</v>
      </c>
      <c r="C3809" t="s">
        <v>12633</v>
      </c>
      <c r="D3809" t="s">
        <v>12634</v>
      </c>
      <c r="E3809">
        <v>1</v>
      </c>
      <c r="F3809" t="s">
        <v>12631</v>
      </c>
      <c r="G3809" t="s">
        <v>12408</v>
      </c>
      <c r="H3809">
        <v>334389</v>
      </c>
      <c r="I3809" t="s">
        <v>12635</v>
      </c>
    </row>
    <row r="3810" spans="1:9">
      <c r="A3810" t="str">
        <f>"0040731 "</f>
        <v xml:space="preserve">0040731 </v>
      </c>
      <c r="B3810" t="s">
        <v>12408</v>
      </c>
      <c r="C3810" t="s">
        <v>12636</v>
      </c>
      <c r="D3810" t="s">
        <v>12637</v>
      </c>
      <c r="E3810" t="s">
        <v>16</v>
      </c>
      <c r="F3810" t="s">
        <v>12489</v>
      </c>
      <c r="G3810" t="s">
        <v>12408</v>
      </c>
      <c r="H3810">
        <v>334398</v>
      </c>
      <c r="I3810" t="s">
        <v>12638</v>
      </c>
    </row>
    <row r="3811" spans="1:9">
      <c r="A3811" t="str">
        <f>"0040736 "</f>
        <v xml:space="preserve">0040736 </v>
      </c>
      <c r="B3811" t="s">
        <v>12408</v>
      </c>
      <c r="C3811" t="s">
        <v>12639</v>
      </c>
      <c r="D3811" t="s">
        <v>12640</v>
      </c>
      <c r="E3811">
        <v>1</v>
      </c>
      <c r="F3811" t="s">
        <v>12641</v>
      </c>
      <c r="G3811" t="s">
        <v>12408</v>
      </c>
      <c r="H3811">
        <v>334403</v>
      </c>
      <c r="I3811" t="s">
        <v>12642</v>
      </c>
    </row>
    <row r="3812" spans="1:9">
      <c r="A3812" t="str">
        <f>"0040737 "</f>
        <v xml:space="preserve">0040737 </v>
      </c>
      <c r="B3812" t="s">
        <v>12408</v>
      </c>
      <c r="C3812" t="s">
        <v>12643</v>
      </c>
      <c r="D3812" t="s">
        <v>12644</v>
      </c>
      <c r="E3812">
        <v>1</v>
      </c>
      <c r="F3812" t="s">
        <v>12641</v>
      </c>
      <c r="G3812" t="s">
        <v>12408</v>
      </c>
      <c r="H3812">
        <v>334404</v>
      </c>
      <c r="I3812" t="s">
        <v>12645</v>
      </c>
    </row>
    <row r="3813" spans="1:9">
      <c r="A3813" t="str">
        <f>"0040743 "</f>
        <v xml:space="preserve">0040743 </v>
      </c>
      <c r="B3813" t="s">
        <v>12408</v>
      </c>
      <c r="C3813" t="s">
        <v>12646</v>
      </c>
      <c r="D3813" t="s">
        <v>12647</v>
      </c>
      <c r="E3813" t="s">
        <v>16</v>
      </c>
      <c r="F3813" t="s">
        <v>12648</v>
      </c>
      <c r="G3813" t="s">
        <v>12408</v>
      </c>
      <c r="H3813">
        <v>334420</v>
      </c>
      <c r="I3813" t="s">
        <v>12649</v>
      </c>
    </row>
    <row r="3814" spans="1:9">
      <c r="A3814" t="str">
        <f>"0040779 "</f>
        <v xml:space="preserve">0040779 </v>
      </c>
      <c r="B3814" t="s">
        <v>12408</v>
      </c>
      <c r="C3814" t="s">
        <v>12650</v>
      </c>
      <c r="D3814" t="s">
        <v>12651</v>
      </c>
      <c r="E3814">
        <v>1</v>
      </c>
      <c r="F3814" t="s">
        <v>12580</v>
      </c>
      <c r="G3814" t="s">
        <v>12408</v>
      </c>
      <c r="H3814">
        <v>334456</v>
      </c>
      <c r="I3814" t="s">
        <v>12652</v>
      </c>
    </row>
    <row r="3815" spans="1:9">
      <c r="A3815" t="str">
        <f>"0040780 "</f>
        <v xml:space="preserve">0040780 </v>
      </c>
      <c r="B3815" t="s">
        <v>12408</v>
      </c>
      <c r="C3815" t="s">
        <v>12653</v>
      </c>
      <c r="D3815" t="s">
        <v>12654</v>
      </c>
      <c r="E3815">
        <v>1</v>
      </c>
      <c r="F3815" t="s">
        <v>12580</v>
      </c>
      <c r="G3815" t="s">
        <v>12408</v>
      </c>
      <c r="H3815">
        <v>334457</v>
      </c>
      <c r="I3815" t="s">
        <v>12655</v>
      </c>
    </row>
    <row r="3816" spans="1:9">
      <c r="A3816" t="str">
        <f>"0040781 "</f>
        <v xml:space="preserve">0040781 </v>
      </c>
      <c r="B3816" t="s">
        <v>12408</v>
      </c>
      <c r="C3816" t="s">
        <v>12656</v>
      </c>
      <c r="D3816" t="s">
        <v>12657</v>
      </c>
      <c r="E3816">
        <v>1</v>
      </c>
      <c r="F3816" t="s">
        <v>12580</v>
      </c>
      <c r="G3816" t="s">
        <v>12408</v>
      </c>
      <c r="H3816">
        <v>334458</v>
      </c>
      <c r="I3816" t="s">
        <v>12658</v>
      </c>
    </row>
    <row r="3817" spans="1:9">
      <c r="A3817" t="str">
        <f>"0040782 "</f>
        <v xml:space="preserve">0040782 </v>
      </c>
      <c r="B3817" t="s">
        <v>12408</v>
      </c>
      <c r="C3817" t="s">
        <v>12659</v>
      </c>
      <c r="D3817" t="s">
        <v>12660</v>
      </c>
      <c r="E3817">
        <v>1</v>
      </c>
      <c r="F3817" t="s">
        <v>12580</v>
      </c>
      <c r="G3817" t="s">
        <v>12408</v>
      </c>
      <c r="H3817">
        <v>334459</v>
      </c>
      <c r="I3817" t="s">
        <v>12661</v>
      </c>
    </row>
    <row r="3818" spans="1:9">
      <c r="A3818" t="str">
        <f>"0040787 "</f>
        <v xml:space="preserve">0040787 </v>
      </c>
      <c r="B3818" t="s">
        <v>12408</v>
      </c>
      <c r="C3818" t="s">
        <v>12662</v>
      </c>
      <c r="D3818" t="s">
        <v>12663</v>
      </c>
      <c r="E3818" t="s">
        <v>16</v>
      </c>
      <c r="F3818" t="s">
        <v>12664</v>
      </c>
      <c r="G3818" t="s">
        <v>12408</v>
      </c>
      <c r="H3818">
        <v>334464</v>
      </c>
      <c r="I3818" t="s">
        <v>12665</v>
      </c>
    </row>
    <row r="3819" spans="1:9">
      <c r="A3819" t="str">
        <f>"0040788 "</f>
        <v xml:space="preserve">0040788 </v>
      </c>
      <c r="B3819" t="s">
        <v>12408</v>
      </c>
      <c r="C3819" t="s">
        <v>12666</v>
      </c>
      <c r="D3819" t="s">
        <v>12667</v>
      </c>
      <c r="E3819">
        <v>5</v>
      </c>
      <c r="F3819" t="s">
        <v>12664</v>
      </c>
      <c r="G3819" t="s">
        <v>12408</v>
      </c>
      <c r="H3819">
        <v>334465</v>
      </c>
      <c r="I3819" t="s">
        <v>12668</v>
      </c>
    </row>
    <row r="3820" spans="1:9">
      <c r="A3820" t="str">
        <f>"0040791 "</f>
        <v xml:space="preserve">0040791 </v>
      </c>
      <c r="B3820" t="s">
        <v>12408</v>
      </c>
      <c r="C3820" t="s">
        <v>12669</v>
      </c>
      <c r="D3820" t="s">
        <v>12670</v>
      </c>
      <c r="E3820">
        <v>1</v>
      </c>
      <c r="F3820" t="s">
        <v>12671</v>
      </c>
      <c r="G3820" t="s">
        <v>12408</v>
      </c>
      <c r="H3820">
        <v>334468</v>
      </c>
      <c r="I3820" t="s">
        <v>12672</v>
      </c>
    </row>
    <row r="3821" spans="1:9">
      <c r="A3821" t="str">
        <f>"0040792 "</f>
        <v xml:space="preserve">0040792 </v>
      </c>
      <c r="B3821" t="s">
        <v>12408</v>
      </c>
      <c r="C3821" t="s">
        <v>12673</v>
      </c>
      <c r="D3821" t="s">
        <v>12674</v>
      </c>
      <c r="E3821">
        <v>1</v>
      </c>
      <c r="F3821" t="s">
        <v>12671</v>
      </c>
      <c r="G3821" t="s">
        <v>12408</v>
      </c>
      <c r="H3821">
        <v>334469</v>
      </c>
      <c r="I3821" t="s">
        <v>12675</v>
      </c>
    </row>
    <row r="3822" spans="1:9">
      <c r="A3822" t="str">
        <f>"0040801 "</f>
        <v xml:space="preserve">0040801 </v>
      </c>
      <c r="B3822" t="s">
        <v>12408</v>
      </c>
      <c r="C3822" t="s">
        <v>12676</v>
      </c>
      <c r="D3822" t="s">
        <v>12677</v>
      </c>
      <c r="E3822">
        <v>1</v>
      </c>
      <c r="F3822" t="s">
        <v>12678</v>
      </c>
      <c r="G3822" t="s">
        <v>12408</v>
      </c>
      <c r="H3822">
        <v>334480</v>
      </c>
      <c r="I3822" t="s">
        <v>12679</v>
      </c>
    </row>
    <row r="3823" spans="1:9">
      <c r="A3823" t="str">
        <f>"0040802 "</f>
        <v xml:space="preserve">0040802 </v>
      </c>
      <c r="B3823" t="s">
        <v>12408</v>
      </c>
      <c r="C3823" t="s">
        <v>12680</v>
      </c>
      <c r="D3823" t="s">
        <v>12681</v>
      </c>
      <c r="E3823">
        <v>1</v>
      </c>
      <c r="F3823" t="s">
        <v>12678</v>
      </c>
      <c r="G3823" t="s">
        <v>12408</v>
      </c>
      <c r="H3823">
        <v>334481</v>
      </c>
      <c r="I3823" t="s">
        <v>12682</v>
      </c>
    </row>
    <row r="3824" spans="1:9">
      <c r="A3824" t="str">
        <f>"0040822 "</f>
        <v xml:space="preserve">0040822 </v>
      </c>
      <c r="B3824" t="s">
        <v>12408</v>
      </c>
      <c r="C3824" t="s">
        <v>12683</v>
      </c>
      <c r="D3824" t="s">
        <v>12684</v>
      </c>
      <c r="E3824">
        <v>1</v>
      </c>
      <c r="F3824" t="s">
        <v>12685</v>
      </c>
      <c r="G3824" t="s">
        <v>12408</v>
      </c>
      <c r="H3824">
        <v>334508</v>
      </c>
      <c r="I3824" t="s">
        <v>12686</v>
      </c>
    </row>
    <row r="3825" spans="1:9">
      <c r="A3825" t="str">
        <f>"0040823 "</f>
        <v xml:space="preserve">0040823 </v>
      </c>
      <c r="B3825" t="s">
        <v>12408</v>
      </c>
      <c r="C3825" t="s">
        <v>12687</v>
      </c>
      <c r="D3825" t="s">
        <v>12688</v>
      </c>
      <c r="E3825">
        <v>1</v>
      </c>
      <c r="F3825" t="s">
        <v>12685</v>
      </c>
      <c r="G3825" t="s">
        <v>12408</v>
      </c>
      <c r="H3825">
        <v>334509</v>
      </c>
      <c r="I3825" t="s">
        <v>12689</v>
      </c>
    </row>
    <row r="3826" spans="1:9">
      <c r="A3826" t="str">
        <f>"0040844 "</f>
        <v xml:space="preserve">0040844 </v>
      </c>
      <c r="B3826" t="s">
        <v>12408</v>
      </c>
      <c r="C3826" t="s">
        <v>12690</v>
      </c>
      <c r="D3826" t="s">
        <v>12691</v>
      </c>
      <c r="E3826">
        <v>1</v>
      </c>
      <c r="F3826" t="s">
        <v>12692</v>
      </c>
      <c r="G3826" t="s">
        <v>12408</v>
      </c>
      <c r="H3826">
        <v>334620</v>
      </c>
      <c r="I3826" t="s">
        <v>12693</v>
      </c>
    </row>
    <row r="3827" spans="1:9">
      <c r="A3827" t="str">
        <f>"0040853 "</f>
        <v xml:space="preserve">0040853 </v>
      </c>
      <c r="B3827" t="s">
        <v>12408</v>
      </c>
      <c r="C3827" t="s">
        <v>12694</v>
      </c>
      <c r="D3827" t="s">
        <v>12695</v>
      </c>
      <c r="E3827">
        <v>1</v>
      </c>
      <c r="F3827" t="s">
        <v>12696</v>
      </c>
      <c r="G3827" t="s">
        <v>12408</v>
      </c>
      <c r="H3827">
        <v>334629</v>
      </c>
      <c r="I3827" t="s">
        <v>12697</v>
      </c>
    </row>
    <row r="3828" spans="1:9">
      <c r="A3828" t="str">
        <f>"0040854 "</f>
        <v xml:space="preserve">0040854 </v>
      </c>
      <c r="B3828" t="s">
        <v>12408</v>
      </c>
      <c r="C3828" t="s">
        <v>12698</v>
      </c>
      <c r="D3828" t="s">
        <v>12699</v>
      </c>
      <c r="E3828">
        <v>1</v>
      </c>
      <c r="F3828" t="s">
        <v>12696</v>
      </c>
      <c r="G3828" t="s">
        <v>12408</v>
      </c>
      <c r="H3828">
        <v>334630</v>
      </c>
      <c r="I3828" t="s">
        <v>12700</v>
      </c>
    </row>
    <row r="3829" spans="1:9">
      <c r="A3829" t="str">
        <f>"0040855 "</f>
        <v xml:space="preserve">0040855 </v>
      </c>
      <c r="B3829" t="s">
        <v>12408</v>
      </c>
      <c r="C3829" t="s">
        <v>12701</v>
      </c>
      <c r="D3829" t="s">
        <v>12702</v>
      </c>
      <c r="E3829" t="s">
        <v>16</v>
      </c>
      <c r="F3829" t="s">
        <v>12703</v>
      </c>
      <c r="G3829" t="s">
        <v>12408</v>
      </c>
      <c r="H3829">
        <v>334631</v>
      </c>
      <c r="I3829" t="s">
        <v>12704</v>
      </c>
    </row>
    <row r="3830" spans="1:9">
      <c r="A3830" t="str">
        <f>"0040856 "</f>
        <v xml:space="preserve">0040856 </v>
      </c>
      <c r="B3830" t="s">
        <v>12408</v>
      </c>
      <c r="C3830" t="s">
        <v>12705</v>
      </c>
      <c r="D3830" t="s">
        <v>12706</v>
      </c>
      <c r="E3830">
        <v>1</v>
      </c>
      <c r="F3830" t="s">
        <v>12707</v>
      </c>
      <c r="G3830" t="s">
        <v>12408</v>
      </c>
      <c r="H3830">
        <v>334632</v>
      </c>
      <c r="I3830" t="s">
        <v>12708</v>
      </c>
    </row>
    <row r="3831" spans="1:9">
      <c r="A3831" t="str">
        <f>"0040857 "</f>
        <v xml:space="preserve">0040857 </v>
      </c>
      <c r="B3831" t="s">
        <v>12408</v>
      </c>
      <c r="C3831" t="s">
        <v>12709</v>
      </c>
      <c r="D3831" t="s">
        <v>12710</v>
      </c>
      <c r="E3831">
        <v>1</v>
      </c>
      <c r="F3831" t="s">
        <v>12707</v>
      </c>
      <c r="G3831" t="s">
        <v>12408</v>
      </c>
      <c r="H3831">
        <v>334633</v>
      </c>
      <c r="I3831" t="s">
        <v>12711</v>
      </c>
    </row>
    <row r="3832" spans="1:9">
      <c r="A3832" t="str">
        <f>"0040858 "</f>
        <v xml:space="preserve">0040858 </v>
      </c>
      <c r="B3832" t="s">
        <v>12408</v>
      </c>
      <c r="C3832" t="s">
        <v>12712</v>
      </c>
      <c r="D3832" t="s">
        <v>12713</v>
      </c>
      <c r="E3832">
        <v>1</v>
      </c>
      <c r="F3832" t="s">
        <v>12714</v>
      </c>
      <c r="G3832" t="s">
        <v>12408</v>
      </c>
      <c r="H3832">
        <v>334634</v>
      </c>
      <c r="I3832" t="s">
        <v>12715</v>
      </c>
    </row>
    <row r="3833" spans="1:9">
      <c r="A3833" t="str">
        <f>"0040859 "</f>
        <v xml:space="preserve">0040859 </v>
      </c>
      <c r="B3833" t="s">
        <v>12408</v>
      </c>
      <c r="C3833" t="s">
        <v>12716</v>
      </c>
      <c r="D3833" t="s">
        <v>12717</v>
      </c>
      <c r="E3833">
        <v>1</v>
      </c>
      <c r="F3833" t="s">
        <v>12714</v>
      </c>
      <c r="G3833" t="s">
        <v>12408</v>
      </c>
      <c r="H3833">
        <v>334635</v>
      </c>
      <c r="I3833" t="s">
        <v>12718</v>
      </c>
    </row>
    <row r="3834" spans="1:9">
      <c r="A3834" t="str">
        <f>"0040880 "</f>
        <v xml:space="preserve">0040880 </v>
      </c>
      <c r="B3834" t="s">
        <v>12408</v>
      </c>
      <c r="C3834" t="s">
        <v>12719</v>
      </c>
      <c r="D3834" t="s">
        <v>12720</v>
      </c>
      <c r="E3834">
        <v>2</v>
      </c>
      <c r="F3834" t="s">
        <v>12721</v>
      </c>
      <c r="G3834" t="s">
        <v>12408</v>
      </c>
      <c r="H3834">
        <v>334690</v>
      </c>
      <c r="I3834" t="s">
        <v>12722</v>
      </c>
    </row>
    <row r="3835" spans="1:9">
      <c r="A3835" t="str">
        <f>"0040882 "</f>
        <v xml:space="preserve">0040882 </v>
      </c>
      <c r="B3835" t="s">
        <v>12408</v>
      </c>
      <c r="C3835" t="s">
        <v>12723</v>
      </c>
      <c r="D3835" t="s">
        <v>12724</v>
      </c>
      <c r="E3835">
        <v>3</v>
      </c>
      <c r="F3835" t="s">
        <v>12725</v>
      </c>
      <c r="G3835" t="s">
        <v>12408</v>
      </c>
      <c r="H3835">
        <v>334700</v>
      </c>
      <c r="I3835" t="s">
        <v>12726</v>
      </c>
    </row>
    <row r="3836" spans="1:9">
      <c r="A3836" t="str">
        <f>"0040883 "</f>
        <v xml:space="preserve">0040883 </v>
      </c>
      <c r="B3836" t="s">
        <v>12408</v>
      </c>
      <c r="C3836" t="s">
        <v>12727</v>
      </c>
      <c r="D3836" t="s">
        <v>12728</v>
      </c>
      <c r="E3836">
        <v>3</v>
      </c>
      <c r="F3836" t="s">
        <v>12725</v>
      </c>
      <c r="G3836" t="s">
        <v>12408</v>
      </c>
      <c r="H3836">
        <v>334701</v>
      </c>
      <c r="I3836" t="s">
        <v>12729</v>
      </c>
    </row>
    <row r="3837" spans="1:9">
      <c r="A3837" t="str">
        <f>"0040894 "</f>
        <v xml:space="preserve">0040894 </v>
      </c>
      <c r="B3837" t="s">
        <v>12408</v>
      </c>
      <c r="C3837" t="s">
        <v>12730</v>
      </c>
      <c r="D3837" t="s">
        <v>12731</v>
      </c>
      <c r="E3837">
        <v>2</v>
      </c>
      <c r="F3837" t="s">
        <v>12732</v>
      </c>
      <c r="G3837" t="s">
        <v>12408</v>
      </c>
      <c r="H3837">
        <v>334811</v>
      </c>
      <c r="I3837" t="s">
        <v>12733</v>
      </c>
    </row>
    <row r="3838" spans="1:9">
      <c r="A3838" t="str">
        <f>"0040895 "</f>
        <v xml:space="preserve">0040895 </v>
      </c>
      <c r="B3838" t="s">
        <v>12408</v>
      </c>
      <c r="C3838" t="s">
        <v>12734</v>
      </c>
      <c r="D3838" t="s">
        <v>12735</v>
      </c>
      <c r="E3838">
        <v>2</v>
      </c>
      <c r="F3838" t="s">
        <v>12526</v>
      </c>
      <c r="G3838" t="s">
        <v>12408</v>
      </c>
      <c r="H3838">
        <v>334812</v>
      </c>
      <c r="I3838" t="s">
        <v>12736</v>
      </c>
    </row>
    <row r="3839" spans="1:9">
      <c r="A3839" t="str">
        <f>"0040898 "</f>
        <v xml:space="preserve">0040898 </v>
      </c>
      <c r="B3839" t="s">
        <v>12408</v>
      </c>
      <c r="C3839" t="s">
        <v>12737</v>
      </c>
      <c r="D3839" t="s">
        <v>12738</v>
      </c>
      <c r="E3839">
        <v>1</v>
      </c>
      <c r="F3839" t="s">
        <v>12739</v>
      </c>
      <c r="G3839" t="s">
        <v>12408</v>
      </c>
      <c r="H3839">
        <v>334815</v>
      </c>
      <c r="I3839" t="s">
        <v>12740</v>
      </c>
    </row>
    <row r="3840" spans="1:9">
      <c r="A3840" t="str">
        <f>"0040899 "</f>
        <v xml:space="preserve">0040899 </v>
      </c>
      <c r="B3840" t="s">
        <v>12408</v>
      </c>
      <c r="C3840" t="s">
        <v>12741</v>
      </c>
      <c r="D3840" t="s">
        <v>12742</v>
      </c>
      <c r="E3840">
        <v>1</v>
      </c>
      <c r="F3840" t="s">
        <v>12739</v>
      </c>
      <c r="G3840" t="s">
        <v>12408</v>
      </c>
      <c r="H3840">
        <v>334816</v>
      </c>
      <c r="I3840" t="s">
        <v>12743</v>
      </c>
    </row>
    <row r="3841" spans="1:9">
      <c r="A3841" t="str">
        <f>"0040912 "</f>
        <v xml:space="preserve">0040912 </v>
      </c>
      <c r="B3841" t="s">
        <v>12408</v>
      </c>
      <c r="C3841" t="s">
        <v>12744</v>
      </c>
      <c r="D3841" t="s">
        <v>12745</v>
      </c>
      <c r="E3841">
        <v>4</v>
      </c>
      <c r="F3841" t="s">
        <v>12746</v>
      </c>
      <c r="G3841" t="s">
        <v>12408</v>
      </c>
      <c r="H3841">
        <v>334831</v>
      </c>
      <c r="I3841" t="s">
        <v>12747</v>
      </c>
    </row>
    <row r="3842" spans="1:9">
      <c r="A3842" t="str">
        <f>"0040915 "</f>
        <v xml:space="preserve">0040915 </v>
      </c>
      <c r="B3842" t="s">
        <v>12408</v>
      </c>
      <c r="C3842" t="s">
        <v>12748</v>
      </c>
      <c r="D3842" t="s">
        <v>12749</v>
      </c>
      <c r="E3842">
        <v>4</v>
      </c>
      <c r="F3842" t="s">
        <v>12750</v>
      </c>
      <c r="G3842" t="s">
        <v>12408</v>
      </c>
      <c r="H3842">
        <v>334834</v>
      </c>
      <c r="I3842" t="s">
        <v>12751</v>
      </c>
    </row>
    <row r="3843" spans="1:9">
      <c r="A3843" t="str">
        <f>"0040916 "</f>
        <v xml:space="preserve">0040916 </v>
      </c>
      <c r="B3843" t="s">
        <v>12408</v>
      </c>
      <c r="C3843" t="s">
        <v>12752</v>
      </c>
      <c r="D3843" t="s">
        <v>12753</v>
      </c>
      <c r="E3843">
        <v>2</v>
      </c>
      <c r="F3843" t="s">
        <v>12754</v>
      </c>
      <c r="G3843" t="s">
        <v>12408</v>
      </c>
      <c r="H3843">
        <v>334835</v>
      </c>
      <c r="I3843" t="s">
        <v>12755</v>
      </c>
    </row>
    <row r="3844" spans="1:9">
      <c r="A3844" t="str">
        <f>"0040919 "</f>
        <v xml:space="preserve">0040919 </v>
      </c>
      <c r="B3844" t="s">
        <v>12408</v>
      </c>
      <c r="C3844" t="s">
        <v>12756</v>
      </c>
      <c r="D3844" t="s">
        <v>12757</v>
      </c>
      <c r="E3844">
        <v>1</v>
      </c>
      <c r="F3844" t="s">
        <v>12489</v>
      </c>
      <c r="G3844" t="s">
        <v>12408</v>
      </c>
      <c r="H3844">
        <v>334839</v>
      </c>
      <c r="I3844" t="s">
        <v>12758</v>
      </c>
    </row>
    <row r="3845" spans="1:9">
      <c r="A3845" t="str">
        <f>"0040920 "</f>
        <v xml:space="preserve">0040920 </v>
      </c>
      <c r="B3845" t="s">
        <v>12408</v>
      </c>
      <c r="C3845" t="s">
        <v>12759</v>
      </c>
      <c r="D3845" t="s">
        <v>12760</v>
      </c>
      <c r="E3845">
        <v>3</v>
      </c>
      <c r="F3845" t="s">
        <v>12489</v>
      </c>
      <c r="G3845" t="s">
        <v>12408</v>
      </c>
      <c r="H3845">
        <v>334840</v>
      </c>
      <c r="I3845" t="s">
        <v>12761</v>
      </c>
    </row>
    <row r="3846" spans="1:9">
      <c r="A3846" t="str">
        <f>"0040921 "</f>
        <v xml:space="preserve">0040921 </v>
      </c>
      <c r="B3846" t="s">
        <v>12408</v>
      </c>
      <c r="C3846" t="s">
        <v>12762</v>
      </c>
      <c r="D3846" t="s">
        <v>12763</v>
      </c>
      <c r="E3846">
        <v>3</v>
      </c>
      <c r="F3846" t="s">
        <v>12489</v>
      </c>
      <c r="G3846" t="s">
        <v>12408</v>
      </c>
      <c r="H3846">
        <v>334841</v>
      </c>
      <c r="I3846" t="s">
        <v>12764</v>
      </c>
    </row>
    <row r="3847" spans="1:9">
      <c r="A3847" t="str">
        <f>"0040924 "</f>
        <v xml:space="preserve">0040924 </v>
      </c>
      <c r="B3847" t="s">
        <v>12408</v>
      </c>
      <c r="C3847" t="s">
        <v>12765</v>
      </c>
      <c r="D3847" t="s">
        <v>12766</v>
      </c>
      <c r="E3847">
        <v>1</v>
      </c>
      <c r="F3847" t="s">
        <v>12703</v>
      </c>
      <c r="G3847" t="s">
        <v>12408</v>
      </c>
      <c r="H3847">
        <v>334844</v>
      </c>
      <c r="I3847" t="s">
        <v>12767</v>
      </c>
    </row>
    <row r="3848" spans="1:9">
      <c r="A3848" t="str">
        <f>"0040925 "</f>
        <v xml:space="preserve">0040925 </v>
      </c>
      <c r="B3848" t="s">
        <v>12408</v>
      </c>
      <c r="C3848" t="s">
        <v>12768</v>
      </c>
      <c r="D3848" t="s">
        <v>12769</v>
      </c>
      <c r="E3848">
        <v>1</v>
      </c>
      <c r="F3848" t="s">
        <v>12703</v>
      </c>
      <c r="G3848" t="s">
        <v>12408</v>
      </c>
      <c r="H3848">
        <v>334845</v>
      </c>
      <c r="I3848" t="s">
        <v>12770</v>
      </c>
    </row>
    <row r="3849" spans="1:9">
      <c r="A3849" t="str">
        <f>"0040956 "</f>
        <v xml:space="preserve">0040956 </v>
      </c>
      <c r="B3849" t="s">
        <v>12408</v>
      </c>
      <c r="C3849" t="s">
        <v>12771</v>
      </c>
      <c r="D3849" t="s">
        <v>12772</v>
      </c>
      <c r="E3849">
        <v>2</v>
      </c>
      <c r="F3849" t="s">
        <v>12773</v>
      </c>
      <c r="G3849" t="s">
        <v>12408</v>
      </c>
      <c r="H3849">
        <v>334903</v>
      </c>
      <c r="I3849" t="s">
        <v>12774</v>
      </c>
    </row>
    <row r="3850" spans="1:9">
      <c r="A3850" t="str">
        <f>"0040980 "</f>
        <v xml:space="preserve">0040980 </v>
      </c>
      <c r="B3850" t="s">
        <v>12408</v>
      </c>
      <c r="C3850" t="s">
        <v>12775</v>
      </c>
      <c r="D3850" t="s">
        <v>12776</v>
      </c>
      <c r="E3850">
        <v>2</v>
      </c>
      <c r="F3850" t="s">
        <v>12777</v>
      </c>
      <c r="G3850" t="s">
        <v>12408</v>
      </c>
      <c r="H3850">
        <v>334928</v>
      </c>
      <c r="I3850" t="s">
        <v>12778</v>
      </c>
    </row>
    <row r="3851" spans="1:9">
      <c r="A3851" t="str">
        <f>"0041048 "</f>
        <v xml:space="preserve">0041048 </v>
      </c>
      <c r="B3851" t="s">
        <v>12408</v>
      </c>
      <c r="C3851" t="s">
        <v>12779</v>
      </c>
      <c r="D3851" t="s">
        <v>12780</v>
      </c>
      <c r="E3851">
        <v>1</v>
      </c>
      <c r="F3851" t="s">
        <v>12781</v>
      </c>
      <c r="G3851" t="s">
        <v>12408</v>
      </c>
      <c r="H3851">
        <v>335040</v>
      </c>
      <c r="I3851" t="s">
        <v>12782</v>
      </c>
    </row>
    <row r="3852" spans="1:9">
      <c r="A3852" t="str">
        <f>"0041049 "</f>
        <v xml:space="preserve">0041049 </v>
      </c>
      <c r="B3852" t="s">
        <v>12408</v>
      </c>
      <c r="C3852" t="s">
        <v>12783</v>
      </c>
      <c r="D3852" t="s">
        <v>12784</v>
      </c>
      <c r="E3852">
        <v>1</v>
      </c>
      <c r="F3852" t="s">
        <v>12781</v>
      </c>
      <c r="G3852" t="s">
        <v>12408</v>
      </c>
      <c r="H3852">
        <v>335041</v>
      </c>
      <c r="I3852" t="s">
        <v>12785</v>
      </c>
    </row>
    <row r="3853" spans="1:9">
      <c r="A3853" t="str">
        <f>"0252571 "</f>
        <v xml:space="preserve">0252571 </v>
      </c>
      <c r="B3853" t="s">
        <v>12408</v>
      </c>
      <c r="C3853" t="s">
        <v>12786</v>
      </c>
      <c r="D3853" t="s">
        <v>12787</v>
      </c>
      <c r="E3853">
        <v>2</v>
      </c>
      <c r="F3853" t="s">
        <v>12788</v>
      </c>
      <c r="G3853" t="s">
        <v>12408</v>
      </c>
      <c r="H3853">
        <v>3358000</v>
      </c>
      <c r="I3853" t="s">
        <v>12789</v>
      </c>
    </row>
    <row r="3854" spans="1:9">
      <c r="A3854" t="str">
        <f>"0041080 "</f>
        <v xml:space="preserve">0041080 </v>
      </c>
      <c r="B3854" t="s">
        <v>12408</v>
      </c>
      <c r="C3854" t="s">
        <v>12790</v>
      </c>
      <c r="D3854" t="s">
        <v>12791</v>
      </c>
      <c r="E3854" t="s">
        <v>16</v>
      </c>
      <c r="F3854" t="s">
        <v>12792</v>
      </c>
      <c r="G3854" t="s">
        <v>12408</v>
      </c>
      <c r="H3854">
        <v>335803</v>
      </c>
      <c r="I3854" t="s">
        <v>12793</v>
      </c>
    </row>
    <row r="3855" spans="1:9">
      <c r="A3855" t="str">
        <f>"0041083 "</f>
        <v xml:space="preserve">0041083 </v>
      </c>
      <c r="B3855" t="s">
        <v>12408</v>
      </c>
      <c r="C3855" t="s">
        <v>12794</v>
      </c>
      <c r="D3855" t="s">
        <v>12795</v>
      </c>
      <c r="E3855" t="s">
        <v>16</v>
      </c>
      <c r="F3855" t="s">
        <v>12551</v>
      </c>
      <c r="G3855" t="s">
        <v>12408</v>
      </c>
      <c r="H3855">
        <v>335808</v>
      </c>
      <c r="I3855" t="s">
        <v>12796</v>
      </c>
    </row>
    <row r="3856" spans="1:9">
      <c r="A3856" t="str">
        <f>"0041084 "</f>
        <v xml:space="preserve">0041084 </v>
      </c>
      <c r="B3856" t="s">
        <v>12408</v>
      </c>
      <c r="C3856" t="s">
        <v>12797</v>
      </c>
      <c r="D3856" t="s">
        <v>12798</v>
      </c>
      <c r="E3856">
        <v>4</v>
      </c>
      <c r="F3856" t="s">
        <v>12799</v>
      </c>
      <c r="G3856" t="s">
        <v>12408</v>
      </c>
      <c r="H3856">
        <v>335809</v>
      </c>
      <c r="I3856" t="s">
        <v>12800</v>
      </c>
    </row>
    <row r="3857" spans="1:9">
      <c r="A3857" t="str">
        <f>"0041085 "</f>
        <v xml:space="preserve">0041085 </v>
      </c>
      <c r="B3857" t="s">
        <v>12408</v>
      </c>
      <c r="C3857" t="s">
        <v>12801</v>
      </c>
      <c r="D3857" t="s">
        <v>12802</v>
      </c>
      <c r="E3857" t="s">
        <v>16</v>
      </c>
      <c r="F3857" t="s">
        <v>12803</v>
      </c>
      <c r="G3857" t="s">
        <v>12408</v>
      </c>
      <c r="H3857">
        <v>335810</v>
      </c>
      <c r="I3857" t="s">
        <v>12804</v>
      </c>
    </row>
    <row r="3858" spans="1:9">
      <c r="A3858" t="str">
        <f>"0041086 "</f>
        <v xml:space="preserve">0041086 </v>
      </c>
      <c r="B3858" t="s">
        <v>12408</v>
      </c>
      <c r="C3858" t="s">
        <v>12805</v>
      </c>
      <c r="D3858" t="s">
        <v>12806</v>
      </c>
      <c r="E3858">
        <v>1</v>
      </c>
      <c r="F3858" t="s">
        <v>12807</v>
      </c>
      <c r="G3858" t="s">
        <v>12408</v>
      </c>
      <c r="H3858">
        <v>335811</v>
      </c>
      <c r="I3858" t="s">
        <v>12808</v>
      </c>
    </row>
    <row r="3859" spans="1:9">
      <c r="A3859" t="str">
        <f>"0041087 "</f>
        <v xml:space="preserve">0041087 </v>
      </c>
      <c r="B3859" t="s">
        <v>12408</v>
      </c>
      <c r="C3859" t="s">
        <v>12809</v>
      </c>
      <c r="D3859" t="s">
        <v>12810</v>
      </c>
      <c r="E3859">
        <v>1</v>
      </c>
      <c r="F3859" t="s">
        <v>12807</v>
      </c>
      <c r="G3859" t="s">
        <v>12408</v>
      </c>
      <c r="H3859">
        <v>335812</v>
      </c>
      <c r="I3859" t="s">
        <v>12811</v>
      </c>
    </row>
    <row r="3860" spans="1:9">
      <c r="A3860" t="str">
        <f>"0050368 "</f>
        <v xml:space="preserve">0050368 </v>
      </c>
      <c r="B3860" t="s">
        <v>12408</v>
      </c>
      <c r="C3860" t="s">
        <v>12812</v>
      </c>
      <c r="D3860" t="s">
        <v>12813</v>
      </c>
      <c r="E3860">
        <v>4</v>
      </c>
      <c r="F3860" t="s">
        <v>12814</v>
      </c>
      <c r="G3860" t="s">
        <v>12408</v>
      </c>
      <c r="H3860">
        <v>335820</v>
      </c>
      <c r="I3860" t="s">
        <v>12815</v>
      </c>
    </row>
    <row r="3861" spans="1:9">
      <c r="A3861" t="str">
        <f>"0161096 "</f>
        <v xml:space="preserve">0161096 </v>
      </c>
      <c r="B3861" t="s">
        <v>12408</v>
      </c>
      <c r="C3861" t="s">
        <v>12816</v>
      </c>
      <c r="D3861" t="s">
        <v>12817</v>
      </c>
      <c r="E3861">
        <v>1</v>
      </c>
      <c r="F3861" t="s">
        <v>12818</v>
      </c>
      <c r="G3861" t="s">
        <v>12408</v>
      </c>
      <c r="H3861">
        <v>335825</v>
      </c>
      <c r="I3861" t="s">
        <v>12819</v>
      </c>
    </row>
    <row r="3862" spans="1:9">
      <c r="A3862" t="str">
        <f>"0161097 "</f>
        <v xml:space="preserve">0161097 </v>
      </c>
      <c r="B3862" t="s">
        <v>12408</v>
      </c>
      <c r="C3862" t="s">
        <v>12820</v>
      </c>
      <c r="D3862" t="s">
        <v>12821</v>
      </c>
      <c r="E3862">
        <v>1</v>
      </c>
      <c r="F3862" t="s">
        <v>12818</v>
      </c>
      <c r="G3862" t="s">
        <v>12408</v>
      </c>
      <c r="H3862">
        <v>335826</v>
      </c>
      <c r="I3862" t="s">
        <v>12822</v>
      </c>
    </row>
    <row r="3863" spans="1:9">
      <c r="A3863" t="str">
        <f>"0232729 "</f>
        <v xml:space="preserve">0232729 </v>
      </c>
      <c r="B3863" t="s">
        <v>12408</v>
      </c>
      <c r="C3863" t="s">
        <v>12823</v>
      </c>
      <c r="D3863" t="s">
        <v>12824</v>
      </c>
      <c r="E3863">
        <v>4</v>
      </c>
      <c r="F3863" t="s">
        <v>12825</v>
      </c>
      <c r="G3863" t="s">
        <v>12408</v>
      </c>
      <c r="H3863">
        <v>335840</v>
      </c>
      <c r="I3863" t="s">
        <v>12826</v>
      </c>
    </row>
    <row r="3864" spans="1:9">
      <c r="A3864" t="str">
        <f>"0239368 "</f>
        <v xml:space="preserve">0239368 </v>
      </c>
      <c r="B3864" t="s">
        <v>12408</v>
      </c>
      <c r="C3864" t="s">
        <v>12827</v>
      </c>
      <c r="D3864" t="s">
        <v>12828</v>
      </c>
      <c r="E3864">
        <v>1</v>
      </c>
      <c r="F3864" t="s">
        <v>12829</v>
      </c>
      <c r="G3864" t="s">
        <v>12408</v>
      </c>
      <c r="H3864">
        <v>335844</v>
      </c>
      <c r="I3864" t="s">
        <v>12830</v>
      </c>
    </row>
    <row r="3865" spans="1:9">
      <c r="A3865" t="str">
        <f>"0239369 "</f>
        <v xml:space="preserve">0239369 </v>
      </c>
      <c r="B3865" t="s">
        <v>12408</v>
      </c>
      <c r="C3865" t="s">
        <v>12831</v>
      </c>
      <c r="D3865" t="s">
        <v>12832</v>
      </c>
      <c r="E3865">
        <v>1</v>
      </c>
      <c r="F3865" t="s">
        <v>12829</v>
      </c>
      <c r="G3865" t="s">
        <v>12408</v>
      </c>
      <c r="H3865">
        <v>335845</v>
      </c>
      <c r="I3865" t="s">
        <v>12833</v>
      </c>
    </row>
    <row r="3866" spans="1:9">
      <c r="A3866" t="str">
        <f>"0041119 "</f>
        <v xml:space="preserve">0041119 </v>
      </c>
      <c r="B3866" t="s">
        <v>12408</v>
      </c>
      <c r="C3866" t="s">
        <v>12834</v>
      </c>
      <c r="D3866" t="s">
        <v>12835</v>
      </c>
      <c r="E3866">
        <v>4</v>
      </c>
      <c r="F3866" t="s">
        <v>12836</v>
      </c>
      <c r="G3866" t="s">
        <v>12408</v>
      </c>
      <c r="H3866">
        <v>335931</v>
      </c>
      <c r="I3866" t="s">
        <v>12837</v>
      </c>
    </row>
    <row r="3867" spans="1:9">
      <c r="A3867" t="str">
        <f>"0086732 "</f>
        <v xml:space="preserve">0086732 </v>
      </c>
      <c r="B3867" t="s">
        <v>12408</v>
      </c>
      <c r="C3867" t="s">
        <v>12838</v>
      </c>
      <c r="D3867" t="s">
        <v>12839</v>
      </c>
      <c r="E3867">
        <v>2</v>
      </c>
      <c r="F3867" t="s">
        <v>12840</v>
      </c>
      <c r="G3867" t="s">
        <v>12408</v>
      </c>
      <c r="H3867">
        <v>338022</v>
      </c>
      <c r="I3867" t="s">
        <v>12841</v>
      </c>
    </row>
    <row r="3868" spans="1:9">
      <c r="A3868" t="str">
        <f>"0086733 "</f>
        <v xml:space="preserve">0086733 </v>
      </c>
      <c r="B3868" t="s">
        <v>12408</v>
      </c>
      <c r="C3868" t="s">
        <v>12842</v>
      </c>
      <c r="D3868" t="s">
        <v>12843</v>
      </c>
      <c r="E3868">
        <v>2</v>
      </c>
      <c r="F3868" t="s">
        <v>12840</v>
      </c>
      <c r="G3868" t="s">
        <v>12408</v>
      </c>
      <c r="H3868">
        <v>338023</v>
      </c>
      <c r="I3868" t="s">
        <v>12844</v>
      </c>
    </row>
    <row r="3869" spans="1:9">
      <c r="A3869" t="str">
        <f>"0041126 "</f>
        <v xml:space="preserve">0041126 </v>
      </c>
      <c r="B3869" t="s">
        <v>12408</v>
      </c>
      <c r="C3869" t="s">
        <v>12845</v>
      </c>
      <c r="D3869" t="s">
        <v>12846</v>
      </c>
      <c r="E3869">
        <v>2</v>
      </c>
      <c r="F3869" t="s">
        <v>12847</v>
      </c>
      <c r="G3869" t="s">
        <v>12408</v>
      </c>
      <c r="H3869">
        <v>338700</v>
      </c>
      <c r="I3869" t="s">
        <v>12848</v>
      </c>
    </row>
    <row r="3870" spans="1:9">
      <c r="A3870" t="str">
        <f>"0041128 "</f>
        <v xml:space="preserve">0041128 </v>
      </c>
      <c r="B3870" t="s">
        <v>12408</v>
      </c>
      <c r="C3870" t="s">
        <v>12849</v>
      </c>
      <c r="D3870" t="s">
        <v>12850</v>
      </c>
      <c r="E3870">
        <v>2</v>
      </c>
      <c r="F3870" t="s">
        <v>12851</v>
      </c>
      <c r="G3870" t="s">
        <v>12408</v>
      </c>
      <c r="H3870">
        <v>338712</v>
      </c>
      <c r="I3870" t="s">
        <v>12852</v>
      </c>
    </row>
    <row r="3871" spans="1:9">
      <c r="A3871" t="str">
        <f>"0041129 "</f>
        <v xml:space="preserve">0041129 </v>
      </c>
      <c r="B3871" t="s">
        <v>12408</v>
      </c>
      <c r="C3871" t="s">
        <v>12853</v>
      </c>
      <c r="D3871" t="s">
        <v>12854</v>
      </c>
      <c r="E3871">
        <v>2</v>
      </c>
      <c r="F3871" t="s">
        <v>12855</v>
      </c>
      <c r="G3871" t="s">
        <v>12408</v>
      </c>
      <c r="H3871">
        <v>338713</v>
      </c>
      <c r="I3871" t="s">
        <v>12856</v>
      </c>
    </row>
    <row r="3872" spans="1:9">
      <c r="A3872" t="str">
        <f>"0161107 "</f>
        <v xml:space="preserve">0161107 </v>
      </c>
      <c r="B3872" t="s">
        <v>12408</v>
      </c>
      <c r="C3872" t="s">
        <v>12857</v>
      </c>
      <c r="D3872" t="s">
        <v>12858</v>
      </c>
      <c r="E3872">
        <v>1</v>
      </c>
      <c r="F3872" t="s">
        <v>12859</v>
      </c>
      <c r="G3872" t="s">
        <v>12408</v>
      </c>
      <c r="H3872">
        <v>338733</v>
      </c>
      <c r="I3872" t="s">
        <v>12860</v>
      </c>
    </row>
    <row r="3873" spans="1:9">
      <c r="A3873" t="str">
        <f>"0161108 "</f>
        <v xml:space="preserve">0161108 </v>
      </c>
      <c r="B3873" t="s">
        <v>12408</v>
      </c>
      <c r="C3873" t="s">
        <v>12861</v>
      </c>
      <c r="D3873" t="s">
        <v>12862</v>
      </c>
      <c r="E3873">
        <v>1</v>
      </c>
      <c r="F3873" t="s">
        <v>12859</v>
      </c>
      <c r="G3873" t="s">
        <v>12408</v>
      </c>
      <c r="H3873">
        <v>338734</v>
      </c>
      <c r="I3873" t="s">
        <v>12863</v>
      </c>
    </row>
    <row r="3874" spans="1:9">
      <c r="A3874" t="str">
        <f>"0161109 "</f>
        <v xml:space="preserve">0161109 </v>
      </c>
      <c r="B3874" t="s">
        <v>12408</v>
      </c>
      <c r="C3874" t="s">
        <v>12864</v>
      </c>
      <c r="D3874" t="s">
        <v>12865</v>
      </c>
      <c r="E3874">
        <v>1</v>
      </c>
      <c r="F3874" t="s">
        <v>12866</v>
      </c>
      <c r="G3874" t="s">
        <v>12408</v>
      </c>
      <c r="H3874">
        <v>338735</v>
      </c>
      <c r="I3874" t="s">
        <v>12867</v>
      </c>
    </row>
    <row r="3875" spans="1:9">
      <c r="A3875" t="str">
        <f>"0161110 "</f>
        <v xml:space="preserve">0161110 </v>
      </c>
      <c r="B3875" t="s">
        <v>12408</v>
      </c>
      <c r="C3875" t="s">
        <v>12868</v>
      </c>
      <c r="D3875" t="s">
        <v>12869</v>
      </c>
      <c r="E3875">
        <v>1</v>
      </c>
      <c r="F3875" t="s">
        <v>12866</v>
      </c>
      <c r="G3875" t="s">
        <v>12408</v>
      </c>
      <c r="H3875">
        <v>338736</v>
      </c>
      <c r="I3875" t="s">
        <v>12870</v>
      </c>
    </row>
    <row r="3876" spans="1:9">
      <c r="A3876" t="str">
        <f>"0239375 "</f>
        <v xml:space="preserve">0239375 </v>
      </c>
      <c r="B3876" t="s">
        <v>12408</v>
      </c>
      <c r="C3876" t="s">
        <v>12871</v>
      </c>
      <c r="D3876" t="s">
        <v>12872</v>
      </c>
      <c r="E3876">
        <v>2</v>
      </c>
      <c r="F3876" t="s">
        <v>12873</v>
      </c>
      <c r="G3876" t="s">
        <v>12408</v>
      </c>
      <c r="H3876">
        <v>338738</v>
      </c>
      <c r="I3876" t="s">
        <v>12874</v>
      </c>
    </row>
    <row r="3877" spans="1:9">
      <c r="A3877" t="str">
        <f>"0252576 "</f>
        <v xml:space="preserve">0252576 </v>
      </c>
      <c r="B3877" t="s">
        <v>12408</v>
      </c>
      <c r="C3877" t="s">
        <v>12875</v>
      </c>
      <c r="D3877" t="s">
        <v>12876</v>
      </c>
      <c r="E3877">
        <v>2</v>
      </c>
      <c r="F3877" t="s">
        <v>12877</v>
      </c>
      <c r="G3877" t="s">
        <v>12408</v>
      </c>
      <c r="H3877">
        <v>338749</v>
      </c>
      <c r="I3877" t="s">
        <v>12878</v>
      </c>
    </row>
    <row r="3878" spans="1:9">
      <c r="A3878" t="str">
        <f>"0239376 "</f>
        <v xml:space="preserve">0239376 </v>
      </c>
      <c r="B3878" t="s">
        <v>12408</v>
      </c>
      <c r="C3878" t="s">
        <v>12879</v>
      </c>
      <c r="D3878" t="s">
        <v>12880</v>
      </c>
      <c r="E3878">
        <v>2</v>
      </c>
      <c r="F3878" t="s">
        <v>12881</v>
      </c>
      <c r="G3878" t="s">
        <v>12408</v>
      </c>
      <c r="H3878">
        <v>338759</v>
      </c>
      <c r="I3878" t="s">
        <v>12882</v>
      </c>
    </row>
    <row r="3879" spans="1:9">
      <c r="A3879" t="str">
        <f>"0041155 "</f>
        <v xml:space="preserve">0041155 </v>
      </c>
      <c r="B3879" t="s">
        <v>12408</v>
      </c>
      <c r="C3879" t="s">
        <v>12883</v>
      </c>
      <c r="D3879" t="s">
        <v>12884</v>
      </c>
      <c r="E3879">
        <v>5</v>
      </c>
      <c r="F3879" t="s">
        <v>12885</v>
      </c>
      <c r="G3879" t="s">
        <v>12408</v>
      </c>
      <c r="H3879">
        <v>339023</v>
      </c>
      <c r="I3879" t="s">
        <v>12886</v>
      </c>
    </row>
    <row r="3880" spans="1:9">
      <c r="A3880" t="str">
        <f>"0041156 "</f>
        <v xml:space="preserve">0041156 </v>
      </c>
      <c r="B3880" t="s">
        <v>12408</v>
      </c>
      <c r="C3880" t="s">
        <v>12887</v>
      </c>
      <c r="D3880" t="s">
        <v>12888</v>
      </c>
      <c r="E3880">
        <v>5</v>
      </c>
      <c r="F3880" t="s">
        <v>12885</v>
      </c>
      <c r="G3880" t="s">
        <v>12408</v>
      </c>
      <c r="H3880">
        <v>339024</v>
      </c>
      <c r="I3880" t="s">
        <v>12889</v>
      </c>
    </row>
    <row r="3881" spans="1:9">
      <c r="A3881" t="str">
        <f>"0041157 "</f>
        <v xml:space="preserve">0041157 </v>
      </c>
      <c r="B3881" t="s">
        <v>12408</v>
      </c>
      <c r="C3881" t="s">
        <v>12890</v>
      </c>
      <c r="D3881" t="s">
        <v>12891</v>
      </c>
      <c r="E3881">
        <v>1</v>
      </c>
      <c r="F3881" t="s">
        <v>12678</v>
      </c>
      <c r="G3881" t="s">
        <v>12408</v>
      </c>
      <c r="H3881">
        <v>339025</v>
      </c>
      <c r="I3881" t="s">
        <v>12892</v>
      </c>
    </row>
    <row r="3882" spans="1:9">
      <c r="A3882" t="str">
        <f>"0041158 "</f>
        <v xml:space="preserve">0041158 </v>
      </c>
      <c r="B3882" t="s">
        <v>12408</v>
      </c>
      <c r="C3882" t="s">
        <v>12893</v>
      </c>
      <c r="D3882" t="s">
        <v>12894</v>
      </c>
      <c r="E3882">
        <v>2</v>
      </c>
      <c r="F3882" t="s">
        <v>12678</v>
      </c>
      <c r="G3882" t="s">
        <v>12408</v>
      </c>
      <c r="H3882">
        <v>339026</v>
      </c>
      <c r="I3882" t="s">
        <v>12895</v>
      </c>
    </row>
    <row r="3883" spans="1:9">
      <c r="A3883" t="str">
        <f>"0041161 "</f>
        <v xml:space="preserve">0041161 </v>
      </c>
      <c r="B3883" t="s">
        <v>12408</v>
      </c>
      <c r="C3883" t="s">
        <v>12896</v>
      </c>
      <c r="D3883" t="s">
        <v>12897</v>
      </c>
      <c r="E3883" t="s">
        <v>16</v>
      </c>
      <c r="F3883" t="s">
        <v>12898</v>
      </c>
      <c r="G3883" t="s">
        <v>12408</v>
      </c>
      <c r="H3883">
        <v>339029</v>
      </c>
      <c r="I3883" t="s">
        <v>12899</v>
      </c>
    </row>
    <row r="3884" spans="1:9">
      <c r="A3884" t="str">
        <f>"0041162 "</f>
        <v xml:space="preserve">0041162 </v>
      </c>
      <c r="B3884" t="s">
        <v>12408</v>
      </c>
      <c r="C3884" t="s">
        <v>12900</v>
      </c>
      <c r="D3884" t="s">
        <v>12901</v>
      </c>
      <c r="E3884" t="s">
        <v>16</v>
      </c>
      <c r="F3884" t="s">
        <v>12898</v>
      </c>
      <c r="G3884" t="s">
        <v>12408</v>
      </c>
      <c r="H3884">
        <v>339030</v>
      </c>
      <c r="I3884" t="s">
        <v>12902</v>
      </c>
    </row>
    <row r="3885" spans="1:9">
      <c r="A3885" t="str">
        <f>"0041163 "</f>
        <v xml:space="preserve">0041163 </v>
      </c>
      <c r="B3885" t="s">
        <v>12408</v>
      </c>
      <c r="C3885" t="s">
        <v>12903</v>
      </c>
      <c r="D3885" t="s">
        <v>12904</v>
      </c>
      <c r="E3885">
        <v>3</v>
      </c>
      <c r="F3885" t="s">
        <v>12905</v>
      </c>
      <c r="G3885" t="s">
        <v>12408</v>
      </c>
      <c r="H3885">
        <v>339031</v>
      </c>
      <c r="I3885" t="s">
        <v>12906</v>
      </c>
    </row>
    <row r="3886" spans="1:9">
      <c r="A3886" t="str">
        <f>"0041164 "</f>
        <v xml:space="preserve">0041164 </v>
      </c>
      <c r="B3886" t="s">
        <v>12408</v>
      </c>
      <c r="C3886" t="s">
        <v>12907</v>
      </c>
      <c r="D3886" t="s">
        <v>12908</v>
      </c>
      <c r="E3886">
        <v>3</v>
      </c>
      <c r="F3886" t="s">
        <v>12905</v>
      </c>
      <c r="G3886" t="s">
        <v>12408</v>
      </c>
      <c r="H3886">
        <v>339032</v>
      </c>
      <c r="I3886" t="s">
        <v>12909</v>
      </c>
    </row>
    <row r="3887" spans="1:9">
      <c r="A3887" t="str">
        <f>"0041187 "</f>
        <v xml:space="preserve">0041187 </v>
      </c>
      <c r="B3887" t="s">
        <v>12408</v>
      </c>
      <c r="C3887" t="s">
        <v>12910</v>
      </c>
      <c r="D3887" t="s">
        <v>12911</v>
      </c>
      <c r="E3887">
        <v>1</v>
      </c>
      <c r="F3887" t="s">
        <v>12912</v>
      </c>
      <c r="G3887" t="s">
        <v>12408</v>
      </c>
      <c r="H3887">
        <v>339066</v>
      </c>
      <c r="I3887" t="s">
        <v>12913</v>
      </c>
    </row>
    <row r="3888" spans="1:9">
      <c r="A3888" t="str">
        <f>"0041188 "</f>
        <v xml:space="preserve">0041188 </v>
      </c>
      <c r="B3888" t="s">
        <v>12408</v>
      </c>
      <c r="C3888" t="s">
        <v>12914</v>
      </c>
      <c r="D3888" t="s">
        <v>12915</v>
      </c>
      <c r="E3888">
        <v>1</v>
      </c>
      <c r="F3888" t="s">
        <v>12912</v>
      </c>
      <c r="G3888" t="s">
        <v>12408</v>
      </c>
      <c r="H3888">
        <v>339067</v>
      </c>
      <c r="I3888" t="s">
        <v>12916</v>
      </c>
    </row>
    <row r="3889" spans="1:9">
      <c r="A3889" t="str">
        <f>"0041195 "</f>
        <v xml:space="preserve">0041195 </v>
      </c>
      <c r="B3889" t="s">
        <v>12408</v>
      </c>
      <c r="C3889" t="s">
        <v>12917</v>
      </c>
      <c r="D3889" t="s">
        <v>12918</v>
      </c>
      <c r="E3889">
        <v>2</v>
      </c>
      <c r="F3889" t="s">
        <v>12781</v>
      </c>
      <c r="G3889" t="s">
        <v>12408</v>
      </c>
      <c r="H3889">
        <v>339074</v>
      </c>
      <c r="I3889" t="s">
        <v>12919</v>
      </c>
    </row>
    <row r="3890" spans="1:9">
      <c r="A3890" t="str">
        <f>"0041196 "</f>
        <v xml:space="preserve">0041196 </v>
      </c>
      <c r="B3890" t="s">
        <v>12408</v>
      </c>
      <c r="C3890" t="s">
        <v>12920</v>
      </c>
      <c r="D3890" t="s">
        <v>12921</v>
      </c>
      <c r="E3890">
        <v>2</v>
      </c>
      <c r="F3890" t="s">
        <v>12781</v>
      </c>
      <c r="G3890" t="s">
        <v>12408</v>
      </c>
      <c r="H3890">
        <v>339075</v>
      </c>
      <c r="I3890" t="s">
        <v>12922</v>
      </c>
    </row>
    <row r="3891" spans="1:9">
      <c r="A3891" t="str">
        <f>"0041201 "</f>
        <v xml:space="preserve">0041201 </v>
      </c>
      <c r="B3891" t="s">
        <v>12408</v>
      </c>
      <c r="C3891" t="s">
        <v>12923</v>
      </c>
      <c r="D3891" t="s">
        <v>12924</v>
      </c>
      <c r="E3891">
        <v>2</v>
      </c>
      <c r="F3891" t="s">
        <v>12925</v>
      </c>
      <c r="G3891" t="s">
        <v>12408</v>
      </c>
      <c r="H3891">
        <v>339080</v>
      </c>
      <c r="I3891" t="s">
        <v>12926</v>
      </c>
    </row>
    <row r="3892" spans="1:9">
      <c r="A3892" t="str">
        <f>"0041202 "</f>
        <v xml:space="preserve">0041202 </v>
      </c>
      <c r="B3892" t="s">
        <v>12408</v>
      </c>
      <c r="C3892" t="s">
        <v>12927</v>
      </c>
      <c r="D3892" t="s">
        <v>12928</v>
      </c>
      <c r="E3892">
        <v>2</v>
      </c>
      <c r="F3892" t="s">
        <v>12925</v>
      </c>
      <c r="G3892" t="s">
        <v>12408</v>
      </c>
      <c r="H3892">
        <v>339081</v>
      </c>
      <c r="I3892" t="s">
        <v>12929</v>
      </c>
    </row>
    <row r="3893" spans="1:9">
      <c r="A3893" t="str">
        <f>"0041213 "</f>
        <v xml:space="preserve">0041213 </v>
      </c>
      <c r="B3893" t="s">
        <v>12408</v>
      </c>
      <c r="C3893" t="s">
        <v>12930</v>
      </c>
      <c r="D3893" t="s">
        <v>12931</v>
      </c>
      <c r="E3893">
        <v>2</v>
      </c>
      <c r="F3893" t="s">
        <v>12932</v>
      </c>
      <c r="G3893" t="s">
        <v>12408</v>
      </c>
      <c r="H3893">
        <v>339104</v>
      </c>
      <c r="I3893" t="s">
        <v>12933</v>
      </c>
    </row>
    <row r="3894" spans="1:9">
      <c r="A3894" t="str">
        <f>"0041214 "</f>
        <v xml:space="preserve">0041214 </v>
      </c>
      <c r="B3894" t="s">
        <v>12408</v>
      </c>
      <c r="C3894" t="s">
        <v>12934</v>
      </c>
      <c r="D3894" t="s">
        <v>12935</v>
      </c>
      <c r="E3894">
        <v>2</v>
      </c>
      <c r="F3894" t="s">
        <v>12932</v>
      </c>
      <c r="G3894" t="s">
        <v>12408</v>
      </c>
      <c r="H3894">
        <v>339105</v>
      </c>
      <c r="I3894" t="s">
        <v>12936</v>
      </c>
    </row>
    <row r="3895" spans="1:9">
      <c r="A3895" t="str">
        <f>"0041226 "</f>
        <v xml:space="preserve">0041226 </v>
      </c>
      <c r="B3895" t="s">
        <v>12408</v>
      </c>
      <c r="C3895" t="s">
        <v>12937</v>
      </c>
      <c r="D3895" t="s">
        <v>12938</v>
      </c>
      <c r="E3895">
        <v>2</v>
      </c>
      <c r="F3895" t="s">
        <v>12939</v>
      </c>
      <c r="G3895" t="s">
        <v>12408</v>
      </c>
      <c r="H3895">
        <v>339117</v>
      </c>
      <c r="I3895" t="s">
        <v>12940</v>
      </c>
    </row>
    <row r="3896" spans="1:9">
      <c r="A3896" t="str">
        <f>"0041247 "</f>
        <v xml:space="preserve">0041247 </v>
      </c>
      <c r="B3896" t="s">
        <v>12408</v>
      </c>
      <c r="C3896" t="s">
        <v>12941</v>
      </c>
      <c r="D3896" t="s">
        <v>12942</v>
      </c>
      <c r="E3896">
        <v>1</v>
      </c>
      <c r="F3896" t="s">
        <v>12943</v>
      </c>
      <c r="G3896" t="s">
        <v>12408</v>
      </c>
      <c r="H3896">
        <v>339140</v>
      </c>
      <c r="I3896" t="s">
        <v>12944</v>
      </c>
    </row>
    <row r="3897" spans="1:9">
      <c r="A3897" t="str">
        <f>"0041248 "</f>
        <v xml:space="preserve">0041248 </v>
      </c>
      <c r="B3897" t="s">
        <v>12408</v>
      </c>
      <c r="C3897" t="s">
        <v>12945</v>
      </c>
      <c r="D3897" t="s">
        <v>12946</v>
      </c>
      <c r="E3897">
        <v>1</v>
      </c>
      <c r="F3897" t="s">
        <v>12943</v>
      </c>
      <c r="G3897" t="s">
        <v>12408</v>
      </c>
      <c r="H3897">
        <v>339141</v>
      </c>
      <c r="I3897" t="s">
        <v>12947</v>
      </c>
    </row>
    <row r="3898" spans="1:9">
      <c r="A3898" t="str">
        <f>"0041260 "</f>
        <v xml:space="preserve">0041260 </v>
      </c>
      <c r="B3898" t="s">
        <v>12408</v>
      </c>
      <c r="C3898" t="s">
        <v>12948</v>
      </c>
      <c r="D3898" t="s">
        <v>12949</v>
      </c>
      <c r="E3898">
        <v>2</v>
      </c>
      <c r="F3898" t="s">
        <v>12950</v>
      </c>
      <c r="G3898" t="s">
        <v>12408</v>
      </c>
      <c r="H3898">
        <v>339155</v>
      </c>
      <c r="I3898" t="s">
        <v>12951</v>
      </c>
    </row>
    <row r="3899" spans="1:9">
      <c r="A3899" t="str">
        <f>"0041261 "</f>
        <v xml:space="preserve">0041261 </v>
      </c>
      <c r="B3899" t="s">
        <v>12408</v>
      </c>
      <c r="C3899" t="s">
        <v>12952</v>
      </c>
      <c r="D3899" t="s">
        <v>12953</v>
      </c>
      <c r="E3899">
        <v>2</v>
      </c>
      <c r="F3899" t="s">
        <v>12950</v>
      </c>
      <c r="G3899" t="s">
        <v>12408</v>
      </c>
      <c r="H3899">
        <v>339156</v>
      </c>
      <c r="I3899" t="s">
        <v>12954</v>
      </c>
    </row>
    <row r="3900" spans="1:9">
      <c r="A3900" t="str">
        <f>"0041268 "</f>
        <v xml:space="preserve">0041268 </v>
      </c>
      <c r="B3900" t="s">
        <v>12408</v>
      </c>
      <c r="C3900" t="s">
        <v>12955</v>
      </c>
      <c r="D3900" t="s">
        <v>12956</v>
      </c>
      <c r="E3900">
        <v>2</v>
      </c>
      <c r="F3900" t="s">
        <v>12580</v>
      </c>
      <c r="G3900" t="s">
        <v>12408</v>
      </c>
      <c r="H3900">
        <v>339169</v>
      </c>
      <c r="I3900" t="s">
        <v>12957</v>
      </c>
    </row>
    <row r="3901" spans="1:9">
      <c r="A3901" t="str">
        <f>"0041269 "</f>
        <v xml:space="preserve">0041269 </v>
      </c>
      <c r="B3901" t="s">
        <v>12408</v>
      </c>
      <c r="C3901" t="s">
        <v>12958</v>
      </c>
      <c r="D3901" t="s">
        <v>12959</v>
      </c>
      <c r="E3901">
        <v>2</v>
      </c>
      <c r="F3901" t="s">
        <v>12580</v>
      </c>
      <c r="G3901" t="s">
        <v>12408</v>
      </c>
      <c r="H3901">
        <v>339170</v>
      </c>
      <c r="I3901" t="s">
        <v>12960</v>
      </c>
    </row>
    <row r="3902" spans="1:9">
      <c r="A3902" t="str">
        <f>"0041270 "</f>
        <v xml:space="preserve">0041270 </v>
      </c>
      <c r="B3902" t="s">
        <v>12408</v>
      </c>
      <c r="C3902" t="s">
        <v>12961</v>
      </c>
      <c r="D3902" t="s">
        <v>12962</v>
      </c>
      <c r="E3902">
        <v>2</v>
      </c>
      <c r="F3902" t="s">
        <v>12963</v>
      </c>
      <c r="G3902" t="s">
        <v>12408</v>
      </c>
      <c r="H3902">
        <v>339171</v>
      </c>
      <c r="I3902" t="s">
        <v>12964</v>
      </c>
    </row>
    <row r="3903" spans="1:9">
      <c r="A3903" t="str">
        <f>"0041271 "</f>
        <v xml:space="preserve">0041271 </v>
      </c>
      <c r="B3903" t="s">
        <v>12408</v>
      </c>
      <c r="C3903" t="s">
        <v>12965</v>
      </c>
      <c r="D3903" t="s">
        <v>12966</v>
      </c>
      <c r="E3903">
        <v>2</v>
      </c>
      <c r="F3903" t="s">
        <v>12963</v>
      </c>
      <c r="G3903" t="s">
        <v>12408</v>
      </c>
      <c r="H3903">
        <v>339172</v>
      </c>
      <c r="I3903" t="s">
        <v>12967</v>
      </c>
    </row>
    <row r="3904" spans="1:9">
      <c r="A3904" t="str">
        <f>"0041276 "</f>
        <v xml:space="preserve">0041276 </v>
      </c>
      <c r="B3904" t="s">
        <v>12408</v>
      </c>
      <c r="C3904" t="s">
        <v>12968</v>
      </c>
      <c r="D3904" t="s">
        <v>12969</v>
      </c>
      <c r="E3904">
        <v>2</v>
      </c>
      <c r="F3904" t="s">
        <v>12970</v>
      </c>
      <c r="G3904" t="s">
        <v>12408</v>
      </c>
      <c r="H3904">
        <v>339196</v>
      </c>
      <c r="I3904" t="s">
        <v>12971</v>
      </c>
    </row>
    <row r="3905" spans="1:9">
      <c r="A3905" t="str">
        <f>"0041277 "</f>
        <v xml:space="preserve">0041277 </v>
      </c>
      <c r="B3905" t="s">
        <v>12408</v>
      </c>
      <c r="C3905" t="s">
        <v>12972</v>
      </c>
      <c r="D3905" t="s">
        <v>12973</v>
      </c>
      <c r="E3905">
        <v>2</v>
      </c>
      <c r="F3905" t="s">
        <v>12970</v>
      </c>
      <c r="G3905" t="s">
        <v>12408</v>
      </c>
      <c r="H3905">
        <v>339197</v>
      </c>
      <c r="I3905" t="s">
        <v>12974</v>
      </c>
    </row>
    <row r="3906" spans="1:9">
      <c r="A3906" t="str">
        <f>"0041278 "</f>
        <v xml:space="preserve">0041278 </v>
      </c>
      <c r="B3906" t="s">
        <v>12408</v>
      </c>
      <c r="C3906" t="s">
        <v>12975</v>
      </c>
      <c r="D3906" t="s">
        <v>12976</v>
      </c>
      <c r="E3906">
        <v>2</v>
      </c>
      <c r="F3906" t="s">
        <v>12977</v>
      </c>
      <c r="G3906" t="s">
        <v>12408</v>
      </c>
      <c r="H3906">
        <v>339198</v>
      </c>
      <c r="I3906" t="s">
        <v>12978</v>
      </c>
    </row>
    <row r="3907" spans="1:9">
      <c r="A3907" t="str">
        <f>"0041279 "</f>
        <v xml:space="preserve">0041279 </v>
      </c>
      <c r="B3907" t="s">
        <v>12408</v>
      </c>
      <c r="C3907" t="s">
        <v>12979</v>
      </c>
      <c r="D3907" t="s">
        <v>12980</v>
      </c>
      <c r="E3907">
        <v>2</v>
      </c>
      <c r="F3907" t="s">
        <v>12977</v>
      </c>
      <c r="G3907" t="s">
        <v>12408</v>
      </c>
      <c r="H3907">
        <v>339199</v>
      </c>
      <c r="I3907" t="s">
        <v>12981</v>
      </c>
    </row>
    <row r="3908" spans="1:9">
      <c r="A3908" t="str">
        <f>"0086760 "</f>
        <v xml:space="preserve">0086760 </v>
      </c>
      <c r="B3908" t="s">
        <v>12408</v>
      </c>
      <c r="C3908" t="s">
        <v>12982</v>
      </c>
      <c r="D3908" t="s">
        <v>12983</v>
      </c>
      <c r="E3908">
        <v>1</v>
      </c>
      <c r="F3908" t="s">
        <v>12984</v>
      </c>
      <c r="G3908" t="s">
        <v>12408</v>
      </c>
      <c r="H3908">
        <v>339236</v>
      </c>
      <c r="I3908" t="s">
        <v>12985</v>
      </c>
    </row>
    <row r="3909" spans="1:9">
      <c r="A3909" t="str">
        <f>"0086761 "</f>
        <v xml:space="preserve">0086761 </v>
      </c>
      <c r="B3909" t="s">
        <v>12408</v>
      </c>
      <c r="C3909" t="s">
        <v>12986</v>
      </c>
      <c r="D3909" t="s">
        <v>12987</v>
      </c>
      <c r="E3909">
        <v>1</v>
      </c>
      <c r="F3909" t="s">
        <v>12984</v>
      </c>
      <c r="G3909" t="s">
        <v>12408</v>
      </c>
      <c r="H3909">
        <v>339237</v>
      </c>
      <c r="I3909" t="s">
        <v>12988</v>
      </c>
    </row>
    <row r="3910" spans="1:9">
      <c r="A3910" t="str">
        <f>"0153382 "</f>
        <v xml:space="preserve">0153382 </v>
      </c>
      <c r="B3910" t="s">
        <v>12408</v>
      </c>
      <c r="C3910" t="s">
        <v>12989</v>
      </c>
      <c r="D3910" t="s">
        <v>12990</v>
      </c>
      <c r="E3910">
        <v>2</v>
      </c>
      <c r="F3910" t="s">
        <v>12991</v>
      </c>
      <c r="G3910" t="s">
        <v>12408</v>
      </c>
      <c r="H3910">
        <v>339253</v>
      </c>
      <c r="I3910" t="s">
        <v>12992</v>
      </c>
    </row>
    <row r="3911" spans="1:9">
      <c r="A3911" t="str">
        <f>"0153383 "</f>
        <v xml:space="preserve">0153383 </v>
      </c>
      <c r="B3911" t="s">
        <v>12408</v>
      </c>
      <c r="C3911" t="s">
        <v>12993</v>
      </c>
      <c r="D3911" t="s">
        <v>12994</v>
      </c>
      <c r="E3911">
        <v>2</v>
      </c>
      <c r="F3911" t="s">
        <v>12991</v>
      </c>
      <c r="G3911" t="s">
        <v>12408</v>
      </c>
      <c r="H3911">
        <v>339254</v>
      </c>
      <c r="I3911" t="s">
        <v>12995</v>
      </c>
    </row>
    <row r="3912" spans="1:9">
      <c r="A3912" t="str">
        <f>"0086781 "</f>
        <v xml:space="preserve">0086781 </v>
      </c>
      <c r="B3912" t="s">
        <v>12408</v>
      </c>
      <c r="C3912" t="s">
        <v>12996</v>
      </c>
      <c r="D3912" t="s">
        <v>12997</v>
      </c>
      <c r="E3912">
        <v>2</v>
      </c>
      <c r="F3912" t="s">
        <v>12943</v>
      </c>
      <c r="G3912" t="s">
        <v>12408</v>
      </c>
      <c r="H3912">
        <v>339261</v>
      </c>
      <c r="I3912" t="s">
        <v>12998</v>
      </c>
    </row>
    <row r="3913" spans="1:9">
      <c r="A3913" t="str">
        <f>"0086782 "</f>
        <v xml:space="preserve">0086782 </v>
      </c>
      <c r="B3913" t="s">
        <v>12408</v>
      </c>
      <c r="C3913" t="s">
        <v>12999</v>
      </c>
      <c r="D3913" t="s">
        <v>13000</v>
      </c>
      <c r="E3913">
        <v>2</v>
      </c>
      <c r="F3913" t="s">
        <v>12943</v>
      </c>
      <c r="G3913" t="s">
        <v>12408</v>
      </c>
      <c r="H3913">
        <v>339262</v>
      </c>
      <c r="I3913" t="s">
        <v>13001</v>
      </c>
    </row>
    <row r="3914" spans="1:9">
      <c r="A3914" t="str">
        <f>"0153384 "</f>
        <v xml:space="preserve">0153384 </v>
      </c>
      <c r="B3914" t="s">
        <v>12408</v>
      </c>
      <c r="C3914" t="s">
        <v>13002</v>
      </c>
      <c r="D3914" t="s">
        <v>13003</v>
      </c>
      <c r="E3914">
        <v>1</v>
      </c>
      <c r="F3914" t="s">
        <v>13004</v>
      </c>
      <c r="G3914" t="s">
        <v>12408</v>
      </c>
      <c r="H3914">
        <v>339269</v>
      </c>
      <c r="I3914" t="s">
        <v>13005</v>
      </c>
    </row>
    <row r="3915" spans="1:9">
      <c r="A3915" t="str">
        <f>"0153385 "</f>
        <v xml:space="preserve">0153385 </v>
      </c>
      <c r="B3915" t="s">
        <v>12408</v>
      </c>
      <c r="C3915" t="s">
        <v>13006</v>
      </c>
      <c r="D3915" t="s">
        <v>13007</v>
      </c>
      <c r="E3915">
        <v>1</v>
      </c>
      <c r="F3915" t="s">
        <v>13004</v>
      </c>
      <c r="G3915" t="s">
        <v>12408</v>
      </c>
      <c r="H3915">
        <v>339270</v>
      </c>
      <c r="I3915" t="s">
        <v>13008</v>
      </c>
    </row>
    <row r="3916" spans="1:9">
      <c r="A3916" t="str">
        <f>"0041280 "</f>
        <v xml:space="preserve">0041280 </v>
      </c>
      <c r="B3916" t="s">
        <v>12408</v>
      </c>
      <c r="C3916" t="s">
        <v>13009</v>
      </c>
      <c r="D3916" t="s">
        <v>13010</v>
      </c>
      <c r="E3916">
        <v>2</v>
      </c>
      <c r="F3916" t="s">
        <v>13011</v>
      </c>
      <c r="G3916" t="s">
        <v>12408</v>
      </c>
      <c r="H3916">
        <v>339700</v>
      </c>
      <c r="I3916" t="s">
        <v>13012</v>
      </c>
    </row>
    <row r="3917" spans="1:9">
      <c r="A3917" t="str">
        <f>"0041281 "</f>
        <v xml:space="preserve">0041281 </v>
      </c>
      <c r="B3917" t="s">
        <v>12408</v>
      </c>
      <c r="C3917" t="s">
        <v>13013</v>
      </c>
      <c r="D3917" t="s">
        <v>13014</v>
      </c>
      <c r="E3917">
        <v>2</v>
      </c>
      <c r="F3917" t="s">
        <v>13011</v>
      </c>
      <c r="G3917" t="s">
        <v>12408</v>
      </c>
      <c r="H3917">
        <v>339701</v>
      </c>
      <c r="I3917" t="s">
        <v>13015</v>
      </c>
    </row>
    <row r="3918" spans="1:9">
      <c r="A3918" t="str">
        <f>"0041282 "</f>
        <v xml:space="preserve">0041282 </v>
      </c>
      <c r="B3918" t="s">
        <v>12408</v>
      </c>
      <c r="C3918" t="s">
        <v>13016</v>
      </c>
      <c r="D3918" t="s">
        <v>13017</v>
      </c>
      <c r="E3918">
        <v>2</v>
      </c>
      <c r="F3918" t="s">
        <v>13018</v>
      </c>
      <c r="G3918" t="s">
        <v>12408</v>
      </c>
      <c r="H3918">
        <v>339702</v>
      </c>
      <c r="I3918" t="s">
        <v>13019</v>
      </c>
    </row>
    <row r="3919" spans="1:9">
      <c r="A3919" t="str">
        <f>"0041283 "</f>
        <v xml:space="preserve">0041283 </v>
      </c>
      <c r="B3919" t="s">
        <v>12408</v>
      </c>
      <c r="C3919" t="s">
        <v>13020</v>
      </c>
      <c r="D3919" t="s">
        <v>13021</v>
      </c>
      <c r="E3919">
        <v>2</v>
      </c>
      <c r="F3919" t="s">
        <v>13018</v>
      </c>
      <c r="G3919" t="s">
        <v>12408</v>
      </c>
      <c r="H3919">
        <v>339703</v>
      </c>
      <c r="I3919" t="s">
        <v>13022</v>
      </c>
    </row>
    <row r="3920" spans="1:9">
      <c r="A3920" t="str">
        <f>"0041287 "</f>
        <v xml:space="preserve">0041287 </v>
      </c>
      <c r="B3920" t="s">
        <v>12408</v>
      </c>
      <c r="C3920" t="s">
        <v>13023</v>
      </c>
      <c r="D3920" t="s">
        <v>13024</v>
      </c>
      <c r="E3920">
        <v>1</v>
      </c>
      <c r="F3920" t="s">
        <v>13025</v>
      </c>
      <c r="G3920" t="s">
        <v>12408</v>
      </c>
      <c r="H3920">
        <v>339709</v>
      </c>
      <c r="I3920" t="s">
        <v>13026</v>
      </c>
    </row>
    <row r="3921" spans="1:9">
      <c r="A3921" t="str">
        <f>"0041288 "</f>
        <v xml:space="preserve">0041288 </v>
      </c>
      <c r="B3921" t="s">
        <v>12408</v>
      </c>
      <c r="C3921" t="s">
        <v>13027</v>
      </c>
      <c r="D3921" t="s">
        <v>13028</v>
      </c>
      <c r="E3921">
        <v>1</v>
      </c>
      <c r="F3921" t="s">
        <v>13025</v>
      </c>
      <c r="G3921" t="s">
        <v>12408</v>
      </c>
      <c r="H3921">
        <v>339710</v>
      </c>
      <c r="I3921" t="s">
        <v>13029</v>
      </c>
    </row>
    <row r="3922" spans="1:9">
      <c r="A3922" t="str">
        <f>"0050393 "</f>
        <v xml:space="preserve">0050393 </v>
      </c>
      <c r="B3922" t="s">
        <v>12408</v>
      </c>
      <c r="C3922" t="s">
        <v>13030</v>
      </c>
      <c r="D3922" t="s">
        <v>13031</v>
      </c>
      <c r="E3922">
        <v>2</v>
      </c>
      <c r="F3922" t="s">
        <v>13032</v>
      </c>
      <c r="G3922" t="s">
        <v>12408</v>
      </c>
      <c r="H3922">
        <v>339724</v>
      </c>
      <c r="I3922" t="s">
        <v>13033</v>
      </c>
    </row>
    <row r="3923" spans="1:9">
      <c r="A3923" t="str">
        <f>"0086792 "</f>
        <v xml:space="preserve">0086792 </v>
      </c>
      <c r="B3923" t="s">
        <v>12408</v>
      </c>
      <c r="C3923" t="s">
        <v>13034</v>
      </c>
      <c r="D3923" t="s">
        <v>13035</v>
      </c>
      <c r="E3923">
        <v>1</v>
      </c>
      <c r="F3923" t="s">
        <v>13036</v>
      </c>
      <c r="G3923" t="s">
        <v>12408</v>
      </c>
      <c r="H3923">
        <v>339735</v>
      </c>
      <c r="I3923" t="s">
        <v>13037</v>
      </c>
    </row>
    <row r="3924" spans="1:9">
      <c r="A3924" t="str">
        <f>"0086793 "</f>
        <v xml:space="preserve">0086793 </v>
      </c>
      <c r="B3924" t="s">
        <v>12408</v>
      </c>
      <c r="C3924" t="s">
        <v>13038</v>
      </c>
      <c r="D3924" t="s">
        <v>13039</v>
      </c>
      <c r="E3924">
        <v>1</v>
      </c>
      <c r="F3924" t="s">
        <v>13036</v>
      </c>
      <c r="G3924" t="s">
        <v>12408</v>
      </c>
      <c r="H3924">
        <v>339736</v>
      </c>
      <c r="I3924" t="s">
        <v>13037</v>
      </c>
    </row>
    <row r="3925" spans="1:9">
      <c r="A3925" t="str">
        <f>"0086605 "</f>
        <v xml:space="preserve">0086605 </v>
      </c>
      <c r="B3925" t="s">
        <v>12408</v>
      </c>
      <c r="C3925" t="s">
        <v>13040</v>
      </c>
      <c r="D3925" t="s">
        <v>13041</v>
      </c>
      <c r="E3925">
        <v>4</v>
      </c>
      <c r="F3925" t="s">
        <v>13042</v>
      </c>
      <c r="G3925" t="s">
        <v>12408</v>
      </c>
      <c r="H3925">
        <v>339742</v>
      </c>
      <c r="I3925" t="s">
        <v>13043</v>
      </c>
    </row>
    <row r="3926" spans="1:9">
      <c r="A3926" t="str">
        <f>"0086606 "</f>
        <v xml:space="preserve">0086606 </v>
      </c>
      <c r="B3926" t="s">
        <v>12408</v>
      </c>
      <c r="C3926" t="s">
        <v>13044</v>
      </c>
      <c r="D3926" t="s">
        <v>13045</v>
      </c>
      <c r="E3926">
        <v>4</v>
      </c>
      <c r="F3926" t="s">
        <v>13042</v>
      </c>
      <c r="G3926" t="s">
        <v>12408</v>
      </c>
      <c r="H3926">
        <v>339743</v>
      </c>
      <c r="I3926" t="s">
        <v>13046</v>
      </c>
    </row>
    <row r="3927" spans="1:9">
      <c r="A3927" t="str">
        <f>"0086798 "</f>
        <v xml:space="preserve">0086798 </v>
      </c>
      <c r="B3927" t="s">
        <v>12408</v>
      </c>
      <c r="C3927" t="s">
        <v>13047</v>
      </c>
      <c r="D3927" t="s">
        <v>13048</v>
      </c>
      <c r="E3927" t="s">
        <v>16</v>
      </c>
      <c r="F3927" t="s">
        <v>13049</v>
      </c>
      <c r="G3927" t="s">
        <v>12408</v>
      </c>
      <c r="H3927">
        <v>339746</v>
      </c>
      <c r="I3927" t="s">
        <v>13050</v>
      </c>
    </row>
    <row r="3928" spans="1:9">
      <c r="A3928" t="str">
        <f>"0086799 "</f>
        <v xml:space="preserve">0086799 </v>
      </c>
      <c r="B3928" t="s">
        <v>12408</v>
      </c>
      <c r="C3928" t="s">
        <v>13051</v>
      </c>
      <c r="D3928" t="s">
        <v>13052</v>
      </c>
      <c r="E3928" t="s">
        <v>16</v>
      </c>
      <c r="F3928" t="s">
        <v>13049</v>
      </c>
      <c r="G3928" t="s">
        <v>12408</v>
      </c>
      <c r="H3928">
        <v>339747</v>
      </c>
      <c r="I3928" t="s">
        <v>13053</v>
      </c>
    </row>
    <row r="3929" spans="1:9">
      <c r="A3929" t="str">
        <f>"0086802 "</f>
        <v xml:space="preserve">0086802 </v>
      </c>
      <c r="B3929" t="s">
        <v>12408</v>
      </c>
      <c r="C3929" t="s">
        <v>13054</v>
      </c>
      <c r="D3929" t="s">
        <v>13055</v>
      </c>
      <c r="E3929">
        <v>2</v>
      </c>
      <c r="F3929" t="s">
        <v>13056</v>
      </c>
      <c r="G3929" t="s">
        <v>12408</v>
      </c>
      <c r="H3929">
        <v>339750</v>
      </c>
      <c r="I3929" t="s">
        <v>13057</v>
      </c>
    </row>
    <row r="3930" spans="1:9">
      <c r="A3930" t="str">
        <f>"0086803 "</f>
        <v xml:space="preserve">0086803 </v>
      </c>
      <c r="B3930" t="s">
        <v>12408</v>
      </c>
      <c r="C3930" t="s">
        <v>13058</v>
      </c>
      <c r="D3930" t="s">
        <v>13059</v>
      </c>
      <c r="E3930">
        <v>2</v>
      </c>
      <c r="F3930" t="s">
        <v>13056</v>
      </c>
      <c r="G3930" t="s">
        <v>12408</v>
      </c>
      <c r="H3930">
        <v>339751</v>
      </c>
      <c r="I3930" t="s">
        <v>13060</v>
      </c>
    </row>
    <row r="3931" spans="1:9">
      <c r="A3931" t="str">
        <f>"0153391 "</f>
        <v xml:space="preserve">0153391 </v>
      </c>
      <c r="B3931" t="s">
        <v>12408</v>
      </c>
      <c r="C3931" t="s">
        <v>13061</v>
      </c>
      <c r="D3931" t="s">
        <v>13062</v>
      </c>
      <c r="E3931">
        <v>1</v>
      </c>
      <c r="F3931" t="s">
        <v>13063</v>
      </c>
      <c r="G3931" t="s">
        <v>12408</v>
      </c>
      <c r="H3931">
        <v>339754</v>
      </c>
      <c r="I3931" t="s">
        <v>13064</v>
      </c>
    </row>
    <row r="3932" spans="1:9">
      <c r="A3932" t="str">
        <f>"0153392 "</f>
        <v xml:space="preserve">0153392 </v>
      </c>
      <c r="B3932" t="s">
        <v>12408</v>
      </c>
      <c r="C3932" t="s">
        <v>13065</v>
      </c>
      <c r="D3932" t="s">
        <v>13066</v>
      </c>
      <c r="E3932">
        <v>1</v>
      </c>
      <c r="F3932" t="s">
        <v>13063</v>
      </c>
      <c r="G3932" t="s">
        <v>12408</v>
      </c>
      <c r="H3932">
        <v>339755</v>
      </c>
      <c r="I3932" t="s">
        <v>13067</v>
      </c>
    </row>
    <row r="3933" spans="1:9">
      <c r="A3933" t="str">
        <f>"0153400 "</f>
        <v xml:space="preserve">0153400 </v>
      </c>
      <c r="B3933" t="s">
        <v>12408</v>
      </c>
      <c r="C3933" t="s">
        <v>13068</v>
      </c>
      <c r="D3933" t="s">
        <v>13069</v>
      </c>
      <c r="E3933">
        <v>2</v>
      </c>
      <c r="F3933" t="s">
        <v>13070</v>
      </c>
      <c r="G3933" t="s">
        <v>12408</v>
      </c>
      <c r="H3933">
        <v>339763</v>
      </c>
      <c r="I3933" t="s">
        <v>13071</v>
      </c>
    </row>
    <row r="3934" spans="1:9">
      <c r="A3934" t="str">
        <f>"0153401 "</f>
        <v xml:space="preserve">0153401 </v>
      </c>
      <c r="B3934" t="s">
        <v>12408</v>
      </c>
      <c r="C3934" t="s">
        <v>13072</v>
      </c>
      <c r="D3934" t="s">
        <v>13073</v>
      </c>
      <c r="E3934">
        <v>3</v>
      </c>
      <c r="F3934" t="s">
        <v>13074</v>
      </c>
      <c r="G3934" t="s">
        <v>12408</v>
      </c>
      <c r="H3934">
        <v>339766</v>
      </c>
      <c r="I3934" t="s">
        <v>13075</v>
      </c>
    </row>
    <row r="3935" spans="1:9">
      <c r="A3935" t="str">
        <f>"0050397 "</f>
        <v xml:space="preserve">0050397 </v>
      </c>
      <c r="B3935" t="s">
        <v>12408</v>
      </c>
      <c r="C3935" t="s">
        <v>13076</v>
      </c>
      <c r="D3935" t="s">
        <v>13077</v>
      </c>
      <c r="E3935">
        <v>2</v>
      </c>
      <c r="F3935" t="s">
        <v>13078</v>
      </c>
      <c r="G3935" t="s">
        <v>12408</v>
      </c>
      <c r="H3935">
        <v>340031</v>
      </c>
      <c r="I3935" t="s">
        <v>13079</v>
      </c>
    </row>
    <row r="3936" spans="1:9">
      <c r="A3936" t="str">
        <f>"0050398 "</f>
        <v xml:space="preserve">0050398 </v>
      </c>
      <c r="B3936" t="s">
        <v>12408</v>
      </c>
      <c r="C3936" t="s">
        <v>13080</v>
      </c>
      <c r="D3936" t="s">
        <v>13081</v>
      </c>
      <c r="E3936">
        <v>4</v>
      </c>
      <c r="F3936" t="s">
        <v>13082</v>
      </c>
      <c r="G3936" t="s">
        <v>12408</v>
      </c>
      <c r="H3936">
        <v>340033</v>
      </c>
      <c r="I3936" t="s">
        <v>13083</v>
      </c>
    </row>
    <row r="3937" spans="1:9">
      <c r="A3937" t="str">
        <f>"0086808 "</f>
        <v xml:space="preserve">0086808 </v>
      </c>
      <c r="B3937" t="s">
        <v>12408</v>
      </c>
      <c r="C3937" t="s">
        <v>13084</v>
      </c>
      <c r="D3937" t="s">
        <v>13085</v>
      </c>
      <c r="E3937">
        <v>2</v>
      </c>
      <c r="F3937" t="s">
        <v>13086</v>
      </c>
      <c r="G3937" t="s">
        <v>12408</v>
      </c>
      <c r="H3937">
        <v>340034</v>
      </c>
      <c r="I3937" t="s">
        <v>13087</v>
      </c>
    </row>
    <row r="3938" spans="1:9">
      <c r="A3938" t="str">
        <f>"0050400 "</f>
        <v xml:space="preserve">0050400 </v>
      </c>
      <c r="B3938" t="s">
        <v>12408</v>
      </c>
      <c r="C3938" t="s">
        <v>13088</v>
      </c>
      <c r="D3938" t="s">
        <v>13089</v>
      </c>
      <c r="E3938">
        <v>2</v>
      </c>
      <c r="F3938" t="s">
        <v>12617</v>
      </c>
      <c r="G3938" t="s">
        <v>12408</v>
      </c>
      <c r="H3938">
        <v>340036</v>
      </c>
      <c r="I3938" t="s">
        <v>13090</v>
      </c>
    </row>
    <row r="3939" spans="1:9">
      <c r="A3939" t="str">
        <f>"0050401 "</f>
        <v xml:space="preserve">0050401 </v>
      </c>
      <c r="B3939" t="s">
        <v>12408</v>
      </c>
      <c r="C3939" t="s">
        <v>13091</v>
      </c>
      <c r="D3939" t="s">
        <v>13092</v>
      </c>
      <c r="E3939">
        <v>2</v>
      </c>
      <c r="F3939" t="s">
        <v>12617</v>
      </c>
      <c r="G3939" t="s">
        <v>12408</v>
      </c>
      <c r="H3939">
        <v>340037</v>
      </c>
      <c r="I3939" t="s">
        <v>13093</v>
      </c>
    </row>
    <row r="3940" spans="1:9">
      <c r="A3940" t="str">
        <f>"0153406 "</f>
        <v xml:space="preserve">0153406 </v>
      </c>
      <c r="B3940" t="s">
        <v>12408</v>
      </c>
      <c r="C3940" t="s">
        <v>13094</v>
      </c>
      <c r="D3940" t="s">
        <v>13095</v>
      </c>
      <c r="E3940">
        <v>2</v>
      </c>
      <c r="F3940" t="s">
        <v>13096</v>
      </c>
      <c r="G3940" t="s">
        <v>12408</v>
      </c>
      <c r="H3940">
        <v>340060</v>
      </c>
      <c r="I3940" t="s">
        <v>13097</v>
      </c>
    </row>
    <row r="3941" spans="1:9">
      <c r="A3941" t="str">
        <f>"0252628 "</f>
        <v xml:space="preserve">0252628 </v>
      </c>
      <c r="B3941" t="s">
        <v>12408</v>
      </c>
      <c r="C3941" t="s">
        <v>13098</v>
      </c>
      <c r="D3941" t="s">
        <v>13099</v>
      </c>
      <c r="E3941">
        <v>2</v>
      </c>
      <c r="F3941" t="s">
        <v>13100</v>
      </c>
      <c r="G3941" t="s">
        <v>12408</v>
      </c>
      <c r="H3941">
        <v>340115</v>
      </c>
      <c r="I3941" t="s">
        <v>13101</v>
      </c>
    </row>
    <row r="3942" spans="1:9">
      <c r="A3942" t="str">
        <f>"0041377 "</f>
        <v xml:space="preserve">0041377 </v>
      </c>
      <c r="B3942" t="s">
        <v>12408</v>
      </c>
      <c r="C3942" t="s">
        <v>13102</v>
      </c>
      <c r="D3942" t="s">
        <v>13103</v>
      </c>
      <c r="E3942">
        <v>2</v>
      </c>
      <c r="F3942" t="s">
        <v>12437</v>
      </c>
      <c r="G3942" t="s">
        <v>12408</v>
      </c>
      <c r="H3942">
        <v>341081</v>
      </c>
      <c r="I3942" t="s">
        <v>13104</v>
      </c>
    </row>
    <row r="3943" spans="1:9">
      <c r="A3943" t="str">
        <f>"0041397 "</f>
        <v xml:space="preserve">0041397 </v>
      </c>
      <c r="B3943" t="s">
        <v>12408</v>
      </c>
      <c r="C3943" t="s">
        <v>13105</v>
      </c>
      <c r="D3943" t="s">
        <v>13106</v>
      </c>
      <c r="E3943">
        <v>1</v>
      </c>
      <c r="F3943" t="s">
        <v>13107</v>
      </c>
      <c r="G3943" t="s">
        <v>12408</v>
      </c>
      <c r="H3943">
        <v>341102</v>
      </c>
      <c r="I3943" t="s">
        <v>13108</v>
      </c>
    </row>
    <row r="3944" spans="1:9">
      <c r="A3944" t="str">
        <f>"0041415 "</f>
        <v xml:space="preserve">0041415 </v>
      </c>
      <c r="B3944" t="s">
        <v>12408</v>
      </c>
      <c r="C3944" t="s">
        <v>13109</v>
      </c>
      <c r="D3944" t="s">
        <v>13110</v>
      </c>
      <c r="E3944">
        <v>2</v>
      </c>
      <c r="F3944" t="s">
        <v>13111</v>
      </c>
      <c r="G3944" t="s">
        <v>12408</v>
      </c>
      <c r="H3944">
        <v>341120</v>
      </c>
      <c r="I3944" t="s">
        <v>13112</v>
      </c>
    </row>
    <row r="3945" spans="1:9">
      <c r="A3945" t="str">
        <f>"0041425 "</f>
        <v xml:space="preserve">0041425 </v>
      </c>
      <c r="B3945" t="s">
        <v>12408</v>
      </c>
      <c r="C3945" t="s">
        <v>13113</v>
      </c>
      <c r="D3945" t="s">
        <v>13114</v>
      </c>
      <c r="E3945">
        <v>2</v>
      </c>
      <c r="F3945" t="s">
        <v>13115</v>
      </c>
      <c r="G3945" t="s">
        <v>12408</v>
      </c>
      <c r="H3945">
        <v>341131</v>
      </c>
      <c r="I3945" t="s">
        <v>13116</v>
      </c>
    </row>
    <row r="3946" spans="1:9">
      <c r="A3946" t="str">
        <f>"0041427 "</f>
        <v xml:space="preserve">0041427 </v>
      </c>
      <c r="B3946" t="s">
        <v>12408</v>
      </c>
      <c r="C3946" t="s">
        <v>13117</v>
      </c>
      <c r="D3946" t="s">
        <v>13118</v>
      </c>
      <c r="E3946">
        <v>2</v>
      </c>
      <c r="F3946" t="s">
        <v>13119</v>
      </c>
      <c r="G3946" t="s">
        <v>12408</v>
      </c>
      <c r="H3946">
        <v>341133</v>
      </c>
      <c r="I3946" t="s">
        <v>13120</v>
      </c>
    </row>
    <row r="3947" spans="1:9">
      <c r="A3947" t="str">
        <f>"0041497 "</f>
        <v xml:space="preserve">0041497 </v>
      </c>
      <c r="B3947" t="s">
        <v>12408</v>
      </c>
      <c r="C3947" t="s">
        <v>13121</v>
      </c>
      <c r="D3947" t="s">
        <v>13122</v>
      </c>
      <c r="E3947">
        <v>4</v>
      </c>
      <c r="F3947" t="s">
        <v>13123</v>
      </c>
      <c r="G3947" t="s">
        <v>12408</v>
      </c>
      <c r="H3947">
        <v>341204</v>
      </c>
      <c r="I3947" t="s">
        <v>13124</v>
      </c>
    </row>
    <row r="3948" spans="1:9">
      <c r="A3948" t="str">
        <f>"0041541 "</f>
        <v xml:space="preserve">0041541 </v>
      </c>
      <c r="B3948" t="s">
        <v>12408</v>
      </c>
      <c r="C3948" t="s">
        <v>13125</v>
      </c>
      <c r="D3948" t="s">
        <v>13126</v>
      </c>
      <c r="E3948">
        <v>2</v>
      </c>
      <c r="F3948" t="s">
        <v>13127</v>
      </c>
      <c r="G3948" t="s">
        <v>12408</v>
      </c>
      <c r="H3948">
        <v>341251</v>
      </c>
      <c r="I3948" t="s">
        <v>13128</v>
      </c>
    </row>
    <row r="3949" spans="1:9">
      <c r="A3949" t="str">
        <f>"0041550 "</f>
        <v xml:space="preserve">0041550 </v>
      </c>
      <c r="B3949" t="s">
        <v>12408</v>
      </c>
      <c r="C3949" t="s">
        <v>13129</v>
      </c>
      <c r="D3949" t="s">
        <v>13130</v>
      </c>
      <c r="E3949">
        <v>2</v>
      </c>
      <c r="F3949" t="s">
        <v>13131</v>
      </c>
      <c r="G3949" t="s">
        <v>12408</v>
      </c>
      <c r="H3949">
        <v>341260</v>
      </c>
      <c r="I3949" t="s">
        <v>13132</v>
      </c>
    </row>
    <row r="3950" spans="1:9">
      <c r="A3950" t="str">
        <f>"0041551 "</f>
        <v xml:space="preserve">0041551 </v>
      </c>
      <c r="B3950" t="s">
        <v>12408</v>
      </c>
      <c r="C3950" t="s">
        <v>13133</v>
      </c>
      <c r="D3950" t="s">
        <v>13134</v>
      </c>
      <c r="E3950">
        <v>2</v>
      </c>
      <c r="F3950" t="s">
        <v>13135</v>
      </c>
      <c r="G3950" t="s">
        <v>12408</v>
      </c>
      <c r="H3950">
        <v>341261</v>
      </c>
      <c r="I3950" t="s">
        <v>13136</v>
      </c>
    </row>
    <row r="3951" spans="1:9">
      <c r="A3951" t="str">
        <f>"0041567 "</f>
        <v xml:space="preserve">0041567 </v>
      </c>
      <c r="B3951" t="s">
        <v>12408</v>
      </c>
      <c r="C3951" t="s">
        <v>13137</v>
      </c>
      <c r="D3951" t="s">
        <v>13138</v>
      </c>
      <c r="E3951">
        <v>2</v>
      </c>
      <c r="F3951" t="s">
        <v>13139</v>
      </c>
      <c r="G3951" t="s">
        <v>12408</v>
      </c>
      <c r="H3951">
        <v>341279</v>
      </c>
      <c r="I3951" t="s">
        <v>13140</v>
      </c>
    </row>
    <row r="3952" spans="1:9">
      <c r="A3952" t="str">
        <f>"0041570 "</f>
        <v xml:space="preserve">0041570 </v>
      </c>
      <c r="B3952" t="s">
        <v>12408</v>
      </c>
      <c r="C3952" t="s">
        <v>13141</v>
      </c>
      <c r="D3952" t="s">
        <v>13142</v>
      </c>
      <c r="E3952">
        <v>2</v>
      </c>
      <c r="F3952" t="s">
        <v>13143</v>
      </c>
      <c r="G3952" t="s">
        <v>12408</v>
      </c>
      <c r="H3952">
        <v>341282</v>
      </c>
      <c r="I3952" t="s">
        <v>13144</v>
      </c>
    </row>
    <row r="3953" spans="1:9">
      <c r="A3953" t="str">
        <f>"0041585 "</f>
        <v xml:space="preserve">0041585 </v>
      </c>
      <c r="B3953" t="s">
        <v>12408</v>
      </c>
      <c r="C3953" t="s">
        <v>13145</v>
      </c>
      <c r="D3953" t="s">
        <v>13146</v>
      </c>
      <c r="E3953">
        <v>2</v>
      </c>
      <c r="F3953" t="s">
        <v>13147</v>
      </c>
      <c r="G3953" t="s">
        <v>12408</v>
      </c>
      <c r="H3953">
        <v>341301</v>
      </c>
      <c r="I3953" t="s">
        <v>13148</v>
      </c>
    </row>
    <row r="3954" spans="1:9">
      <c r="A3954" t="str">
        <f>"0041605 "</f>
        <v xml:space="preserve">0041605 </v>
      </c>
      <c r="B3954" t="s">
        <v>12408</v>
      </c>
      <c r="C3954" t="s">
        <v>13149</v>
      </c>
      <c r="D3954" t="s">
        <v>13150</v>
      </c>
      <c r="E3954">
        <v>5</v>
      </c>
      <c r="F3954" t="s">
        <v>12631</v>
      </c>
      <c r="G3954" t="s">
        <v>12408</v>
      </c>
      <c r="H3954">
        <v>341330</v>
      </c>
      <c r="I3954" t="s">
        <v>13151</v>
      </c>
    </row>
    <row r="3955" spans="1:9">
      <c r="A3955" t="str">
        <f>"0041607 "</f>
        <v xml:space="preserve">0041607 </v>
      </c>
      <c r="B3955" t="s">
        <v>12408</v>
      </c>
      <c r="C3955" t="s">
        <v>13152</v>
      </c>
      <c r="D3955" t="s">
        <v>13153</v>
      </c>
      <c r="E3955">
        <v>1</v>
      </c>
      <c r="F3955" t="s">
        <v>13154</v>
      </c>
      <c r="G3955" t="s">
        <v>12408</v>
      </c>
      <c r="H3955">
        <v>341332</v>
      </c>
      <c r="I3955" t="s">
        <v>13155</v>
      </c>
    </row>
    <row r="3956" spans="1:9">
      <c r="A3956" t="str">
        <f>"0041608 "</f>
        <v xml:space="preserve">0041608 </v>
      </c>
      <c r="B3956" t="s">
        <v>12408</v>
      </c>
      <c r="C3956" t="s">
        <v>13156</v>
      </c>
      <c r="D3956" t="s">
        <v>13157</v>
      </c>
      <c r="E3956">
        <v>1</v>
      </c>
      <c r="F3956" t="s">
        <v>13154</v>
      </c>
      <c r="G3956" t="s">
        <v>12408</v>
      </c>
      <c r="H3956">
        <v>341333</v>
      </c>
      <c r="I3956" t="s">
        <v>13158</v>
      </c>
    </row>
    <row r="3957" spans="1:9">
      <c r="A3957" t="str">
        <f>"0041615 "</f>
        <v xml:space="preserve">0041615 </v>
      </c>
      <c r="B3957" t="s">
        <v>12408</v>
      </c>
      <c r="C3957" t="s">
        <v>13159</v>
      </c>
      <c r="D3957" t="s">
        <v>13160</v>
      </c>
      <c r="E3957">
        <v>3</v>
      </c>
      <c r="F3957" t="s">
        <v>13161</v>
      </c>
      <c r="G3957" t="s">
        <v>12408</v>
      </c>
      <c r="H3957">
        <v>341340</v>
      </c>
      <c r="I3957" t="s">
        <v>13162</v>
      </c>
    </row>
    <row r="3958" spans="1:9">
      <c r="A3958" t="str">
        <f>"0041621 "</f>
        <v xml:space="preserve">0041621 </v>
      </c>
      <c r="B3958" t="s">
        <v>12408</v>
      </c>
      <c r="C3958" t="s">
        <v>13163</v>
      </c>
      <c r="D3958" t="s">
        <v>13164</v>
      </c>
      <c r="E3958">
        <v>4</v>
      </c>
      <c r="F3958" t="s">
        <v>12569</v>
      </c>
      <c r="G3958" t="s">
        <v>12408</v>
      </c>
      <c r="H3958">
        <v>341348</v>
      </c>
      <c r="I3958" t="s">
        <v>13165</v>
      </c>
    </row>
    <row r="3959" spans="1:9">
      <c r="A3959" t="str">
        <f>"0041624 "</f>
        <v xml:space="preserve">0041624 </v>
      </c>
      <c r="B3959" t="s">
        <v>12408</v>
      </c>
      <c r="C3959" t="s">
        <v>13166</v>
      </c>
      <c r="D3959" t="s">
        <v>13167</v>
      </c>
      <c r="E3959">
        <v>1</v>
      </c>
      <c r="F3959" t="s">
        <v>13168</v>
      </c>
      <c r="G3959" t="s">
        <v>12408</v>
      </c>
      <c r="H3959">
        <v>341351</v>
      </c>
      <c r="I3959" t="s">
        <v>13155</v>
      </c>
    </row>
    <row r="3960" spans="1:9">
      <c r="A3960" t="str">
        <f>"0041625 "</f>
        <v xml:space="preserve">0041625 </v>
      </c>
      <c r="B3960" t="s">
        <v>12408</v>
      </c>
      <c r="C3960" t="s">
        <v>13169</v>
      </c>
      <c r="D3960" t="s">
        <v>13170</v>
      </c>
      <c r="E3960">
        <v>1</v>
      </c>
      <c r="F3960" t="s">
        <v>13168</v>
      </c>
      <c r="G3960" t="s">
        <v>12408</v>
      </c>
      <c r="H3960">
        <v>341352</v>
      </c>
      <c r="I3960" t="s">
        <v>13158</v>
      </c>
    </row>
    <row r="3961" spans="1:9">
      <c r="A3961" t="str">
        <f>"0041626 "</f>
        <v xml:space="preserve">0041626 </v>
      </c>
      <c r="B3961" t="s">
        <v>12408</v>
      </c>
      <c r="C3961" t="s">
        <v>13171</v>
      </c>
      <c r="D3961" t="s">
        <v>13172</v>
      </c>
      <c r="E3961">
        <v>2</v>
      </c>
      <c r="F3961" t="s">
        <v>13173</v>
      </c>
      <c r="G3961" t="s">
        <v>12408</v>
      </c>
      <c r="H3961">
        <v>341353</v>
      </c>
      <c r="I3961" t="s">
        <v>13174</v>
      </c>
    </row>
    <row r="3962" spans="1:9">
      <c r="A3962" t="str">
        <f>"0041641 "</f>
        <v xml:space="preserve">0041641 </v>
      </c>
      <c r="B3962" t="s">
        <v>12408</v>
      </c>
      <c r="C3962" t="s">
        <v>13175</v>
      </c>
      <c r="D3962" t="s">
        <v>13176</v>
      </c>
      <c r="E3962">
        <v>2</v>
      </c>
      <c r="F3962" t="s">
        <v>13177</v>
      </c>
      <c r="G3962" t="s">
        <v>12408</v>
      </c>
      <c r="H3962">
        <v>341368</v>
      </c>
      <c r="I3962" t="s">
        <v>13178</v>
      </c>
    </row>
    <row r="3963" spans="1:9">
      <c r="A3963" t="str">
        <f>"0041642 "</f>
        <v xml:space="preserve">0041642 </v>
      </c>
      <c r="B3963" t="s">
        <v>12408</v>
      </c>
      <c r="C3963" t="s">
        <v>13179</v>
      </c>
      <c r="D3963" t="s">
        <v>13180</v>
      </c>
      <c r="E3963">
        <v>2</v>
      </c>
      <c r="F3963" t="s">
        <v>12537</v>
      </c>
      <c r="G3963" t="s">
        <v>12408</v>
      </c>
      <c r="H3963">
        <v>341369</v>
      </c>
      <c r="I3963" t="s">
        <v>13181</v>
      </c>
    </row>
    <row r="3964" spans="1:9">
      <c r="A3964" t="str">
        <f>"0041696 "</f>
        <v xml:space="preserve">0041696 </v>
      </c>
      <c r="B3964" t="s">
        <v>12408</v>
      </c>
      <c r="C3964" t="s">
        <v>13182</v>
      </c>
      <c r="D3964" t="s">
        <v>13183</v>
      </c>
      <c r="E3964">
        <v>4</v>
      </c>
      <c r="F3964" t="s">
        <v>13184</v>
      </c>
      <c r="G3964" t="s">
        <v>12408</v>
      </c>
      <c r="H3964">
        <v>341444</v>
      </c>
      <c r="I3964" t="s">
        <v>13185</v>
      </c>
    </row>
    <row r="3965" spans="1:9">
      <c r="A3965" t="str">
        <f>"0041701 "</f>
        <v xml:space="preserve">0041701 </v>
      </c>
      <c r="B3965" t="s">
        <v>12408</v>
      </c>
      <c r="C3965" t="s">
        <v>13186</v>
      </c>
      <c r="D3965" t="s">
        <v>13187</v>
      </c>
      <c r="E3965">
        <v>2</v>
      </c>
      <c r="F3965" t="s">
        <v>12437</v>
      </c>
      <c r="G3965" t="s">
        <v>12408</v>
      </c>
      <c r="H3965">
        <v>341449</v>
      </c>
      <c r="I3965" t="s">
        <v>13188</v>
      </c>
    </row>
    <row r="3966" spans="1:9">
      <c r="A3966" t="str">
        <f>"0041702 "</f>
        <v xml:space="preserve">0041702 </v>
      </c>
      <c r="B3966" t="s">
        <v>12408</v>
      </c>
      <c r="C3966" t="s">
        <v>13189</v>
      </c>
      <c r="D3966" t="s">
        <v>13190</v>
      </c>
      <c r="E3966">
        <v>2</v>
      </c>
      <c r="F3966" t="s">
        <v>12437</v>
      </c>
      <c r="G3966" t="s">
        <v>12408</v>
      </c>
      <c r="H3966">
        <v>341450</v>
      </c>
      <c r="I3966" t="s">
        <v>13191</v>
      </c>
    </row>
    <row r="3967" spans="1:9">
      <c r="A3967" t="str">
        <f>"0041707 "</f>
        <v xml:space="preserve">0041707 </v>
      </c>
      <c r="B3967" t="s">
        <v>12408</v>
      </c>
      <c r="C3967" t="s">
        <v>13192</v>
      </c>
      <c r="D3967" t="s">
        <v>13193</v>
      </c>
      <c r="E3967">
        <v>2</v>
      </c>
      <c r="F3967" t="s">
        <v>13194</v>
      </c>
      <c r="G3967" t="s">
        <v>12408</v>
      </c>
      <c r="H3967">
        <v>341455</v>
      </c>
      <c r="I3967" t="s">
        <v>13195</v>
      </c>
    </row>
    <row r="3968" spans="1:9">
      <c r="A3968" t="str">
        <f>"0041712 "</f>
        <v xml:space="preserve">0041712 </v>
      </c>
      <c r="B3968" t="s">
        <v>12408</v>
      </c>
      <c r="C3968" t="s">
        <v>13196</v>
      </c>
      <c r="D3968" t="s">
        <v>13197</v>
      </c>
      <c r="E3968">
        <v>4</v>
      </c>
      <c r="F3968" t="s">
        <v>13198</v>
      </c>
      <c r="G3968" t="s">
        <v>12408</v>
      </c>
      <c r="H3968">
        <v>341460</v>
      </c>
      <c r="I3968" t="s">
        <v>13199</v>
      </c>
    </row>
    <row r="3969" spans="1:9">
      <c r="A3969" t="str">
        <f>"0041715 "</f>
        <v xml:space="preserve">0041715 </v>
      </c>
      <c r="B3969" t="s">
        <v>12408</v>
      </c>
      <c r="C3969" t="s">
        <v>13200</v>
      </c>
      <c r="D3969" t="s">
        <v>13201</v>
      </c>
      <c r="E3969">
        <v>2</v>
      </c>
      <c r="F3969" t="s">
        <v>13202</v>
      </c>
      <c r="G3969" t="s">
        <v>12408</v>
      </c>
      <c r="H3969">
        <v>341463</v>
      </c>
      <c r="I3969" t="s">
        <v>13203</v>
      </c>
    </row>
    <row r="3970" spans="1:9">
      <c r="A3970" t="str">
        <f>"0041733 "</f>
        <v xml:space="preserve">0041733 </v>
      </c>
      <c r="B3970" t="s">
        <v>12408</v>
      </c>
      <c r="C3970" t="s">
        <v>13204</v>
      </c>
      <c r="D3970" t="s">
        <v>13205</v>
      </c>
      <c r="E3970">
        <v>2</v>
      </c>
      <c r="F3970" t="s">
        <v>13206</v>
      </c>
      <c r="G3970" t="s">
        <v>12408</v>
      </c>
      <c r="H3970">
        <v>341486</v>
      </c>
      <c r="I3970" t="s">
        <v>13207</v>
      </c>
    </row>
    <row r="3971" spans="1:9">
      <c r="A3971" t="str">
        <f>"0041734 "</f>
        <v xml:space="preserve">0041734 </v>
      </c>
      <c r="B3971" t="s">
        <v>12408</v>
      </c>
      <c r="C3971" t="s">
        <v>13208</v>
      </c>
      <c r="D3971" t="s">
        <v>13209</v>
      </c>
      <c r="E3971">
        <v>1</v>
      </c>
      <c r="F3971" t="s">
        <v>13210</v>
      </c>
      <c r="G3971" t="s">
        <v>12408</v>
      </c>
      <c r="H3971">
        <v>341487</v>
      </c>
      <c r="I3971" t="s">
        <v>13211</v>
      </c>
    </row>
    <row r="3972" spans="1:9">
      <c r="A3972" t="str">
        <f>"0041739 "</f>
        <v xml:space="preserve">0041739 </v>
      </c>
      <c r="B3972" t="s">
        <v>12408</v>
      </c>
      <c r="C3972" t="s">
        <v>13212</v>
      </c>
      <c r="D3972" t="s">
        <v>13213</v>
      </c>
      <c r="E3972">
        <v>2</v>
      </c>
      <c r="F3972" t="s">
        <v>13214</v>
      </c>
      <c r="G3972" t="s">
        <v>12408</v>
      </c>
      <c r="H3972">
        <v>341492</v>
      </c>
      <c r="I3972" t="s">
        <v>13215</v>
      </c>
    </row>
    <row r="3973" spans="1:9">
      <c r="A3973" t="str">
        <f>"0086999 "</f>
        <v xml:space="preserve">0086999 </v>
      </c>
      <c r="B3973" t="s">
        <v>12408</v>
      </c>
      <c r="C3973" t="s">
        <v>13216</v>
      </c>
      <c r="D3973" t="s">
        <v>13217</v>
      </c>
      <c r="E3973">
        <v>2</v>
      </c>
      <c r="F3973" t="s">
        <v>13218</v>
      </c>
      <c r="G3973" t="s">
        <v>12408</v>
      </c>
      <c r="H3973">
        <v>341716</v>
      </c>
      <c r="I3973" t="s">
        <v>13219</v>
      </c>
    </row>
    <row r="3974" spans="1:9">
      <c r="A3974" t="str">
        <f>"0161113 "</f>
        <v xml:space="preserve">0161113 </v>
      </c>
      <c r="B3974" t="s">
        <v>12408</v>
      </c>
      <c r="C3974" t="s">
        <v>13220</v>
      </c>
      <c r="D3974" t="s">
        <v>13221</v>
      </c>
      <c r="E3974">
        <v>1</v>
      </c>
      <c r="F3974" t="s">
        <v>13222</v>
      </c>
      <c r="G3974" t="s">
        <v>12408</v>
      </c>
      <c r="H3974">
        <v>341731</v>
      </c>
      <c r="I3974" t="s">
        <v>13223</v>
      </c>
    </row>
    <row r="3975" spans="1:9">
      <c r="A3975" t="str">
        <f>"0217444 "</f>
        <v xml:space="preserve">0217444 </v>
      </c>
      <c r="B3975" t="s">
        <v>12408</v>
      </c>
      <c r="C3975" t="s">
        <v>13224</v>
      </c>
      <c r="D3975" t="s">
        <v>13225</v>
      </c>
      <c r="E3975">
        <v>1</v>
      </c>
      <c r="F3975" t="s">
        <v>13222</v>
      </c>
      <c r="G3975" t="s">
        <v>12408</v>
      </c>
      <c r="H3975">
        <v>341737</v>
      </c>
      <c r="I3975" t="s">
        <v>13226</v>
      </c>
    </row>
    <row r="3976" spans="1:9">
      <c r="A3976" t="str">
        <f>"0041767 "</f>
        <v xml:space="preserve">0041767 </v>
      </c>
      <c r="B3976" t="s">
        <v>12408</v>
      </c>
      <c r="C3976" t="s">
        <v>13227</v>
      </c>
      <c r="D3976" t="s">
        <v>13228</v>
      </c>
      <c r="E3976">
        <v>3</v>
      </c>
      <c r="F3976" t="s">
        <v>13229</v>
      </c>
      <c r="G3976" t="s">
        <v>12408</v>
      </c>
      <c r="H3976">
        <v>341815</v>
      </c>
      <c r="I3976" t="s">
        <v>13230</v>
      </c>
    </row>
    <row r="3977" spans="1:9">
      <c r="A3977" t="str">
        <f>"0041768 "</f>
        <v xml:space="preserve">0041768 </v>
      </c>
      <c r="B3977" t="s">
        <v>12408</v>
      </c>
      <c r="C3977" t="s">
        <v>13231</v>
      </c>
      <c r="D3977" t="s">
        <v>13232</v>
      </c>
      <c r="E3977">
        <v>1</v>
      </c>
      <c r="F3977" t="s">
        <v>12533</v>
      </c>
      <c r="G3977" t="s">
        <v>12408</v>
      </c>
      <c r="H3977">
        <v>341816</v>
      </c>
      <c r="I3977" t="s">
        <v>13233</v>
      </c>
    </row>
    <row r="3978" spans="1:9">
      <c r="A3978" t="str">
        <f>"0041774 "</f>
        <v xml:space="preserve">0041774 </v>
      </c>
      <c r="B3978" t="s">
        <v>12408</v>
      </c>
      <c r="C3978" t="s">
        <v>13234</v>
      </c>
      <c r="D3978" t="s">
        <v>13235</v>
      </c>
      <c r="E3978">
        <v>4</v>
      </c>
      <c r="F3978" t="s">
        <v>13236</v>
      </c>
      <c r="G3978" t="s">
        <v>12408</v>
      </c>
      <c r="H3978">
        <v>341824</v>
      </c>
      <c r="I3978" t="s">
        <v>13237</v>
      </c>
    </row>
    <row r="3979" spans="1:9">
      <c r="A3979" t="str">
        <f>"0041777 "</f>
        <v xml:space="preserve">0041777 </v>
      </c>
      <c r="B3979" t="s">
        <v>12408</v>
      </c>
      <c r="C3979" t="s">
        <v>13238</v>
      </c>
      <c r="D3979" t="s">
        <v>13239</v>
      </c>
      <c r="E3979">
        <v>4</v>
      </c>
      <c r="F3979" t="s">
        <v>13240</v>
      </c>
      <c r="G3979" t="s">
        <v>12408</v>
      </c>
      <c r="H3979">
        <v>341840</v>
      </c>
      <c r="I3979" t="s">
        <v>13241</v>
      </c>
    </row>
    <row r="3980" spans="1:9">
      <c r="A3980" t="str">
        <f>"0041779 "</f>
        <v xml:space="preserve">0041779 </v>
      </c>
      <c r="B3980" t="s">
        <v>12408</v>
      </c>
      <c r="C3980" t="s">
        <v>13242</v>
      </c>
      <c r="D3980" t="s">
        <v>13243</v>
      </c>
      <c r="E3980">
        <v>4</v>
      </c>
      <c r="F3980" t="s">
        <v>13244</v>
      </c>
      <c r="G3980" t="s">
        <v>12408</v>
      </c>
      <c r="H3980">
        <v>341842</v>
      </c>
      <c r="I3980" t="s">
        <v>13245</v>
      </c>
    </row>
    <row r="3981" spans="1:9">
      <c r="A3981" t="str">
        <f>"0041780 "</f>
        <v xml:space="preserve">0041780 </v>
      </c>
      <c r="B3981" t="s">
        <v>12408</v>
      </c>
      <c r="C3981" t="s">
        <v>13246</v>
      </c>
      <c r="D3981" t="s">
        <v>13247</v>
      </c>
      <c r="E3981">
        <v>4</v>
      </c>
      <c r="F3981" t="s">
        <v>13248</v>
      </c>
      <c r="G3981" t="s">
        <v>12408</v>
      </c>
      <c r="H3981">
        <v>341843</v>
      </c>
      <c r="I3981" t="s">
        <v>13249</v>
      </c>
    </row>
    <row r="3982" spans="1:9">
      <c r="A3982" t="str">
        <f>"0041781 "</f>
        <v xml:space="preserve">0041781 </v>
      </c>
      <c r="B3982" t="s">
        <v>12408</v>
      </c>
      <c r="C3982" t="s">
        <v>13250</v>
      </c>
      <c r="D3982" t="s">
        <v>13251</v>
      </c>
      <c r="E3982">
        <v>2</v>
      </c>
      <c r="F3982" t="s">
        <v>13252</v>
      </c>
      <c r="G3982" t="s">
        <v>12408</v>
      </c>
      <c r="H3982">
        <v>341844</v>
      </c>
      <c r="I3982" t="s">
        <v>13253</v>
      </c>
    </row>
    <row r="3983" spans="1:9">
      <c r="A3983" t="str">
        <f>"0041782 "</f>
        <v xml:space="preserve">0041782 </v>
      </c>
      <c r="B3983" t="s">
        <v>12408</v>
      </c>
      <c r="C3983" t="s">
        <v>13254</v>
      </c>
      <c r="D3983" t="s">
        <v>13255</v>
      </c>
      <c r="E3983">
        <v>2</v>
      </c>
      <c r="F3983" t="s">
        <v>13256</v>
      </c>
      <c r="G3983" t="s">
        <v>12408</v>
      </c>
      <c r="H3983">
        <v>341845</v>
      </c>
      <c r="I3983" t="s">
        <v>13257</v>
      </c>
    </row>
    <row r="3984" spans="1:9">
      <c r="A3984" t="str">
        <f>"0041888 "</f>
        <v xml:space="preserve">0041888 </v>
      </c>
      <c r="B3984" t="s">
        <v>12408</v>
      </c>
      <c r="C3984" t="s">
        <v>13258</v>
      </c>
      <c r="D3984" t="s">
        <v>13259</v>
      </c>
      <c r="E3984">
        <v>2</v>
      </c>
      <c r="F3984" t="s">
        <v>13260</v>
      </c>
      <c r="G3984" t="s">
        <v>12408</v>
      </c>
      <c r="H3984">
        <v>343047</v>
      </c>
      <c r="I3984" t="s">
        <v>13261</v>
      </c>
    </row>
    <row r="3985" spans="1:9">
      <c r="A3985" t="str">
        <f>"0041930 "</f>
        <v xml:space="preserve">0041930 </v>
      </c>
      <c r="B3985" t="s">
        <v>12408</v>
      </c>
      <c r="C3985" t="s">
        <v>13262</v>
      </c>
      <c r="D3985" t="s">
        <v>13263</v>
      </c>
      <c r="E3985">
        <v>2</v>
      </c>
      <c r="F3985" t="s">
        <v>13264</v>
      </c>
      <c r="G3985" t="s">
        <v>12408</v>
      </c>
      <c r="H3985">
        <v>343097</v>
      </c>
      <c r="I3985" t="s">
        <v>13265</v>
      </c>
    </row>
    <row r="3986" spans="1:9">
      <c r="A3986" t="str">
        <f>"0041931 "</f>
        <v xml:space="preserve">0041931 </v>
      </c>
      <c r="B3986" t="s">
        <v>12408</v>
      </c>
      <c r="C3986" t="s">
        <v>13266</v>
      </c>
      <c r="D3986" t="s">
        <v>13267</v>
      </c>
      <c r="E3986" t="s">
        <v>16</v>
      </c>
      <c r="F3986" t="s">
        <v>13268</v>
      </c>
      <c r="G3986" t="s">
        <v>12408</v>
      </c>
      <c r="H3986">
        <v>343098</v>
      </c>
      <c r="I3986" t="s">
        <v>13269</v>
      </c>
    </row>
    <row r="3987" spans="1:9">
      <c r="A3987" t="str">
        <f>"0042013 "</f>
        <v xml:space="preserve">0042013 </v>
      </c>
      <c r="B3987" t="s">
        <v>12408</v>
      </c>
      <c r="C3987" t="s">
        <v>13270</v>
      </c>
      <c r="D3987" t="s">
        <v>13271</v>
      </c>
      <c r="E3987">
        <v>4</v>
      </c>
      <c r="F3987" t="s">
        <v>13272</v>
      </c>
      <c r="G3987" t="s">
        <v>12408</v>
      </c>
      <c r="H3987">
        <v>343205</v>
      </c>
      <c r="I3987" t="s">
        <v>13273</v>
      </c>
    </row>
    <row r="3988" spans="1:9">
      <c r="A3988" t="str">
        <f>"0042024 "</f>
        <v xml:space="preserve">0042024 </v>
      </c>
      <c r="B3988" t="s">
        <v>12408</v>
      </c>
      <c r="C3988" t="s">
        <v>13274</v>
      </c>
      <c r="D3988" t="s">
        <v>13275</v>
      </c>
      <c r="E3988">
        <v>2</v>
      </c>
      <c r="F3988" t="s">
        <v>13276</v>
      </c>
      <c r="G3988" t="s">
        <v>12408</v>
      </c>
      <c r="H3988">
        <v>343216</v>
      </c>
      <c r="I3988" t="s">
        <v>13277</v>
      </c>
    </row>
    <row r="3989" spans="1:9">
      <c r="A3989" t="str">
        <f>"0042056 "</f>
        <v xml:space="preserve">0042056 </v>
      </c>
      <c r="B3989" t="s">
        <v>12408</v>
      </c>
      <c r="C3989" t="s">
        <v>13278</v>
      </c>
      <c r="D3989" t="s">
        <v>13279</v>
      </c>
      <c r="E3989" t="s">
        <v>16</v>
      </c>
      <c r="F3989" t="s">
        <v>13280</v>
      </c>
      <c r="G3989" t="s">
        <v>12408</v>
      </c>
      <c r="H3989">
        <v>343251</v>
      </c>
      <c r="I3989" t="s">
        <v>13281</v>
      </c>
    </row>
    <row r="3990" spans="1:9">
      <c r="A3990" t="str">
        <f>"0042075 "</f>
        <v xml:space="preserve">0042075 </v>
      </c>
      <c r="B3990" t="s">
        <v>12408</v>
      </c>
      <c r="C3990" t="s">
        <v>13282</v>
      </c>
      <c r="D3990" t="s">
        <v>13283</v>
      </c>
      <c r="E3990">
        <v>2</v>
      </c>
      <c r="F3990" t="s">
        <v>13284</v>
      </c>
      <c r="G3990" t="s">
        <v>12408</v>
      </c>
      <c r="H3990">
        <v>343272</v>
      </c>
      <c r="I3990" t="s">
        <v>13285</v>
      </c>
    </row>
    <row r="3991" spans="1:9">
      <c r="A3991" t="str">
        <f>"0042076 "</f>
        <v xml:space="preserve">0042076 </v>
      </c>
      <c r="B3991" t="s">
        <v>12408</v>
      </c>
      <c r="C3991" t="s">
        <v>13286</v>
      </c>
      <c r="D3991" t="s">
        <v>13287</v>
      </c>
      <c r="E3991">
        <v>2</v>
      </c>
      <c r="F3991" t="s">
        <v>13288</v>
      </c>
      <c r="G3991" t="s">
        <v>12408</v>
      </c>
      <c r="H3991">
        <v>343273</v>
      </c>
      <c r="I3991" t="s">
        <v>13289</v>
      </c>
    </row>
    <row r="3992" spans="1:9">
      <c r="A3992" t="str">
        <f>"0042083 "</f>
        <v xml:space="preserve">0042083 </v>
      </c>
      <c r="B3992" t="s">
        <v>12408</v>
      </c>
      <c r="C3992" t="s">
        <v>13290</v>
      </c>
      <c r="D3992" t="s">
        <v>13291</v>
      </c>
      <c r="E3992">
        <v>4</v>
      </c>
      <c r="F3992" t="s">
        <v>13292</v>
      </c>
      <c r="G3992" t="s">
        <v>12408</v>
      </c>
      <c r="H3992">
        <v>343281</v>
      </c>
      <c r="I3992" t="s">
        <v>13293</v>
      </c>
    </row>
    <row r="3993" spans="1:9">
      <c r="A3993" t="str">
        <f>"0042106 "</f>
        <v xml:space="preserve">0042106 </v>
      </c>
      <c r="B3993" t="s">
        <v>12408</v>
      </c>
      <c r="C3993" t="s">
        <v>13294</v>
      </c>
      <c r="D3993" t="s">
        <v>13295</v>
      </c>
      <c r="E3993">
        <v>2</v>
      </c>
      <c r="F3993" t="s">
        <v>13296</v>
      </c>
      <c r="G3993" t="s">
        <v>12408</v>
      </c>
      <c r="H3993">
        <v>343305</v>
      </c>
      <c r="I3993" t="s">
        <v>13297</v>
      </c>
    </row>
    <row r="3994" spans="1:9">
      <c r="A3994" t="str">
        <f>"0042107 "</f>
        <v xml:space="preserve">0042107 </v>
      </c>
      <c r="B3994" t="s">
        <v>12408</v>
      </c>
      <c r="C3994" t="s">
        <v>13298</v>
      </c>
      <c r="D3994" t="s">
        <v>13299</v>
      </c>
      <c r="E3994">
        <v>2</v>
      </c>
      <c r="F3994" t="s">
        <v>13300</v>
      </c>
      <c r="G3994" t="s">
        <v>12408</v>
      </c>
      <c r="H3994">
        <v>343306</v>
      </c>
      <c r="I3994" t="s">
        <v>13301</v>
      </c>
    </row>
    <row r="3995" spans="1:9">
      <c r="A3995" t="str">
        <f>"0042108 "</f>
        <v xml:space="preserve">0042108 </v>
      </c>
      <c r="B3995" t="s">
        <v>12408</v>
      </c>
      <c r="C3995" t="s">
        <v>13302</v>
      </c>
      <c r="D3995" t="s">
        <v>13303</v>
      </c>
      <c r="E3995">
        <v>3</v>
      </c>
      <c r="F3995" t="s">
        <v>13304</v>
      </c>
      <c r="G3995" t="s">
        <v>12408</v>
      </c>
      <c r="H3995">
        <v>343307</v>
      </c>
      <c r="I3995" t="s">
        <v>13305</v>
      </c>
    </row>
    <row r="3996" spans="1:9">
      <c r="A3996" t="str">
        <f>"0042109 "</f>
        <v xml:space="preserve">0042109 </v>
      </c>
      <c r="B3996" t="s">
        <v>12408</v>
      </c>
      <c r="C3996" t="s">
        <v>13306</v>
      </c>
      <c r="D3996" t="s">
        <v>13307</v>
      </c>
      <c r="E3996">
        <v>2</v>
      </c>
      <c r="F3996" t="s">
        <v>13308</v>
      </c>
      <c r="G3996" t="s">
        <v>12408</v>
      </c>
      <c r="H3996">
        <v>343308</v>
      </c>
      <c r="I3996" t="s">
        <v>13309</v>
      </c>
    </row>
    <row r="3997" spans="1:9">
      <c r="A3997" t="str">
        <f>"0042119 "</f>
        <v xml:space="preserve">0042119 </v>
      </c>
      <c r="B3997" t="s">
        <v>12408</v>
      </c>
      <c r="C3997" t="s">
        <v>13310</v>
      </c>
      <c r="D3997" t="s">
        <v>13311</v>
      </c>
      <c r="E3997">
        <v>2</v>
      </c>
      <c r="F3997" t="s">
        <v>13292</v>
      </c>
      <c r="G3997" t="s">
        <v>12408</v>
      </c>
      <c r="H3997">
        <v>343319</v>
      </c>
      <c r="I3997" t="s">
        <v>13312</v>
      </c>
    </row>
    <row r="3998" spans="1:9">
      <c r="A3998" t="str">
        <f>"0042127 "</f>
        <v xml:space="preserve">0042127 </v>
      </c>
      <c r="B3998" t="s">
        <v>12408</v>
      </c>
      <c r="C3998" t="s">
        <v>13313</v>
      </c>
      <c r="D3998" t="s">
        <v>13314</v>
      </c>
      <c r="E3998">
        <v>2</v>
      </c>
      <c r="F3998" t="s">
        <v>13315</v>
      </c>
      <c r="G3998" t="s">
        <v>12408</v>
      </c>
      <c r="H3998">
        <v>343328</v>
      </c>
      <c r="I3998" t="s">
        <v>13316</v>
      </c>
    </row>
    <row r="3999" spans="1:9">
      <c r="A3999" t="str">
        <f>"0042144 "</f>
        <v xml:space="preserve">0042144 </v>
      </c>
      <c r="B3999" t="s">
        <v>12408</v>
      </c>
      <c r="C3999" t="s">
        <v>13317</v>
      </c>
      <c r="D3999" t="s">
        <v>13318</v>
      </c>
      <c r="E3999">
        <v>2</v>
      </c>
      <c r="F3999" t="s">
        <v>13319</v>
      </c>
      <c r="G3999" t="s">
        <v>12408</v>
      </c>
      <c r="H3999">
        <v>343348</v>
      </c>
      <c r="I3999" t="s">
        <v>13320</v>
      </c>
    </row>
    <row r="4000" spans="1:9">
      <c r="A4000" t="str">
        <f>"0042176 "</f>
        <v xml:space="preserve">0042176 </v>
      </c>
      <c r="B4000" t="s">
        <v>12408</v>
      </c>
      <c r="C4000" t="s">
        <v>13321</v>
      </c>
      <c r="D4000" t="s">
        <v>13322</v>
      </c>
      <c r="E4000">
        <v>2</v>
      </c>
      <c r="F4000" t="s">
        <v>13323</v>
      </c>
      <c r="G4000" t="s">
        <v>12408</v>
      </c>
      <c r="H4000">
        <v>343392</v>
      </c>
      <c r="I4000" t="s">
        <v>13324</v>
      </c>
    </row>
    <row r="4001" spans="1:9">
      <c r="A4001" t="str">
        <f>"0042177 "</f>
        <v xml:space="preserve">0042177 </v>
      </c>
      <c r="B4001" t="s">
        <v>12408</v>
      </c>
      <c r="C4001" t="s">
        <v>13325</v>
      </c>
      <c r="D4001" t="s">
        <v>13326</v>
      </c>
      <c r="E4001">
        <v>2</v>
      </c>
      <c r="F4001" t="s">
        <v>13107</v>
      </c>
      <c r="G4001" t="s">
        <v>12408</v>
      </c>
      <c r="H4001">
        <v>343393</v>
      </c>
      <c r="I4001" t="s">
        <v>13327</v>
      </c>
    </row>
    <row r="4002" spans="1:9">
      <c r="A4002" t="str">
        <f>"0042181 "</f>
        <v xml:space="preserve">0042181 </v>
      </c>
      <c r="B4002" t="s">
        <v>12408</v>
      </c>
      <c r="C4002" t="s">
        <v>13328</v>
      </c>
      <c r="D4002" t="s">
        <v>13329</v>
      </c>
      <c r="E4002">
        <v>2</v>
      </c>
      <c r="F4002" t="s">
        <v>13330</v>
      </c>
      <c r="G4002" t="s">
        <v>12408</v>
      </c>
      <c r="H4002">
        <v>343398</v>
      </c>
      <c r="I4002" t="s">
        <v>13331</v>
      </c>
    </row>
    <row r="4003" spans="1:9">
      <c r="A4003" t="str">
        <f>"0042188 "</f>
        <v xml:space="preserve">0042188 </v>
      </c>
      <c r="B4003" t="s">
        <v>12408</v>
      </c>
      <c r="C4003" t="s">
        <v>13332</v>
      </c>
      <c r="D4003" t="s">
        <v>13333</v>
      </c>
      <c r="E4003">
        <v>4</v>
      </c>
      <c r="F4003" t="s">
        <v>13334</v>
      </c>
      <c r="G4003" t="s">
        <v>12408</v>
      </c>
      <c r="H4003">
        <v>343405</v>
      </c>
      <c r="I4003" t="s">
        <v>13335</v>
      </c>
    </row>
    <row r="4004" spans="1:9">
      <c r="A4004" t="str">
        <f>"0042194 "</f>
        <v xml:space="preserve">0042194 </v>
      </c>
      <c r="B4004" t="s">
        <v>12408</v>
      </c>
      <c r="C4004" t="s">
        <v>13336</v>
      </c>
      <c r="D4004" t="s">
        <v>13337</v>
      </c>
      <c r="E4004">
        <v>4</v>
      </c>
      <c r="F4004" t="s">
        <v>13338</v>
      </c>
      <c r="G4004" t="s">
        <v>12408</v>
      </c>
      <c r="H4004">
        <v>343411</v>
      </c>
      <c r="I4004" t="s">
        <v>13339</v>
      </c>
    </row>
    <row r="4005" spans="1:9">
      <c r="A4005" t="str">
        <f>"0042195 "</f>
        <v xml:space="preserve">0042195 </v>
      </c>
      <c r="B4005" t="s">
        <v>12408</v>
      </c>
      <c r="C4005" t="s">
        <v>13340</v>
      </c>
      <c r="D4005" t="s">
        <v>13341</v>
      </c>
      <c r="E4005">
        <v>3</v>
      </c>
      <c r="F4005" t="s">
        <v>13338</v>
      </c>
      <c r="G4005" t="s">
        <v>12408</v>
      </c>
      <c r="H4005">
        <v>343412</v>
      </c>
      <c r="I4005" t="s">
        <v>13342</v>
      </c>
    </row>
    <row r="4006" spans="1:9">
      <c r="A4006" t="str">
        <f>"0042196 "</f>
        <v xml:space="preserve">0042196 </v>
      </c>
      <c r="B4006" t="s">
        <v>12408</v>
      </c>
      <c r="C4006" t="s">
        <v>13343</v>
      </c>
      <c r="D4006" t="s">
        <v>13344</v>
      </c>
      <c r="E4006">
        <v>4</v>
      </c>
      <c r="F4006" t="s">
        <v>13345</v>
      </c>
      <c r="G4006" t="s">
        <v>12408</v>
      </c>
      <c r="H4006">
        <v>343413</v>
      </c>
      <c r="I4006" t="s">
        <v>13346</v>
      </c>
    </row>
    <row r="4007" spans="1:9">
      <c r="A4007" t="str">
        <f>"0042201 "</f>
        <v xml:space="preserve">0042201 </v>
      </c>
      <c r="B4007" t="s">
        <v>12408</v>
      </c>
      <c r="C4007" t="s">
        <v>13347</v>
      </c>
      <c r="D4007" t="s">
        <v>13348</v>
      </c>
      <c r="E4007">
        <v>2</v>
      </c>
      <c r="F4007" t="s">
        <v>13349</v>
      </c>
      <c r="G4007" t="s">
        <v>12408</v>
      </c>
      <c r="H4007">
        <v>343418</v>
      </c>
      <c r="I4007" t="s">
        <v>13350</v>
      </c>
    </row>
    <row r="4008" spans="1:9">
      <c r="A4008" t="str">
        <f>"0042206 "</f>
        <v xml:space="preserve">0042206 </v>
      </c>
      <c r="B4008" t="s">
        <v>12408</v>
      </c>
      <c r="C4008" t="s">
        <v>13351</v>
      </c>
      <c r="D4008" t="s">
        <v>13352</v>
      </c>
      <c r="E4008" t="s">
        <v>16</v>
      </c>
      <c r="F4008" t="s">
        <v>13353</v>
      </c>
      <c r="G4008" t="s">
        <v>12408</v>
      </c>
      <c r="H4008">
        <v>343423</v>
      </c>
      <c r="I4008" t="s">
        <v>13354</v>
      </c>
    </row>
    <row r="4009" spans="1:9">
      <c r="A4009" t="str">
        <f>"0042212 "</f>
        <v xml:space="preserve">0042212 </v>
      </c>
      <c r="B4009" t="s">
        <v>12408</v>
      </c>
      <c r="C4009" t="s">
        <v>13355</v>
      </c>
      <c r="D4009" t="s">
        <v>13356</v>
      </c>
      <c r="E4009">
        <v>2</v>
      </c>
      <c r="F4009" t="s">
        <v>13357</v>
      </c>
      <c r="G4009" t="s">
        <v>12408</v>
      </c>
      <c r="H4009">
        <v>343431</v>
      </c>
      <c r="I4009" t="s">
        <v>13358</v>
      </c>
    </row>
    <row r="4010" spans="1:9">
      <c r="A4010" t="str">
        <f>"0042218 "</f>
        <v xml:space="preserve">0042218 </v>
      </c>
      <c r="B4010" t="s">
        <v>12408</v>
      </c>
      <c r="C4010" t="s">
        <v>13359</v>
      </c>
      <c r="D4010" t="s">
        <v>13360</v>
      </c>
      <c r="E4010">
        <v>2</v>
      </c>
      <c r="F4010" t="s">
        <v>13361</v>
      </c>
      <c r="G4010" t="s">
        <v>12408</v>
      </c>
      <c r="H4010">
        <v>343437</v>
      </c>
      <c r="I4010" t="s">
        <v>13362</v>
      </c>
    </row>
    <row r="4011" spans="1:9">
      <c r="A4011" t="str">
        <f>"0042220 "</f>
        <v xml:space="preserve">0042220 </v>
      </c>
      <c r="B4011" t="s">
        <v>12408</v>
      </c>
      <c r="C4011" t="s">
        <v>13363</v>
      </c>
      <c r="D4011" t="s">
        <v>13364</v>
      </c>
      <c r="E4011">
        <v>4</v>
      </c>
      <c r="F4011" t="s">
        <v>13365</v>
      </c>
      <c r="G4011" t="s">
        <v>12408</v>
      </c>
      <c r="H4011">
        <v>343440</v>
      </c>
      <c r="I4011" t="s">
        <v>13366</v>
      </c>
    </row>
    <row r="4012" spans="1:9">
      <c r="A4012" t="str">
        <f>"0042235 "</f>
        <v xml:space="preserve">0042235 </v>
      </c>
      <c r="B4012" t="s">
        <v>12408</v>
      </c>
      <c r="C4012" t="s">
        <v>13367</v>
      </c>
      <c r="D4012" t="s">
        <v>13368</v>
      </c>
      <c r="E4012">
        <v>4</v>
      </c>
      <c r="F4012" t="s">
        <v>13369</v>
      </c>
      <c r="G4012" t="s">
        <v>12408</v>
      </c>
      <c r="H4012">
        <v>343459</v>
      </c>
      <c r="I4012" t="s">
        <v>13370</v>
      </c>
    </row>
    <row r="4013" spans="1:9">
      <c r="A4013" t="str">
        <f>"0042239 "</f>
        <v xml:space="preserve">0042239 </v>
      </c>
      <c r="B4013" t="s">
        <v>12408</v>
      </c>
      <c r="C4013" t="s">
        <v>13371</v>
      </c>
      <c r="D4013" t="s">
        <v>13372</v>
      </c>
      <c r="E4013" t="s">
        <v>16</v>
      </c>
      <c r="F4013" t="s">
        <v>13373</v>
      </c>
      <c r="G4013" t="s">
        <v>12408</v>
      </c>
      <c r="H4013">
        <v>343465</v>
      </c>
      <c r="I4013" t="s">
        <v>13374</v>
      </c>
    </row>
    <row r="4014" spans="1:9">
      <c r="A4014" t="str">
        <f>"0042246 "</f>
        <v xml:space="preserve">0042246 </v>
      </c>
      <c r="B4014" t="s">
        <v>12408</v>
      </c>
      <c r="C4014" t="s">
        <v>13375</v>
      </c>
      <c r="D4014" t="s">
        <v>13376</v>
      </c>
      <c r="E4014">
        <v>2</v>
      </c>
      <c r="F4014" t="s">
        <v>13377</v>
      </c>
      <c r="G4014" t="s">
        <v>12408</v>
      </c>
      <c r="H4014">
        <v>343478</v>
      </c>
      <c r="I4014" t="s">
        <v>13378</v>
      </c>
    </row>
    <row r="4015" spans="1:9">
      <c r="A4015" t="str">
        <f>"0042247 "</f>
        <v xml:space="preserve">0042247 </v>
      </c>
      <c r="B4015" t="s">
        <v>12408</v>
      </c>
      <c r="C4015" t="s">
        <v>13379</v>
      </c>
      <c r="D4015" t="s">
        <v>13380</v>
      </c>
      <c r="E4015">
        <v>3</v>
      </c>
      <c r="F4015" t="s">
        <v>12685</v>
      </c>
      <c r="G4015" t="s">
        <v>12408</v>
      </c>
      <c r="H4015">
        <v>343479</v>
      </c>
      <c r="I4015" t="s">
        <v>13381</v>
      </c>
    </row>
    <row r="4016" spans="1:9">
      <c r="A4016" t="str">
        <f>"0042250 "</f>
        <v xml:space="preserve">0042250 </v>
      </c>
      <c r="B4016" t="s">
        <v>12408</v>
      </c>
      <c r="C4016" t="s">
        <v>13382</v>
      </c>
      <c r="D4016" t="s">
        <v>13383</v>
      </c>
      <c r="E4016">
        <v>2</v>
      </c>
      <c r="F4016" t="s">
        <v>13384</v>
      </c>
      <c r="G4016" t="s">
        <v>12408</v>
      </c>
      <c r="H4016">
        <v>343482</v>
      </c>
      <c r="I4016" t="s">
        <v>13385</v>
      </c>
    </row>
    <row r="4017" spans="1:9">
      <c r="A4017" t="str">
        <f>"0042252 "</f>
        <v xml:space="preserve">0042252 </v>
      </c>
      <c r="B4017" t="s">
        <v>12408</v>
      </c>
      <c r="C4017" t="s">
        <v>13386</v>
      </c>
      <c r="D4017" t="s">
        <v>13387</v>
      </c>
      <c r="E4017">
        <v>4</v>
      </c>
      <c r="F4017" t="s">
        <v>13388</v>
      </c>
      <c r="G4017" t="s">
        <v>12408</v>
      </c>
      <c r="H4017">
        <v>343484</v>
      </c>
      <c r="I4017" t="s">
        <v>13389</v>
      </c>
    </row>
    <row r="4018" spans="1:9">
      <c r="A4018" t="str">
        <f>"0252638 "</f>
        <v xml:space="preserve">0252638 </v>
      </c>
      <c r="B4018" t="s">
        <v>12408</v>
      </c>
      <c r="C4018" t="s">
        <v>13390</v>
      </c>
      <c r="D4018" t="s">
        <v>13391</v>
      </c>
      <c r="E4018">
        <v>2</v>
      </c>
      <c r="F4018" t="s">
        <v>13392</v>
      </c>
      <c r="G4018" t="s">
        <v>12408</v>
      </c>
      <c r="H4018">
        <v>3438000</v>
      </c>
      <c r="I4018" t="s">
        <v>13393</v>
      </c>
    </row>
    <row r="4019" spans="1:9">
      <c r="A4019" t="str">
        <f>"0042270 "</f>
        <v xml:space="preserve">0042270 </v>
      </c>
      <c r="B4019" t="s">
        <v>12408</v>
      </c>
      <c r="C4019" t="s">
        <v>13394</v>
      </c>
      <c r="D4019" t="s">
        <v>13395</v>
      </c>
      <c r="E4019">
        <v>2</v>
      </c>
      <c r="F4019" t="s">
        <v>13396</v>
      </c>
      <c r="G4019" t="s">
        <v>12408</v>
      </c>
      <c r="H4019">
        <v>343807</v>
      </c>
      <c r="I4019" t="s">
        <v>13397</v>
      </c>
    </row>
    <row r="4020" spans="1:9">
      <c r="A4020" t="str">
        <f>"0042273 "</f>
        <v xml:space="preserve">0042273 </v>
      </c>
      <c r="B4020" t="s">
        <v>12408</v>
      </c>
      <c r="C4020" t="s">
        <v>13398</v>
      </c>
      <c r="D4020" t="s">
        <v>13399</v>
      </c>
      <c r="E4020">
        <v>2</v>
      </c>
      <c r="F4020" t="s">
        <v>13373</v>
      </c>
      <c r="G4020" t="s">
        <v>12408</v>
      </c>
      <c r="H4020">
        <v>343810</v>
      </c>
      <c r="I4020" t="s">
        <v>13400</v>
      </c>
    </row>
    <row r="4021" spans="1:9">
      <c r="A4021" t="str">
        <f>"0042274 "</f>
        <v xml:space="preserve">0042274 </v>
      </c>
      <c r="B4021" t="s">
        <v>12408</v>
      </c>
      <c r="C4021" t="s">
        <v>13401</v>
      </c>
      <c r="D4021" t="s">
        <v>13402</v>
      </c>
      <c r="E4021" t="s">
        <v>16</v>
      </c>
      <c r="F4021" t="s">
        <v>13403</v>
      </c>
      <c r="G4021" t="s">
        <v>12408</v>
      </c>
      <c r="H4021">
        <v>343811</v>
      </c>
      <c r="I4021" t="s">
        <v>13404</v>
      </c>
    </row>
    <row r="4022" spans="1:9">
      <c r="A4022" t="str">
        <f>"0042275 "</f>
        <v xml:space="preserve">0042275 </v>
      </c>
      <c r="B4022" t="s">
        <v>12408</v>
      </c>
      <c r="C4022" t="s">
        <v>13405</v>
      </c>
      <c r="D4022" t="s">
        <v>13406</v>
      </c>
      <c r="E4022">
        <v>2</v>
      </c>
      <c r="F4022" t="s">
        <v>13407</v>
      </c>
      <c r="G4022" t="s">
        <v>12408</v>
      </c>
      <c r="H4022">
        <v>343812</v>
      </c>
      <c r="I4022" t="s">
        <v>13408</v>
      </c>
    </row>
    <row r="4023" spans="1:9">
      <c r="A4023" t="str">
        <f>"0042393 "</f>
        <v xml:space="preserve">0042393 </v>
      </c>
      <c r="B4023" t="s">
        <v>12408</v>
      </c>
      <c r="C4023" t="s">
        <v>13409</v>
      </c>
      <c r="D4023" t="s">
        <v>13410</v>
      </c>
      <c r="E4023">
        <v>3</v>
      </c>
      <c r="F4023" t="s">
        <v>13411</v>
      </c>
      <c r="G4023" t="s">
        <v>12408</v>
      </c>
      <c r="H4023">
        <v>344222</v>
      </c>
      <c r="I4023" t="s">
        <v>13412</v>
      </c>
    </row>
    <row r="4024" spans="1:9">
      <c r="A4024" t="str">
        <f>"0042402 "</f>
        <v xml:space="preserve">0042402 </v>
      </c>
      <c r="B4024" t="s">
        <v>12408</v>
      </c>
      <c r="C4024" t="s">
        <v>13413</v>
      </c>
      <c r="D4024" t="s">
        <v>13414</v>
      </c>
      <c r="E4024">
        <v>2</v>
      </c>
      <c r="F4024" t="s">
        <v>13415</v>
      </c>
      <c r="G4024" t="s">
        <v>12408</v>
      </c>
      <c r="H4024">
        <v>344254</v>
      </c>
      <c r="I4024" t="s">
        <v>13416</v>
      </c>
    </row>
    <row r="4025" spans="1:9">
      <c r="A4025" t="str">
        <f>"0042427 "</f>
        <v xml:space="preserve">0042427 </v>
      </c>
      <c r="B4025" t="s">
        <v>12408</v>
      </c>
      <c r="C4025" t="s">
        <v>13417</v>
      </c>
      <c r="D4025" t="s">
        <v>13418</v>
      </c>
      <c r="E4025">
        <v>4</v>
      </c>
      <c r="F4025" t="s">
        <v>13419</v>
      </c>
      <c r="G4025" t="s">
        <v>12408</v>
      </c>
      <c r="H4025">
        <v>344279</v>
      </c>
      <c r="I4025" t="s">
        <v>13420</v>
      </c>
    </row>
    <row r="4026" spans="1:9">
      <c r="A4026" t="str">
        <f>"0042430 "</f>
        <v xml:space="preserve">0042430 </v>
      </c>
      <c r="B4026" t="s">
        <v>12408</v>
      </c>
      <c r="C4026" t="s">
        <v>13421</v>
      </c>
      <c r="D4026" t="s">
        <v>13422</v>
      </c>
      <c r="E4026">
        <v>2</v>
      </c>
      <c r="F4026" t="s">
        <v>13330</v>
      </c>
      <c r="G4026" t="s">
        <v>12408</v>
      </c>
      <c r="H4026">
        <v>344285</v>
      </c>
      <c r="I4026" t="s">
        <v>13423</v>
      </c>
    </row>
    <row r="4027" spans="1:9">
      <c r="A4027" t="str">
        <f>"0042438 "</f>
        <v xml:space="preserve">0042438 </v>
      </c>
      <c r="B4027" t="s">
        <v>12408</v>
      </c>
      <c r="C4027" t="s">
        <v>13424</v>
      </c>
      <c r="D4027" t="s">
        <v>13425</v>
      </c>
      <c r="E4027">
        <v>2</v>
      </c>
      <c r="F4027" t="s">
        <v>13426</v>
      </c>
      <c r="G4027" t="s">
        <v>12408</v>
      </c>
      <c r="H4027">
        <v>344294</v>
      </c>
      <c r="I4027" t="s">
        <v>13427</v>
      </c>
    </row>
    <row r="4028" spans="1:9">
      <c r="A4028" t="str">
        <f>"0042439 "</f>
        <v xml:space="preserve">0042439 </v>
      </c>
      <c r="B4028" t="s">
        <v>12408</v>
      </c>
      <c r="C4028" t="s">
        <v>13428</v>
      </c>
      <c r="D4028" t="s">
        <v>13429</v>
      </c>
      <c r="E4028">
        <v>2</v>
      </c>
      <c r="F4028" t="s">
        <v>13430</v>
      </c>
      <c r="G4028" t="s">
        <v>12408</v>
      </c>
      <c r="H4028">
        <v>344295</v>
      </c>
      <c r="I4028" t="s">
        <v>13431</v>
      </c>
    </row>
    <row r="4029" spans="1:9">
      <c r="A4029" t="str">
        <f>"0042444 "</f>
        <v xml:space="preserve">0042444 </v>
      </c>
      <c r="B4029" t="s">
        <v>12408</v>
      </c>
      <c r="C4029" t="s">
        <v>13432</v>
      </c>
      <c r="D4029" t="s">
        <v>13433</v>
      </c>
      <c r="E4029">
        <v>2</v>
      </c>
      <c r="F4029" t="s">
        <v>13434</v>
      </c>
      <c r="G4029" t="s">
        <v>12408</v>
      </c>
      <c r="H4029">
        <v>344300</v>
      </c>
      <c r="I4029" t="s">
        <v>13435</v>
      </c>
    </row>
    <row r="4030" spans="1:9">
      <c r="A4030" t="str">
        <f>"0042450 "</f>
        <v xml:space="preserve">0042450 </v>
      </c>
      <c r="B4030" t="s">
        <v>12408</v>
      </c>
      <c r="C4030" t="s">
        <v>13436</v>
      </c>
      <c r="D4030" t="s">
        <v>13437</v>
      </c>
      <c r="E4030">
        <v>2</v>
      </c>
      <c r="F4030" t="s">
        <v>13373</v>
      </c>
      <c r="G4030" t="s">
        <v>12408</v>
      </c>
      <c r="H4030">
        <v>344306</v>
      </c>
      <c r="I4030" t="s">
        <v>13438</v>
      </c>
    </row>
    <row r="4031" spans="1:9">
      <c r="A4031" t="str">
        <f>"0042451 "</f>
        <v xml:space="preserve">0042451 </v>
      </c>
      <c r="B4031" t="s">
        <v>12408</v>
      </c>
      <c r="C4031" t="s">
        <v>13439</v>
      </c>
      <c r="D4031" t="s">
        <v>13440</v>
      </c>
      <c r="E4031">
        <v>3</v>
      </c>
      <c r="F4031" t="s">
        <v>13441</v>
      </c>
      <c r="G4031" t="s">
        <v>12408</v>
      </c>
      <c r="H4031">
        <v>344307</v>
      </c>
      <c r="I4031" t="s">
        <v>13442</v>
      </c>
    </row>
    <row r="4032" spans="1:9">
      <c r="A4032" t="str">
        <f>"0042496 "</f>
        <v xml:space="preserve">0042496 </v>
      </c>
      <c r="B4032" t="s">
        <v>12408</v>
      </c>
      <c r="C4032" t="s">
        <v>13443</v>
      </c>
      <c r="D4032" t="s">
        <v>13444</v>
      </c>
      <c r="E4032">
        <v>2</v>
      </c>
      <c r="F4032" t="s">
        <v>13369</v>
      </c>
      <c r="G4032" t="s">
        <v>12408</v>
      </c>
      <c r="H4032">
        <v>344359</v>
      </c>
      <c r="I4032" t="s">
        <v>13445</v>
      </c>
    </row>
    <row r="4033" spans="1:9">
      <c r="A4033" t="str">
        <f>"0042497 "</f>
        <v xml:space="preserve">0042497 </v>
      </c>
      <c r="B4033" t="s">
        <v>12408</v>
      </c>
      <c r="C4033" t="s">
        <v>13446</v>
      </c>
      <c r="D4033" t="s">
        <v>13447</v>
      </c>
      <c r="E4033">
        <v>2</v>
      </c>
      <c r="F4033" t="s">
        <v>13448</v>
      </c>
      <c r="G4033" t="s">
        <v>12408</v>
      </c>
      <c r="H4033">
        <v>344360</v>
      </c>
      <c r="I4033" t="s">
        <v>13449</v>
      </c>
    </row>
    <row r="4034" spans="1:9">
      <c r="A4034" t="str">
        <f>"0042500 "</f>
        <v xml:space="preserve">0042500 </v>
      </c>
      <c r="B4034" t="s">
        <v>12408</v>
      </c>
      <c r="C4034" t="s">
        <v>13450</v>
      </c>
      <c r="D4034" t="s">
        <v>13451</v>
      </c>
      <c r="E4034">
        <v>4</v>
      </c>
      <c r="F4034" t="s">
        <v>13168</v>
      </c>
      <c r="G4034" t="s">
        <v>12408</v>
      </c>
      <c r="H4034">
        <v>344363</v>
      </c>
      <c r="I4034" t="s">
        <v>13452</v>
      </c>
    </row>
    <row r="4035" spans="1:9">
      <c r="A4035" t="str">
        <f>"0042542 "</f>
        <v xml:space="preserve">0042542 </v>
      </c>
      <c r="B4035" t="s">
        <v>12408</v>
      </c>
      <c r="C4035" t="s">
        <v>13453</v>
      </c>
      <c r="D4035" t="s">
        <v>13454</v>
      </c>
      <c r="E4035">
        <v>2</v>
      </c>
      <c r="F4035" t="s">
        <v>13455</v>
      </c>
      <c r="G4035" t="s">
        <v>12408</v>
      </c>
      <c r="H4035">
        <v>344407</v>
      </c>
      <c r="I4035" t="s">
        <v>13456</v>
      </c>
    </row>
    <row r="4036" spans="1:9">
      <c r="A4036" t="str">
        <f>"0042543 "</f>
        <v xml:space="preserve">0042543 </v>
      </c>
      <c r="B4036" t="s">
        <v>12408</v>
      </c>
      <c r="C4036" t="s">
        <v>13457</v>
      </c>
      <c r="D4036" t="s">
        <v>13458</v>
      </c>
      <c r="E4036">
        <v>4</v>
      </c>
      <c r="F4036" t="s">
        <v>13403</v>
      </c>
      <c r="G4036" t="s">
        <v>12408</v>
      </c>
      <c r="H4036">
        <v>344408</v>
      </c>
      <c r="I4036" t="s">
        <v>13459</v>
      </c>
    </row>
    <row r="4037" spans="1:9">
      <c r="A4037" t="str">
        <f>"0042544 "</f>
        <v xml:space="preserve">0042544 </v>
      </c>
      <c r="B4037" t="s">
        <v>12408</v>
      </c>
      <c r="C4037" t="s">
        <v>13460</v>
      </c>
      <c r="D4037" t="s">
        <v>13461</v>
      </c>
      <c r="E4037">
        <v>4</v>
      </c>
      <c r="F4037" t="s">
        <v>13462</v>
      </c>
      <c r="G4037" t="s">
        <v>12408</v>
      </c>
      <c r="H4037">
        <v>344409</v>
      </c>
      <c r="I4037" t="s">
        <v>13463</v>
      </c>
    </row>
    <row r="4038" spans="1:9">
      <c r="A4038" t="str">
        <f>"0042545 "</f>
        <v xml:space="preserve">0042545 </v>
      </c>
      <c r="B4038" t="s">
        <v>12408</v>
      </c>
      <c r="C4038" t="s">
        <v>13464</v>
      </c>
      <c r="D4038" t="s">
        <v>13465</v>
      </c>
      <c r="E4038">
        <v>4</v>
      </c>
      <c r="F4038" t="s">
        <v>13466</v>
      </c>
      <c r="G4038" t="s">
        <v>12408</v>
      </c>
      <c r="H4038">
        <v>344410</v>
      </c>
      <c r="I4038" t="s">
        <v>13467</v>
      </c>
    </row>
    <row r="4039" spans="1:9">
      <c r="A4039" t="str">
        <f>"0042550 "</f>
        <v xml:space="preserve">0042550 </v>
      </c>
      <c r="B4039" t="s">
        <v>12408</v>
      </c>
      <c r="C4039" t="s">
        <v>13468</v>
      </c>
      <c r="D4039" t="s">
        <v>13469</v>
      </c>
      <c r="E4039">
        <v>2</v>
      </c>
      <c r="F4039" t="s">
        <v>12489</v>
      </c>
      <c r="G4039" t="s">
        <v>12408</v>
      </c>
      <c r="H4039">
        <v>344416</v>
      </c>
      <c r="I4039" t="s">
        <v>13470</v>
      </c>
    </row>
    <row r="4040" spans="1:9">
      <c r="A4040" t="str">
        <f>"0042573 "</f>
        <v xml:space="preserve">0042573 </v>
      </c>
      <c r="B4040" t="s">
        <v>12408</v>
      </c>
      <c r="C4040" t="s">
        <v>13471</v>
      </c>
      <c r="D4040" t="s">
        <v>13472</v>
      </c>
      <c r="E4040">
        <v>4</v>
      </c>
      <c r="F4040" t="s">
        <v>13473</v>
      </c>
      <c r="G4040" t="s">
        <v>12408</v>
      </c>
      <c r="H4040">
        <v>344442</v>
      </c>
      <c r="I4040" t="s">
        <v>13474</v>
      </c>
    </row>
    <row r="4041" spans="1:9">
      <c r="A4041" t="str">
        <f>"0042574 "</f>
        <v xml:space="preserve">0042574 </v>
      </c>
      <c r="B4041" t="s">
        <v>12408</v>
      </c>
      <c r="C4041" t="s">
        <v>13475</v>
      </c>
      <c r="D4041" t="s">
        <v>13476</v>
      </c>
      <c r="E4041">
        <v>2</v>
      </c>
      <c r="F4041" t="s">
        <v>13477</v>
      </c>
      <c r="G4041" t="s">
        <v>12408</v>
      </c>
      <c r="H4041">
        <v>344444</v>
      </c>
      <c r="I4041" t="s">
        <v>13478</v>
      </c>
    </row>
    <row r="4042" spans="1:9">
      <c r="A4042" t="str">
        <f>"0042575 "</f>
        <v xml:space="preserve">0042575 </v>
      </c>
      <c r="B4042" t="s">
        <v>12408</v>
      </c>
      <c r="C4042" t="s">
        <v>13479</v>
      </c>
      <c r="D4042" t="s">
        <v>13480</v>
      </c>
      <c r="E4042">
        <v>2</v>
      </c>
      <c r="F4042" t="s">
        <v>13481</v>
      </c>
      <c r="G4042" t="s">
        <v>12408</v>
      </c>
      <c r="H4042">
        <v>344445</v>
      </c>
      <c r="I4042" t="s">
        <v>13482</v>
      </c>
    </row>
    <row r="4043" spans="1:9">
      <c r="A4043" t="str">
        <f>"0042585 "</f>
        <v xml:space="preserve">0042585 </v>
      </c>
      <c r="B4043" t="s">
        <v>12408</v>
      </c>
      <c r="C4043" t="s">
        <v>13483</v>
      </c>
      <c r="D4043" t="s">
        <v>13484</v>
      </c>
      <c r="E4043">
        <v>2</v>
      </c>
      <c r="F4043" t="s">
        <v>13308</v>
      </c>
      <c r="G4043" t="s">
        <v>12408</v>
      </c>
      <c r="H4043">
        <v>344456</v>
      </c>
      <c r="I4043" t="s">
        <v>13485</v>
      </c>
    </row>
    <row r="4044" spans="1:9">
      <c r="A4044" t="str">
        <f>"0042586 "</f>
        <v xml:space="preserve">0042586 </v>
      </c>
      <c r="B4044" t="s">
        <v>12408</v>
      </c>
      <c r="C4044" t="s">
        <v>13486</v>
      </c>
      <c r="D4044" t="s">
        <v>13487</v>
      </c>
      <c r="E4044">
        <v>4</v>
      </c>
      <c r="F4044" t="s">
        <v>13107</v>
      </c>
      <c r="G4044" t="s">
        <v>12408</v>
      </c>
      <c r="H4044">
        <v>344457</v>
      </c>
      <c r="I4044" t="s">
        <v>13488</v>
      </c>
    </row>
    <row r="4045" spans="1:9">
      <c r="A4045" t="str">
        <f>"0042587 "</f>
        <v xml:space="preserve">0042587 </v>
      </c>
      <c r="B4045" t="s">
        <v>12408</v>
      </c>
      <c r="C4045" t="s">
        <v>13489</v>
      </c>
      <c r="D4045" t="s">
        <v>13490</v>
      </c>
      <c r="E4045">
        <v>2</v>
      </c>
      <c r="F4045" t="s">
        <v>13491</v>
      </c>
      <c r="G4045" t="s">
        <v>12408</v>
      </c>
      <c r="H4045">
        <v>344458</v>
      </c>
      <c r="I4045" t="s">
        <v>13492</v>
      </c>
    </row>
    <row r="4046" spans="1:9">
      <c r="A4046" t="str">
        <f>"0042588 "</f>
        <v xml:space="preserve">0042588 </v>
      </c>
      <c r="B4046" t="s">
        <v>12408</v>
      </c>
      <c r="C4046" t="s">
        <v>13493</v>
      </c>
      <c r="D4046" t="s">
        <v>13494</v>
      </c>
      <c r="E4046">
        <v>5</v>
      </c>
      <c r="F4046" t="s">
        <v>13338</v>
      </c>
      <c r="G4046" t="s">
        <v>12408</v>
      </c>
      <c r="H4046">
        <v>344459</v>
      </c>
      <c r="I4046" t="s">
        <v>13495</v>
      </c>
    </row>
    <row r="4047" spans="1:9">
      <c r="A4047" t="str">
        <f>"0042600 "</f>
        <v xml:space="preserve">0042600 </v>
      </c>
      <c r="B4047" t="s">
        <v>12408</v>
      </c>
      <c r="C4047" t="s">
        <v>13496</v>
      </c>
      <c r="D4047" t="s">
        <v>13497</v>
      </c>
      <c r="E4047">
        <v>2</v>
      </c>
      <c r="F4047" t="s">
        <v>13498</v>
      </c>
      <c r="G4047" t="s">
        <v>12408</v>
      </c>
      <c r="H4047">
        <v>344471</v>
      </c>
      <c r="I4047" t="s">
        <v>13499</v>
      </c>
    </row>
    <row r="4048" spans="1:9">
      <c r="A4048" t="str">
        <f>"0042612 "</f>
        <v xml:space="preserve">0042612 </v>
      </c>
      <c r="B4048" t="s">
        <v>12408</v>
      </c>
      <c r="C4048" t="s">
        <v>13500</v>
      </c>
      <c r="D4048" t="s">
        <v>13501</v>
      </c>
      <c r="E4048">
        <v>2</v>
      </c>
      <c r="F4048" t="s">
        <v>13502</v>
      </c>
      <c r="G4048" t="s">
        <v>12408</v>
      </c>
      <c r="H4048">
        <v>344486</v>
      </c>
      <c r="I4048" t="s">
        <v>13503</v>
      </c>
    </row>
    <row r="4049" spans="1:9">
      <c r="A4049" t="str">
        <f>"0042623 "</f>
        <v xml:space="preserve">0042623 </v>
      </c>
      <c r="B4049" t="s">
        <v>12408</v>
      </c>
      <c r="C4049" t="s">
        <v>13504</v>
      </c>
      <c r="D4049" t="s">
        <v>13505</v>
      </c>
      <c r="E4049">
        <v>4</v>
      </c>
      <c r="F4049" t="s">
        <v>13506</v>
      </c>
      <c r="G4049" t="s">
        <v>12408</v>
      </c>
      <c r="H4049">
        <v>344501</v>
      </c>
      <c r="I4049" t="s">
        <v>13507</v>
      </c>
    </row>
    <row r="4050" spans="1:9">
      <c r="A4050" t="str">
        <f>"0042633 "</f>
        <v xml:space="preserve">0042633 </v>
      </c>
      <c r="B4050" t="s">
        <v>12408</v>
      </c>
      <c r="C4050" t="s">
        <v>13508</v>
      </c>
      <c r="D4050" t="s">
        <v>13509</v>
      </c>
      <c r="E4050">
        <v>2</v>
      </c>
      <c r="F4050" t="s">
        <v>13510</v>
      </c>
      <c r="G4050" t="s">
        <v>12408</v>
      </c>
      <c r="H4050">
        <v>344700</v>
      </c>
      <c r="I4050" t="s">
        <v>13511</v>
      </c>
    </row>
    <row r="4051" spans="1:9">
      <c r="A4051" t="str">
        <f>"0153419 "</f>
        <v xml:space="preserve">0153419 </v>
      </c>
      <c r="B4051" t="s">
        <v>12408</v>
      </c>
      <c r="C4051" t="s">
        <v>13512</v>
      </c>
      <c r="D4051" t="s">
        <v>13513</v>
      </c>
      <c r="E4051" t="s">
        <v>16</v>
      </c>
      <c r="F4051" t="s">
        <v>13514</v>
      </c>
      <c r="G4051" t="s">
        <v>12408</v>
      </c>
      <c r="H4051">
        <v>344709</v>
      </c>
      <c r="I4051" t="s">
        <v>13515</v>
      </c>
    </row>
    <row r="4052" spans="1:9">
      <c r="A4052" t="str">
        <f>"0042635 "</f>
        <v xml:space="preserve">0042635 </v>
      </c>
      <c r="B4052" t="s">
        <v>12408</v>
      </c>
      <c r="C4052" t="s">
        <v>13516</v>
      </c>
      <c r="D4052" t="s">
        <v>13517</v>
      </c>
      <c r="E4052">
        <v>2</v>
      </c>
      <c r="F4052" t="s">
        <v>12433</v>
      </c>
      <c r="G4052" t="s">
        <v>12408</v>
      </c>
      <c r="H4052">
        <v>344800</v>
      </c>
      <c r="I4052" t="s">
        <v>13518</v>
      </c>
    </row>
    <row r="4053" spans="1:9">
      <c r="A4053" t="str">
        <f>"0042638 "</f>
        <v xml:space="preserve">0042638 </v>
      </c>
      <c r="B4053" t="s">
        <v>12408</v>
      </c>
      <c r="C4053" t="s">
        <v>13519</v>
      </c>
      <c r="D4053" t="s">
        <v>13520</v>
      </c>
      <c r="E4053">
        <v>4</v>
      </c>
      <c r="F4053" t="s">
        <v>13521</v>
      </c>
      <c r="G4053" t="s">
        <v>12408</v>
      </c>
      <c r="H4053">
        <v>344803</v>
      </c>
      <c r="I4053" t="s">
        <v>13522</v>
      </c>
    </row>
    <row r="4054" spans="1:9">
      <c r="A4054" t="str">
        <f>"0042641 "</f>
        <v xml:space="preserve">0042641 </v>
      </c>
      <c r="B4054" t="s">
        <v>12408</v>
      </c>
      <c r="C4054" t="s">
        <v>13523</v>
      </c>
      <c r="D4054" t="s">
        <v>13524</v>
      </c>
      <c r="E4054">
        <v>2</v>
      </c>
      <c r="F4054" t="s">
        <v>12489</v>
      </c>
      <c r="G4054" t="s">
        <v>12408</v>
      </c>
      <c r="H4054">
        <v>344806</v>
      </c>
      <c r="I4054" t="s">
        <v>13525</v>
      </c>
    </row>
    <row r="4055" spans="1:9">
      <c r="A4055" t="str">
        <f>"0042646 "</f>
        <v xml:space="preserve">0042646 </v>
      </c>
      <c r="B4055" t="s">
        <v>12408</v>
      </c>
      <c r="C4055" t="s">
        <v>13526</v>
      </c>
      <c r="D4055" t="s">
        <v>13527</v>
      </c>
      <c r="E4055">
        <v>2</v>
      </c>
      <c r="F4055" t="s">
        <v>13455</v>
      </c>
      <c r="G4055" t="s">
        <v>12408</v>
      </c>
      <c r="H4055">
        <v>344811</v>
      </c>
      <c r="I4055" t="s">
        <v>13528</v>
      </c>
    </row>
    <row r="4056" spans="1:9">
      <c r="A4056" t="str">
        <f>"0042647 "</f>
        <v xml:space="preserve">0042647 </v>
      </c>
      <c r="B4056" t="s">
        <v>12408</v>
      </c>
      <c r="C4056" t="s">
        <v>13529</v>
      </c>
      <c r="D4056" t="s">
        <v>13530</v>
      </c>
      <c r="E4056">
        <v>4</v>
      </c>
      <c r="F4056" t="s">
        <v>13531</v>
      </c>
      <c r="G4056" t="s">
        <v>12408</v>
      </c>
      <c r="H4056">
        <v>344812</v>
      </c>
      <c r="I4056" t="s">
        <v>13532</v>
      </c>
    </row>
    <row r="4057" spans="1:9">
      <c r="A4057" t="str">
        <f>"0042648 "</f>
        <v xml:space="preserve">0042648 </v>
      </c>
      <c r="B4057" t="s">
        <v>12408</v>
      </c>
      <c r="C4057" t="s">
        <v>13533</v>
      </c>
      <c r="D4057" t="s">
        <v>13534</v>
      </c>
      <c r="E4057">
        <v>2</v>
      </c>
      <c r="F4057" t="s">
        <v>13455</v>
      </c>
      <c r="G4057" t="s">
        <v>12408</v>
      </c>
      <c r="H4057">
        <v>344813</v>
      </c>
      <c r="I4057" t="s">
        <v>13535</v>
      </c>
    </row>
    <row r="4058" spans="1:9">
      <c r="A4058" t="str">
        <f>"0153421 "</f>
        <v xml:space="preserve">0153421 </v>
      </c>
      <c r="B4058" t="s">
        <v>12408</v>
      </c>
      <c r="C4058" t="s">
        <v>13536</v>
      </c>
      <c r="D4058" t="s">
        <v>13537</v>
      </c>
      <c r="E4058">
        <v>2</v>
      </c>
      <c r="F4058" t="s">
        <v>13538</v>
      </c>
      <c r="G4058" t="s">
        <v>12408</v>
      </c>
      <c r="H4058">
        <v>344816</v>
      </c>
      <c r="I4058" t="s">
        <v>13539</v>
      </c>
    </row>
    <row r="4059" spans="1:9">
      <c r="A4059" t="str">
        <f>"0042675 "</f>
        <v xml:space="preserve">0042675 </v>
      </c>
      <c r="B4059" t="s">
        <v>12408</v>
      </c>
      <c r="C4059" t="s">
        <v>13540</v>
      </c>
      <c r="D4059" t="s">
        <v>13541</v>
      </c>
      <c r="E4059">
        <v>4</v>
      </c>
      <c r="F4059" t="s">
        <v>13542</v>
      </c>
      <c r="G4059" t="s">
        <v>12408</v>
      </c>
      <c r="H4059">
        <v>345027</v>
      </c>
      <c r="I4059" t="s">
        <v>13543</v>
      </c>
    </row>
    <row r="4060" spans="1:9">
      <c r="A4060" t="str">
        <f>"0042678 "</f>
        <v xml:space="preserve">0042678 </v>
      </c>
      <c r="B4060" t="s">
        <v>12408</v>
      </c>
      <c r="C4060" t="s">
        <v>13544</v>
      </c>
      <c r="D4060" t="s">
        <v>13545</v>
      </c>
      <c r="E4060">
        <v>2</v>
      </c>
      <c r="F4060" t="s">
        <v>13546</v>
      </c>
      <c r="G4060" t="s">
        <v>12408</v>
      </c>
      <c r="H4060">
        <v>345031</v>
      </c>
      <c r="I4060" t="s">
        <v>13547</v>
      </c>
    </row>
    <row r="4061" spans="1:9">
      <c r="A4061" t="str">
        <f>"0042679 "</f>
        <v xml:space="preserve">0042679 </v>
      </c>
      <c r="B4061" t="s">
        <v>12408</v>
      </c>
      <c r="C4061" t="s">
        <v>13548</v>
      </c>
      <c r="D4061" t="s">
        <v>13549</v>
      </c>
      <c r="E4061">
        <v>2</v>
      </c>
      <c r="F4061" t="s">
        <v>13403</v>
      </c>
      <c r="G4061" t="s">
        <v>12408</v>
      </c>
      <c r="H4061">
        <v>345032</v>
      </c>
      <c r="I4061" t="s">
        <v>13550</v>
      </c>
    </row>
    <row r="4062" spans="1:9">
      <c r="A4062" t="str">
        <f>"0042695 "</f>
        <v xml:space="preserve">0042695 </v>
      </c>
      <c r="B4062" t="s">
        <v>12408</v>
      </c>
      <c r="C4062" t="s">
        <v>13551</v>
      </c>
      <c r="D4062" t="s">
        <v>13552</v>
      </c>
      <c r="E4062">
        <v>2</v>
      </c>
      <c r="F4062" t="s">
        <v>13553</v>
      </c>
      <c r="G4062" t="s">
        <v>12408</v>
      </c>
      <c r="H4062">
        <v>345056</v>
      </c>
      <c r="I4062" t="s">
        <v>13554</v>
      </c>
    </row>
    <row r="4063" spans="1:9">
      <c r="A4063" t="str">
        <f>"0050445 "</f>
        <v xml:space="preserve">0050445 </v>
      </c>
      <c r="B4063" t="s">
        <v>12408</v>
      </c>
      <c r="C4063" t="s">
        <v>13555</v>
      </c>
      <c r="D4063" t="s">
        <v>13556</v>
      </c>
      <c r="E4063" t="s">
        <v>16</v>
      </c>
      <c r="F4063" t="s">
        <v>12569</v>
      </c>
      <c r="G4063" t="s">
        <v>12408</v>
      </c>
      <c r="H4063">
        <v>345084</v>
      </c>
      <c r="I4063" t="s">
        <v>13557</v>
      </c>
    </row>
    <row r="4064" spans="1:9">
      <c r="A4064" t="str">
        <f>"0042719 "</f>
        <v xml:space="preserve">0042719 </v>
      </c>
      <c r="B4064" t="s">
        <v>12408</v>
      </c>
      <c r="C4064" t="s">
        <v>13558</v>
      </c>
      <c r="D4064" t="s">
        <v>13559</v>
      </c>
      <c r="E4064" t="s">
        <v>16</v>
      </c>
      <c r="F4064" t="s">
        <v>13560</v>
      </c>
      <c r="G4064" t="s">
        <v>12408</v>
      </c>
      <c r="H4064">
        <v>348007</v>
      </c>
      <c r="I4064" t="s">
        <v>13561</v>
      </c>
    </row>
    <row r="4065" spans="1:9">
      <c r="A4065" t="str">
        <f>"0153428 "</f>
        <v xml:space="preserve">0153428 </v>
      </c>
      <c r="B4065" t="s">
        <v>12408</v>
      </c>
      <c r="C4065" t="s">
        <v>13562</v>
      </c>
      <c r="D4065" t="s">
        <v>13563</v>
      </c>
      <c r="E4065">
        <v>2</v>
      </c>
      <c r="F4065" t="s">
        <v>13564</v>
      </c>
      <c r="G4065" t="s">
        <v>12408</v>
      </c>
      <c r="H4065">
        <v>348034</v>
      </c>
      <c r="I4065" t="s">
        <v>13565</v>
      </c>
    </row>
    <row r="4066" spans="1:9">
      <c r="A4066" t="str">
        <f>"0042746 "</f>
        <v xml:space="preserve">0042746 </v>
      </c>
      <c r="B4066" t="s">
        <v>12408</v>
      </c>
      <c r="C4066" t="s">
        <v>13566</v>
      </c>
      <c r="D4066" t="s">
        <v>13567</v>
      </c>
      <c r="E4066">
        <v>4</v>
      </c>
      <c r="F4066" t="s">
        <v>13373</v>
      </c>
      <c r="G4066" t="s">
        <v>12408</v>
      </c>
      <c r="H4066">
        <v>349024</v>
      </c>
      <c r="I4066" t="s">
        <v>13568</v>
      </c>
    </row>
    <row r="4067" spans="1:9">
      <c r="A4067" t="str">
        <f>"0042754 "</f>
        <v xml:space="preserve">0042754 </v>
      </c>
      <c r="B4067" t="s">
        <v>12408</v>
      </c>
      <c r="C4067" t="s">
        <v>13569</v>
      </c>
      <c r="D4067" t="s">
        <v>13570</v>
      </c>
      <c r="E4067">
        <v>2</v>
      </c>
      <c r="F4067" t="s">
        <v>13571</v>
      </c>
      <c r="G4067" t="s">
        <v>12408</v>
      </c>
      <c r="H4067">
        <v>349038</v>
      </c>
      <c r="I4067" t="s">
        <v>13572</v>
      </c>
    </row>
    <row r="4068" spans="1:9">
      <c r="A4068" t="str">
        <f>"0042756 "</f>
        <v xml:space="preserve">0042756 </v>
      </c>
      <c r="B4068" t="s">
        <v>12408</v>
      </c>
      <c r="C4068" t="s">
        <v>13573</v>
      </c>
      <c r="D4068" t="s">
        <v>13574</v>
      </c>
      <c r="E4068">
        <v>4</v>
      </c>
      <c r="F4068" t="s">
        <v>13575</v>
      </c>
      <c r="G4068" t="s">
        <v>12408</v>
      </c>
      <c r="H4068">
        <v>349040</v>
      </c>
      <c r="I4068" t="s">
        <v>13576</v>
      </c>
    </row>
    <row r="4069" spans="1:9">
      <c r="A4069" t="str">
        <f>"0042757 "</f>
        <v xml:space="preserve">0042757 </v>
      </c>
      <c r="B4069" t="s">
        <v>12408</v>
      </c>
      <c r="C4069" t="s">
        <v>13577</v>
      </c>
      <c r="D4069" t="s">
        <v>13578</v>
      </c>
      <c r="E4069">
        <v>4</v>
      </c>
      <c r="F4069" t="s">
        <v>13194</v>
      </c>
      <c r="G4069" t="s">
        <v>12408</v>
      </c>
      <c r="H4069">
        <v>349041</v>
      </c>
      <c r="I4069" t="s">
        <v>13579</v>
      </c>
    </row>
    <row r="4070" spans="1:9">
      <c r="A4070" t="str">
        <f>"0042760 "</f>
        <v xml:space="preserve">0042760 </v>
      </c>
      <c r="B4070" t="s">
        <v>12408</v>
      </c>
      <c r="C4070" t="s">
        <v>13580</v>
      </c>
      <c r="D4070" t="s">
        <v>13581</v>
      </c>
      <c r="E4070">
        <v>2</v>
      </c>
      <c r="F4070" t="s">
        <v>13582</v>
      </c>
      <c r="G4070" t="s">
        <v>12408</v>
      </c>
      <c r="H4070">
        <v>349044</v>
      </c>
      <c r="I4070" t="s">
        <v>13583</v>
      </c>
    </row>
    <row r="4071" spans="1:9">
      <c r="A4071" t="str">
        <f>"0042761 "</f>
        <v xml:space="preserve">0042761 </v>
      </c>
      <c r="B4071" t="s">
        <v>12408</v>
      </c>
      <c r="C4071" t="s">
        <v>13584</v>
      </c>
      <c r="D4071" t="s">
        <v>13585</v>
      </c>
      <c r="E4071">
        <v>2</v>
      </c>
      <c r="F4071" t="s">
        <v>13330</v>
      </c>
      <c r="G4071" t="s">
        <v>12408</v>
      </c>
      <c r="H4071">
        <v>349045</v>
      </c>
      <c r="I4071" t="s">
        <v>13586</v>
      </c>
    </row>
    <row r="4072" spans="1:9">
      <c r="A4072" t="str">
        <f>"0042771 "</f>
        <v xml:space="preserve">0042771 </v>
      </c>
      <c r="B4072" t="s">
        <v>12408</v>
      </c>
      <c r="C4072" t="s">
        <v>13587</v>
      </c>
      <c r="D4072" t="s">
        <v>13588</v>
      </c>
      <c r="E4072">
        <v>2</v>
      </c>
      <c r="F4072" t="s">
        <v>13107</v>
      </c>
      <c r="G4072" t="s">
        <v>12408</v>
      </c>
      <c r="H4072">
        <v>349057</v>
      </c>
      <c r="I4072" t="s">
        <v>13589</v>
      </c>
    </row>
    <row r="4073" spans="1:9">
      <c r="A4073" t="str">
        <f>"0042778 "</f>
        <v xml:space="preserve">0042778 </v>
      </c>
      <c r="B4073" t="s">
        <v>12408</v>
      </c>
      <c r="C4073" t="s">
        <v>13590</v>
      </c>
      <c r="D4073" t="s">
        <v>13591</v>
      </c>
      <c r="E4073">
        <v>2</v>
      </c>
      <c r="F4073" t="s">
        <v>13592</v>
      </c>
      <c r="G4073" t="s">
        <v>12408</v>
      </c>
      <c r="H4073">
        <v>349066</v>
      </c>
      <c r="I4073" t="s">
        <v>13593</v>
      </c>
    </row>
    <row r="4074" spans="1:9">
      <c r="A4074" t="str">
        <f>"0042782 "</f>
        <v xml:space="preserve">0042782 </v>
      </c>
      <c r="B4074" t="s">
        <v>12408</v>
      </c>
      <c r="C4074" t="s">
        <v>13594</v>
      </c>
      <c r="D4074" t="s">
        <v>13595</v>
      </c>
      <c r="E4074">
        <v>2</v>
      </c>
      <c r="F4074" t="s">
        <v>13596</v>
      </c>
      <c r="G4074" t="s">
        <v>12408</v>
      </c>
      <c r="H4074">
        <v>349070</v>
      </c>
      <c r="I4074" t="s">
        <v>13597</v>
      </c>
    </row>
    <row r="4075" spans="1:9">
      <c r="A4075" t="str">
        <f>"0042790 "</f>
        <v xml:space="preserve">0042790 </v>
      </c>
      <c r="B4075" t="s">
        <v>12408</v>
      </c>
      <c r="C4075" t="s">
        <v>13598</v>
      </c>
      <c r="D4075" t="s">
        <v>13599</v>
      </c>
      <c r="E4075" t="s">
        <v>16</v>
      </c>
      <c r="F4075" t="s">
        <v>12489</v>
      </c>
      <c r="G4075" t="s">
        <v>12408</v>
      </c>
      <c r="H4075">
        <v>349079</v>
      </c>
      <c r="I4075" t="s">
        <v>13600</v>
      </c>
    </row>
    <row r="4076" spans="1:9">
      <c r="A4076" t="str">
        <f>"0042791 "</f>
        <v xml:space="preserve">0042791 </v>
      </c>
      <c r="B4076" t="s">
        <v>12408</v>
      </c>
      <c r="C4076" t="s">
        <v>13601</v>
      </c>
      <c r="D4076" t="s">
        <v>13602</v>
      </c>
      <c r="E4076">
        <v>2</v>
      </c>
      <c r="F4076" t="s">
        <v>13603</v>
      </c>
      <c r="G4076" t="s">
        <v>12408</v>
      </c>
      <c r="H4076">
        <v>349080</v>
      </c>
      <c r="I4076" t="s">
        <v>13604</v>
      </c>
    </row>
    <row r="4077" spans="1:9">
      <c r="A4077" t="str">
        <f>"0042795 "</f>
        <v xml:space="preserve">0042795 </v>
      </c>
      <c r="B4077" t="s">
        <v>12408</v>
      </c>
      <c r="C4077" t="s">
        <v>13605</v>
      </c>
      <c r="D4077" t="s">
        <v>13606</v>
      </c>
      <c r="E4077" t="s">
        <v>16</v>
      </c>
      <c r="F4077" t="s">
        <v>13607</v>
      </c>
      <c r="G4077" t="s">
        <v>12408</v>
      </c>
      <c r="H4077">
        <v>349084</v>
      </c>
      <c r="I4077" t="s">
        <v>13608</v>
      </c>
    </row>
    <row r="4078" spans="1:9">
      <c r="A4078" t="str">
        <f>"0050453 "</f>
        <v xml:space="preserve">0050453 </v>
      </c>
      <c r="B4078" t="s">
        <v>12408</v>
      </c>
      <c r="C4078" t="s">
        <v>13609</v>
      </c>
      <c r="D4078" t="s">
        <v>13610</v>
      </c>
      <c r="E4078">
        <v>2</v>
      </c>
      <c r="F4078" t="s">
        <v>13611</v>
      </c>
      <c r="G4078" t="s">
        <v>12408</v>
      </c>
      <c r="H4078">
        <v>349090</v>
      </c>
      <c r="I4078" t="s">
        <v>13612</v>
      </c>
    </row>
    <row r="4079" spans="1:9">
      <c r="A4079" t="str">
        <f>"0042803 "</f>
        <v xml:space="preserve">0042803 </v>
      </c>
      <c r="B4079" t="s">
        <v>12408</v>
      </c>
      <c r="C4079" t="s">
        <v>13613</v>
      </c>
      <c r="D4079" t="s">
        <v>13614</v>
      </c>
      <c r="E4079">
        <v>2</v>
      </c>
      <c r="F4079" t="s">
        <v>13330</v>
      </c>
      <c r="G4079" t="s">
        <v>12408</v>
      </c>
      <c r="H4079">
        <v>349094</v>
      </c>
      <c r="I4079" t="s">
        <v>13615</v>
      </c>
    </row>
    <row r="4080" spans="1:9">
      <c r="A4080" t="str">
        <f>"0050454 "</f>
        <v xml:space="preserve">0050454 </v>
      </c>
      <c r="B4080" t="s">
        <v>12408</v>
      </c>
      <c r="C4080" t="s">
        <v>13616</v>
      </c>
      <c r="D4080" t="s">
        <v>13617</v>
      </c>
      <c r="E4080">
        <v>2</v>
      </c>
      <c r="F4080" t="s">
        <v>13618</v>
      </c>
      <c r="G4080" t="s">
        <v>12408</v>
      </c>
      <c r="H4080">
        <v>349106</v>
      </c>
      <c r="I4080" t="s">
        <v>13619</v>
      </c>
    </row>
    <row r="4081" spans="1:9">
      <c r="A4081" t="str">
        <f>"0086856 "</f>
        <v xml:space="preserve">0086856 </v>
      </c>
      <c r="B4081" t="s">
        <v>12408</v>
      </c>
      <c r="C4081" t="s">
        <v>13620</v>
      </c>
      <c r="D4081" t="s">
        <v>13621</v>
      </c>
      <c r="E4081">
        <v>2</v>
      </c>
      <c r="F4081" t="s">
        <v>13622</v>
      </c>
      <c r="G4081" t="s">
        <v>12408</v>
      </c>
      <c r="H4081">
        <v>349115</v>
      </c>
      <c r="I4081" t="s">
        <v>13623</v>
      </c>
    </row>
    <row r="4082" spans="1:9">
      <c r="A4082" t="str">
        <f>"0086868 "</f>
        <v xml:space="preserve">0086868 </v>
      </c>
      <c r="B4082" t="s">
        <v>12408</v>
      </c>
      <c r="C4082" t="s">
        <v>13624</v>
      </c>
      <c r="D4082" t="s">
        <v>13625</v>
      </c>
      <c r="E4082">
        <v>2</v>
      </c>
      <c r="F4082" t="s">
        <v>13626</v>
      </c>
      <c r="G4082" t="s">
        <v>12408</v>
      </c>
      <c r="H4082">
        <v>349132</v>
      </c>
      <c r="I4082" t="s">
        <v>13627</v>
      </c>
    </row>
    <row r="4083" spans="1:9">
      <c r="A4083" t="str">
        <f>"0153434 "</f>
        <v xml:space="preserve">0153434 </v>
      </c>
      <c r="B4083" t="s">
        <v>12408</v>
      </c>
      <c r="C4083" t="s">
        <v>13628</v>
      </c>
      <c r="D4083" t="s">
        <v>13629</v>
      </c>
      <c r="E4083">
        <v>2</v>
      </c>
      <c r="F4083" t="s">
        <v>13630</v>
      </c>
      <c r="G4083" t="s">
        <v>12408</v>
      </c>
      <c r="H4083">
        <v>349137</v>
      </c>
      <c r="I4083" t="s">
        <v>13631</v>
      </c>
    </row>
    <row r="4084" spans="1:9">
      <c r="A4084" t="str">
        <f>"0153439 "</f>
        <v xml:space="preserve">0153439 </v>
      </c>
      <c r="B4084" t="s">
        <v>12408</v>
      </c>
      <c r="C4084" t="s">
        <v>13632</v>
      </c>
      <c r="D4084" t="s">
        <v>13633</v>
      </c>
      <c r="E4084">
        <v>4</v>
      </c>
      <c r="F4084" t="s">
        <v>13634</v>
      </c>
      <c r="G4084" t="s">
        <v>12408</v>
      </c>
      <c r="H4084">
        <v>349148</v>
      </c>
      <c r="I4084" t="s">
        <v>13635</v>
      </c>
    </row>
    <row r="4085" spans="1:9">
      <c r="A4085" t="str">
        <f>"0153440 "</f>
        <v xml:space="preserve">0153440 </v>
      </c>
      <c r="B4085" t="s">
        <v>12408</v>
      </c>
      <c r="C4085" t="s">
        <v>13636</v>
      </c>
      <c r="D4085" t="s">
        <v>13637</v>
      </c>
      <c r="E4085">
        <v>2</v>
      </c>
      <c r="F4085" t="s">
        <v>13638</v>
      </c>
      <c r="G4085" t="s">
        <v>12408</v>
      </c>
      <c r="H4085">
        <v>349149</v>
      </c>
      <c r="I4085" t="s">
        <v>13639</v>
      </c>
    </row>
    <row r="4086" spans="1:9">
      <c r="A4086" t="str">
        <f>"0239405 "</f>
        <v xml:space="preserve">0239405 </v>
      </c>
      <c r="B4086" t="s">
        <v>12408</v>
      </c>
      <c r="C4086" t="s">
        <v>13640</v>
      </c>
      <c r="D4086" t="s">
        <v>13641</v>
      </c>
      <c r="E4086">
        <v>2</v>
      </c>
      <c r="F4086" t="s">
        <v>13642</v>
      </c>
      <c r="G4086" t="s">
        <v>12408</v>
      </c>
      <c r="H4086">
        <v>349194</v>
      </c>
      <c r="I4086" t="s">
        <v>13643</v>
      </c>
    </row>
    <row r="4087" spans="1:9">
      <c r="A4087" t="str">
        <f>"0042979 "</f>
        <v xml:space="preserve">0042979 </v>
      </c>
      <c r="B4087" t="s">
        <v>12408</v>
      </c>
      <c r="C4087" t="s">
        <v>13644</v>
      </c>
      <c r="D4087" t="s">
        <v>13645</v>
      </c>
      <c r="E4087" t="s">
        <v>16</v>
      </c>
      <c r="F4087" t="s">
        <v>13646</v>
      </c>
      <c r="G4087" t="s">
        <v>12408</v>
      </c>
      <c r="H4087">
        <v>365057</v>
      </c>
      <c r="I4087" t="s">
        <v>13647</v>
      </c>
    </row>
    <row r="4088" spans="1:9">
      <c r="A4088" t="str">
        <f>"0043024 "</f>
        <v xml:space="preserve">0043024 </v>
      </c>
      <c r="B4088" t="s">
        <v>12408</v>
      </c>
      <c r="C4088" t="s">
        <v>13648</v>
      </c>
      <c r="D4088" t="s">
        <v>13649</v>
      </c>
      <c r="E4088" t="s">
        <v>16</v>
      </c>
      <c r="F4088" t="s">
        <v>13650</v>
      </c>
      <c r="G4088" t="s">
        <v>12408</v>
      </c>
      <c r="H4088">
        <v>365501</v>
      </c>
      <c r="I4088" t="s">
        <v>13651</v>
      </c>
    </row>
    <row r="4089" spans="1:9">
      <c r="A4089" t="str">
        <f>"0043026 "</f>
        <v xml:space="preserve">0043026 </v>
      </c>
      <c r="B4089" t="s">
        <v>12408</v>
      </c>
      <c r="C4089" t="s">
        <v>13652</v>
      </c>
      <c r="D4089" t="s">
        <v>13653</v>
      </c>
      <c r="E4089">
        <v>2</v>
      </c>
      <c r="F4089" t="s">
        <v>13654</v>
      </c>
      <c r="G4089" t="s">
        <v>12408</v>
      </c>
      <c r="H4089">
        <v>365503</v>
      </c>
      <c r="I4089" t="s">
        <v>13655</v>
      </c>
    </row>
    <row r="4090" spans="1:9">
      <c r="A4090" t="str">
        <f>"0043027 "</f>
        <v xml:space="preserve">0043027 </v>
      </c>
      <c r="B4090" t="s">
        <v>12408</v>
      </c>
      <c r="C4090" t="s">
        <v>13656</v>
      </c>
      <c r="D4090" t="s">
        <v>13657</v>
      </c>
      <c r="E4090">
        <v>2</v>
      </c>
      <c r="F4090" t="s">
        <v>13658</v>
      </c>
      <c r="G4090" t="s">
        <v>12408</v>
      </c>
      <c r="H4090">
        <v>365504</v>
      </c>
      <c r="I4090" t="s">
        <v>13659</v>
      </c>
    </row>
    <row r="4091" spans="1:9">
      <c r="A4091" t="str">
        <f>"0043028 "</f>
        <v xml:space="preserve">0043028 </v>
      </c>
      <c r="B4091" t="s">
        <v>12408</v>
      </c>
      <c r="C4091" t="s">
        <v>13660</v>
      </c>
      <c r="D4091" t="s">
        <v>13661</v>
      </c>
      <c r="E4091">
        <v>2</v>
      </c>
      <c r="F4091" t="s">
        <v>13123</v>
      </c>
      <c r="G4091" t="s">
        <v>12408</v>
      </c>
      <c r="H4091">
        <v>365505</v>
      </c>
      <c r="I4091" t="s">
        <v>13662</v>
      </c>
    </row>
    <row r="4092" spans="1:9">
      <c r="A4092" t="str">
        <f>"0043030 "</f>
        <v xml:space="preserve">0043030 </v>
      </c>
      <c r="B4092" t="s">
        <v>12408</v>
      </c>
      <c r="C4092" t="s">
        <v>13663</v>
      </c>
      <c r="D4092" t="s">
        <v>13664</v>
      </c>
      <c r="E4092">
        <v>4</v>
      </c>
      <c r="F4092" t="s">
        <v>13665</v>
      </c>
      <c r="G4092" t="s">
        <v>12408</v>
      </c>
      <c r="H4092">
        <v>365507</v>
      </c>
      <c r="I4092" t="s">
        <v>13666</v>
      </c>
    </row>
    <row r="4093" spans="1:9">
      <c r="A4093" t="str">
        <f>"0043098 "</f>
        <v xml:space="preserve">0043098 </v>
      </c>
      <c r="B4093" t="s">
        <v>12408</v>
      </c>
      <c r="C4093" t="s">
        <v>13667</v>
      </c>
      <c r="D4093" t="s">
        <v>13668</v>
      </c>
      <c r="E4093">
        <v>2</v>
      </c>
      <c r="F4093" t="s">
        <v>13455</v>
      </c>
      <c r="G4093" t="s">
        <v>12408</v>
      </c>
      <c r="H4093">
        <v>441040</v>
      </c>
      <c r="I4093" t="s">
        <v>13669</v>
      </c>
    </row>
    <row r="4094" spans="1:9">
      <c r="A4094" t="str">
        <f>"0043106 "</f>
        <v xml:space="preserve">0043106 </v>
      </c>
      <c r="B4094" t="s">
        <v>12408</v>
      </c>
      <c r="C4094" t="s">
        <v>13670</v>
      </c>
      <c r="D4094" t="s">
        <v>13671</v>
      </c>
      <c r="E4094">
        <v>2</v>
      </c>
      <c r="F4094" t="s">
        <v>13672</v>
      </c>
      <c r="G4094" t="s">
        <v>12408</v>
      </c>
      <c r="H4094">
        <v>441048</v>
      </c>
      <c r="I4094" t="s">
        <v>13673</v>
      </c>
    </row>
    <row r="4095" spans="1:9">
      <c r="A4095" t="str">
        <f>"0043137 "</f>
        <v xml:space="preserve">0043137 </v>
      </c>
      <c r="B4095" t="s">
        <v>12408</v>
      </c>
      <c r="C4095" t="s">
        <v>13674</v>
      </c>
      <c r="D4095" t="s">
        <v>13675</v>
      </c>
      <c r="E4095">
        <v>2</v>
      </c>
      <c r="F4095" t="s">
        <v>13676</v>
      </c>
      <c r="G4095" t="s">
        <v>12408</v>
      </c>
      <c r="H4095">
        <v>441081</v>
      </c>
      <c r="I4095" t="s">
        <v>13677</v>
      </c>
    </row>
    <row r="4096" spans="1:9">
      <c r="A4096" t="str">
        <f>"0043161 "</f>
        <v xml:space="preserve">0043161 </v>
      </c>
      <c r="B4096" t="s">
        <v>12408</v>
      </c>
      <c r="C4096" t="s">
        <v>13678</v>
      </c>
      <c r="D4096" t="s">
        <v>13679</v>
      </c>
      <c r="E4096">
        <v>2</v>
      </c>
      <c r="F4096" t="s">
        <v>13680</v>
      </c>
      <c r="G4096" t="s">
        <v>12408</v>
      </c>
      <c r="H4096">
        <v>441107</v>
      </c>
      <c r="I4096" t="s">
        <v>13681</v>
      </c>
    </row>
    <row r="4097" spans="1:9">
      <c r="A4097" t="str">
        <f>"0043176 "</f>
        <v xml:space="preserve">0043176 </v>
      </c>
      <c r="B4097" t="s">
        <v>12408</v>
      </c>
      <c r="C4097" t="s">
        <v>13682</v>
      </c>
      <c r="D4097" t="s">
        <v>13683</v>
      </c>
      <c r="E4097">
        <v>2</v>
      </c>
      <c r="F4097" t="s">
        <v>13684</v>
      </c>
      <c r="G4097" t="s">
        <v>12408</v>
      </c>
      <c r="H4097">
        <v>441824</v>
      </c>
      <c r="I4097" t="s">
        <v>13237</v>
      </c>
    </row>
    <row r="4098" spans="1:9">
      <c r="A4098" t="str">
        <f>"0043355 "</f>
        <v xml:space="preserve">0043355 </v>
      </c>
      <c r="B4098" t="s">
        <v>12408</v>
      </c>
      <c r="C4098" t="s">
        <v>13685</v>
      </c>
      <c r="D4098" t="s">
        <v>13686</v>
      </c>
      <c r="E4098" t="s">
        <v>16</v>
      </c>
      <c r="F4098" t="s">
        <v>13687</v>
      </c>
      <c r="G4098" t="s">
        <v>12408</v>
      </c>
      <c r="H4098">
        <v>443134</v>
      </c>
      <c r="I4098" t="s">
        <v>13261</v>
      </c>
    </row>
    <row r="4099" spans="1:9">
      <c r="A4099" t="str">
        <f>"0043356 "</f>
        <v xml:space="preserve">0043356 </v>
      </c>
      <c r="B4099" t="s">
        <v>12408</v>
      </c>
      <c r="C4099" t="s">
        <v>13688</v>
      </c>
      <c r="D4099" t="s">
        <v>13689</v>
      </c>
      <c r="E4099">
        <v>2</v>
      </c>
      <c r="F4099" t="s">
        <v>13690</v>
      </c>
      <c r="G4099" t="s">
        <v>12408</v>
      </c>
      <c r="H4099">
        <v>443135</v>
      </c>
      <c r="I4099" t="s">
        <v>13691</v>
      </c>
    </row>
    <row r="4100" spans="1:9">
      <c r="A4100" t="str">
        <f>"0043451 "</f>
        <v xml:space="preserve">0043451 </v>
      </c>
      <c r="B4100" t="s">
        <v>12408</v>
      </c>
      <c r="C4100" t="s">
        <v>13692</v>
      </c>
      <c r="D4100" t="s">
        <v>13693</v>
      </c>
      <c r="E4100">
        <v>1</v>
      </c>
      <c r="F4100" t="s">
        <v>13694</v>
      </c>
      <c r="G4100" t="s">
        <v>12408</v>
      </c>
      <c r="H4100">
        <v>443246</v>
      </c>
      <c r="I4100" t="s">
        <v>13695</v>
      </c>
    </row>
    <row r="4101" spans="1:9">
      <c r="A4101" t="str">
        <f>"0043500 "</f>
        <v xml:space="preserve">0043500 </v>
      </c>
      <c r="B4101" t="s">
        <v>12408</v>
      </c>
      <c r="C4101" t="s">
        <v>13696</v>
      </c>
      <c r="D4101" t="s">
        <v>13697</v>
      </c>
      <c r="E4101">
        <v>2</v>
      </c>
      <c r="F4101" t="s">
        <v>13698</v>
      </c>
      <c r="G4101" t="s">
        <v>12408</v>
      </c>
      <c r="H4101">
        <v>443301</v>
      </c>
      <c r="I4101" t="s">
        <v>13699</v>
      </c>
    </row>
    <row r="4102" spans="1:9">
      <c r="A4102" t="str">
        <f>"0043543 "</f>
        <v xml:space="preserve">0043543 </v>
      </c>
      <c r="B4102" t="s">
        <v>12408</v>
      </c>
      <c r="C4102" t="s">
        <v>13700</v>
      </c>
      <c r="D4102" t="s">
        <v>13701</v>
      </c>
      <c r="E4102" t="s">
        <v>16</v>
      </c>
      <c r="F4102" t="s">
        <v>13702</v>
      </c>
      <c r="G4102" t="s">
        <v>12408</v>
      </c>
      <c r="H4102">
        <v>443399</v>
      </c>
      <c r="I4102" t="s">
        <v>13354</v>
      </c>
    </row>
    <row r="4103" spans="1:9">
      <c r="A4103" t="str">
        <f>"0043555 "</f>
        <v xml:space="preserve">0043555 </v>
      </c>
      <c r="B4103" t="s">
        <v>12408</v>
      </c>
      <c r="C4103" t="s">
        <v>13703</v>
      </c>
      <c r="D4103" t="s">
        <v>13704</v>
      </c>
      <c r="E4103">
        <v>2</v>
      </c>
      <c r="F4103" t="s">
        <v>13705</v>
      </c>
      <c r="G4103" t="s">
        <v>12408</v>
      </c>
      <c r="H4103">
        <v>443800</v>
      </c>
      <c r="I4103" t="s">
        <v>13706</v>
      </c>
    </row>
    <row r="4104" spans="1:9">
      <c r="A4104" t="str">
        <f>"0043653 "</f>
        <v xml:space="preserve">0043653 </v>
      </c>
      <c r="B4104" t="s">
        <v>12408</v>
      </c>
      <c r="C4104" t="s">
        <v>13707</v>
      </c>
      <c r="D4104" t="s">
        <v>13708</v>
      </c>
      <c r="E4104">
        <v>2</v>
      </c>
      <c r="F4104" t="s">
        <v>13709</v>
      </c>
      <c r="G4104" t="s">
        <v>12408</v>
      </c>
      <c r="H4104">
        <v>444119</v>
      </c>
      <c r="I4104" t="s">
        <v>13710</v>
      </c>
    </row>
    <row r="4105" spans="1:9">
      <c r="A4105" t="str">
        <f>"0043692 "</f>
        <v xml:space="preserve">0043692 </v>
      </c>
      <c r="B4105" t="s">
        <v>12408</v>
      </c>
      <c r="C4105" t="s">
        <v>13711</v>
      </c>
      <c r="D4105" t="s">
        <v>13712</v>
      </c>
      <c r="E4105">
        <v>2</v>
      </c>
      <c r="F4105" t="s">
        <v>13713</v>
      </c>
      <c r="G4105" t="s">
        <v>12408</v>
      </c>
      <c r="H4105">
        <v>444159</v>
      </c>
      <c r="I4105" t="s">
        <v>13714</v>
      </c>
    </row>
    <row r="4106" spans="1:9">
      <c r="A4106" t="str">
        <f>"0043693 "</f>
        <v xml:space="preserve">0043693 </v>
      </c>
      <c r="B4106" t="s">
        <v>12408</v>
      </c>
      <c r="C4106" t="s">
        <v>13715</v>
      </c>
      <c r="D4106" t="s">
        <v>13716</v>
      </c>
      <c r="E4106">
        <v>2</v>
      </c>
      <c r="F4106" t="s">
        <v>13717</v>
      </c>
      <c r="G4106" t="s">
        <v>12408</v>
      </c>
      <c r="H4106">
        <v>444160</v>
      </c>
      <c r="I4106" t="s">
        <v>13718</v>
      </c>
    </row>
    <row r="4107" spans="1:9">
      <c r="A4107" t="str">
        <f>"0043694 "</f>
        <v xml:space="preserve">0043694 </v>
      </c>
      <c r="B4107" t="s">
        <v>12408</v>
      </c>
      <c r="C4107" t="s">
        <v>13719</v>
      </c>
      <c r="D4107" t="s">
        <v>13720</v>
      </c>
      <c r="E4107">
        <v>2</v>
      </c>
      <c r="F4107" t="s">
        <v>13721</v>
      </c>
      <c r="G4107" t="s">
        <v>12408</v>
      </c>
      <c r="H4107">
        <v>444161</v>
      </c>
      <c r="I4107" t="s">
        <v>13722</v>
      </c>
    </row>
    <row r="4108" spans="1:9">
      <c r="A4108" t="str">
        <f>"0050469 "</f>
        <v xml:space="preserve">0050469 </v>
      </c>
      <c r="B4108" t="s">
        <v>12408</v>
      </c>
      <c r="C4108" t="s">
        <v>13723</v>
      </c>
      <c r="D4108" t="s">
        <v>13724</v>
      </c>
      <c r="E4108">
        <v>2</v>
      </c>
      <c r="F4108" t="s">
        <v>12859</v>
      </c>
      <c r="G4108" t="s">
        <v>12408</v>
      </c>
      <c r="H4108">
        <v>551108</v>
      </c>
      <c r="I4108" t="s">
        <v>13725</v>
      </c>
    </row>
    <row r="4109" spans="1:9">
      <c r="A4109" t="str">
        <f>"0086875 "</f>
        <v xml:space="preserve">0086875 </v>
      </c>
      <c r="B4109" t="s">
        <v>12408</v>
      </c>
      <c r="C4109" t="s">
        <v>13726</v>
      </c>
      <c r="D4109" t="s">
        <v>13727</v>
      </c>
      <c r="E4109">
        <v>2</v>
      </c>
      <c r="F4109" t="s">
        <v>13728</v>
      </c>
      <c r="G4109" t="s">
        <v>12408</v>
      </c>
      <c r="H4109">
        <v>551122</v>
      </c>
      <c r="I4109" t="s">
        <v>13729</v>
      </c>
    </row>
    <row r="4110" spans="1:9">
      <c r="A4110" t="str">
        <f>"0044031 "</f>
        <v xml:space="preserve">0044031 </v>
      </c>
      <c r="B4110" t="s">
        <v>12408</v>
      </c>
      <c r="C4110" t="s">
        <v>13730</v>
      </c>
      <c r="D4110" t="s">
        <v>13731</v>
      </c>
      <c r="E4110">
        <v>1</v>
      </c>
      <c r="F4110" t="s">
        <v>13107</v>
      </c>
      <c r="G4110" t="s">
        <v>12408</v>
      </c>
      <c r="H4110">
        <v>551810</v>
      </c>
      <c r="I4110" t="s">
        <v>13732</v>
      </c>
    </row>
    <row r="4111" spans="1:9">
      <c r="A4111" t="str">
        <f>"0044032 "</f>
        <v xml:space="preserve">0044032 </v>
      </c>
      <c r="B4111" t="s">
        <v>12408</v>
      </c>
      <c r="C4111" t="s">
        <v>13733</v>
      </c>
      <c r="D4111" t="s">
        <v>13734</v>
      </c>
      <c r="E4111">
        <v>1</v>
      </c>
      <c r="F4111" t="s">
        <v>13365</v>
      </c>
      <c r="G4111" t="s">
        <v>12408</v>
      </c>
      <c r="H4111">
        <v>551811</v>
      </c>
      <c r="I4111" t="s">
        <v>13735</v>
      </c>
    </row>
    <row r="4112" spans="1:9">
      <c r="A4112" t="str">
        <f>"0044213 "</f>
        <v xml:space="preserve">0044213 </v>
      </c>
      <c r="B4112" t="s">
        <v>12408</v>
      </c>
      <c r="C4112" t="s">
        <v>13736</v>
      </c>
      <c r="D4112" t="s">
        <v>13737</v>
      </c>
      <c r="E4112">
        <v>2</v>
      </c>
      <c r="F4112" t="s">
        <v>13738</v>
      </c>
      <c r="G4112" t="s">
        <v>12408</v>
      </c>
      <c r="H4112">
        <v>553178</v>
      </c>
      <c r="I4112" t="s">
        <v>13739</v>
      </c>
    </row>
    <row r="4113" spans="1:9">
      <c r="A4113" t="str">
        <f>"0044334 "</f>
        <v xml:space="preserve">0044334 </v>
      </c>
      <c r="B4113" t="s">
        <v>12408</v>
      </c>
      <c r="C4113" t="s">
        <v>13740</v>
      </c>
      <c r="D4113" t="s">
        <v>13741</v>
      </c>
      <c r="E4113">
        <v>2</v>
      </c>
      <c r="F4113" t="s">
        <v>13742</v>
      </c>
      <c r="G4113" t="s">
        <v>12408</v>
      </c>
      <c r="H4113">
        <v>553307</v>
      </c>
      <c r="I4113" t="s">
        <v>13743</v>
      </c>
    </row>
    <row r="4114" spans="1:9">
      <c r="A4114" t="str">
        <f>"0044335 "</f>
        <v xml:space="preserve">0044335 </v>
      </c>
      <c r="B4114" t="s">
        <v>12408</v>
      </c>
      <c r="C4114" t="s">
        <v>13744</v>
      </c>
      <c r="D4114" t="s">
        <v>13745</v>
      </c>
      <c r="E4114">
        <v>2</v>
      </c>
      <c r="F4114" t="s">
        <v>12451</v>
      </c>
      <c r="G4114" t="s">
        <v>12408</v>
      </c>
      <c r="H4114">
        <v>553308</v>
      </c>
      <c r="I4114" t="s">
        <v>13746</v>
      </c>
    </row>
    <row r="4115" spans="1:9">
      <c r="A4115" t="str">
        <f>"0044336 "</f>
        <v xml:space="preserve">0044336 </v>
      </c>
      <c r="B4115" t="s">
        <v>12408</v>
      </c>
      <c r="C4115" t="s">
        <v>13747</v>
      </c>
      <c r="D4115" t="s">
        <v>13748</v>
      </c>
      <c r="E4115">
        <v>2</v>
      </c>
      <c r="F4115" t="s">
        <v>13749</v>
      </c>
      <c r="G4115" t="s">
        <v>12408</v>
      </c>
      <c r="H4115">
        <v>553309</v>
      </c>
      <c r="I4115" t="s">
        <v>13750</v>
      </c>
    </row>
    <row r="4116" spans="1:9">
      <c r="A4116" t="str">
        <f>"0044339 "</f>
        <v xml:space="preserve">0044339 </v>
      </c>
      <c r="B4116" t="s">
        <v>12408</v>
      </c>
      <c r="C4116" t="s">
        <v>13751</v>
      </c>
      <c r="D4116" t="s">
        <v>13752</v>
      </c>
      <c r="E4116">
        <v>2</v>
      </c>
      <c r="F4116" t="s">
        <v>13753</v>
      </c>
      <c r="G4116" t="s">
        <v>12408</v>
      </c>
      <c r="H4116">
        <v>553338</v>
      </c>
      <c r="I4116" t="s">
        <v>13754</v>
      </c>
    </row>
    <row r="4117" spans="1:9">
      <c r="A4117" t="str">
        <f>"0044340 "</f>
        <v xml:space="preserve">0044340 </v>
      </c>
      <c r="B4117" t="s">
        <v>12408</v>
      </c>
      <c r="C4117" t="s">
        <v>13755</v>
      </c>
      <c r="D4117" t="s">
        <v>13756</v>
      </c>
      <c r="E4117">
        <v>2</v>
      </c>
      <c r="F4117" t="s">
        <v>13330</v>
      </c>
      <c r="G4117" t="s">
        <v>12408</v>
      </c>
      <c r="H4117">
        <v>553339</v>
      </c>
      <c r="I4117" t="s">
        <v>13757</v>
      </c>
    </row>
    <row r="4118" spans="1:9">
      <c r="A4118" t="str">
        <f>"0044341 "</f>
        <v xml:space="preserve">0044341 </v>
      </c>
      <c r="B4118" t="s">
        <v>12408</v>
      </c>
      <c r="C4118" t="s">
        <v>13758</v>
      </c>
      <c r="D4118" t="s">
        <v>13759</v>
      </c>
      <c r="E4118">
        <v>2</v>
      </c>
      <c r="F4118" t="s">
        <v>13760</v>
      </c>
      <c r="G4118" t="s">
        <v>12408</v>
      </c>
      <c r="H4118">
        <v>553340</v>
      </c>
      <c r="I4118" t="s">
        <v>13761</v>
      </c>
    </row>
    <row r="4119" spans="1:9">
      <c r="A4119" t="str">
        <f>"0044762 "</f>
        <v xml:space="preserve">0044762 </v>
      </c>
      <c r="B4119" t="s">
        <v>12408</v>
      </c>
      <c r="C4119" t="s">
        <v>13762</v>
      </c>
      <c r="D4119" t="s">
        <v>13763</v>
      </c>
      <c r="E4119">
        <v>1</v>
      </c>
      <c r="F4119" t="s">
        <v>13764</v>
      </c>
      <c r="G4119" t="s">
        <v>12408</v>
      </c>
      <c r="H4119">
        <v>632116</v>
      </c>
      <c r="I4119" t="s">
        <v>12427</v>
      </c>
    </row>
    <row r="4120" spans="1:9">
      <c r="A4120" t="str">
        <f>"0044763 "</f>
        <v xml:space="preserve">0044763 </v>
      </c>
      <c r="B4120" t="s">
        <v>12408</v>
      </c>
      <c r="C4120" t="s">
        <v>13765</v>
      </c>
      <c r="D4120" t="s">
        <v>13766</v>
      </c>
      <c r="E4120">
        <v>1</v>
      </c>
      <c r="F4120" t="s">
        <v>13764</v>
      </c>
      <c r="G4120" t="s">
        <v>12408</v>
      </c>
      <c r="H4120">
        <v>632117</v>
      </c>
      <c r="I4120" t="s">
        <v>12430</v>
      </c>
    </row>
    <row r="4121" spans="1:9">
      <c r="A4121" t="str">
        <f>"0044908 "</f>
        <v xml:space="preserve">0044908 </v>
      </c>
      <c r="B4121" t="s">
        <v>12408</v>
      </c>
      <c r="C4121" t="s">
        <v>13767</v>
      </c>
      <c r="D4121" t="s">
        <v>13768</v>
      </c>
      <c r="E4121">
        <v>1</v>
      </c>
      <c r="F4121" t="s">
        <v>13769</v>
      </c>
      <c r="G4121" t="s">
        <v>12408</v>
      </c>
      <c r="H4121">
        <v>633144</v>
      </c>
      <c r="I4121" t="s">
        <v>13770</v>
      </c>
    </row>
    <row r="4122" spans="1:9">
      <c r="A4122" t="str">
        <f>"0044993 "</f>
        <v xml:space="preserve">0044993 </v>
      </c>
      <c r="B4122" t="s">
        <v>12408</v>
      </c>
      <c r="C4122" t="s">
        <v>13771</v>
      </c>
      <c r="D4122" t="s">
        <v>13772</v>
      </c>
      <c r="E4122">
        <v>2</v>
      </c>
      <c r="F4122" t="s">
        <v>13773</v>
      </c>
      <c r="G4122" t="s">
        <v>12408</v>
      </c>
      <c r="H4122">
        <v>633708</v>
      </c>
      <c r="I4122" t="s">
        <v>13774</v>
      </c>
    </row>
    <row r="4123" spans="1:9">
      <c r="A4123" t="str">
        <f>"0044995 "</f>
        <v xml:space="preserve">0044995 </v>
      </c>
      <c r="B4123" t="s">
        <v>12408</v>
      </c>
      <c r="C4123" t="s">
        <v>13775</v>
      </c>
      <c r="D4123" t="s">
        <v>13776</v>
      </c>
      <c r="E4123">
        <v>2</v>
      </c>
      <c r="F4123" t="s">
        <v>13777</v>
      </c>
      <c r="G4123" t="s">
        <v>12408</v>
      </c>
      <c r="H4123">
        <v>633713</v>
      </c>
      <c r="I4123" t="s">
        <v>12510</v>
      </c>
    </row>
    <row r="4124" spans="1:9">
      <c r="A4124" t="str">
        <f>"0044996 "</f>
        <v xml:space="preserve">0044996 </v>
      </c>
      <c r="B4124" t="s">
        <v>12408</v>
      </c>
      <c r="C4124" t="s">
        <v>13778</v>
      </c>
      <c r="D4124" t="s">
        <v>13779</v>
      </c>
      <c r="E4124">
        <v>2</v>
      </c>
      <c r="F4124" t="s">
        <v>13780</v>
      </c>
      <c r="G4124" t="s">
        <v>12408</v>
      </c>
      <c r="H4124">
        <v>633717</v>
      </c>
      <c r="I4124" t="s">
        <v>13781</v>
      </c>
    </row>
    <row r="4125" spans="1:9">
      <c r="A4125" t="str">
        <f>"0045030 "</f>
        <v xml:space="preserve">0045030 </v>
      </c>
      <c r="B4125" t="s">
        <v>12408</v>
      </c>
      <c r="C4125" t="s">
        <v>13782</v>
      </c>
      <c r="D4125" t="s">
        <v>13783</v>
      </c>
      <c r="E4125">
        <v>2</v>
      </c>
      <c r="F4125" t="s">
        <v>13784</v>
      </c>
      <c r="G4125" t="s">
        <v>12408</v>
      </c>
      <c r="H4125">
        <v>633829</v>
      </c>
      <c r="I4125" t="s">
        <v>13785</v>
      </c>
    </row>
    <row r="4126" spans="1:9">
      <c r="A4126" t="str">
        <f>"0045033 "</f>
        <v xml:space="preserve">0045033 </v>
      </c>
      <c r="B4126" t="s">
        <v>12408</v>
      </c>
      <c r="C4126" t="s">
        <v>13786</v>
      </c>
      <c r="D4126" t="s">
        <v>13787</v>
      </c>
      <c r="E4126">
        <v>2</v>
      </c>
      <c r="F4126" t="s">
        <v>13365</v>
      </c>
      <c r="G4126" t="s">
        <v>12408</v>
      </c>
      <c r="H4126">
        <v>633832</v>
      </c>
      <c r="I4126" t="s">
        <v>13788</v>
      </c>
    </row>
    <row r="4127" spans="1:9">
      <c r="A4127" t="str">
        <f>"0045034 "</f>
        <v xml:space="preserve">0045034 </v>
      </c>
      <c r="B4127" t="s">
        <v>12408</v>
      </c>
      <c r="C4127" t="s">
        <v>13789</v>
      </c>
      <c r="D4127" t="s">
        <v>13790</v>
      </c>
      <c r="E4127">
        <v>2</v>
      </c>
      <c r="F4127" t="s">
        <v>13791</v>
      </c>
      <c r="G4127" t="s">
        <v>12408</v>
      </c>
      <c r="H4127">
        <v>633833</v>
      </c>
      <c r="I4127" t="s">
        <v>13792</v>
      </c>
    </row>
    <row r="4128" spans="1:9">
      <c r="A4128" t="str">
        <f>"0045039 "</f>
        <v xml:space="preserve">0045039 </v>
      </c>
      <c r="B4128" t="s">
        <v>12408</v>
      </c>
      <c r="C4128" t="s">
        <v>13793</v>
      </c>
      <c r="D4128" t="s">
        <v>13794</v>
      </c>
      <c r="E4128">
        <v>1</v>
      </c>
      <c r="F4128" t="s">
        <v>13795</v>
      </c>
      <c r="G4128" t="s">
        <v>12408</v>
      </c>
      <c r="H4128">
        <v>633838</v>
      </c>
      <c r="I4128" t="s">
        <v>13796</v>
      </c>
    </row>
    <row r="4129" spans="1:9">
      <c r="A4129" t="str">
        <f>"0045040 "</f>
        <v xml:space="preserve">0045040 </v>
      </c>
      <c r="B4129" t="s">
        <v>12408</v>
      </c>
      <c r="C4129" t="s">
        <v>13797</v>
      </c>
      <c r="D4129" t="s">
        <v>13798</v>
      </c>
      <c r="E4129">
        <v>1</v>
      </c>
      <c r="F4129" t="s">
        <v>13795</v>
      </c>
      <c r="G4129" t="s">
        <v>12408</v>
      </c>
      <c r="H4129">
        <v>633839</v>
      </c>
      <c r="I4129" t="s">
        <v>13799</v>
      </c>
    </row>
    <row r="4130" spans="1:9">
      <c r="A4130" t="str">
        <f>"0045168 "</f>
        <v xml:space="preserve">0045168 </v>
      </c>
      <c r="B4130" t="s">
        <v>12408</v>
      </c>
      <c r="C4130" t="s">
        <v>13800</v>
      </c>
      <c r="D4130" t="s">
        <v>13801</v>
      </c>
      <c r="E4130">
        <v>2</v>
      </c>
      <c r="F4130" t="s">
        <v>13802</v>
      </c>
      <c r="G4130" t="s">
        <v>12408</v>
      </c>
      <c r="H4130">
        <v>634810</v>
      </c>
      <c r="I4130" t="s">
        <v>13803</v>
      </c>
    </row>
    <row r="4131" spans="1:9">
      <c r="A4131" t="str">
        <f>"0045169 "</f>
        <v xml:space="preserve">0045169 </v>
      </c>
      <c r="B4131" t="s">
        <v>12408</v>
      </c>
      <c r="C4131" t="s">
        <v>13804</v>
      </c>
      <c r="D4131" t="s">
        <v>13805</v>
      </c>
      <c r="E4131">
        <v>2</v>
      </c>
      <c r="F4131" t="s">
        <v>13806</v>
      </c>
      <c r="G4131" t="s">
        <v>12408</v>
      </c>
      <c r="H4131">
        <v>634811</v>
      </c>
      <c r="I4131" t="s">
        <v>12733</v>
      </c>
    </row>
    <row r="4132" spans="1:9">
      <c r="A4132" t="str">
        <f>"0045171 "</f>
        <v xml:space="preserve">0045171 </v>
      </c>
      <c r="B4132" t="s">
        <v>12408</v>
      </c>
      <c r="C4132" t="s">
        <v>13807</v>
      </c>
      <c r="D4132" t="s">
        <v>13808</v>
      </c>
      <c r="E4132">
        <v>2</v>
      </c>
      <c r="F4132" t="s">
        <v>13809</v>
      </c>
      <c r="G4132" t="s">
        <v>12408</v>
      </c>
      <c r="H4132">
        <v>634814</v>
      </c>
      <c r="I4132" t="s">
        <v>13810</v>
      </c>
    </row>
    <row r="4133" spans="1:9">
      <c r="A4133" t="str">
        <f>"0045198 "</f>
        <v xml:space="preserve">0045198 </v>
      </c>
      <c r="B4133" t="s">
        <v>12408</v>
      </c>
      <c r="C4133" t="s">
        <v>13811</v>
      </c>
      <c r="D4133" t="s">
        <v>13812</v>
      </c>
      <c r="E4133">
        <v>2</v>
      </c>
      <c r="F4133" t="s">
        <v>13813</v>
      </c>
      <c r="G4133" t="s">
        <v>12408</v>
      </c>
      <c r="H4133">
        <v>635807</v>
      </c>
      <c r="I4133" t="s">
        <v>13814</v>
      </c>
    </row>
    <row r="4134" spans="1:9">
      <c r="A4134" t="str">
        <f>"0045321 "</f>
        <v xml:space="preserve">0045321 </v>
      </c>
      <c r="B4134" t="s">
        <v>12408</v>
      </c>
      <c r="C4134" t="s">
        <v>13815</v>
      </c>
      <c r="D4134" t="s">
        <v>13816</v>
      </c>
      <c r="E4134">
        <v>2</v>
      </c>
      <c r="F4134" t="s">
        <v>13323</v>
      </c>
      <c r="G4134" t="s">
        <v>12408</v>
      </c>
      <c r="H4134">
        <v>665030</v>
      </c>
      <c r="I4134" t="s">
        <v>13817</v>
      </c>
    </row>
    <row r="4135" spans="1:9">
      <c r="A4135" t="str">
        <f>"0045327 "</f>
        <v xml:space="preserve">0045327 </v>
      </c>
      <c r="B4135" t="s">
        <v>12408</v>
      </c>
      <c r="C4135" t="s">
        <v>13818</v>
      </c>
      <c r="D4135" t="s">
        <v>13819</v>
      </c>
      <c r="E4135" t="s">
        <v>16</v>
      </c>
      <c r="F4135" t="s">
        <v>13820</v>
      </c>
      <c r="G4135" t="s">
        <v>12408</v>
      </c>
      <c r="H4135">
        <v>665036</v>
      </c>
      <c r="I4135" t="s">
        <v>13651</v>
      </c>
    </row>
    <row r="4136" spans="1:9">
      <c r="A4136" t="str">
        <f>"0045347 "</f>
        <v xml:space="preserve">0045347 </v>
      </c>
      <c r="B4136" t="s">
        <v>12408</v>
      </c>
      <c r="C4136" t="s">
        <v>13821</v>
      </c>
      <c r="D4136" t="s">
        <v>13822</v>
      </c>
      <c r="E4136" t="s">
        <v>16</v>
      </c>
      <c r="F4136" t="s">
        <v>13823</v>
      </c>
      <c r="G4136" t="s">
        <v>12408</v>
      </c>
      <c r="H4136">
        <v>665059</v>
      </c>
      <c r="I4136" t="s">
        <v>13647</v>
      </c>
    </row>
    <row r="4137" spans="1:9">
      <c r="A4137" t="str">
        <f>"0045350 "</f>
        <v xml:space="preserve">0045350 </v>
      </c>
      <c r="B4137" t="s">
        <v>12408</v>
      </c>
      <c r="C4137" t="s">
        <v>13824</v>
      </c>
      <c r="D4137" t="s">
        <v>13825</v>
      </c>
      <c r="E4137">
        <v>2</v>
      </c>
      <c r="F4137" t="s">
        <v>13826</v>
      </c>
      <c r="G4137" t="s">
        <v>12408</v>
      </c>
      <c r="H4137">
        <v>665063</v>
      </c>
      <c r="I4137" t="s">
        <v>13827</v>
      </c>
    </row>
    <row r="4138" spans="1:9">
      <c r="A4138" t="str">
        <f>"0045366 "</f>
        <v xml:space="preserve">0045366 </v>
      </c>
      <c r="B4138" t="s">
        <v>12408</v>
      </c>
      <c r="C4138" t="s">
        <v>13828</v>
      </c>
      <c r="D4138" t="s">
        <v>13829</v>
      </c>
      <c r="E4138">
        <v>2</v>
      </c>
      <c r="F4138" t="s">
        <v>13830</v>
      </c>
      <c r="G4138" t="s">
        <v>12408</v>
      </c>
      <c r="H4138">
        <v>665501</v>
      </c>
      <c r="I4138" t="s">
        <v>13659</v>
      </c>
    </row>
    <row r="4139" spans="1:9">
      <c r="A4139" t="str">
        <f>"0045368 "</f>
        <v xml:space="preserve">0045368 </v>
      </c>
      <c r="B4139" t="s">
        <v>12408</v>
      </c>
      <c r="C4139" t="s">
        <v>13831</v>
      </c>
      <c r="D4139" t="s">
        <v>13832</v>
      </c>
      <c r="E4139" t="s">
        <v>16</v>
      </c>
      <c r="F4139" t="s">
        <v>13833</v>
      </c>
      <c r="G4139" t="s">
        <v>12408</v>
      </c>
      <c r="H4139">
        <v>665503</v>
      </c>
      <c r="I4139" t="s">
        <v>13666</v>
      </c>
    </row>
    <row r="4140" spans="1:9">
      <c r="A4140" t="str">
        <f>"0045369 "</f>
        <v xml:space="preserve">0045369 </v>
      </c>
      <c r="B4140" t="s">
        <v>12408</v>
      </c>
      <c r="C4140" t="s">
        <v>13834</v>
      </c>
      <c r="D4140" t="s">
        <v>13835</v>
      </c>
      <c r="E4140">
        <v>2</v>
      </c>
      <c r="F4140" t="s">
        <v>13107</v>
      </c>
      <c r="G4140" t="s">
        <v>12408</v>
      </c>
      <c r="H4140">
        <v>666001</v>
      </c>
      <c r="I4140" t="s">
        <v>13836</v>
      </c>
    </row>
    <row r="4141" spans="1:9">
      <c r="A4141" t="str">
        <f>"0045571 "</f>
        <v xml:space="preserve">0045571 </v>
      </c>
      <c r="B4141" t="s">
        <v>12408</v>
      </c>
      <c r="C4141" t="s">
        <v>13837</v>
      </c>
      <c r="D4141" t="s">
        <v>13838</v>
      </c>
      <c r="E4141">
        <v>1</v>
      </c>
      <c r="F4141" t="s">
        <v>13839</v>
      </c>
      <c r="G4141" t="s">
        <v>12408</v>
      </c>
      <c r="H4141">
        <v>910003</v>
      </c>
      <c r="I4141" t="s">
        <v>13840</v>
      </c>
    </row>
    <row r="4142" spans="1:9">
      <c r="A4142" t="str">
        <f>"0045572 "</f>
        <v xml:space="preserve">0045572 </v>
      </c>
      <c r="B4142" t="s">
        <v>12408</v>
      </c>
      <c r="C4142" t="s">
        <v>13841</v>
      </c>
      <c r="D4142" t="s">
        <v>13842</v>
      </c>
      <c r="E4142">
        <v>3</v>
      </c>
      <c r="F4142" t="s">
        <v>13843</v>
      </c>
      <c r="G4142" t="s">
        <v>12408</v>
      </c>
      <c r="H4142">
        <v>910004</v>
      </c>
      <c r="I4142" t="s">
        <v>13844</v>
      </c>
    </row>
    <row r="4143" spans="1:9">
      <c r="A4143" t="str">
        <f>"0045573 "</f>
        <v xml:space="preserve">0045573 </v>
      </c>
      <c r="B4143" t="s">
        <v>12408</v>
      </c>
      <c r="C4143" t="s">
        <v>13845</v>
      </c>
      <c r="D4143" t="s">
        <v>13846</v>
      </c>
      <c r="E4143">
        <v>2</v>
      </c>
      <c r="F4143" t="s">
        <v>13847</v>
      </c>
      <c r="G4143" t="s">
        <v>12408</v>
      </c>
      <c r="H4143">
        <v>910005</v>
      </c>
      <c r="I4143" t="s">
        <v>13848</v>
      </c>
    </row>
    <row r="4144" spans="1:9">
      <c r="A4144" t="str">
        <f>"0045574 "</f>
        <v xml:space="preserve">0045574 </v>
      </c>
      <c r="B4144" t="s">
        <v>12408</v>
      </c>
      <c r="C4144" t="s">
        <v>13849</v>
      </c>
      <c r="D4144" t="s">
        <v>13850</v>
      </c>
      <c r="E4144">
        <v>1</v>
      </c>
      <c r="F4144" t="s">
        <v>13851</v>
      </c>
      <c r="G4144" t="s">
        <v>12408</v>
      </c>
      <c r="H4144">
        <v>910006</v>
      </c>
      <c r="I4144" t="s">
        <v>13852</v>
      </c>
    </row>
    <row r="4145" spans="1:9">
      <c r="A4145" t="str">
        <f>"0045577 "</f>
        <v xml:space="preserve">0045577 </v>
      </c>
      <c r="B4145" t="s">
        <v>12408</v>
      </c>
      <c r="C4145" t="s">
        <v>13853</v>
      </c>
      <c r="D4145" t="s">
        <v>13854</v>
      </c>
      <c r="E4145" t="s">
        <v>16</v>
      </c>
      <c r="F4145" t="s">
        <v>13855</v>
      </c>
      <c r="G4145" t="s">
        <v>12408</v>
      </c>
      <c r="H4145">
        <v>910009</v>
      </c>
      <c r="I4145" t="s">
        <v>13856</v>
      </c>
    </row>
    <row r="4146" spans="1:9">
      <c r="A4146" t="str">
        <f>"0045578 "</f>
        <v xml:space="preserve">0045578 </v>
      </c>
      <c r="B4146" t="s">
        <v>12408</v>
      </c>
      <c r="C4146" t="s">
        <v>13857</v>
      </c>
      <c r="D4146" t="s">
        <v>13858</v>
      </c>
      <c r="E4146" t="s">
        <v>16</v>
      </c>
      <c r="F4146" t="s">
        <v>13859</v>
      </c>
      <c r="G4146" t="s">
        <v>12408</v>
      </c>
      <c r="H4146">
        <v>910010</v>
      </c>
      <c r="I4146" t="s">
        <v>13860</v>
      </c>
    </row>
    <row r="4147" spans="1:9">
      <c r="A4147" t="str">
        <f>"0045583 "</f>
        <v xml:space="preserve">0045583 </v>
      </c>
      <c r="B4147" t="s">
        <v>12408</v>
      </c>
      <c r="C4147" t="s">
        <v>13861</v>
      </c>
      <c r="D4147" t="s">
        <v>13862</v>
      </c>
      <c r="E4147">
        <v>1</v>
      </c>
      <c r="F4147" t="s">
        <v>13863</v>
      </c>
      <c r="G4147" t="s">
        <v>12408</v>
      </c>
      <c r="H4147">
        <v>910015</v>
      </c>
      <c r="I4147" t="s">
        <v>13864</v>
      </c>
    </row>
    <row r="4148" spans="1:9">
      <c r="A4148" t="str">
        <f>"0045585 "</f>
        <v xml:space="preserve">0045585 </v>
      </c>
      <c r="B4148" t="s">
        <v>12408</v>
      </c>
      <c r="C4148" t="s">
        <v>13865</v>
      </c>
      <c r="D4148" t="s">
        <v>13866</v>
      </c>
      <c r="E4148">
        <v>1</v>
      </c>
      <c r="F4148" t="s">
        <v>956</v>
      </c>
      <c r="G4148" t="s">
        <v>12408</v>
      </c>
      <c r="H4148">
        <v>910017</v>
      </c>
      <c r="I4148" t="s">
        <v>13867</v>
      </c>
    </row>
    <row r="4149" spans="1:9">
      <c r="A4149" t="str">
        <f>"0045594 "</f>
        <v xml:space="preserve">0045594 </v>
      </c>
      <c r="B4149" t="s">
        <v>12408</v>
      </c>
      <c r="C4149" t="s">
        <v>13868</v>
      </c>
      <c r="D4149" t="s">
        <v>13869</v>
      </c>
      <c r="E4149">
        <v>3</v>
      </c>
      <c r="F4149" t="s">
        <v>13870</v>
      </c>
      <c r="G4149" t="s">
        <v>12408</v>
      </c>
      <c r="H4149">
        <v>910026</v>
      </c>
      <c r="I4149" t="s">
        <v>13871</v>
      </c>
    </row>
    <row r="4150" spans="1:9">
      <c r="A4150" t="str">
        <f>"0045601 "</f>
        <v xml:space="preserve">0045601 </v>
      </c>
      <c r="B4150" t="s">
        <v>12408</v>
      </c>
      <c r="C4150" t="s">
        <v>13872</v>
      </c>
      <c r="D4150" t="s">
        <v>13873</v>
      </c>
      <c r="E4150">
        <v>1</v>
      </c>
      <c r="F4150" t="s">
        <v>13874</v>
      </c>
      <c r="G4150" t="s">
        <v>12408</v>
      </c>
      <c r="H4150">
        <v>910033</v>
      </c>
      <c r="I4150" t="s">
        <v>13875</v>
      </c>
    </row>
    <row r="4151" spans="1:9">
      <c r="A4151" t="str">
        <f>"0045602 "</f>
        <v xml:space="preserve">0045602 </v>
      </c>
      <c r="B4151" t="s">
        <v>12408</v>
      </c>
      <c r="C4151" t="s">
        <v>13876</v>
      </c>
      <c r="D4151" t="s">
        <v>13877</v>
      </c>
      <c r="E4151">
        <v>1</v>
      </c>
      <c r="F4151" t="s">
        <v>13878</v>
      </c>
      <c r="G4151" t="s">
        <v>12408</v>
      </c>
      <c r="H4151">
        <v>910034</v>
      </c>
      <c r="I4151" t="s">
        <v>13879</v>
      </c>
    </row>
    <row r="4152" spans="1:9">
      <c r="A4152" t="str">
        <f>"0045603 "</f>
        <v xml:space="preserve">0045603 </v>
      </c>
      <c r="B4152" t="s">
        <v>12408</v>
      </c>
      <c r="C4152" t="s">
        <v>13880</v>
      </c>
      <c r="D4152" t="s">
        <v>13881</v>
      </c>
      <c r="E4152">
        <v>1</v>
      </c>
      <c r="F4152" t="s">
        <v>13882</v>
      </c>
      <c r="G4152" t="s">
        <v>12408</v>
      </c>
      <c r="H4152">
        <v>910035</v>
      </c>
      <c r="I4152" t="s">
        <v>13883</v>
      </c>
    </row>
    <row r="4153" spans="1:9">
      <c r="A4153" t="str">
        <f>"0045604 "</f>
        <v xml:space="preserve">0045604 </v>
      </c>
      <c r="B4153" t="s">
        <v>12408</v>
      </c>
      <c r="C4153" t="s">
        <v>13884</v>
      </c>
      <c r="D4153" t="s">
        <v>13885</v>
      </c>
      <c r="E4153">
        <v>1</v>
      </c>
      <c r="F4153" t="s">
        <v>13886</v>
      </c>
      <c r="G4153" t="s">
        <v>12408</v>
      </c>
      <c r="H4153">
        <v>910036</v>
      </c>
      <c r="I4153" t="s">
        <v>13887</v>
      </c>
    </row>
    <row r="4154" spans="1:9">
      <c r="A4154" t="str">
        <f>"0045606 "</f>
        <v xml:space="preserve">0045606 </v>
      </c>
      <c r="B4154" t="s">
        <v>12408</v>
      </c>
      <c r="C4154" t="s">
        <v>13888</v>
      </c>
      <c r="D4154" t="s">
        <v>13889</v>
      </c>
      <c r="E4154">
        <v>1</v>
      </c>
      <c r="F4154" t="s">
        <v>13890</v>
      </c>
      <c r="G4154" t="s">
        <v>12408</v>
      </c>
      <c r="H4154">
        <v>910038</v>
      </c>
      <c r="I4154" t="s">
        <v>13891</v>
      </c>
    </row>
    <row r="4155" spans="1:9">
      <c r="A4155" t="str">
        <f>"0045607 "</f>
        <v xml:space="preserve">0045607 </v>
      </c>
      <c r="B4155" t="s">
        <v>12408</v>
      </c>
      <c r="C4155" t="s">
        <v>13892</v>
      </c>
      <c r="D4155" t="s">
        <v>13893</v>
      </c>
      <c r="E4155">
        <v>3</v>
      </c>
      <c r="F4155" t="s">
        <v>13894</v>
      </c>
      <c r="G4155" t="s">
        <v>12408</v>
      </c>
      <c r="H4155">
        <v>910039</v>
      </c>
      <c r="I4155" t="s">
        <v>13895</v>
      </c>
    </row>
    <row r="4156" spans="1:9">
      <c r="A4156" t="str">
        <f>"0045609 "</f>
        <v xml:space="preserve">0045609 </v>
      </c>
      <c r="B4156" t="s">
        <v>12408</v>
      </c>
      <c r="C4156" t="s">
        <v>13896</v>
      </c>
      <c r="D4156" t="s">
        <v>13897</v>
      </c>
      <c r="E4156">
        <v>1</v>
      </c>
      <c r="F4156" t="s">
        <v>13898</v>
      </c>
      <c r="G4156" t="s">
        <v>12408</v>
      </c>
      <c r="H4156">
        <v>910041</v>
      </c>
      <c r="I4156" t="s">
        <v>13899</v>
      </c>
    </row>
    <row r="4157" spans="1:9">
      <c r="A4157" t="str">
        <f>"0045611 "</f>
        <v xml:space="preserve">0045611 </v>
      </c>
      <c r="B4157" t="s">
        <v>12408</v>
      </c>
      <c r="C4157" t="s">
        <v>13900</v>
      </c>
      <c r="D4157" t="s">
        <v>13901</v>
      </c>
      <c r="E4157">
        <v>2</v>
      </c>
      <c r="F4157" t="s">
        <v>13902</v>
      </c>
      <c r="G4157" t="s">
        <v>12408</v>
      </c>
      <c r="H4157">
        <v>910043</v>
      </c>
      <c r="I4157" t="s">
        <v>13903</v>
      </c>
    </row>
    <row r="4158" spans="1:9">
      <c r="A4158" t="str">
        <f>"0045612 "</f>
        <v xml:space="preserve">0045612 </v>
      </c>
      <c r="B4158" t="s">
        <v>12408</v>
      </c>
      <c r="C4158" t="s">
        <v>13904</v>
      </c>
      <c r="D4158" t="s">
        <v>13905</v>
      </c>
      <c r="E4158">
        <v>1</v>
      </c>
      <c r="F4158" t="s">
        <v>13906</v>
      </c>
      <c r="G4158" t="s">
        <v>12408</v>
      </c>
      <c r="H4158">
        <v>910044</v>
      </c>
      <c r="I4158" t="s">
        <v>13907</v>
      </c>
    </row>
    <row r="4159" spans="1:9">
      <c r="A4159" t="str">
        <f>"0045613 "</f>
        <v xml:space="preserve">0045613 </v>
      </c>
      <c r="B4159" t="s">
        <v>12408</v>
      </c>
      <c r="C4159" t="s">
        <v>13908</v>
      </c>
      <c r="D4159" t="s">
        <v>13909</v>
      </c>
      <c r="E4159">
        <v>3</v>
      </c>
      <c r="F4159" t="s">
        <v>13910</v>
      </c>
      <c r="G4159" t="s">
        <v>12408</v>
      </c>
      <c r="H4159">
        <v>910045</v>
      </c>
      <c r="I4159" t="s">
        <v>13911</v>
      </c>
    </row>
    <row r="4160" spans="1:9">
      <c r="A4160" t="str">
        <f>"0045614 "</f>
        <v xml:space="preserve">0045614 </v>
      </c>
      <c r="B4160" t="s">
        <v>12408</v>
      </c>
      <c r="C4160" t="s">
        <v>13912</v>
      </c>
      <c r="D4160" t="s">
        <v>13913</v>
      </c>
      <c r="E4160">
        <v>2</v>
      </c>
      <c r="F4160" t="s">
        <v>13914</v>
      </c>
      <c r="G4160" t="s">
        <v>12408</v>
      </c>
      <c r="H4160">
        <v>910046</v>
      </c>
      <c r="I4160" t="s">
        <v>13915</v>
      </c>
    </row>
    <row r="4161" spans="1:9">
      <c r="A4161" t="str">
        <f>"0045615 "</f>
        <v xml:space="preserve">0045615 </v>
      </c>
      <c r="B4161" t="s">
        <v>12408</v>
      </c>
      <c r="C4161" t="s">
        <v>13916</v>
      </c>
      <c r="D4161" t="s">
        <v>13917</v>
      </c>
      <c r="E4161">
        <v>1</v>
      </c>
      <c r="F4161" t="s">
        <v>13918</v>
      </c>
      <c r="G4161" t="s">
        <v>12408</v>
      </c>
      <c r="H4161">
        <v>910047</v>
      </c>
      <c r="I4161" t="s">
        <v>13919</v>
      </c>
    </row>
    <row r="4162" spans="1:9">
      <c r="A4162" t="str">
        <f>"0045620 "</f>
        <v xml:space="preserve">0045620 </v>
      </c>
      <c r="B4162" t="s">
        <v>12408</v>
      </c>
      <c r="C4162" t="s">
        <v>13920</v>
      </c>
      <c r="D4162" t="s">
        <v>13921</v>
      </c>
      <c r="E4162">
        <v>2</v>
      </c>
      <c r="F4162" t="s">
        <v>13922</v>
      </c>
      <c r="G4162" t="s">
        <v>12408</v>
      </c>
      <c r="H4162">
        <v>910052</v>
      </c>
      <c r="I4162" t="s">
        <v>13923</v>
      </c>
    </row>
    <row r="4163" spans="1:9">
      <c r="A4163" t="str">
        <f>"0045624 "</f>
        <v xml:space="preserve">0045624 </v>
      </c>
      <c r="B4163" t="s">
        <v>12408</v>
      </c>
      <c r="C4163" t="s">
        <v>13924</v>
      </c>
      <c r="D4163" t="s">
        <v>13925</v>
      </c>
      <c r="E4163">
        <v>1</v>
      </c>
      <c r="F4163" t="s">
        <v>13926</v>
      </c>
      <c r="G4163" t="s">
        <v>12408</v>
      </c>
      <c r="H4163">
        <v>910056</v>
      </c>
      <c r="I4163" t="s">
        <v>13927</v>
      </c>
    </row>
    <row r="4164" spans="1:9">
      <c r="A4164" t="str">
        <f>"0045627 "</f>
        <v xml:space="preserve">0045627 </v>
      </c>
      <c r="B4164" t="s">
        <v>12408</v>
      </c>
      <c r="C4164" t="s">
        <v>13928</v>
      </c>
      <c r="D4164" t="s">
        <v>13929</v>
      </c>
      <c r="E4164">
        <v>3</v>
      </c>
      <c r="F4164" t="s">
        <v>1217</v>
      </c>
      <c r="G4164" t="s">
        <v>12408</v>
      </c>
      <c r="H4164">
        <v>910059</v>
      </c>
      <c r="I4164" t="s">
        <v>13930</v>
      </c>
    </row>
    <row r="4165" spans="1:9">
      <c r="A4165" t="str">
        <f>"0050555 "</f>
        <v xml:space="preserve">0050555 </v>
      </c>
      <c r="B4165" t="s">
        <v>12408</v>
      </c>
      <c r="C4165" t="s">
        <v>13931</v>
      </c>
      <c r="D4165" t="s">
        <v>13932</v>
      </c>
      <c r="E4165" t="s">
        <v>16</v>
      </c>
      <c r="F4165" t="s">
        <v>13933</v>
      </c>
      <c r="G4165" t="s">
        <v>12408</v>
      </c>
      <c r="H4165">
        <v>910063</v>
      </c>
      <c r="I4165" t="s">
        <v>13934</v>
      </c>
    </row>
    <row r="4166" spans="1:9">
      <c r="A4166" t="str">
        <f>"0050556 "</f>
        <v xml:space="preserve">0050556 </v>
      </c>
      <c r="B4166" t="s">
        <v>12408</v>
      </c>
      <c r="C4166" t="s">
        <v>13935</v>
      </c>
      <c r="D4166" t="s">
        <v>13936</v>
      </c>
      <c r="E4166">
        <v>1</v>
      </c>
      <c r="F4166" t="s">
        <v>13937</v>
      </c>
      <c r="G4166" t="s">
        <v>12408</v>
      </c>
      <c r="H4166">
        <v>910064</v>
      </c>
      <c r="I4166" t="s">
        <v>13938</v>
      </c>
    </row>
    <row r="4167" spans="1:9">
      <c r="A4167" t="str">
        <f>"0050558 "</f>
        <v xml:space="preserve">0050558 </v>
      </c>
      <c r="B4167" t="s">
        <v>12408</v>
      </c>
      <c r="C4167" t="s">
        <v>13939</v>
      </c>
      <c r="D4167" t="s">
        <v>13940</v>
      </c>
      <c r="E4167">
        <v>4</v>
      </c>
      <c r="F4167" t="s">
        <v>13941</v>
      </c>
      <c r="G4167" t="s">
        <v>12408</v>
      </c>
      <c r="H4167">
        <v>910066</v>
      </c>
      <c r="I4167" t="s">
        <v>13942</v>
      </c>
    </row>
    <row r="4168" spans="1:9">
      <c r="A4168" t="str">
        <f>"0050563 "</f>
        <v xml:space="preserve">0050563 </v>
      </c>
      <c r="B4168" t="s">
        <v>12408</v>
      </c>
      <c r="C4168" t="s">
        <v>13943</v>
      </c>
      <c r="D4168" t="s">
        <v>13944</v>
      </c>
      <c r="E4168">
        <v>2</v>
      </c>
      <c r="F4168" t="s">
        <v>13945</v>
      </c>
      <c r="G4168" t="s">
        <v>12408</v>
      </c>
      <c r="H4168">
        <v>910071</v>
      </c>
      <c r="I4168" t="s">
        <v>13946</v>
      </c>
    </row>
    <row r="4169" spans="1:9">
      <c r="A4169" t="str">
        <f>"0050566 "</f>
        <v xml:space="preserve">0050566 </v>
      </c>
      <c r="B4169" t="s">
        <v>12408</v>
      </c>
      <c r="C4169" t="s">
        <v>13947</v>
      </c>
      <c r="D4169" t="s">
        <v>13948</v>
      </c>
      <c r="E4169">
        <v>4</v>
      </c>
      <c r="F4169" t="s">
        <v>13949</v>
      </c>
      <c r="G4169" t="s">
        <v>12408</v>
      </c>
      <c r="H4169">
        <v>910074</v>
      </c>
      <c r="I4169" t="s">
        <v>13950</v>
      </c>
    </row>
    <row r="4170" spans="1:9">
      <c r="A4170" t="str">
        <f>"0050568 "</f>
        <v xml:space="preserve">0050568 </v>
      </c>
      <c r="B4170" t="s">
        <v>12408</v>
      </c>
      <c r="C4170" t="s">
        <v>13951</v>
      </c>
      <c r="D4170" t="s">
        <v>13952</v>
      </c>
      <c r="E4170">
        <v>2</v>
      </c>
      <c r="F4170" t="s">
        <v>13953</v>
      </c>
      <c r="G4170" t="s">
        <v>12408</v>
      </c>
      <c r="H4170">
        <v>910076</v>
      </c>
      <c r="I4170" t="s">
        <v>13954</v>
      </c>
    </row>
    <row r="4171" spans="1:9">
      <c r="A4171" t="str">
        <f>"0050570 "</f>
        <v xml:space="preserve">0050570 </v>
      </c>
      <c r="B4171" t="s">
        <v>12408</v>
      </c>
      <c r="C4171" t="s">
        <v>13955</v>
      </c>
      <c r="D4171" t="s">
        <v>13956</v>
      </c>
      <c r="E4171">
        <v>1</v>
      </c>
      <c r="F4171" t="s">
        <v>13941</v>
      </c>
      <c r="G4171" t="s">
        <v>12408</v>
      </c>
      <c r="H4171">
        <v>910078</v>
      </c>
      <c r="I4171" t="s">
        <v>13957</v>
      </c>
    </row>
    <row r="4172" spans="1:9">
      <c r="A4172" t="str">
        <f>"0050575 "</f>
        <v xml:space="preserve">0050575 </v>
      </c>
      <c r="B4172" t="s">
        <v>12408</v>
      </c>
      <c r="C4172" t="s">
        <v>13958</v>
      </c>
      <c r="D4172" t="s">
        <v>13959</v>
      </c>
      <c r="E4172">
        <v>3</v>
      </c>
      <c r="F4172" t="s">
        <v>13960</v>
      </c>
      <c r="G4172" t="s">
        <v>12408</v>
      </c>
      <c r="H4172">
        <v>910083</v>
      </c>
      <c r="I4172" t="s">
        <v>13961</v>
      </c>
    </row>
    <row r="4173" spans="1:9">
      <c r="A4173" t="str">
        <f>"0050576 "</f>
        <v xml:space="preserve">0050576 </v>
      </c>
      <c r="B4173" t="s">
        <v>12408</v>
      </c>
      <c r="C4173" t="s">
        <v>13962</v>
      </c>
      <c r="D4173" t="s">
        <v>13963</v>
      </c>
      <c r="E4173">
        <v>3</v>
      </c>
      <c r="F4173" t="s">
        <v>952</v>
      </c>
      <c r="G4173" t="s">
        <v>12408</v>
      </c>
      <c r="H4173">
        <v>910084</v>
      </c>
      <c r="I4173" t="s">
        <v>13964</v>
      </c>
    </row>
    <row r="4174" spans="1:9">
      <c r="A4174" t="str">
        <f>"0153457 "</f>
        <v xml:space="preserve">0153457 </v>
      </c>
      <c r="B4174" t="s">
        <v>12408</v>
      </c>
      <c r="C4174" t="s">
        <v>13965</v>
      </c>
      <c r="D4174" t="s">
        <v>13966</v>
      </c>
      <c r="E4174">
        <v>1</v>
      </c>
      <c r="F4174" t="s">
        <v>13967</v>
      </c>
      <c r="G4174" t="s">
        <v>12408</v>
      </c>
      <c r="H4174">
        <v>910105</v>
      </c>
      <c r="I4174" t="s">
        <v>13968</v>
      </c>
    </row>
    <row r="4175" spans="1:9">
      <c r="A4175" t="str">
        <f>"0153465 "</f>
        <v xml:space="preserve">0153465 </v>
      </c>
      <c r="B4175" t="s">
        <v>12408</v>
      </c>
      <c r="C4175" t="s">
        <v>13969</v>
      </c>
      <c r="D4175" t="s">
        <v>13970</v>
      </c>
      <c r="E4175">
        <v>1</v>
      </c>
      <c r="F4175" t="s">
        <v>13971</v>
      </c>
      <c r="G4175" t="s">
        <v>12408</v>
      </c>
      <c r="H4175">
        <v>910113</v>
      </c>
      <c r="I4175" t="s">
        <v>13972</v>
      </c>
    </row>
    <row r="4176" spans="1:9">
      <c r="A4176" t="str">
        <f>"0161124 "</f>
        <v xml:space="preserve">0161124 </v>
      </c>
      <c r="B4176" t="s">
        <v>12408</v>
      </c>
      <c r="C4176" t="s">
        <v>13973</v>
      </c>
      <c r="D4176" t="s">
        <v>13974</v>
      </c>
      <c r="E4176">
        <v>1</v>
      </c>
      <c r="F4176" t="s">
        <v>13975</v>
      </c>
      <c r="G4176" t="s">
        <v>12408</v>
      </c>
      <c r="H4176">
        <v>910126</v>
      </c>
      <c r="I4176" t="s">
        <v>13976</v>
      </c>
    </row>
    <row r="4177" spans="1:9">
      <c r="A4177" t="str">
        <f>"0161134 "</f>
        <v xml:space="preserve">0161134 </v>
      </c>
      <c r="B4177" t="s">
        <v>12408</v>
      </c>
      <c r="C4177" t="s">
        <v>13977</v>
      </c>
      <c r="D4177" t="s">
        <v>13978</v>
      </c>
      <c r="E4177">
        <v>1</v>
      </c>
      <c r="F4177" t="s">
        <v>13979</v>
      </c>
      <c r="G4177" t="s">
        <v>12408</v>
      </c>
      <c r="H4177">
        <v>910136</v>
      </c>
      <c r="I4177" t="s">
        <v>13980</v>
      </c>
    </row>
    <row r="4178" spans="1:9">
      <c r="A4178" t="str">
        <f>"0161145 "</f>
        <v xml:space="preserve">0161145 </v>
      </c>
      <c r="B4178" t="s">
        <v>12408</v>
      </c>
      <c r="C4178" t="s">
        <v>13981</v>
      </c>
      <c r="D4178" t="s">
        <v>13982</v>
      </c>
      <c r="E4178">
        <v>1</v>
      </c>
      <c r="F4178" t="s">
        <v>13983</v>
      </c>
      <c r="G4178" t="s">
        <v>12408</v>
      </c>
      <c r="H4178">
        <v>910147</v>
      </c>
      <c r="I4178" t="s">
        <v>13984</v>
      </c>
    </row>
    <row r="4179" spans="1:9">
      <c r="A4179" t="str">
        <f>"0161146 "</f>
        <v xml:space="preserve">0161146 </v>
      </c>
      <c r="B4179" t="s">
        <v>12408</v>
      </c>
      <c r="C4179" t="s">
        <v>13985</v>
      </c>
      <c r="D4179" t="s">
        <v>13986</v>
      </c>
      <c r="E4179">
        <v>1</v>
      </c>
      <c r="F4179" t="s">
        <v>13987</v>
      </c>
      <c r="G4179" t="s">
        <v>12408</v>
      </c>
      <c r="H4179">
        <v>910148</v>
      </c>
      <c r="I4179" t="s">
        <v>13988</v>
      </c>
    </row>
    <row r="4180" spans="1:9">
      <c r="A4180" t="str">
        <f>"0161158 "</f>
        <v xml:space="preserve">0161158 </v>
      </c>
      <c r="B4180" t="s">
        <v>12408</v>
      </c>
      <c r="C4180" t="s">
        <v>13989</v>
      </c>
      <c r="D4180" t="s">
        <v>13990</v>
      </c>
      <c r="E4180">
        <v>1</v>
      </c>
      <c r="F4180" t="s">
        <v>13991</v>
      </c>
      <c r="G4180" t="s">
        <v>12408</v>
      </c>
      <c r="H4180">
        <v>910159</v>
      </c>
      <c r="I4180" t="s">
        <v>13992</v>
      </c>
    </row>
    <row r="4181" spans="1:9">
      <c r="A4181" t="str">
        <f>"0204005 "</f>
        <v xml:space="preserve">0204005 </v>
      </c>
      <c r="B4181" t="s">
        <v>12408</v>
      </c>
      <c r="C4181" t="s">
        <v>13993</v>
      </c>
      <c r="D4181" t="s">
        <v>13994</v>
      </c>
      <c r="E4181">
        <v>1</v>
      </c>
      <c r="F4181" t="s">
        <v>13995</v>
      </c>
      <c r="G4181" t="s">
        <v>12408</v>
      </c>
      <c r="H4181">
        <v>910164</v>
      </c>
      <c r="I4181" t="s">
        <v>13996</v>
      </c>
    </row>
    <row r="4182" spans="1:9">
      <c r="A4182" t="str">
        <f>"0239433 "</f>
        <v xml:space="preserve">0239433 </v>
      </c>
      <c r="B4182" t="s">
        <v>12408</v>
      </c>
      <c r="C4182" t="s">
        <v>13997</v>
      </c>
      <c r="D4182" t="s">
        <v>13998</v>
      </c>
      <c r="E4182">
        <v>2</v>
      </c>
      <c r="F4182" t="s">
        <v>13999</v>
      </c>
      <c r="G4182" t="s">
        <v>12408</v>
      </c>
      <c r="H4182">
        <v>910170</v>
      </c>
      <c r="I4182" t="s">
        <v>14000</v>
      </c>
    </row>
    <row r="4183" spans="1:9">
      <c r="A4183" t="str">
        <f>"0239445 "</f>
        <v xml:space="preserve">0239445 </v>
      </c>
      <c r="B4183" t="s">
        <v>12408</v>
      </c>
      <c r="C4183" t="s">
        <v>14001</v>
      </c>
      <c r="D4183" t="s">
        <v>14002</v>
      </c>
      <c r="E4183">
        <v>1</v>
      </c>
      <c r="F4183" t="s">
        <v>14003</v>
      </c>
      <c r="G4183" t="s">
        <v>12408</v>
      </c>
      <c r="H4183">
        <v>912025</v>
      </c>
      <c r="I4183" t="s">
        <v>14004</v>
      </c>
    </row>
    <row r="4184" spans="1:9">
      <c r="A4184" t="str">
        <f>"0045640 "</f>
        <v xml:space="preserve">0045640 </v>
      </c>
      <c r="B4184" t="s">
        <v>12408</v>
      </c>
      <c r="C4184" t="s">
        <v>14005</v>
      </c>
      <c r="D4184" t="s">
        <v>14006</v>
      </c>
      <c r="E4184">
        <v>1</v>
      </c>
      <c r="F4184" t="s">
        <v>14007</v>
      </c>
      <c r="G4184" t="s">
        <v>12408</v>
      </c>
      <c r="H4184">
        <v>913121</v>
      </c>
      <c r="I4184" t="s">
        <v>14008</v>
      </c>
    </row>
    <row r="4185" spans="1:9">
      <c r="A4185" t="str">
        <f>"0045660 "</f>
        <v xml:space="preserve">0045660 </v>
      </c>
      <c r="B4185" t="s">
        <v>12408</v>
      </c>
      <c r="C4185" t="s">
        <v>14009</v>
      </c>
      <c r="D4185" t="s">
        <v>14010</v>
      </c>
      <c r="E4185">
        <v>2</v>
      </c>
      <c r="F4185" t="s">
        <v>14011</v>
      </c>
      <c r="G4185" t="s">
        <v>12408</v>
      </c>
      <c r="H4185">
        <v>915124</v>
      </c>
      <c r="I4185" t="s">
        <v>14012</v>
      </c>
    </row>
    <row r="4186" spans="1:9">
      <c r="A4186" t="str">
        <f>"0045677 "</f>
        <v xml:space="preserve">0045677 </v>
      </c>
      <c r="B4186" t="s">
        <v>12408</v>
      </c>
      <c r="C4186" t="s">
        <v>14013</v>
      </c>
      <c r="D4186" t="s">
        <v>14014</v>
      </c>
      <c r="E4186">
        <v>1</v>
      </c>
      <c r="F4186" t="s">
        <v>14015</v>
      </c>
      <c r="G4186" t="s">
        <v>12408</v>
      </c>
      <c r="H4186">
        <v>915329</v>
      </c>
      <c r="I4186" t="s">
        <v>14016</v>
      </c>
    </row>
    <row r="4187" spans="1:9">
      <c r="A4187" t="str">
        <f>"0045678 "</f>
        <v xml:space="preserve">0045678 </v>
      </c>
      <c r="B4187" t="s">
        <v>12408</v>
      </c>
      <c r="C4187" t="s">
        <v>14017</v>
      </c>
      <c r="D4187" t="s">
        <v>14018</v>
      </c>
      <c r="E4187">
        <v>1</v>
      </c>
      <c r="F4187" t="s">
        <v>14019</v>
      </c>
      <c r="G4187" t="s">
        <v>12408</v>
      </c>
      <c r="H4187">
        <v>915400</v>
      </c>
      <c r="I4187" t="s">
        <v>14020</v>
      </c>
    </row>
    <row r="4188" spans="1:9">
      <c r="A4188" t="str">
        <f>"0045679 "</f>
        <v xml:space="preserve">0045679 </v>
      </c>
      <c r="B4188" t="s">
        <v>12408</v>
      </c>
      <c r="C4188" t="s">
        <v>14021</v>
      </c>
      <c r="D4188" t="s">
        <v>14022</v>
      </c>
      <c r="E4188">
        <v>2</v>
      </c>
      <c r="F4188" t="s">
        <v>14023</v>
      </c>
      <c r="G4188" t="s">
        <v>12408</v>
      </c>
      <c r="H4188">
        <v>915401</v>
      </c>
      <c r="I4188" t="s">
        <v>14024</v>
      </c>
    </row>
    <row r="4189" spans="1:9">
      <c r="A4189" t="str">
        <f>"0045687 "</f>
        <v xml:space="preserve">0045687 </v>
      </c>
      <c r="B4189" t="s">
        <v>12408</v>
      </c>
      <c r="C4189" t="s">
        <v>14025</v>
      </c>
      <c r="D4189" t="s">
        <v>14026</v>
      </c>
      <c r="E4189">
        <v>1</v>
      </c>
      <c r="F4189" t="s">
        <v>14027</v>
      </c>
      <c r="G4189" t="s">
        <v>12408</v>
      </c>
      <c r="H4189">
        <v>915415</v>
      </c>
      <c r="I4189" t="s">
        <v>14028</v>
      </c>
    </row>
    <row r="4190" spans="1:9">
      <c r="A4190" t="str">
        <f>"0045696 "</f>
        <v xml:space="preserve">0045696 </v>
      </c>
      <c r="B4190" t="s">
        <v>12408</v>
      </c>
      <c r="C4190" t="s">
        <v>14029</v>
      </c>
      <c r="D4190" t="s">
        <v>14030</v>
      </c>
      <c r="E4190">
        <v>3</v>
      </c>
      <c r="F4190" t="s">
        <v>14031</v>
      </c>
      <c r="G4190" t="s">
        <v>12408</v>
      </c>
      <c r="H4190">
        <v>915705</v>
      </c>
      <c r="I4190" t="s">
        <v>14032</v>
      </c>
    </row>
    <row r="4191" spans="1:9">
      <c r="A4191" t="str">
        <f>"0045728 "</f>
        <v xml:space="preserve">0045728 </v>
      </c>
      <c r="B4191" t="s">
        <v>12408</v>
      </c>
      <c r="C4191" t="s">
        <v>14033</v>
      </c>
      <c r="D4191" t="s">
        <v>14034</v>
      </c>
      <c r="E4191">
        <v>1</v>
      </c>
      <c r="F4191" t="s">
        <v>14035</v>
      </c>
      <c r="G4191" t="s">
        <v>12408</v>
      </c>
      <c r="H4191">
        <v>930002</v>
      </c>
      <c r="I4191" t="s">
        <v>14036</v>
      </c>
    </row>
    <row r="4192" spans="1:9">
      <c r="A4192" t="str">
        <f>"0045729 "</f>
        <v xml:space="preserve">0045729 </v>
      </c>
      <c r="B4192" t="s">
        <v>12408</v>
      </c>
      <c r="C4192" t="s">
        <v>14037</v>
      </c>
      <c r="D4192" t="s">
        <v>14038</v>
      </c>
      <c r="E4192">
        <v>2</v>
      </c>
      <c r="F4192" t="s">
        <v>14039</v>
      </c>
      <c r="G4192" t="s">
        <v>12408</v>
      </c>
      <c r="H4192">
        <v>930003</v>
      </c>
      <c r="I4192" t="s">
        <v>14040</v>
      </c>
    </row>
    <row r="4193" spans="1:9">
      <c r="A4193" t="str">
        <f>"0045732 "</f>
        <v xml:space="preserve">0045732 </v>
      </c>
      <c r="B4193" t="s">
        <v>12408</v>
      </c>
      <c r="C4193" t="s">
        <v>14041</v>
      </c>
      <c r="D4193" t="s">
        <v>14042</v>
      </c>
      <c r="E4193">
        <v>1</v>
      </c>
      <c r="F4193" t="s">
        <v>14043</v>
      </c>
      <c r="G4193" t="s">
        <v>12408</v>
      </c>
      <c r="H4193">
        <v>935300</v>
      </c>
      <c r="I4193" t="s">
        <v>14044</v>
      </c>
    </row>
    <row r="4194" spans="1:9">
      <c r="A4194" t="str">
        <f>"0050596 "</f>
        <v xml:space="preserve">0050596 </v>
      </c>
      <c r="B4194" t="s">
        <v>12408</v>
      </c>
      <c r="C4194" t="s">
        <v>14045</v>
      </c>
      <c r="D4194" t="s">
        <v>14046</v>
      </c>
      <c r="E4194">
        <v>1</v>
      </c>
      <c r="F4194" t="s">
        <v>14027</v>
      </c>
      <c r="G4194" t="s">
        <v>12408</v>
      </c>
      <c r="H4194">
        <v>935302</v>
      </c>
      <c r="I4194" t="s">
        <v>14047</v>
      </c>
    </row>
    <row r="4195" spans="1:9">
      <c r="A4195" t="str">
        <f>"0153469 "</f>
        <v xml:space="preserve">0153469 </v>
      </c>
      <c r="B4195" t="s">
        <v>12408</v>
      </c>
      <c r="C4195" t="s">
        <v>14048</v>
      </c>
      <c r="D4195" t="s">
        <v>14049</v>
      </c>
      <c r="E4195">
        <v>1</v>
      </c>
      <c r="F4195" t="s">
        <v>13878</v>
      </c>
      <c r="G4195" t="s">
        <v>12408</v>
      </c>
      <c r="H4195">
        <v>935304</v>
      </c>
      <c r="I4195" t="s">
        <v>14050</v>
      </c>
    </row>
    <row r="4196" spans="1:9">
      <c r="A4196" t="str">
        <f>"0045734 "</f>
        <v xml:space="preserve">0045734 </v>
      </c>
      <c r="B4196" t="s">
        <v>12408</v>
      </c>
      <c r="C4196" t="s">
        <v>14051</v>
      </c>
      <c r="D4196" t="s">
        <v>14052</v>
      </c>
      <c r="E4196">
        <v>1</v>
      </c>
      <c r="F4196" t="s">
        <v>14053</v>
      </c>
      <c r="G4196" t="s">
        <v>12408</v>
      </c>
      <c r="H4196">
        <v>940001</v>
      </c>
      <c r="I4196" t="s">
        <v>14054</v>
      </c>
    </row>
    <row r="4197" spans="1:9">
      <c r="A4197" t="str">
        <f>"0045736 "</f>
        <v xml:space="preserve">0045736 </v>
      </c>
      <c r="B4197" t="s">
        <v>12408</v>
      </c>
      <c r="C4197" t="s">
        <v>14055</v>
      </c>
      <c r="D4197" t="s">
        <v>14056</v>
      </c>
      <c r="E4197">
        <v>1</v>
      </c>
      <c r="F4197" t="s">
        <v>916</v>
      </c>
      <c r="G4197" t="s">
        <v>12408</v>
      </c>
      <c r="H4197">
        <v>942017</v>
      </c>
      <c r="I4197" t="s">
        <v>14057</v>
      </c>
    </row>
    <row r="4198" spans="1:9">
      <c r="A4198" t="str">
        <f>"0045738 "</f>
        <v xml:space="preserve">0045738 </v>
      </c>
      <c r="B4198" t="s">
        <v>12408</v>
      </c>
      <c r="C4198" t="s">
        <v>14058</v>
      </c>
      <c r="D4198" t="s">
        <v>14059</v>
      </c>
      <c r="E4198">
        <v>1</v>
      </c>
      <c r="F4198" t="s">
        <v>14060</v>
      </c>
      <c r="G4198" t="s">
        <v>12408</v>
      </c>
      <c r="H4198">
        <v>945502</v>
      </c>
      <c r="I4198" t="s">
        <v>14061</v>
      </c>
    </row>
    <row r="4199" spans="1:9">
      <c r="A4199" t="str">
        <f>"0089414 "</f>
        <v xml:space="preserve">0089414 </v>
      </c>
      <c r="B4199" t="s">
        <v>12408</v>
      </c>
      <c r="C4199" t="s">
        <v>14062</v>
      </c>
      <c r="D4199" t="s">
        <v>14063</v>
      </c>
      <c r="E4199">
        <v>2</v>
      </c>
      <c r="F4199" t="s">
        <v>14064</v>
      </c>
      <c r="G4199" t="s">
        <v>12408</v>
      </c>
      <c r="H4199" t="s">
        <v>14065</v>
      </c>
      <c r="I4199" t="s">
        <v>14066</v>
      </c>
    </row>
    <row r="4200" spans="1:9">
      <c r="A4200" t="str">
        <f>"0089570 "</f>
        <v xml:space="preserve">0089570 </v>
      </c>
      <c r="B4200" t="s">
        <v>12408</v>
      </c>
      <c r="C4200" t="s">
        <v>14067</v>
      </c>
      <c r="D4200" t="s">
        <v>14068</v>
      </c>
      <c r="E4200">
        <v>2</v>
      </c>
      <c r="F4200" t="s">
        <v>14069</v>
      </c>
      <c r="G4200" t="s">
        <v>12408</v>
      </c>
      <c r="H4200" t="s">
        <v>14070</v>
      </c>
      <c r="I4200" t="s">
        <v>14071</v>
      </c>
    </row>
    <row r="4201" spans="1:9">
      <c r="A4201" t="str">
        <f>"0089789 "</f>
        <v xml:space="preserve">0089789 </v>
      </c>
      <c r="B4201" t="s">
        <v>12408</v>
      </c>
      <c r="C4201" t="s">
        <v>14072</v>
      </c>
      <c r="D4201" t="s">
        <v>14073</v>
      </c>
      <c r="E4201">
        <v>2</v>
      </c>
      <c r="F4201" t="s">
        <v>14074</v>
      </c>
      <c r="G4201" t="s">
        <v>12408</v>
      </c>
      <c r="H4201" t="s">
        <v>14075</v>
      </c>
      <c r="I4201" t="s">
        <v>14076</v>
      </c>
    </row>
    <row r="4202" spans="1:9">
      <c r="A4202" t="str">
        <f>"0090181 "</f>
        <v xml:space="preserve">0090181 </v>
      </c>
      <c r="B4202" t="s">
        <v>12408</v>
      </c>
      <c r="C4202" t="s">
        <v>14077</v>
      </c>
      <c r="D4202" t="s">
        <v>14078</v>
      </c>
      <c r="E4202">
        <v>2</v>
      </c>
      <c r="F4202" t="s">
        <v>14079</v>
      </c>
      <c r="G4202" t="s">
        <v>12408</v>
      </c>
      <c r="H4202" t="s">
        <v>14080</v>
      </c>
      <c r="I4202" t="s">
        <v>14081</v>
      </c>
    </row>
    <row r="4203" spans="1:9">
      <c r="A4203" t="str">
        <f>"0090365 "</f>
        <v xml:space="preserve">0090365 </v>
      </c>
      <c r="B4203" t="s">
        <v>12408</v>
      </c>
      <c r="C4203" t="s">
        <v>14082</v>
      </c>
      <c r="D4203" t="s">
        <v>14083</v>
      </c>
      <c r="E4203">
        <v>2</v>
      </c>
      <c r="F4203" t="s">
        <v>13713</v>
      </c>
      <c r="G4203" t="s">
        <v>12408</v>
      </c>
      <c r="H4203" t="s">
        <v>14084</v>
      </c>
      <c r="I4203" t="s">
        <v>14085</v>
      </c>
    </row>
    <row r="4204" spans="1:9">
      <c r="A4204" t="str">
        <f>"0088576 "</f>
        <v xml:space="preserve">0088576 </v>
      </c>
      <c r="B4204" t="s">
        <v>12408</v>
      </c>
      <c r="C4204" t="s">
        <v>14086</v>
      </c>
      <c r="D4204" t="s">
        <v>14087</v>
      </c>
      <c r="E4204">
        <v>2</v>
      </c>
      <c r="F4204" t="s">
        <v>14088</v>
      </c>
      <c r="G4204" t="s">
        <v>12408</v>
      </c>
      <c r="H4204" t="s">
        <v>14089</v>
      </c>
      <c r="I4204" t="s">
        <v>14090</v>
      </c>
    </row>
    <row r="4205" spans="1:9">
      <c r="A4205" t="str">
        <f>"0088585 "</f>
        <v xml:space="preserve">0088585 </v>
      </c>
      <c r="B4205" t="s">
        <v>12408</v>
      </c>
      <c r="C4205" t="s">
        <v>14091</v>
      </c>
      <c r="D4205" t="s">
        <v>14092</v>
      </c>
      <c r="E4205">
        <v>2</v>
      </c>
      <c r="F4205" t="s">
        <v>14093</v>
      </c>
      <c r="G4205" t="s">
        <v>12408</v>
      </c>
      <c r="H4205" t="s">
        <v>14094</v>
      </c>
      <c r="I4205" t="s">
        <v>14095</v>
      </c>
    </row>
    <row r="4206" spans="1:9">
      <c r="A4206" t="str">
        <f>"0088734 "</f>
        <v xml:space="preserve">0088734 </v>
      </c>
      <c r="B4206" t="s">
        <v>12408</v>
      </c>
      <c r="C4206" t="s">
        <v>14096</v>
      </c>
      <c r="D4206" t="s">
        <v>14097</v>
      </c>
      <c r="E4206">
        <v>2</v>
      </c>
      <c r="F4206" t="s">
        <v>14098</v>
      </c>
      <c r="G4206" t="s">
        <v>12408</v>
      </c>
      <c r="H4206" t="s">
        <v>14099</v>
      </c>
      <c r="I4206" t="s">
        <v>14100</v>
      </c>
    </row>
    <row r="4207" spans="1:9">
      <c r="A4207" t="str">
        <f>"0088770 "</f>
        <v xml:space="preserve">0088770 </v>
      </c>
      <c r="B4207" t="s">
        <v>12408</v>
      </c>
      <c r="C4207" t="s">
        <v>14101</v>
      </c>
      <c r="D4207" t="s">
        <v>14102</v>
      </c>
      <c r="E4207">
        <v>1</v>
      </c>
      <c r="F4207" t="s">
        <v>14103</v>
      </c>
      <c r="G4207" t="s">
        <v>12408</v>
      </c>
      <c r="H4207" t="s">
        <v>14104</v>
      </c>
      <c r="I4207" t="s">
        <v>14105</v>
      </c>
    </row>
    <row r="4208" spans="1:9">
      <c r="A4208" t="str">
        <f>"0088771 "</f>
        <v xml:space="preserve">0088771 </v>
      </c>
      <c r="B4208" t="s">
        <v>12408</v>
      </c>
      <c r="C4208" t="s">
        <v>14106</v>
      </c>
      <c r="D4208" t="s">
        <v>14107</v>
      </c>
      <c r="E4208">
        <v>1</v>
      </c>
      <c r="F4208" t="s">
        <v>14108</v>
      </c>
      <c r="G4208" t="s">
        <v>12408</v>
      </c>
      <c r="H4208" t="s">
        <v>14109</v>
      </c>
      <c r="I4208" t="s">
        <v>14110</v>
      </c>
    </row>
    <row r="4209" spans="1:9">
      <c r="A4209" t="str">
        <f>"0088772 "</f>
        <v xml:space="preserve">0088772 </v>
      </c>
      <c r="B4209" t="s">
        <v>12408</v>
      </c>
      <c r="C4209" t="s">
        <v>14111</v>
      </c>
      <c r="D4209" t="s">
        <v>14112</v>
      </c>
      <c r="E4209">
        <v>2</v>
      </c>
      <c r="F4209" t="s">
        <v>14113</v>
      </c>
      <c r="G4209" t="s">
        <v>12408</v>
      </c>
      <c r="H4209" t="s">
        <v>14114</v>
      </c>
      <c r="I4209" t="s">
        <v>14115</v>
      </c>
    </row>
    <row r="4210" spans="1:9">
      <c r="A4210" t="str">
        <f>"0088955 "</f>
        <v xml:space="preserve">0088955 </v>
      </c>
      <c r="B4210" t="s">
        <v>12408</v>
      </c>
      <c r="C4210" t="s">
        <v>14116</v>
      </c>
      <c r="D4210" t="s">
        <v>14117</v>
      </c>
      <c r="E4210">
        <v>2</v>
      </c>
      <c r="F4210" t="s">
        <v>14118</v>
      </c>
      <c r="G4210" t="s">
        <v>12408</v>
      </c>
      <c r="H4210" t="s">
        <v>14119</v>
      </c>
      <c r="I4210" t="s">
        <v>14120</v>
      </c>
    </row>
    <row r="4211" spans="1:9">
      <c r="A4211" t="str">
        <f>"0089054 "</f>
        <v xml:space="preserve">0089054 </v>
      </c>
      <c r="B4211" t="s">
        <v>12408</v>
      </c>
      <c r="C4211" t="s">
        <v>14121</v>
      </c>
      <c r="D4211" t="s">
        <v>14122</v>
      </c>
      <c r="E4211">
        <v>1</v>
      </c>
      <c r="F4211" t="s">
        <v>14123</v>
      </c>
      <c r="G4211" t="s">
        <v>12408</v>
      </c>
      <c r="H4211" t="s">
        <v>14124</v>
      </c>
      <c r="I4211" t="s">
        <v>14125</v>
      </c>
    </row>
    <row r="4212" spans="1:9">
      <c r="A4212" t="str">
        <f>"0090152 "</f>
        <v xml:space="preserve">0090152 </v>
      </c>
      <c r="B4212" t="s">
        <v>12408</v>
      </c>
      <c r="C4212" t="s">
        <v>14126</v>
      </c>
      <c r="D4212" t="s">
        <v>14127</v>
      </c>
      <c r="E4212">
        <v>2</v>
      </c>
      <c r="F4212" t="s">
        <v>14128</v>
      </c>
      <c r="G4212" t="s">
        <v>12408</v>
      </c>
      <c r="H4212" t="s">
        <v>14129</v>
      </c>
      <c r="I4212" t="s">
        <v>14130</v>
      </c>
    </row>
    <row r="4213" spans="1:9">
      <c r="A4213" t="str">
        <f>"0090156 "</f>
        <v xml:space="preserve">0090156 </v>
      </c>
      <c r="B4213" t="s">
        <v>12408</v>
      </c>
      <c r="C4213" t="s">
        <v>14131</v>
      </c>
      <c r="D4213" t="s">
        <v>14132</v>
      </c>
      <c r="E4213">
        <v>2</v>
      </c>
      <c r="F4213" t="s">
        <v>14133</v>
      </c>
      <c r="G4213" t="s">
        <v>12408</v>
      </c>
      <c r="H4213" t="s">
        <v>14134</v>
      </c>
      <c r="I4213" t="s">
        <v>14135</v>
      </c>
    </row>
    <row r="4214" spans="1:9">
      <c r="A4214" t="str">
        <f>"0090274 "</f>
        <v xml:space="preserve">0090274 </v>
      </c>
      <c r="B4214" t="s">
        <v>12408</v>
      </c>
      <c r="C4214" t="s">
        <v>14136</v>
      </c>
      <c r="D4214" t="s">
        <v>14137</v>
      </c>
      <c r="E4214">
        <v>2</v>
      </c>
      <c r="F4214" t="s">
        <v>14138</v>
      </c>
      <c r="G4214" t="s">
        <v>12408</v>
      </c>
      <c r="H4214" t="s">
        <v>14139</v>
      </c>
      <c r="I4214" t="s">
        <v>14140</v>
      </c>
    </row>
    <row r="4215" spans="1:9">
      <c r="A4215" t="str">
        <f>"0089110 "</f>
        <v xml:space="preserve">0089110 </v>
      </c>
      <c r="B4215" t="s">
        <v>12408</v>
      </c>
      <c r="C4215" t="s">
        <v>14141</v>
      </c>
      <c r="D4215" t="s">
        <v>14142</v>
      </c>
      <c r="E4215">
        <v>1</v>
      </c>
      <c r="F4215" t="s">
        <v>14143</v>
      </c>
      <c r="G4215" t="s">
        <v>12408</v>
      </c>
      <c r="H4215" t="s">
        <v>14144</v>
      </c>
      <c r="I4215" t="s">
        <v>14145</v>
      </c>
    </row>
    <row r="4216" spans="1:9">
      <c r="A4216" t="str">
        <f>"0089950 "</f>
        <v xml:space="preserve">0089950 </v>
      </c>
      <c r="B4216" t="s">
        <v>12408</v>
      </c>
      <c r="C4216" t="s">
        <v>14146</v>
      </c>
      <c r="D4216" t="s">
        <v>14147</v>
      </c>
      <c r="E4216">
        <v>2</v>
      </c>
      <c r="F4216" t="s">
        <v>14148</v>
      </c>
      <c r="G4216" t="s">
        <v>12408</v>
      </c>
      <c r="H4216" t="s">
        <v>14149</v>
      </c>
      <c r="I4216" t="s">
        <v>14150</v>
      </c>
    </row>
    <row r="4217" spans="1:9">
      <c r="A4217" t="str">
        <f>"0089116 "</f>
        <v xml:space="preserve">0089116 </v>
      </c>
      <c r="B4217" t="s">
        <v>12408</v>
      </c>
      <c r="C4217" t="s">
        <v>14151</v>
      </c>
      <c r="D4217" t="s">
        <v>14152</v>
      </c>
      <c r="E4217">
        <v>2</v>
      </c>
      <c r="F4217" t="s">
        <v>14153</v>
      </c>
      <c r="G4217" t="s">
        <v>12408</v>
      </c>
      <c r="H4217" t="s">
        <v>14154</v>
      </c>
      <c r="I4217" t="s">
        <v>14155</v>
      </c>
    </row>
    <row r="4218" spans="1:9">
      <c r="A4218" t="str">
        <f>"0088417 "</f>
        <v xml:space="preserve">0088417 </v>
      </c>
      <c r="B4218" t="s">
        <v>12408</v>
      </c>
      <c r="C4218" t="s">
        <v>14156</v>
      </c>
      <c r="D4218" t="s">
        <v>14157</v>
      </c>
      <c r="E4218">
        <v>2</v>
      </c>
      <c r="F4218" t="s">
        <v>14158</v>
      </c>
      <c r="G4218" t="s">
        <v>12408</v>
      </c>
      <c r="H4218" t="s">
        <v>14159</v>
      </c>
      <c r="I4218" t="s">
        <v>14160</v>
      </c>
    </row>
    <row r="4219" spans="1:9">
      <c r="A4219" t="str">
        <f>"0088573 "</f>
        <v xml:space="preserve">0088573 </v>
      </c>
      <c r="B4219" t="s">
        <v>12408</v>
      </c>
      <c r="C4219" t="s">
        <v>14161</v>
      </c>
      <c r="D4219" t="s">
        <v>14162</v>
      </c>
      <c r="E4219">
        <v>2</v>
      </c>
      <c r="F4219" t="s">
        <v>14163</v>
      </c>
      <c r="G4219" t="s">
        <v>12408</v>
      </c>
      <c r="H4219" t="s">
        <v>14164</v>
      </c>
      <c r="I4219" t="s">
        <v>14165</v>
      </c>
    </row>
    <row r="4220" spans="1:9">
      <c r="A4220" t="str">
        <f>"0089081 "</f>
        <v xml:space="preserve">0089081 </v>
      </c>
      <c r="B4220" t="s">
        <v>12408</v>
      </c>
      <c r="C4220" t="s">
        <v>14166</v>
      </c>
      <c r="D4220" t="s">
        <v>14167</v>
      </c>
      <c r="E4220">
        <v>2</v>
      </c>
      <c r="F4220" t="s">
        <v>14168</v>
      </c>
      <c r="G4220" t="s">
        <v>12408</v>
      </c>
      <c r="H4220" t="s">
        <v>14169</v>
      </c>
      <c r="I4220" t="s">
        <v>14170</v>
      </c>
    </row>
    <row r="4221" spans="1:9">
      <c r="A4221" t="str">
        <f>"0088365 "</f>
        <v xml:space="preserve">0088365 </v>
      </c>
      <c r="B4221" t="s">
        <v>12408</v>
      </c>
      <c r="C4221" t="s">
        <v>14171</v>
      </c>
      <c r="D4221" t="s">
        <v>14172</v>
      </c>
      <c r="E4221">
        <v>2</v>
      </c>
      <c r="F4221" t="s">
        <v>14173</v>
      </c>
      <c r="G4221" t="s">
        <v>12408</v>
      </c>
      <c r="H4221" t="s">
        <v>14174</v>
      </c>
      <c r="I4221" t="s">
        <v>14175</v>
      </c>
    </row>
    <row r="4222" spans="1:9">
      <c r="A4222" t="str">
        <f>"0088595 "</f>
        <v xml:space="preserve">0088595 </v>
      </c>
      <c r="B4222" t="s">
        <v>12408</v>
      </c>
      <c r="C4222" t="s">
        <v>14176</v>
      </c>
      <c r="D4222" t="s">
        <v>14177</v>
      </c>
      <c r="E4222">
        <v>2</v>
      </c>
      <c r="F4222" t="s">
        <v>14178</v>
      </c>
      <c r="G4222" t="s">
        <v>12408</v>
      </c>
      <c r="H4222" t="s">
        <v>14179</v>
      </c>
      <c r="I4222" t="s">
        <v>14180</v>
      </c>
    </row>
    <row r="4223" spans="1:9">
      <c r="A4223" t="str">
        <f>"0088598 "</f>
        <v xml:space="preserve">0088598 </v>
      </c>
      <c r="B4223" t="s">
        <v>12408</v>
      </c>
      <c r="C4223" t="s">
        <v>14181</v>
      </c>
      <c r="D4223" t="s">
        <v>14182</v>
      </c>
      <c r="E4223">
        <v>2</v>
      </c>
      <c r="F4223" t="s">
        <v>14183</v>
      </c>
      <c r="G4223" t="s">
        <v>12408</v>
      </c>
      <c r="H4223" t="s">
        <v>14184</v>
      </c>
      <c r="I4223" t="s">
        <v>14185</v>
      </c>
    </row>
    <row r="4224" spans="1:9">
      <c r="A4224" t="str">
        <f>"0088882 "</f>
        <v xml:space="preserve">0088882 </v>
      </c>
      <c r="B4224" t="s">
        <v>12408</v>
      </c>
      <c r="C4224" t="s">
        <v>14186</v>
      </c>
      <c r="D4224" t="s">
        <v>14187</v>
      </c>
      <c r="E4224">
        <v>2</v>
      </c>
      <c r="F4224" t="s">
        <v>14188</v>
      </c>
      <c r="G4224" t="s">
        <v>12408</v>
      </c>
      <c r="H4224" t="s">
        <v>14189</v>
      </c>
      <c r="I4224" t="s">
        <v>14190</v>
      </c>
    </row>
    <row r="4225" spans="1:9">
      <c r="A4225" t="str">
        <f>"0088903 "</f>
        <v xml:space="preserve">0088903 </v>
      </c>
      <c r="B4225" t="s">
        <v>12408</v>
      </c>
      <c r="C4225" t="s">
        <v>14191</v>
      </c>
      <c r="D4225" t="s">
        <v>14192</v>
      </c>
      <c r="E4225">
        <v>2</v>
      </c>
      <c r="F4225" t="s">
        <v>14193</v>
      </c>
      <c r="G4225" t="s">
        <v>12408</v>
      </c>
      <c r="H4225" t="s">
        <v>14194</v>
      </c>
      <c r="I4225" t="s">
        <v>14195</v>
      </c>
    </row>
    <row r="4226" spans="1:9">
      <c r="A4226" t="str">
        <f>"0089008 "</f>
        <v xml:space="preserve">0089008 </v>
      </c>
      <c r="B4226" t="s">
        <v>12408</v>
      </c>
      <c r="C4226" t="s">
        <v>14196</v>
      </c>
      <c r="D4226" t="s">
        <v>14197</v>
      </c>
      <c r="E4226">
        <v>4</v>
      </c>
      <c r="F4226" t="s">
        <v>14198</v>
      </c>
      <c r="G4226" t="s">
        <v>12408</v>
      </c>
      <c r="H4226" t="s">
        <v>14199</v>
      </c>
      <c r="I4226" t="s">
        <v>14200</v>
      </c>
    </row>
    <row r="4227" spans="1:9">
      <c r="A4227" t="str">
        <f>"0089178 "</f>
        <v xml:space="preserve">0089178 </v>
      </c>
      <c r="B4227" t="s">
        <v>12408</v>
      </c>
      <c r="C4227" t="s">
        <v>14201</v>
      </c>
      <c r="D4227" t="s">
        <v>14202</v>
      </c>
      <c r="E4227">
        <v>2</v>
      </c>
      <c r="F4227" t="s">
        <v>14079</v>
      </c>
      <c r="G4227" t="s">
        <v>12408</v>
      </c>
      <c r="H4227" t="s">
        <v>14203</v>
      </c>
      <c r="I4227" t="s">
        <v>14204</v>
      </c>
    </row>
    <row r="4228" spans="1:9">
      <c r="A4228" t="str">
        <f>"0089185 "</f>
        <v xml:space="preserve">0089185 </v>
      </c>
      <c r="B4228" t="s">
        <v>12408</v>
      </c>
      <c r="C4228" t="s">
        <v>14205</v>
      </c>
      <c r="D4228" t="s">
        <v>14206</v>
      </c>
      <c r="E4228">
        <v>1</v>
      </c>
      <c r="F4228" t="s">
        <v>14207</v>
      </c>
      <c r="G4228" t="s">
        <v>12408</v>
      </c>
      <c r="H4228" t="s">
        <v>14208</v>
      </c>
      <c r="I4228" t="s">
        <v>14209</v>
      </c>
    </row>
    <row r="4229" spans="1:9">
      <c r="A4229" t="str">
        <f>"0089632 "</f>
        <v xml:space="preserve">0089632 </v>
      </c>
      <c r="B4229" t="s">
        <v>12408</v>
      </c>
      <c r="C4229" t="s">
        <v>14210</v>
      </c>
      <c r="D4229" t="s">
        <v>14211</v>
      </c>
      <c r="E4229">
        <v>4</v>
      </c>
      <c r="F4229" t="s">
        <v>14212</v>
      </c>
      <c r="G4229" t="s">
        <v>12408</v>
      </c>
      <c r="H4229" t="s">
        <v>14213</v>
      </c>
      <c r="I4229" t="s">
        <v>14214</v>
      </c>
    </row>
    <row r="4230" spans="1:9">
      <c r="A4230" t="str">
        <f>"0089769 "</f>
        <v xml:space="preserve">0089769 </v>
      </c>
      <c r="B4230" t="s">
        <v>12408</v>
      </c>
      <c r="C4230" t="s">
        <v>14215</v>
      </c>
      <c r="D4230" t="s">
        <v>14216</v>
      </c>
      <c r="E4230">
        <v>2</v>
      </c>
      <c r="F4230" t="s">
        <v>14217</v>
      </c>
      <c r="G4230" t="s">
        <v>12408</v>
      </c>
      <c r="H4230" t="s">
        <v>14218</v>
      </c>
      <c r="I4230" t="s">
        <v>14219</v>
      </c>
    </row>
    <row r="4231" spans="1:9">
      <c r="A4231" t="str">
        <f>"0089773 "</f>
        <v xml:space="preserve">0089773 </v>
      </c>
      <c r="B4231" t="s">
        <v>12408</v>
      </c>
      <c r="C4231" t="s">
        <v>14220</v>
      </c>
      <c r="D4231" t="s">
        <v>14221</v>
      </c>
      <c r="E4231">
        <v>2</v>
      </c>
      <c r="F4231" t="s">
        <v>14222</v>
      </c>
      <c r="G4231" t="s">
        <v>12408</v>
      </c>
      <c r="H4231" t="s">
        <v>14223</v>
      </c>
      <c r="I4231" t="s">
        <v>14224</v>
      </c>
    </row>
    <row r="4232" spans="1:9">
      <c r="A4232" t="str">
        <f>"0089991 "</f>
        <v xml:space="preserve">0089991 </v>
      </c>
      <c r="B4232" t="s">
        <v>12408</v>
      </c>
      <c r="C4232" t="s">
        <v>14225</v>
      </c>
      <c r="D4232" t="s">
        <v>14226</v>
      </c>
      <c r="E4232">
        <v>2</v>
      </c>
      <c r="F4232" t="s">
        <v>14227</v>
      </c>
      <c r="G4232" t="s">
        <v>12408</v>
      </c>
      <c r="H4232" t="s">
        <v>14228</v>
      </c>
      <c r="I4232" t="s">
        <v>14229</v>
      </c>
    </row>
    <row r="4233" spans="1:9">
      <c r="A4233" t="str">
        <f>"0089993 "</f>
        <v xml:space="preserve">0089993 </v>
      </c>
      <c r="B4233" t="s">
        <v>12408</v>
      </c>
      <c r="C4233" t="s">
        <v>14230</v>
      </c>
      <c r="D4233" t="s">
        <v>14231</v>
      </c>
      <c r="E4233">
        <v>2</v>
      </c>
      <c r="F4233" t="s">
        <v>14232</v>
      </c>
      <c r="G4233" t="s">
        <v>12408</v>
      </c>
      <c r="H4233" t="s">
        <v>14233</v>
      </c>
      <c r="I4233" t="s">
        <v>14234</v>
      </c>
    </row>
    <row r="4234" spans="1:9">
      <c r="A4234" t="str">
        <f>"0090001 "</f>
        <v xml:space="preserve">0090001 </v>
      </c>
      <c r="B4234" t="s">
        <v>12408</v>
      </c>
      <c r="C4234" t="s">
        <v>14235</v>
      </c>
      <c r="D4234" t="s">
        <v>14236</v>
      </c>
      <c r="E4234">
        <v>2</v>
      </c>
      <c r="F4234" t="s">
        <v>14237</v>
      </c>
      <c r="G4234" t="s">
        <v>12408</v>
      </c>
      <c r="H4234" t="s">
        <v>14238</v>
      </c>
      <c r="I4234" t="s">
        <v>14239</v>
      </c>
    </row>
    <row r="4235" spans="1:9">
      <c r="A4235" t="str">
        <f>"0090185 "</f>
        <v xml:space="preserve">0090185 </v>
      </c>
      <c r="B4235" t="s">
        <v>12408</v>
      </c>
      <c r="C4235" t="s">
        <v>14240</v>
      </c>
      <c r="D4235" t="s">
        <v>14241</v>
      </c>
      <c r="E4235">
        <v>2</v>
      </c>
      <c r="F4235" t="s">
        <v>14242</v>
      </c>
      <c r="G4235" t="s">
        <v>12408</v>
      </c>
      <c r="H4235" t="s">
        <v>14243</v>
      </c>
      <c r="I4235" t="s">
        <v>14244</v>
      </c>
    </row>
    <row r="4236" spans="1:9">
      <c r="A4236" t="str">
        <f>"0090277 "</f>
        <v xml:space="preserve">0090277 </v>
      </c>
      <c r="B4236" t="s">
        <v>12408</v>
      </c>
      <c r="C4236" t="s">
        <v>14245</v>
      </c>
      <c r="D4236" t="s">
        <v>14246</v>
      </c>
      <c r="E4236">
        <v>4</v>
      </c>
      <c r="F4236" t="s">
        <v>14247</v>
      </c>
      <c r="G4236" t="s">
        <v>12408</v>
      </c>
      <c r="H4236" t="s">
        <v>14248</v>
      </c>
      <c r="I4236" t="s">
        <v>14249</v>
      </c>
    </row>
    <row r="4237" spans="1:9">
      <c r="A4237" t="str">
        <f>"0090283 "</f>
        <v xml:space="preserve">0090283 </v>
      </c>
      <c r="B4237" t="s">
        <v>12408</v>
      </c>
      <c r="C4237" t="s">
        <v>14250</v>
      </c>
      <c r="D4237" t="s">
        <v>14251</v>
      </c>
      <c r="E4237">
        <v>2</v>
      </c>
      <c r="F4237" t="s">
        <v>14252</v>
      </c>
      <c r="G4237" t="s">
        <v>12408</v>
      </c>
      <c r="H4237" t="s">
        <v>14253</v>
      </c>
      <c r="I4237" t="s">
        <v>14254</v>
      </c>
    </row>
    <row r="4238" spans="1:9">
      <c r="A4238" t="str">
        <f>"0090476 "</f>
        <v xml:space="preserve">0090476 </v>
      </c>
      <c r="B4238" t="s">
        <v>12408</v>
      </c>
      <c r="C4238" t="s">
        <v>14255</v>
      </c>
      <c r="D4238" t="s">
        <v>14256</v>
      </c>
      <c r="E4238">
        <v>2</v>
      </c>
      <c r="F4238" t="s">
        <v>14257</v>
      </c>
      <c r="G4238" t="s">
        <v>12408</v>
      </c>
      <c r="H4238" t="s">
        <v>14258</v>
      </c>
      <c r="I4238" t="s">
        <v>14259</v>
      </c>
    </row>
    <row r="4239" spans="1:9">
      <c r="A4239" t="str">
        <f>"0090255 "</f>
        <v xml:space="preserve">0090255 </v>
      </c>
      <c r="B4239" t="s">
        <v>12408</v>
      </c>
      <c r="C4239" t="s">
        <v>14260</v>
      </c>
      <c r="D4239" t="s">
        <v>14261</v>
      </c>
      <c r="E4239">
        <v>2</v>
      </c>
      <c r="F4239" t="s">
        <v>14262</v>
      </c>
      <c r="G4239" t="s">
        <v>12408</v>
      </c>
      <c r="H4239" t="s">
        <v>14263</v>
      </c>
      <c r="I4239" t="s">
        <v>14264</v>
      </c>
    </row>
    <row r="4240" spans="1:9">
      <c r="A4240" t="str">
        <f>"0090257 "</f>
        <v xml:space="preserve">0090257 </v>
      </c>
      <c r="B4240" t="s">
        <v>12408</v>
      </c>
      <c r="C4240" t="s">
        <v>14265</v>
      </c>
      <c r="D4240" t="s">
        <v>14266</v>
      </c>
      <c r="E4240">
        <v>2</v>
      </c>
      <c r="F4240" t="s">
        <v>14267</v>
      </c>
      <c r="G4240" t="s">
        <v>12408</v>
      </c>
      <c r="H4240" t="s">
        <v>14268</v>
      </c>
      <c r="I4240" t="s">
        <v>14269</v>
      </c>
    </row>
    <row r="4241" spans="1:9">
      <c r="A4241" t="str">
        <f>"0089475 "</f>
        <v xml:space="preserve">0089475 </v>
      </c>
      <c r="B4241" t="s">
        <v>12408</v>
      </c>
      <c r="C4241" t="s">
        <v>14270</v>
      </c>
      <c r="D4241" t="s">
        <v>14271</v>
      </c>
      <c r="E4241">
        <v>2</v>
      </c>
      <c r="F4241" t="s">
        <v>14272</v>
      </c>
      <c r="G4241" t="s">
        <v>12408</v>
      </c>
      <c r="H4241" t="s">
        <v>14273</v>
      </c>
      <c r="I4241" t="s">
        <v>14274</v>
      </c>
    </row>
    <row r="4242" spans="1:9">
      <c r="A4242" t="str">
        <f>"0090059 "</f>
        <v xml:space="preserve">0090059 </v>
      </c>
      <c r="B4242" t="s">
        <v>12408</v>
      </c>
      <c r="C4242" t="s">
        <v>14275</v>
      </c>
      <c r="D4242" t="s">
        <v>14276</v>
      </c>
      <c r="E4242">
        <v>2</v>
      </c>
      <c r="F4242" t="s">
        <v>14277</v>
      </c>
      <c r="G4242" t="s">
        <v>12408</v>
      </c>
      <c r="H4242" t="s">
        <v>14278</v>
      </c>
      <c r="I4242" t="s">
        <v>14279</v>
      </c>
    </row>
    <row r="4243" spans="1:9">
      <c r="A4243" t="str">
        <f>"0090337 "</f>
        <v xml:space="preserve">0090337 </v>
      </c>
      <c r="B4243" t="s">
        <v>12408</v>
      </c>
      <c r="C4243" t="s">
        <v>14280</v>
      </c>
      <c r="D4243" t="s">
        <v>14281</v>
      </c>
      <c r="E4243">
        <v>2</v>
      </c>
      <c r="F4243" t="s">
        <v>14282</v>
      </c>
      <c r="G4243" t="s">
        <v>12408</v>
      </c>
      <c r="H4243" t="s">
        <v>14283</v>
      </c>
      <c r="I4243" t="s">
        <v>14284</v>
      </c>
    </row>
    <row r="4244" spans="1:9">
      <c r="A4244" t="str">
        <f>"0090068 "</f>
        <v xml:space="preserve">0090068 </v>
      </c>
      <c r="B4244" t="s">
        <v>12408</v>
      </c>
      <c r="C4244" t="s">
        <v>14285</v>
      </c>
      <c r="D4244" t="s">
        <v>14286</v>
      </c>
      <c r="E4244">
        <v>2</v>
      </c>
      <c r="F4244" t="s">
        <v>14287</v>
      </c>
      <c r="G4244" t="s">
        <v>12408</v>
      </c>
      <c r="H4244" t="s">
        <v>14288</v>
      </c>
      <c r="I4244" t="s">
        <v>14289</v>
      </c>
    </row>
    <row r="4245" spans="1:9">
      <c r="A4245" t="str">
        <f>"0090090 "</f>
        <v xml:space="preserve">0090090 </v>
      </c>
      <c r="B4245" t="s">
        <v>12408</v>
      </c>
      <c r="C4245" t="s">
        <v>14290</v>
      </c>
      <c r="D4245" t="s">
        <v>14291</v>
      </c>
      <c r="E4245">
        <v>2</v>
      </c>
      <c r="F4245" t="s">
        <v>14292</v>
      </c>
      <c r="G4245" t="s">
        <v>12408</v>
      </c>
      <c r="H4245" t="s">
        <v>14293</v>
      </c>
      <c r="I4245" t="s">
        <v>14294</v>
      </c>
    </row>
    <row r="4246" spans="1:9">
      <c r="A4246" t="str">
        <f>"0047578 "</f>
        <v xml:space="preserve">0047578 </v>
      </c>
      <c r="B4246" t="s">
        <v>12408</v>
      </c>
      <c r="C4246" t="s">
        <v>14295</v>
      </c>
      <c r="D4246" t="s">
        <v>14296</v>
      </c>
      <c r="E4246">
        <v>2</v>
      </c>
      <c r="F4246" t="s">
        <v>14297</v>
      </c>
      <c r="G4246" t="s">
        <v>12408</v>
      </c>
      <c r="H4246" t="s">
        <v>14298</v>
      </c>
      <c r="I4246" t="s">
        <v>14299</v>
      </c>
    </row>
    <row r="4247" spans="1:9">
      <c r="A4247" t="str">
        <f>"0047605 "</f>
        <v xml:space="preserve">0047605 </v>
      </c>
      <c r="B4247" t="s">
        <v>12408</v>
      </c>
      <c r="C4247" t="s">
        <v>14300</v>
      </c>
      <c r="D4247" t="s">
        <v>14301</v>
      </c>
      <c r="E4247">
        <v>2</v>
      </c>
      <c r="F4247" t="s">
        <v>14302</v>
      </c>
      <c r="G4247" t="s">
        <v>12408</v>
      </c>
      <c r="H4247" t="s">
        <v>14303</v>
      </c>
      <c r="I4247" t="s">
        <v>14304</v>
      </c>
    </row>
    <row r="4248" spans="1:9">
      <c r="A4248" t="str">
        <f>"0047607 "</f>
        <v xml:space="preserve">0047607 </v>
      </c>
      <c r="B4248" t="s">
        <v>12408</v>
      </c>
      <c r="C4248" t="s">
        <v>14305</v>
      </c>
      <c r="D4248" t="s">
        <v>14306</v>
      </c>
      <c r="E4248">
        <v>2</v>
      </c>
      <c r="F4248" t="s">
        <v>1372</v>
      </c>
      <c r="G4248" t="s">
        <v>12408</v>
      </c>
      <c r="H4248" t="s">
        <v>14307</v>
      </c>
      <c r="I4248" t="s">
        <v>14308</v>
      </c>
    </row>
    <row r="4249" spans="1:9">
      <c r="A4249" t="str">
        <f>"0047611 "</f>
        <v xml:space="preserve">0047611 </v>
      </c>
      <c r="B4249" t="s">
        <v>12408</v>
      </c>
      <c r="C4249" t="s">
        <v>14309</v>
      </c>
      <c r="D4249" t="s">
        <v>14310</v>
      </c>
      <c r="E4249" t="s">
        <v>16</v>
      </c>
      <c r="F4249" t="s">
        <v>14311</v>
      </c>
      <c r="G4249" t="s">
        <v>12408</v>
      </c>
      <c r="H4249" t="s">
        <v>14312</v>
      </c>
      <c r="I4249" t="s">
        <v>14313</v>
      </c>
    </row>
    <row r="4250" spans="1:9">
      <c r="A4250" t="str">
        <f>"0047671 "</f>
        <v xml:space="preserve">0047671 </v>
      </c>
      <c r="B4250" t="s">
        <v>12408</v>
      </c>
      <c r="C4250" t="s">
        <v>14314</v>
      </c>
      <c r="D4250" t="s">
        <v>14315</v>
      </c>
      <c r="E4250">
        <v>2</v>
      </c>
      <c r="F4250" t="s">
        <v>14316</v>
      </c>
      <c r="G4250" t="s">
        <v>12408</v>
      </c>
      <c r="H4250" t="s">
        <v>14317</v>
      </c>
      <c r="I4250" t="s">
        <v>14318</v>
      </c>
    </row>
    <row r="4251" spans="1:9">
      <c r="A4251" t="str">
        <f>"0047705 "</f>
        <v xml:space="preserve">0047705 </v>
      </c>
      <c r="B4251" t="s">
        <v>12408</v>
      </c>
      <c r="C4251" t="s">
        <v>14319</v>
      </c>
      <c r="D4251" t="s">
        <v>14320</v>
      </c>
      <c r="E4251">
        <v>2</v>
      </c>
      <c r="F4251" t="s">
        <v>12079</v>
      </c>
      <c r="G4251" t="s">
        <v>12408</v>
      </c>
      <c r="H4251" t="s">
        <v>14321</v>
      </c>
      <c r="I4251" t="s">
        <v>14322</v>
      </c>
    </row>
    <row r="4252" spans="1:9">
      <c r="A4252" t="str">
        <f>"0047723 "</f>
        <v xml:space="preserve">0047723 </v>
      </c>
      <c r="B4252" t="s">
        <v>12408</v>
      </c>
      <c r="C4252" t="s">
        <v>14323</v>
      </c>
      <c r="D4252" t="s">
        <v>14324</v>
      </c>
      <c r="E4252">
        <v>2</v>
      </c>
      <c r="F4252" t="s">
        <v>14325</v>
      </c>
      <c r="G4252" t="s">
        <v>12408</v>
      </c>
      <c r="H4252" t="s">
        <v>14326</v>
      </c>
      <c r="I4252" t="s">
        <v>14327</v>
      </c>
    </row>
    <row r="4253" spans="1:9">
      <c r="A4253" t="str">
        <f>"0047737 "</f>
        <v xml:space="preserve">0047737 </v>
      </c>
      <c r="B4253" t="s">
        <v>12408</v>
      </c>
      <c r="C4253" t="s">
        <v>14328</v>
      </c>
      <c r="D4253" t="s">
        <v>14329</v>
      </c>
      <c r="E4253">
        <v>2</v>
      </c>
      <c r="F4253" t="s">
        <v>14330</v>
      </c>
      <c r="G4253" t="s">
        <v>12408</v>
      </c>
      <c r="H4253" t="s">
        <v>14331</v>
      </c>
      <c r="I4253" t="s">
        <v>14332</v>
      </c>
    </row>
    <row r="4254" spans="1:9">
      <c r="A4254" t="str">
        <f>"0047759 "</f>
        <v xml:space="preserve">0047759 </v>
      </c>
      <c r="B4254" t="s">
        <v>12408</v>
      </c>
      <c r="C4254" t="s">
        <v>14333</v>
      </c>
      <c r="D4254" t="s">
        <v>14334</v>
      </c>
      <c r="E4254">
        <v>3</v>
      </c>
      <c r="F4254" t="s">
        <v>14335</v>
      </c>
      <c r="G4254" t="s">
        <v>12408</v>
      </c>
      <c r="H4254" t="s">
        <v>14336</v>
      </c>
      <c r="I4254" t="s">
        <v>14337</v>
      </c>
    </row>
    <row r="4255" spans="1:9">
      <c r="A4255" t="str">
        <f>"0047769 "</f>
        <v xml:space="preserve">0047769 </v>
      </c>
      <c r="B4255" t="s">
        <v>12408</v>
      </c>
      <c r="C4255" t="s">
        <v>14338</v>
      </c>
      <c r="D4255" t="s">
        <v>14339</v>
      </c>
      <c r="E4255">
        <v>2</v>
      </c>
      <c r="F4255" t="s">
        <v>346</v>
      </c>
      <c r="G4255" t="s">
        <v>12408</v>
      </c>
      <c r="H4255" t="s">
        <v>14340</v>
      </c>
      <c r="I4255" t="s">
        <v>14341</v>
      </c>
    </row>
    <row r="4256" spans="1:9">
      <c r="A4256" t="str">
        <f>"0047773 "</f>
        <v xml:space="preserve">0047773 </v>
      </c>
      <c r="B4256" t="s">
        <v>12408</v>
      </c>
      <c r="C4256" t="s">
        <v>14342</v>
      </c>
      <c r="D4256" t="s">
        <v>14343</v>
      </c>
      <c r="E4256">
        <v>2</v>
      </c>
      <c r="F4256" t="s">
        <v>14344</v>
      </c>
      <c r="G4256" t="s">
        <v>12408</v>
      </c>
      <c r="H4256" t="s">
        <v>14345</v>
      </c>
      <c r="I4256" t="s">
        <v>14346</v>
      </c>
    </row>
    <row r="4257" spans="1:9">
      <c r="A4257" t="str">
        <f>"0047786 "</f>
        <v xml:space="preserve">0047786 </v>
      </c>
      <c r="B4257" t="s">
        <v>12408</v>
      </c>
      <c r="C4257" t="s">
        <v>14347</v>
      </c>
      <c r="D4257" t="s">
        <v>14348</v>
      </c>
      <c r="E4257">
        <v>1</v>
      </c>
      <c r="F4257" t="s">
        <v>14349</v>
      </c>
      <c r="G4257" t="s">
        <v>12408</v>
      </c>
      <c r="H4257" t="s">
        <v>14350</v>
      </c>
      <c r="I4257" t="s">
        <v>14351</v>
      </c>
    </row>
    <row r="4258" spans="1:9">
      <c r="A4258" t="str">
        <f>"0047803 "</f>
        <v xml:space="preserve">0047803 </v>
      </c>
      <c r="B4258" t="s">
        <v>12408</v>
      </c>
      <c r="C4258" t="s">
        <v>14352</v>
      </c>
      <c r="D4258" t="s">
        <v>14353</v>
      </c>
      <c r="E4258">
        <v>3</v>
      </c>
      <c r="F4258" t="s">
        <v>14354</v>
      </c>
      <c r="G4258" t="s">
        <v>12408</v>
      </c>
      <c r="H4258" t="s">
        <v>14355</v>
      </c>
      <c r="I4258" t="s">
        <v>14356</v>
      </c>
    </row>
    <row r="4259" spans="1:9">
      <c r="A4259" t="str">
        <f>"0047813 "</f>
        <v xml:space="preserve">0047813 </v>
      </c>
      <c r="B4259" t="s">
        <v>12408</v>
      </c>
      <c r="C4259" t="s">
        <v>14357</v>
      </c>
      <c r="D4259" t="s">
        <v>14358</v>
      </c>
      <c r="E4259">
        <v>2</v>
      </c>
      <c r="F4259" t="s">
        <v>14359</v>
      </c>
      <c r="G4259" t="s">
        <v>12408</v>
      </c>
      <c r="H4259" t="s">
        <v>14360</v>
      </c>
      <c r="I4259" t="s">
        <v>14361</v>
      </c>
    </row>
    <row r="4260" spans="1:9">
      <c r="A4260" t="str">
        <f>"0047840 "</f>
        <v xml:space="preserve">0047840 </v>
      </c>
      <c r="B4260" t="s">
        <v>12408</v>
      </c>
      <c r="C4260" t="s">
        <v>14362</v>
      </c>
      <c r="D4260" t="s">
        <v>14363</v>
      </c>
      <c r="E4260">
        <v>2</v>
      </c>
      <c r="F4260" t="s">
        <v>14364</v>
      </c>
      <c r="G4260" t="s">
        <v>12408</v>
      </c>
      <c r="H4260" t="s">
        <v>14365</v>
      </c>
      <c r="I4260" t="s">
        <v>14366</v>
      </c>
    </row>
    <row r="4261" spans="1:9">
      <c r="A4261" t="str">
        <f>"0047842 "</f>
        <v xml:space="preserve">0047842 </v>
      </c>
      <c r="B4261" t="s">
        <v>12408</v>
      </c>
      <c r="C4261" t="s">
        <v>14367</v>
      </c>
      <c r="D4261" t="s">
        <v>14368</v>
      </c>
      <c r="E4261">
        <v>2</v>
      </c>
      <c r="F4261" t="s">
        <v>14369</v>
      </c>
      <c r="G4261" t="s">
        <v>12408</v>
      </c>
      <c r="H4261" t="s">
        <v>14370</v>
      </c>
      <c r="I4261" t="s">
        <v>14371</v>
      </c>
    </row>
    <row r="4262" spans="1:9">
      <c r="A4262" t="str">
        <f>"0047850 "</f>
        <v xml:space="preserve">0047850 </v>
      </c>
      <c r="B4262" t="s">
        <v>12408</v>
      </c>
      <c r="C4262" t="s">
        <v>14372</v>
      </c>
      <c r="D4262" t="s">
        <v>14373</v>
      </c>
      <c r="E4262">
        <v>2</v>
      </c>
      <c r="F4262" t="s">
        <v>14374</v>
      </c>
      <c r="G4262" t="s">
        <v>12408</v>
      </c>
      <c r="H4262" t="s">
        <v>14375</v>
      </c>
      <c r="I4262" t="s">
        <v>14376</v>
      </c>
    </row>
    <row r="4263" spans="1:9">
      <c r="A4263" t="str">
        <f>"0047856 "</f>
        <v xml:space="preserve">0047856 </v>
      </c>
      <c r="B4263" t="s">
        <v>12408</v>
      </c>
      <c r="C4263" t="s">
        <v>14377</v>
      </c>
      <c r="D4263" t="s">
        <v>14378</v>
      </c>
      <c r="E4263">
        <v>4</v>
      </c>
      <c r="F4263" t="s">
        <v>14379</v>
      </c>
      <c r="G4263" t="s">
        <v>12408</v>
      </c>
      <c r="H4263" t="s">
        <v>14380</v>
      </c>
      <c r="I4263" t="s">
        <v>14381</v>
      </c>
    </row>
    <row r="4264" spans="1:9">
      <c r="A4264" t="str">
        <f>"0047859 "</f>
        <v xml:space="preserve">0047859 </v>
      </c>
      <c r="B4264" t="s">
        <v>12408</v>
      </c>
      <c r="C4264" t="s">
        <v>14382</v>
      </c>
      <c r="D4264" t="s">
        <v>14383</v>
      </c>
      <c r="E4264">
        <v>2</v>
      </c>
      <c r="F4264" t="s">
        <v>14384</v>
      </c>
      <c r="G4264" t="s">
        <v>12408</v>
      </c>
      <c r="H4264" t="s">
        <v>14385</v>
      </c>
      <c r="I4264" t="s">
        <v>14386</v>
      </c>
    </row>
    <row r="4265" spans="1:9">
      <c r="A4265" t="str">
        <f>"0050709 "</f>
        <v xml:space="preserve">0050709 </v>
      </c>
      <c r="B4265" t="s">
        <v>12408</v>
      </c>
      <c r="C4265" t="s">
        <v>14387</v>
      </c>
      <c r="D4265" t="s">
        <v>14388</v>
      </c>
      <c r="E4265">
        <v>2</v>
      </c>
      <c r="F4265" t="s">
        <v>14389</v>
      </c>
      <c r="G4265" t="s">
        <v>12408</v>
      </c>
      <c r="H4265" t="s">
        <v>14390</v>
      </c>
      <c r="I4265" t="s">
        <v>14391</v>
      </c>
    </row>
    <row r="4266" spans="1:9">
      <c r="A4266" t="str">
        <f>"0153484 "</f>
        <v xml:space="preserve">0153484 </v>
      </c>
      <c r="B4266" t="s">
        <v>12408</v>
      </c>
      <c r="C4266" t="s">
        <v>14392</v>
      </c>
      <c r="D4266" t="s">
        <v>14393</v>
      </c>
      <c r="E4266">
        <v>2</v>
      </c>
      <c r="F4266" t="s">
        <v>14394</v>
      </c>
      <c r="G4266" t="s">
        <v>12408</v>
      </c>
      <c r="H4266" t="s">
        <v>14395</v>
      </c>
      <c r="I4266" t="s">
        <v>13968</v>
      </c>
    </row>
    <row r="4267" spans="1:9">
      <c r="A4267" t="str">
        <f>"0161163 "</f>
        <v xml:space="preserve">0161163 </v>
      </c>
      <c r="B4267" t="s">
        <v>12408</v>
      </c>
      <c r="C4267" t="s">
        <v>14396</v>
      </c>
      <c r="D4267" t="s">
        <v>14397</v>
      </c>
      <c r="E4267">
        <v>2</v>
      </c>
      <c r="F4267" t="s">
        <v>14398</v>
      </c>
      <c r="G4267" t="s">
        <v>12408</v>
      </c>
      <c r="H4267" t="s">
        <v>14399</v>
      </c>
      <c r="I4267" t="s">
        <v>14400</v>
      </c>
    </row>
    <row r="4268" spans="1:9">
      <c r="A4268" t="str">
        <f>"0047895 "</f>
        <v xml:space="preserve">0047895 </v>
      </c>
      <c r="B4268" t="s">
        <v>12408</v>
      </c>
      <c r="C4268" t="s">
        <v>14401</v>
      </c>
      <c r="D4268" t="s">
        <v>14402</v>
      </c>
      <c r="E4268">
        <v>2</v>
      </c>
      <c r="F4268" t="s">
        <v>14403</v>
      </c>
      <c r="G4268" t="s">
        <v>12408</v>
      </c>
      <c r="H4268" t="s">
        <v>14404</v>
      </c>
      <c r="I4268" t="s">
        <v>14405</v>
      </c>
    </row>
    <row r="4269" spans="1:9">
      <c r="A4269" t="str">
        <f>"0117327 "</f>
        <v xml:space="preserve">0117327 </v>
      </c>
      <c r="B4269" t="s">
        <v>14406</v>
      </c>
      <c r="C4269" t="s">
        <v>14407</v>
      </c>
      <c r="D4269" t="s">
        <v>14408</v>
      </c>
      <c r="E4269">
        <v>4</v>
      </c>
      <c r="F4269" t="s">
        <v>14409</v>
      </c>
      <c r="G4269" t="s">
        <v>14410</v>
      </c>
      <c r="H4269" t="s">
        <v>14411</v>
      </c>
      <c r="I4269" t="s">
        <v>14412</v>
      </c>
    </row>
    <row r="4270" spans="1:9">
      <c r="A4270" t="str">
        <f>"0117345 "</f>
        <v xml:space="preserve">0117345 </v>
      </c>
      <c r="B4270" t="s">
        <v>14406</v>
      </c>
      <c r="C4270" t="s">
        <v>14413</v>
      </c>
      <c r="D4270" t="s">
        <v>14414</v>
      </c>
      <c r="E4270" t="s">
        <v>16</v>
      </c>
      <c r="F4270" t="s">
        <v>14415</v>
      </c>
      <c r="G4270" t="s">
        <v>14410</v>
      </c>
      <c r="H4270" t="s">
        <v>14416</v>
      </c>
      <c r="I4270" t="s">
        <v>14417</v>
      </c>
    </row>
    <row r="4271" spans="1:9">
      <c r="A4271" t="str">
        <f>"0117351 "</f>
        <v xml:space="preserve">0117351 </v>
      </c>
      <c r="B4271" t="s">
        <v>14406</v>
      </c>
      <c r="C4271" t="s">
        <v>14418</v>
      </c>
      <c r="D4271" t="s">
        <v>14419</v>
      </c>
      <c r="E4271">
        <v>2</v>
      </c>
      <c r="F4271" t="s">
        <v>14420</v>
      </c>
      <c r="G4271" t="s">
        <v>14410</v>
      </c>
      <c r="H4271" t="s">
        <v>14421</v>
      </c>
      <c r="I4271" t="s">
        <v>14422</v>
      </c>
    </row>
    <row r="4272" spans="1:9">
      <c r="A4272" t="str">
        <f>"0117352 "</f>
        <v xml:space="preserve">0117352 </v>
      </c>
      <c r="B4272" t="s">
        <v>14406</v>
      </c>
      <c r="C4272" t="s">
        <v>14423</v>
      </c>
      <c r="D4272" t="s">
        <v>14424</v>
      </c>
      <c r="E4272">
        <v>2</v>
      </c>
      <c r="F4272" t="s">
        <v>14425</v>
      </c>
      <c r="G4272" t="s">
        <v>14410</v>
      </c>
      <c r="H4272" t="s">
        <v>14426</v>
      </c>
      <c r="I4272" t="s">
        <v>14427</v>
      </c>
    </row>
    <row r="4273" spans="1:9">
      <c r="A4273" t="str">
        <f>"0117354 "</f>
        <v xml:space="preserve">0117354 </v>
      </c>
      <c r="B4273" t="s">
        <v>14406</v>
      </c>
      <c r="C4273" t="s">
        <v>14428</v>
      </c>
      <c r="D4273" t="s">
        <v>14429</v>
      </c>
      <c r="E4273">
        <v>2</v>
      </c>
      <c r="F4273" t="s">
        <v>14430</v>
      </c>
      <c r="G4273" t="s">
        <v>14410</v>
      </c>
      <c r="H4273" t="s">
        <v>14431</v>
      </c>
      <c r="I4273" t="s">
        <v>14432</v>
      </c>
    </row>
    <row r="4274" spans="1:9">
      <c r="A4274" t="str">
        <f>"0117369 "</f>
        <v xml:space="preserve">0117369 </v>
      </c>
      <c r="B4274" t="s">
        <v>14406</v>
      </c>
      <c r="C4274" t="s">
        <v>14433</v>
      </c>
      <c r="D4274" t="s">
        <v>14434</v>
      </c>
      <c r="E4274">
        <v>1</v>
      </c>
      <c r="F4274" t="s">
        <v>14435</v>
      </c>
      <c r="G4274" t="s">
        <v>14410</v>
      </c>
      <c r="H4274" t="s">
        <v>14436</v>
      </c>
      <c r="I4274" t="s">
        <v>14437</v>
      </c>
    </row>
    <row r="4275" spans="1:9">
      <c r="A4275" t="str">
        <f>"0117372 "</f>
        <v xml:space="preserve">0117372 </v>
      </c>
      <c r="B4275" t="s">
        <v>14406</v>
      </c>
      <c r="C4275" t="s">
        <v>14438</v>
      </c>
      <c r="D4275" t="s">
        <v>14439</v>
      </c>
      <c r="E4275" t="s">
        <v>16</v>
      </c>
      <c r="F4275" t="s">
        <v>14440</v>
      </c>
      <c r="G4275" t="s">
        <v>14410</v>
      </c>
      <c r="H4275" t="s">
        <v>14441</v>
      </c>
      <c r="I4275" t="s">
        <v>14442</v>
      </c>
    </row>
    <row r="4276" spans="1:9">
      <c r="A4276" t="str">
        <f>"0117471 "</f>
        <v xml:space="preserve">0117471 </v>
      </c>
      <c r="B4276" t="s">
        <v>14406</v>
      </c>
      <c r="C4276" t="s">
        <v>14443</v>
      </c>
      <c r="D4276" t="s">
        <v>14444</v>
      </c>
      <c r="E4276">
        <v>4</v>
      </c>
      <c r="F4276" t="s">
        <v>14445</v>
      </c>
      <c r="G4276" t="s">
        <v>14410</v>
      </c>
      <c r="H4276" t="s">
        <v>14446</v>
      </c>
      <c r="I4276" t="s">
        <v>14447</v>
      </c>
    </row>
    <row r="4277" spans="1:9">
      <c r="A4277" t="str">
        <f>"0117472 "</f>
        <v xml:space="preserve">0117472 </v>
      </c>
      <c r="B4277" t="s">
        <v>14406</v>
      </c>
      <c r="C4277" t="s">
        <v>14448</v>
      </c>
      <c r="D4277" t="s">
        <v>14449</v>
      </c>
      <c r="E4277">
        <v>1</v>
      </c>
      <c r="F4277" t="s">
        <v>14450</v>
      </c>
      <c r="G4277" t="s">
        <v>14410</v>
      </c>
      <c r="H4277" t="s">
        <v>14451</v>
      </c>
      <c r="I4277" t="s">
        <v>14452</v>
      </c>
    </row>
    <row r="4278" spans="1:9">
      <c r="A4278" t="str">
        <f>"0117473 "</f>
        <v xml:space="preserve">0117473 </v>
      </c>
      <c r="B4278" t="s">
        <v>14406</v>
      </c>
      <c r="C4278" t="s">
        <v>14453</v>
      </c>
      <c r="D4278" t="s">
        <v>14454</v>
      </c>
      <c r="E4278">
        <v>1</v>
      </c>
      <c r="F4278" t="s">
        <v>9930</v>
      </c>
      <c r="G4278" t="s">
        <v>14410</v>
      </c>
      <c r="H4278" t="s">
        <v>14455</v>
      </c>
      <c r="I4278" t="s">
        <v>14456</v>
      </c>
    </row>
    <row r="4279" spans="1:9">
      <c r="A4279" t="str">
        <f>"0117479 "</f>
        <v xml:space="preserve">0117479 </v>
      </c>
      <c r="B4279" t="s">
        <v>14406</v>
      </c>
      <c r="C4279" t="s">
        <v>14457</v>
      </c>
      <c r="D4279" t="s">
        <v>14458</v>
      </c>
      <c r="E4279">
        <v>3</v>
      </c>
      <c r="F4279" t="s">
        <v>14459</v>
      </c>
      <c r="G4279" t="s">
        <v>14410</v>
      </c>
      <c r="H4279" t="s">
        <v>14460</v>
      </c>
      <c r="I4279" t="s">
        <v>14461</v>
      </c>
    </row>
    <row r="4280" spans="1:9">
      <c r="A4280" t="str">
        <f>"0117484 "</f>
        <v xml:space="preserve">0117484 </v>
      </c>
      <c r="B4280" t="s">
        <v>14406</v>
      </c>
      <c r="C4280" t="s">
        <v>14462</v>
      </c>
      <c r="D4280" t="s">
        <v>14463</v>
      </c>
      <c r="E4280">
        <v>1</v>
      </c>
      <c r="F4280" t="s">
        <v>14464</v>
      </c>
      <c r="G4280" t="s">
        <v>14410</v>
      </c>
      <c r="H4280" t="s">
        <v>14465</v>
      </c>
      <c r="I4280" t="s">
        <v>14466</v>
      </c>
    </row>
    <row r="4281" spans="1:9">
      <c r="A4281" t="str">
        <f>"0117498 "</f>
        <v xml:space="preserve">0117498 </v>
      </c>
      <c r="B4281" t="s">
        <v>14406</v>
      </c>
      <c r="C4281" t="s">
        <v>14467</v>
      </c>
      <c r="D4281" t="s">
        <v>14468</v>
      </c>
      <c r="E4281">
        <v>1</v>
      </c>
      <c r="F4281" t="s">
        <v>14469</v>
      </c>
      <c r="G4281" t="s">
        <v>14410</v>
      </c>
      <c r="H4281" t="s">
        <v>14470</v>
      </c>
      <c r="I4281" t="s">
        <v>14471</v>
      </c>
    </row>
    <row r="4282" spans="1:9">
      <c r="A4282" t="str">
        <f>"0117499 "</f>
        <v xml:space="preserve">0117499 </v>
      </c>
      <c r="B4282" t="s">
        <v>14406</v>
      </c>
      <c r="C4282" t="s">
        <v>14472</v>
      </c>
      <c r="D4282" t="s">
        <v>14473</v>
      </c>
      <c r="E4282">
        <v>1</v>
      </c>
      <c r="F4282" t="s">
        <v>14474</v>
      </c>
      <c r="G4282" t="s">
        <v>14410</v>
      </c>
      <c r="H4282" t="s">
        <v>14475</v>
      </c>
      <c r="I4282" t="s">
        <v>14476</v>
      </c>
    </row>
    <row r="4283" spans="1:9">
      <c r="A4283" t="str">
        <f>"0117570 "</f>
        <v xml:space="preserve">0117570 </v>
      </c>
      <c r="B4283" t="s">
        <v>14406</v>
      </c>
      <c r="C4283" t="s">
        <v>14477</v>
      </c>
      <c r="D4283" t="s">
        <v>14478</v>
      </c>
      <c r="E4283">
        <v>2</v>
      </c>
      <c r="F4283" t="s">
        <v>14479</v>
      </c>
      <c r="G4283" t="s">
        <v>14410</v>
      </c>
      <c r="H4283" t="s">
        <v>14480</v>
      </c>
      <c r="I4283" t="s">
        <v>14481</v>
      </c>
    </row>
    <row r="4284" spans="1:9">
      <c r="A4284" t="str">
        <f>"0117594 "</f>
        <v xml:space="preserve">0117594 </v>
      </c>
      <c r="B4284" t="s">
        <v>14406</v>
      </c>
      <c r="C4284" t="s">
        <v>14482</v>
      </c>
      <c r="D4284" t="s">
        <v>14483</v>
      </c>
      <c r="E4284">
        <v>2</v>
      </c>
      <c r="F4284" t="s">
        <v>14484</v>
      </c>
      <c r="G4284" t="s">
        <v>14410</v>
      </c>
      <c r="H4284" t="s">
        <v>14485</v>
      </c>
      <c r="I4284" t="s">
        <v>5167</v>
      </c>
    </row>
    <row r="4285" spans="1:9">
      <c r="A4285" t="str">
        <f>"0117634 "</f>
        <v xml:space="preserve">0117634 </v>
      </c>
      <c r="B4285" t="s">
        <v>14406</v>
      </c>
      <c r="C4285" t="s">
        <v>14486</v>
      </c>
      <c r="D4285" t="s">
        <v>14487</v>
      </c>
      <c r="E4285">
        <v>2</v>
      </c>
      <c r="F4285" t="s">
        <v>14488</v>
      </c>
      <c r="G4285" t="s">
        <v>14410</v>
      </c>
      <c r="H4285" t="s">
        <v>14489</v>
      </c>
    </row>
    <row r="4286" spans="1:9">
      <c r="A4286" t="str">
        <f>"0117640 "</f>
        <v xml:space="preserve">0117640 </v>
      </c>
      <c r="B4286" t="s">
        <v>14406</v>
      </c>
      <c r="C4286" t="s">
        <v>14490</v>
      </c>
      <c r="D4286" t="s">
        <v>14491</v>
      </c>
      <c r="E4286">
        <v>2</v>
      </c>
      <c r="F4286" t="s">
        <v>14492</v>
      </c>
      <c r="G4286" t="s">
        <v>14410</v>
      </c>
      <c r="H4286" t="s">
        <v>14493</v>
      </c>
      <c r="I4286" t="s">
        <v>14494</v>
      </c>
    </row>
    <row r="4287" spans="1:9">
      <c r="A4287" t="str">
        <f>"0117654 "</f>
        <v xml:space="preserve">0117654 </v>
      </c>
      <c r="B4287" t="s">
        <v>14406</v>
      </c>
      <c r="C4287" t="s">
        <v>14495</v>
      </c>
      <c r="D4287" t="s">
        <v>14496</v>
      </c>
      <c r="E4287">
        <v>1</v>
      </c>
      <c r="F4287" t="s">
        <v>14497</v>
      </c>
      <c r="G4287" t="s">
        <v>14410</v>
      </c>
      <c r="H4287" t="s">
        <v>14498</v>
      </c>
      <c r="I4287" t="s">
        <v>14499</v>
      </c>
    </row>
    <row r="4288" spans="1:9">
      <c r="A4288" t="str">
        <f>"0117739 "</f>
        <v xml:space="preserve">0117739 </v>
      </c>
      <c r="B4288" t="s">
        <v>14406</v>
      </c>
      <c r="C4288" t="s">
        <v>14500</v>
      </c>
      <c r="D4288" t="s">
        <v>14501</v>
      </c>
      <c r="E4288">
        <v>2</v>
      </c>
      <c r="F4288" t="s">
        <v>14502</v>
      </c>
      <c r="G4288" t="s">
        <v>14410</v>
      </c>
      <c r="H4288" t="s">
        <v>14503</v>
      </c>
      <c r="I4288" t="s">
        <v>14504</v>
      </c>
    </row>
    <row r="4289" spans="1:9">
      <c r="A4289" t="str">
        <f>"0117740 "</f>
        <v xml:space="preserve">0117740 </v>
      </c>
      <c r="B4289" t="s">
        <v>14406</v>
      </c>
      <c r="C4289" t="s">
        <v>14505</v>
      </c>
      <c r="D4289" t="s">
        <v>14506</v>
      </c>
      <c r="E4289">
        <v>2</v>
      </c>
      <c r="F4289" t="s">
        <v>14488</v>
      </c>
      <c r="G4289" t="s">
        <v>14410</v>
      </c>
      <c r="H4289" t="s">
        <v>14507</v>
      </c>
      <c r="I4289" t="s">
        <v>14508</v>
      </c>
    </row>
    <row r="4290" spans="1:9">
      <c r="A4290" t="str">
        <f>"0117741 "</f>
        <v xml:space="preserve">0117741 </v>
      </c>
      <c r="B4290" t="s">
        <v>14406</v>
      </c>
      <c r="C4290" t="s">
        <v>14509</v>
      </c>
      <c r="D4290" t="s">
        <v>14510</v>
      </c>
      <c r="E4290">
        <v>1</v>
      </c>
      <c r="F4290" t="s">
        <v>14511</v>
      </c>
      <c r="G4290" t="s">
        <v>14410</v>
      </c>
      <c r="H4290" t="s">
        <v>14512</v>
      </c>
      <c r="I4290" t="s">
        <v>14513</v>
      </c>
    </row>
    <row r="4291" spans="1:9">
      <c r="A4291" t="str">
        <f>"0117743 "</f>
        <v xml:space="preserve">0117743 </v>
      </c>
      <c r="B4291" t="s">
        <v>14406</v>
      </c>
      <c r="C4291" t="s">
        <v>14514</v>
      </c>
      <c r="D4291" t="s">
        <v>14515</v>
      </c>
      <c r="E4291">
        <v>4</v>
      </c>
      <c r="F4291" t="s">
        <v>14516</v>
      </c>
      <c r="G4291" t="s">
        <v>14410</v>
      </c>
      <c r="H4291" t="s">
        <v>14517</v>
      </c>
      <c r="I4291" t="s">
        <v>6446</v>
      </c>
    </row>
    <row r="4292" spans="1:9">
      <c r="A4292" t="str">
        <f>"0117757 "</f>
        <v xml:space="preserve">0117757 </v>
      </c>
      <c r="B4292" t="s">
        <v>14406</v>
      </c>
      <c r="C4292" t="s">
        <v>14518</v>
      </c>
      <c r="D4292" t="s">
        <v>14519</v>
      </c>
      <c r="E4292">
        <v>2</v>
      </c>
      <c r="F4292" t="s">
        <v>14520</v>
      </c>
      <c r="G4292" t="s">
        <v>14410</v>
      </c>
      <c r="H4292" t="s">
        <v>14521</v>
      </c>
      <c r="I4292" t="s">
        <v>14522</v>
      </c>
    </row>
    <row r="4293" spans="1:9">
      <c r="A4293" t="str">
        <f>"0117978 "</f>
        <v xml:space="preserve">0117978 </v>
      </c>
      <c r="B4293" t="s">
        <v>14406</v>
      </c>
      <c r="C4293" t="s">
        <v>14523</v>
      </c>
      <c r="D4293" t="s">
        <v>14524</v>
      </c>
      <c r="E4293">
        <v>2</v>
      </c>
      <c r="F4293" t="s">
        <v>14525</v>
      </c>
      <c r="G4293" t="s">
        <v>14410</v>
      </c>
      <c r="H4293" t="s">
        <v>14526</v>
      </c>
      <c r="I4293" t="s">
        <v>14527</v>
      </c>
    </row>
    <row r="4294" spans="1:9">
      <c r="A4294" t="str">
        <f>"0118000 "</f>
        <v xml:space="preserve">0118000 </v>
      </c>
      <c r="B4294" t="s">
        <v>14406</v>
      </c>
      <c r="C4294" t="s">
        <v>14528</v>
      </c>
      <c r="D4294" t="s">
        <v>14529</v>
      </c>
      <c r="E4294">
        <v>2</v>
      </c>
      <c r="F4294" t="s">
        <v>14530</v>
      </c>
      <c r="G4294" t="s">
        <v>14410</v>
      </c>
      <c r="H4294" t="s">
        <v>14531</v>
      </c>
      <c r="I4294" t="s">
        <v>14532</v>
      </c>
    </row>
    <row r="4295" spans="1:9">
      <c r="A4295" t="str">
        <f>"0118117 "</f>
        <v xml:space="preserve">0118117 </v>
      </c>
      <c r="B4295" t="s">
        <v>14406</v>
      </c>
      <c r="C4295" t="s">
        <v>14533</v>
      </c>
      <c r="D4295" t="s">
        <v>14534</v>
      </c>
      <c r="E4295">
        <v>1</v>
      </c>
      <c r="F4295" t="s">
        <v>14535</v>
      </c>
      <c r="G4295" t="s">
        <v>14410</v>
      </c>
      <c r="H4295" t="s">
        <v>14536</v>
      </c>
      <c r="I4295" t="s">
        <v>14537</v>
      </c>
    </row>
    <row r="4296" spans="1:9">
      <c r="A4296" t="str">
        <f>"0118118 "</f>
        <v xml:space="preserve">0118118 </v>
      </c>
      <c r="B4296" t="s">
        <v>14406</v>
      </c>
      <c r="C4296" t="s">
        <v>14538</v>
      </c>
      <c r="D4296" t="s">
        <v>14539</v>
      </c>
      <c r="E4296">
        <v>1</v>
      </c>
      <c r="F4296" t="s">
        <v>14535</v>
      </c>
      <c r="G4296" t="s">
        <v>14410</v>
      </c>
      <c r="H4296" t="s">
        <v>14540</v>
      </c>
      <c r="I4296" t="s">
        <v>14541</v>
      </c>
    </row>
    <row r="4297" spans="1:9">
      <c r="A4297" t="str">
        <f>"0118157 "</f>
        <v xml:space="preserve">0118157 </v>
      </c>
      <c r="B4297" t="s">
        <v>14406</v>
      </c>
      <c r="C4297" t="s">
        <v>14542</v>
      </c>
      <c r="D4297" t="s">
        <v>14543</v>
      </c>
      <c r="E4297" t="s">
        <v>16</v>
      </c>
      <c r="F4297" t="s">
        <v>14544</v>
      </c>
      <c r="G4297" t="s">
        <v>14410</v>
      </c>
      <c r="H4297" t="s">
        <v>14545</v>
      </c>
      <c r="I4297" t="s">
        <v>14546</v>
      </c>
    </row>
    <row r="4298" spans="1:9">
      <c r="A4298" t="str">
        <f>"0118169 "</f>
        <v xml:space="preserve">0118169 </v>
      </c>
      <c r="B4298" t="s">
        <v>14406</v>
      </c>
      <c r="C4298" t="s">
        <v>14547</v>
      </c>
      <c r="D4298" t="s">
        <v>14548</v>
      </c>
      <c r="E4298">
        <v>2</v>
      </c>
      <c r="F4298" t="s">
        <v>14549</v>
      </c>
      <c r="G4298" t="s">
        <v>14410</v>
      </c>
      <c r="H4298" t="s">
        <v>14550</v>
      </c>
      <c r="I4298" t="s">
        <v>14551</v>
      </c>
    </row>
    <row r="4299" spans="1:9">
      <c r="A4299" t="str">
        <f>"0118170 "</f>
        <v xml:space="preserve">0118170 </v>
      </c>
      <c r="B4299" t="s">
        <v>14406</v>
      </c>
      <c r="C4299" t="s">
        <v>14552</v>
      </c>
      <c r="D4299" t="s">
        <v>14553</v>
      </c>
      <c r="E4299">
        <v>1</v>
      </c>
      <c r="F4299" t="s">
        <v>14554</v>
      </c>
      <c r="G4299" t="s">
        <v>14410</v>
      </c>
      <c r="H4299" t="s">
        <v>14555</v>
      </c>
      <c r="I4299" t="s">
        <v>14556</v>
      </c>
    </row>
    <row r="4300" spans="1:9">
      <c r="A4300" t="str">
        <f>"0118171 "</f>
        <v xml:space="preserve">0118171 </v>
      </c>
      <c r="B4300" t="s">
        <v>14406</v>
      </c>
      <c r="C4300" t="s">
        <v>14557</v>
      </c>
      <c r="D4300" t="s">
        <v>14558</v>
      </c>
      <c r="E4300">
        <v>1</v>
      </c>
      <c r="F4300" t="s">
        <v>14554</v>
      </c>
      <c r="G4300" t="s">
        <v>14410</v>
      </c>
      <c r="H4300" t="s">
        <v>14559</v>
      </c>
      <c r="I4300" t="s">
        <v>14560</v>
      </c>
    </row>
    <row r="4301" spans="1:9">
      <c r="A4301" t="str">
        <f>"0118175 "</f>
        <v xml:space="preserve">0118175 </v>
      </c>
      <c r="B4301" t="s">
        <v>14406</v>
      </c>
      <c r="C4301" t="s">
        <v>14561</v>
      </c>
      <c r="D4301" t="s">
        <v>14562</v>
      </c>
      <c r="E4301">
        <v>2</v>
      </c>
      <c r="F4301" t="s">
        <v>8643</v>
      </c>
      <c r="G4301" t="s">
        <v>14410</v>
      </c>
      <c r="H4301" t="s">
        <v>14563</v>
      </c>
      <c r="I4301" t="s">
        <v>14564</v>
      </c>
    </row>
    <row r="4302" spans="1:9">
      <c r="A4302" t="str">
        <f>"0118176 "</f>
        <v xml:space="preserve">0118176 </v>
      </c>
      <c r="B4302" t="s">
        <v>14406</v>
      </c>
      <c r="C4302" t="s">
        <v>14565</v>
      </c>
      <c r="D4302" t="s">
        <v>14566</v>
      </c>
      <c r="E4302">
        <v>2</v>
      </c>
      <c r="F4302" t="s">
        <v>1770</v>
      </c>
      <c r="G4302" t="s">
        <v>14410</v>
      </c>
      <c r="H4302" t="s">
        <v>14567</v>
      </c>
    </row>
    <row r="4303" spans="1:9">
      <c r="A4303" t="str">
        <f>"0118181 "</f>
        <v xml:space="preserve">0118181 </v>
      </c>
      <c r="B4303" t="s">
        <v>14406</v>
      </c>
      <c r="C4303" t="s">
        <v>14568</v>
      </c>
      <c r="D4303" t="s">
        <v>14569</v>
      </c>
      <c r="E4303">
        <v>2</v>
      </c>
      <c r="F4303" t="s">
        <v>224</v>
      </c>
      <c r="G4303" t="s">
        <v>14410</v>
      </c>
      <c r="H4303" t="s">
        <v>14570</v>
      </c>
      <c r="I4303" t="s">
        <v>14571</v>
      </c>
    </row>
    <row r="4304" spans="1:9">
      <c r="A4304" t="str">
        <f>"0118199 "</f>
        <v xml:space="preserve">0118199 </v>
      </c>
      <c r="B4304" t="s">
        <v>14406</v>
      </c>
      <c r="C4304" t="s">
        <v>14572</v>
      </c>
      <c r="D4304" t="s">
        <v>14573</v>
      </c>
      <c r="E4304">
        <v>1</v>
      </c>
      <c r="F4304" t="s">
        <v>14574</v>
      </c>
      <c r="G4304" t="s">
        <v>14410</v>
      </c>
      <c r="H4304" t="s">
        <v>14575</v>
      </c>
    </row>
    <row r="4305" spans="1:9">
      <c r="A4305" t="str">
        <f>"0118204 "</f>
        <v xml:space="preserve">0118204 </v>
      </c>
      <c r="B4305" t="s">
        <v>14406</v>
      </c>
      <c r="C4305" t="s">
        <v>14576</v>
      </c>
      <c r="D4305" t="s">
        <v>14577</v>
      </c>
      <c r="E4305">
        <v>2</v>
      </c>
      <c r="F4305" t="s">
        <v>14578</v>
      </c>
      <c r="G4305" t="s">
        <v>14410</v>
      </c>
      <c r="H4305" t="s">
        <v>14579</v>
      </c>
    </row>
    <row r="4306" spans="1:9">
      <c r="A4306" t="str">
        <f>"0118232 "</f>
        <v xml:space="preserve">0118232 </v>
      </c>
      <c r="B4306" t="s">
        <v>14406</v>
      </c>
      <c r="C4306" t="s">
        <v>14580</v>
      </c>
      <c r="D4306" t="s">
        <v>14581</v>
      </c>
      <c r="E4306">
        <v>2</v>
      </c>
      <c r="F4306" t="s">
        <v>14582</v>
      </c>
      <c r="G4306" t="s">
        <v>14410</v>
      </c>
      <c r="H4306" t="s">
        <v>14583</v>
      </c>
      <c r="I4306" t="s">
        <v>14584</v>
      </c>
    </row>
    <row r="4307" spans="1:9">
      <c r="A4307" t="str">
        <f>"0118256 "</f>
        <v xml:space="preserve">0118256 </v>
      </c>
      <c r="B4307" t="s">
        <v>14406</v>
      </c>
      <c r="C4307" t="s">
        <v>14585</v>
      </c>
      <c r="D4307" t="s">
        <v>14586</v>
      </c>
      <c r="E4307">
        <v>2</v>
      </c>
      <c r="F4307" t="s">
        <v>9921</v>
      </c>
      <c r="G4307" t="s">
        <v>14410</v>
      </c>
      <c r="H4307" t="s">
        <v>14587</v>
      </c>
      <c r="I4307" t="s">
        <v>14588</v>
      </c>
    </row>
    <row r="4308" spans="1:9">
      <c r="A4308" t="str">
        <f>"0118272 "</f>
        <v xml:space="preserve">0118272 </v>
      </c>
      <c r="B4308" t="s">
        <v>14406</v>
      </c>
      <c r="C4308" t="s">
        <v>14589</v>
      </c>
      <c r="D4308" t="s">
        <v>14590</v>
      </c>
      <c r="E4308">
        <v>2</v>
      </c>
      <c r="F4308" t="s">
        <v>14591</v>
      </c>
      <c r="G4308" t="s">
        <v>14410</v>
      </c>
      <c r="H4308" t="s">
        <v>14592</v>
      </c>
      <c r="I4308" t="s">
        <v>14593</v>
      </c>
    </row>
    <row r="4309" spans="1:9">
      <c r="A4309" t="str">
        <f>"0118316 "</f>
        <v xml:space="preserve">0118316 </v>
      </c>
      <c r="B4309" t="s">
        <v>14406</v>
      </c>
      <c r="C4309" t="s">
        <v>14594</v>
      </c>
      <c r="D4309" t="s">
        <v>14595</v>
      </c>
      <c r="E4309">
        <v>4</v>
      </c>
      <c r="F4309" t="s">
        <v>1333</v>
      </c>
      <c r="G4309" t="s">
        <v>14410</v>
      </c>
      <c r="H4309" t="s">
        <v>14596</v>
      </c>
      <c r="I4309" t="s">
        <v>14597</v>
      </c>
    </row>
    <row r="4310" spans="1:9">
      <c r="A4310" t="str">
        <f>"0118421 "</f>
        <v xml:space="preserve">0118421 </v>
      </c>
      <c r="B4310" t="s">
        <v>14406</v>
      </c>
      <c r="C4310" t="s">
        <v>14598</v>
      </c>
      <c r="D4310" t="s">
        <v>14599</v>
      </c>
      <c r="E4310">
        <v>2</v>
      </c>
      <c r="F4310" t="s">
        <v>8797</v>
      </c>
      <c r="G4310" t="s">
        <v>14410</v>
      </c>
      <c r="H4310" t="s">
        <v>14600</v>
      </c>
      <c r="I4310" t="s">
        <v>14601</v>
      </c>
    </row>
    <row r="4311" spans="1:9">
      <c r="A4311" t="str">
        <f>"0118424 "</f>
        <v xml:space="preserve">0118424 </v>
      </c>
      <c r="B4311" t="s">
        <v>14406</v>
      </c>
      <c r="C4311" t="s">
        <v>14602</v>
      </c>
      <c r="D4311" t="s">
        <v>14603</v>
      </c>
      <c r="E4311">
        <v>2</v>
      </c>
      <c r="F4311" t="s">
        <v>14604</v>
      </c>
      <c r="G4311" t="s">
        <v>14410</v>
      </c>
      <c r="H4311" t="s">
        <v>14605</v>
      </c>
      <c r="I4311" t="s">
        <v>14606</v>
      </c>
    </row>
    <row r="4312" spans="1:9">
      <c r="A4312" t="str">
        <f>"0118432 "</f>
        <v xml:space="preserve">0118432 </v>
      </c>
      <c r="B4312" t="s">
        <v>14406</v>
      </c>
      <c r="C4312" t="s">
        <v>14607</v>
      </c>
      <c r="D4312" t="s">
        <v>14608</v>
      </c>
      <c r="E4312">
        <v>1</v>
      </c>
      <c r="F4312" t="s">
        <v>14609</v>
      </c>
      <c r="G4312" t="s">
        <v>14410</v>
      </c>
      <c r="H4312" t="s">
        <v>14610</v>
      </c>
      <c r="I4312" t="s">
        <v>14611</v>
      </c>
    </row>
    <row r="4313" spans="1:9">
      <c r="A4313" t="str">
        <f>"0118435 "</f>
        <v xml:space="preserve">0118435 </v>
      </c>
      <c r="B4313" t="s">
        <v>14406</v>
      </c>
      <c r="C4313" t="s">
        <v>14612</v>
      </c>
      <c r="D4313" t="s">
        <v>14613</v>
      </c>
      <c r="E4313">
        <v>2</v>
      </c>
      <c r="F4313" t="s">
        <v>14614</v>
      </c>
      <c r="G4313" t="s">
        <v>14410</v>
      </c>
      <c r="H4313" t="s">
        <v>14615</v>
      </c>
      <c r="I4313" t="s">
        <v>14616</v>
      </c>
    </row>
    <row r="4314" spans="1:9">
      <c r="A4314" t="str">
        <f>"0118541 "</f>
        <v xml:space="preserve">0118541 </v>
      </c>
      <c r="B4314" t="s">
        <v>14406</v>
      </c>
      <c r="C4314" t="s">
        <v>14617</v>
      </c>
      <c r="D4314" t="s">
        <v>14618</v>
      </c>
      <c r="E4314">
        <v>1</v>
      </c>
      <c r="F4314" t="s">
        <v>14619</v>
      </c>
      <c r="G4314" t="s">
        <v>14410</v>
      </c>
      <c r="H4314" t="s">
        <v>14620</v>
      </c>
      <c r="I4314" t="s">
        <v>14621</v>
      </c>
    </row>
    <row r="4315" spans="1:9">
      <c r="A4315" t="str">
        <f>"0118542 "</f>
        <v xml:space="preserve">0118542 </v>
      </c>
      <c r="B4315" t="s">
        <v>14406</v>
      </c>
      <c r="C4315" t="s">
        <v>14622</v>
      </c>
      <c r="D4315" t="s">
        <v>14623</v>
      </c>
      <c r="E4315">
        <v>1</v>
      </c>
      <c r="F4315" t="s">
        <v>14619</v>
      </c>
      <c r="G4315" t="s">
        <v>14410</v>
      </c>
      <c r="H4315" t="s">
        <v>14624</v>
      </c>
      <c r="I4315" t="s">
        <v>14625</v>
      </c>
    </row>
    <row r="4316" spans="1:9">
      <c r="A4316" t="str">
        <f>"0118682 "</f>
        <v xml:space="preserve">0118682 </v>
      </c>
      <c r="B4316" t="s">
        <v>14406</v>
      </c>
      <c r="C4316" t="s">
        <v>14626</v>
      </c>
      <c r="D4316" t="s">
        <v>14627</v>
      </c>
      <c r="E4316">
        <v>4</v>
      </c>
      <c r="F4316" t="s">
        <v>14628</v>
      </c>
      <c r="G4316" t="s">
        <v>14410</v>
      </c>
      <c r="H4316" t="s">
        <v>14629</v>
      </c>
      <c r="I4316" t="s">
        <v>14630</v>
      </c>
    </row>
    <row r="4317" spans="1:9">
      <c r="A4317" t="str">
        <f>"0118692 "</f>
        <v xml:space="preserve">0118692 </v>
      </c>
      <c r="B4317" t="s">
        <v>14406</v>
      </c>
      <c r="C4317" t="s">
        <v>14631</v>
      </c>
      <c r="D4317" t="s">
        <v>14632</v>
      </c>
      <c r="E4317">
        <v>2</v>
      </c>
      <c r="F4317" t="s">
        <v>1770</v>
      </c>
      <c r="G4317" t="s">
        <v>14410</v>
      </c>
      <c r="H4317" t="s">
        <v>14633</v>
      </c>
    </row>
    <row r="4318" spans="1:9">
      <c r="A4318" t="str">
        <f>"0118693 "</f>
        <v xml:space="preserve">0118693 </v>
      </c>
      <c r="B4318" t="s">
        <v>14406</v>
      </c>
      <c r="C4318" t="s">
        <v>14634</v>
      </c>
      <c r="D4318" t="s">
        <v>14635</v>
      </c>
      <c r="E4318" t="s">
        <v>16</v>
      </c>
      <c r="F4318" t="s">
        <v>4305</v>
      </c>
      <c r="G4318" t="s">
        <v>14410</v>
      </c>
      <c r="H4318" t="s">
        <v>14636</v>
      </c>
      <c r="I4318" t="s">
        <v>14637</v>
      </c>
    </row>
    <row r="4319" spans="1:9">
      <c r="A4319" t="str">
        <f>"0118694 "</f>
        <v xml:space="preserve">0118694 </v>
      </c>
      <c r="B4319" t="s">
        <v>14406</v>
      </c>
      <c r="C4319" t="s">
        <v>14638</v>
      </c>
      <c r="D4319" t="s">
        <v>14639</v>
      </c>
      <c r="E4319">
        <v>2</v>
      </c>
      <c r="F4319" t="s">
        <v>14640</v>
      </c>
      <c r="G4319" t="s">
        <v>14410</v>
      </c>
      <c r="H4319" t="s">
        <v>14641</v>
      </c>
      <c r="I4319" t="s">
        <v>14642</v>
      </c>
    </row>
    <row r="4320" spans="1:9">
      <c r="A4320" t="str">
        <f>"0118699 "</f>
        <v xml:space="preserve">0118699 </v>
      </c>
      <c r="B4320" t="s">
        <v>14406</v>
      </c>
      <c r="C4320" t="s">
        <v>14643</v>
      </c>
      <c r="D4320" t="s">
        <v>14644</v>
      </c>
      <c r="E4320">
        <v>3</v>
      </c>
      <c r="F4320" t="s">
        <v>14645</v>
      </c>
      <c r="G4320" t="s">
        <v>14410</v>
      </c>
      <c r="H4320" t="s">
        <v>14646</v>
      </c>
      <c r="I4320" t="s">
        <v>14647</v>
      </c>
    </row>
    <row r="4321" spans="1:9">
      <c r="A4321" t="str">
        <f>"0118756 "</f>
        <v xml:space="preserve">0118756 </v>
      </c>
      <c r="B4321" t="s">
        <v>14406</v>
      </c>
      <c r="C4321" t="s">
        <v>14648</v>
      </c>
      <c r="D4321" t="s">
        <v>14649</v>
      </c>
      <c r="E4321">
        <v>2</v>
      </c>
      <c r="F4321" t="s">
        <v>14650</v>
      </c>
      <c r="G4321" t="s">
        <v>14410</v>
      </c>
      <c r="H4321" t="s">
        <v>14651</v>
      </c>
      <c r="I4321" t="s">
        <v>14652</v>
      </c>
    </row>
    <row r="4322" spans="1:9">
      <c r="A4322" t="str">
        <f>"0118758 "</f>
        <v xml:space="preserve">0118758 </v>
      </c>
      <c r="B4322" t="s">
        <v>14406</v>
      </c>
      <c r="C4322" t="s">
        <v>14653</v>
      </c>
      <c r="D4322" t="s">
        <v>14654</v>
      </c>
      <c r="E4322">
        <v>2</v>
      </c>
      <c r="F4322" t="s">
        <v>14655</v>
      </c>
      <c r="G4322" t="s">
        <v>14410</v>
      </c>
      <c r="H4322" t="s">
        <v>14656</v>
      </c>
      <c r="I4322" t="s">
        <v>14657</v>
      </c>
    </row>
    <row r="4323" spans="1:9">
      <c r="A4323" t="str">
        <f>"0118782 "</f>
        <v xml:space="preserve">0118782 </v>
      </c>
      <c r="B4323" t="s">
        <v>14406</v>
      </c>
      <c r="C4323" t="s">
        <v>14658</v>
      </c>
      <c r="D4323" t="s">
        <v>14659</v>
      </c>
      <c r="E4323">
        <v>1</v>
      </c>
      <c r="F4323" t="s">
        <v>14660</v>
      </c>
      <c r="G4323" t="s">
        <v>14410</v>
      </c>
      <c r="H4323" t="s">
        <v>14661</v>
      </c>
      <c r="I4323" t="s">
        <v>14662</v>
      </c>
    </row>
    <row r="4324" spans="1:9">
      <c r="A4324" t="str">
        <f>"0118805 "</f>
        <v xml:space="preserve">0118805 </v>
      </c>
      <c r="B4324" t="s">
        <v>14406</v>
      </c>
      <c r="C4324" t="s">
        <v>14663</v>
      </c>
      <c r="D4324" t="s">
        <v>14664</v>
      </c>
      <c r="E4324">
        <v>1</v>
      </c>
      <c r="F4324" t="s">
        <v>14665</v>
      </c>
      <c r="G4324" t="s">
        <v>14410</v>
      </c>
      <c r="H4324" t="s">
        <v>14666</v>
      </c>
      <c r="I4324" t="s">
        <v>14667</v>
      </c>
    </row>
    <row r="4325" spans="1:9">
      <c r="A4325" t="str">
        <f>"0118860 "</f>
        <v xml:space="preserve">0118860 </v>
      </c>
      <c r="B4325" t="s">
        <v>14406</v>
      </c>
      <c r="C4325" t="s">
        <v>14668</v>
      </c>
      <c r="D4325" t="s">
        <v>14669</v>
      </c>
      <c r="E4325">
        <v>1</v>
      </c>
      <c r="F4325" t="s">
        <v>14464</v>
      </c>
      <c r="G4325" t="s">
        <v>14410</v>
      </c>
      <c r="H4325" t="s">
        <v>14670</v>
      </c>
      <c r="I4325" t="s">
        <v>14671</v>
      </c>
    </row>
    <row r="4326" spans="1:9">
      <c r="A4326" t="str">
        <f>"0118861 "</f>
        <v xml:space="preserve">0118861 </v>
      </c>
      <c r="B4326" t="s">
        <v>14406</v>
      </c>
      <c r="C4326" t="s">
        <v>14672</v>
      </c>
      <c r="D4326" t="s">
        <v>14673</v>
      </c>
      <c r="E4326">
        <v>1</v>
      </c>
      <c r="F4326" t="s">
        <v>14464</v>
      </c>
      <c r="G4326" t="s">
        <v>14410</v>
      </c>
      <c r="H4326" t="s">
        <v>14674</v>
      </c>
      <c r="I4326" t="s">
        <v>14675</v>
      </c>
    </row>
    <row r="4327" spans="1:9">
      <c r="A4327" t="str">
        <f>"0118920 "</f>
        <v xml:space="preserve">0118920 </v>
      </c>
      <c r="B4327" t="s">
        <v>14406</v>
      </c>
      <c r="C4327" t="s">
        <v>14676</v>
      </c>
      <c r="D4327" t="s">
        <v>14677</v>
      </c>
      <c r="E4327">
        <v>2</v>
      </c>
      <c r="F4327" t="s">
        <v>14678</v>
      </c>
      <c r="G4327" t="s">
        <v>14410</v>
      </c>
      <c r="H4327" t="s">
        <v>14679</v>
      </c>
      <c r="I4327" t="s">
        <v>14680</v>
      </c>
    </row>
    <row r="4328" spans="1:9">
      <c r="A4328" t="str">
        <f>"0118944 "</f>
        <v xml:space="preserve">0118944 </v>
      </c>
      <c r="B4328" t="s">
        <v>14406</v>
      </c>
      <c r="C4328" t="s">
        <v>14681</v>
      </c>
      <c r="D4328" t="s">
        <v>14682</v>
      </c>
      <c r="E4328">
        <v>1</v>
      </c>
      <c r="F4328" t="s">
        <v>14683</v>
      </c>
      <c r="G4328" t="s">
        <v>14410</v>
      </c>
      <c r="H4328" t="s">
        <v>14684</v>
      </c>
      <c r="I4328" t="s">
        <v>14685</v>
      </c>
    </row>
    <row r="4329" spans="1:9">
      <c r="A4329" t="str">
        <f>"0118984 "</f>
        <v xml:space="preserve">0118984 </v>
      </c>
      <c r="B4329" t="s">
        <v>14406</v>
      </c>
      <c r="C4329" t="s">
        <v>14686</v>
      </c>
      <c r="D4329" t="s">
        <v>14687</v>
      </c>
      <c r="E4329">
        <v>2</v>
      </c>
      <c r="F4329" t="s">
        <v>14688</v>
      </c>
      <c r="G4329" t="s">
        <v>14410</v>
      </c>
      <c r="H4329" t="s">
        <v>14689</v>
      </c>
    </row>
    <row r="4330" spans="1:9">
      <c r="A4330" t="str">
        <f>"0119198 "</f>
        <v xml:space="preserve">0119198 </v>
      </c>
      <c r="B4330" t="s">
        <v>14406</v>
      </c>
      <c r="C4330" t="s">
        <v>14690</v>
      </c>
      <c r="D4330" t="s">
        <v>14691</v>
      </c>
      <c r="E4330">
        <v>2</v>
      </c>
      <c r="F4330" t="s">
        <v>14692</v>
      </c>
      <c r="G4330" t="s">
        <v>14410</v>
      </c>
      <c r="H4330" t="s">
        <v>14693</v>
      </c>
      <c r="I4330" t="s">
        <v>14694</v>
      </c>
    </row>
    <row r="4331" spans="1:9">
      <c r="A4331" t="str">
        <f>"0119199 "</f>
        <v xml:space="preserve">0119199 </v>
      </c>
      <c r="B4331" t="s">
        <v>14406</v>
      </c>
      <c r="C4331" t="s">
        <v>14695</v>
      </c>
      <c r="D4331" t="s">
        <v>14696</v>
      </c>
      <c r="E4331">
        <v>2</v>
      </c>
      <c r="F4331" t="s">
        <v>14692</v>
      </c>
      <c r="G4331" t="s">
        <v>14410</v>
      </c>
      <c r="H4331" t="s">
        <v>14697</v>
      </c>
      <c r="I4331" t="s">
        <v>14698</v>
      </c>
    </row>
    <row r="4332" spans="1:9">
      <c r="A4332" t="str">
        <f>"0119204 "</f>
        <v xml:space="preserve">0119204 </v>
      </c>
      <c r="B4332" t="s">
        <v>14406</v>
      </c>
      <c r="C4332" t="s">
        <v>14699</v>
      </c>
      <c r="D4332" t="s">
        <v>14700</v>
      </c>
      <c r="E4332">
        <v>2</v>
      </c>
      <c r="F4332" t="s">
        <v>14520</v>
      </c>
      <c r="G4332" t="s">
        <v>14410</v>
      </c>
      <c r="H4332" t="s">
        <v>14701</v>
      </c>
      <c r="I4332" t="s">
        <v>14702</v>
      </c>
    </row>
    <row r="4333" spans="1:9">
      <c r="A4333" t="str">
        <f>"0119216 "</f>
        <v xml:space="preserve">0119216 </v>
      </c>
      <c r="B4333" t="s">
        <v>14406</v>
      </c>
      <c r="C4333" t="s">
        <v>14703</v>
      </c>
      <c r="D4333" t="s">
        <v>14704</v>
      </c>
      <c r="E4333">
        <v>4</v>
      </c>
      <c r="F4333" t="s">
        <v>14705</v>
      </c>
      <c r="G4333" t="s">
        <v>14410</v>
      </c>
      <c r="H4333" t="s">
        <v>14706</v>
      </c>
      <c r="I4333" t="s">
        <v>14707</v>
      </c>
    </row>
    <row r="4334" spans="1:9">
      <c r="A4334" t="str">
        <f>"0119222 "</f>
        <v xml:space="preserve">0119222 </v>
      </c>
      <c r="B4334" t="s">
        <v>14406</v>
      </c>
      <c r="C4334" t="s">
        <v>14708</v>
      </c>
      <c r="D4334" t="s">
        <v>14709</v>
      </c>
      <c r="E4334" t="s">
        <v>16</v>
      </c>
      <c r="F4334" t="s">
        <v>14710</v>
      </c>
      <c r="G4334" t="s">
        <v>14410</v>
      </c>
      <c r="H4334" t="s">
        <v>14711</v>
      </c>
      <c r="I4334" t="s">
        <v>14712</v>
      </c>
    </row>
    <row r="4335" spans="1:9">
      <c r="A4335" t="str">
        <f>"0119223 "</f>
        <v xml:space="preserve">0119223 </v>
      </c>
      <c r="B4335" t="s">
        <v>14406</v>
      </c>
      <c r="C4335" t="s">
        <v>14713</v>
      </c>
      <c r="D4335" t="s">
        <v>14714</v>
      </c>
      <c r="E4335" t="s">
        <v>16</v>
      </c>
      <c r="F4335" t="s">
        <v>14715</v>
      </c>
      <c r="G4335" t="s">
        <v>14410</v>
      </c>
      <c r="H4335" t="s">
        <v>14716</v>
      </c>
      <c r="I4335" t="s">
        <v>14717</v>
      </c>
    </row>
    <row r="4336" spans="1:9">
      <c r="A4336" t="str">
        <f>"0119230 "</f>
        <v xml:space="preserve">0119230 </v>
      </c>
      <c r="B4336" t="s">
        <v>14406</v>
      </c>
      <c r="C4336" t="s">
        <v>14718</v>
      </c>
      <c r="D4336" t="s">
        <v>14719</v>
      </c>
      <c r="E4336">
        <v>2</v>
      </c>
      <c r="F4336" t="s">
        <v>14720</v>
      </c>
      <c r="G4336" t="s">
        <v>14410</v>
      </c>
      <c r="H4336" t="s">
        <v>14721</v>
      </c>
    </row>
    <row r="4337" spans="1:9">
      <c r="A4337" t="str">
        <f>"0119604 "</f>
        <v xml:space="preserve">0119604 </v>
      </c>
      <c r="B4337" t="s">
        <v>14406</v>
      </c>
      <c r="C4337" t="s">
        <v>14722</v>
      </c>
      <c r="D4337" t="s">
        <v>14723</v>
      </c>
      <c r="E4337">
        <v>1</v>
      </c>
      <c r="F4337" t="s">
        <v>14724</v>
      </c>
      <c r="G4337" t="s">
        <v>14410</v>
      </c>
      <c r="H4337" t="s">
        <v>14725</v>
      </c>
      <c r="I4337" t="s">
        <v>14726</v>
      </c>
    </row>
    <row r="4338" spans="1:9">
      <c r="A4338" t="str">
        <f>"0119605 "</f>
        <v xml:space="preserve">0119605 </v>
      </c>
      <c r="B4338" t="s">
        <v>14406</v>
      </c>
      <c r="C4338" t="s">
        <v>14727</v>
      </c>
      <c r="D4338" t="s">
        <v>14728</v>
      </c>
      <c r="E4338">
        <v>4</v>
      </c>
      <c r="F4338" t="s">
        <v>14729</v>
      </c>
      <c r="G4338" t="s">
        <v>14410</v>
      </c>
      <c r="H4338" t="s">
        <v>14730</v>
      </c>
      <c r="I4338" t="s">
        <v>14731</v>
      </c>
    </row>
    <row r="4339" spans="1:9">
      <c r="A4339" t="str">
        <f>"0119607 "</f>
        <v xml:space="preserve">0119607 </v>
      </c>
      <c r="B4339" t="s">
        <v>14406</v>
      </c>
      <c r="C4339" t="s">
        <v>14732</v>
      </c>
      <c r="D4339" t="s">
        <v>14733</v>
      </c>
      <c r="E4339">
        <v>4</v>
      </c>
      <c r="F4339" t="s">
        <v>14734</v>
      </c>
      <c r="G4339" t="s">
        <v>14410</v>
      </c>
      <c r="H4339" t="s">
        <v>14735</v>
      </c>
      <c r="I4339" t="s">
        <v>14736</v>
      </c>
    </row>
    <row r="4340" spans="1:9">
      <c r="A4340" t="str">
        <f>"0119608 "</f>
        <v xml:space="preserve">0119608 </v>
      </c>
      <c r="B4340" t="s">
        <v>14406</v>
      </c>
      <c r="C4340" t="s">
        <v>14737</v>
      </c>
      <c r="D4340" t="s">
        <v>14738</v>
      </c>
      <c r="E4340">
        <v>3</v>
      </c>
      <c r="F4340" t="s">
        <v>9153</v>
      </c>
      <c r="G4340" t="s">
        <v>14410</v>
      </c>
      <c r="H4340" t="s">
        <v>14739</v>
      </c>
      <c r="I4340" t="s">
        <v>14736</v>
      </c>
    </row>
    <row r="4341" spans="1:9">
      <c r="A4341" t="str">
        <f>"0119852 "</f>
        <v xml:space="preserve">0119852 </v>
      </c>
      <c r="B4341" t="s">
        <v>14406</v>
      </c>
      <c r="C4341" t="s">
        <v>14740</v>
      </c>
      <c r="D4341" t="s">
        <v>14741</v>
      </c>
      <c r="E4341">
        <v>4</v>
      </c>
      <c r="F4341" t="s">
        <v>14742</v>
      </c>
      <c r="G4341" t="s">
        <v>14410</v>
      </c>
      <c r="H4341" t="s">
        <v>14743</v>
      </c>
      <c r="I4341" t="s">
        <v>14736</v>
      </c>
    </row>
    <row r="4342" spans="1:9">
      <c r="A4342" t="str">
        <f>"0119854 "</f>
        <v xml:space="preserve">0119854 </v>
      </c>
      <c r="B4342" t="s">
        <v>14406</v>
      </c>
      <c r="C4342" t="s">
        <v>14744</v>
      </c>
      <c r="D4342" t="s">
        <v>14745</v>
      </c>
      <c r="E4342">
        <v>1</v>
      </c>
      <c r="F4342" t="s">
        <v>8175</v>
      </c>
      <c r="G4342" t="s">
        <v>14410</v>
      </c>
      <c r="H4342" t="s">
        <v>14746</v>
      </c>
      <c r="I4342" t="s">
        <v>14747</v>
      </c>
    </row>
    <row r="4343" spans="1:9">
      <c r="A4343" t="str">
        <f>"0119941 "</f>
        <v xml:space="preserve">0119941 </v>
      </c>
      <c r="B4343" t="s">
        <v>14406</v>
      </c>
      <c r="C4343" t="s">
        <v>14748</v>
      </c>
      <c r="D4343" t="s">
        <v>14749</v>
      </c>
      <c r="E4343">
        <v>2</v>
      </c>
      <c r="F4343" t="s">
        <v>14750</v>
      </c>
      <c r="G4343" t="s">
        <v>14410</v>
      </c>
      <c r="H4343" t="s">
        <v>14751</v>
      </c>
      <c r="I4343" t="s">
        <v>14752</v>
      </c>
    </row>
    <row r="4344" spans="1:9">
      <c r="A4344" t="str">
        <f>"0119947 "</f>
        <v xml:space="preserve">0119947 </v>
      </c>
      <c r="B4344" t="s">
        <v>14406</v>
      </c>
      <c r="C4344" t="s">
        <v>14753</v>
      </c>
      <c r="D4344" t="s">
        <v>14754</v>
      </c>
      <c r="E4344">
        <v>1</v>
      </c>
      <c r="F4344" t="s">
        <v>14755</v>
      </c>
      <c r="G4344" t="s">
        <v>14410</v>
      </c>
      <c r="H4344" t="s">
        <v>14756</v>
      </c>
      <c r="I4344" t="s">
        <v>14757</v>
      </c>
    </row>
    <row r="4345" spans="1:9">
      <c r="A4345" t="str">
        <f>"0119993 "</f>
        <v xml:space="preserve">0119993 </v>
      </c>
      <c r="B4345" t="s">
        <v>14406</v>
      </c>
      <c r="C4345" t="s">
        <v>14758</v>
      </c>
      <c r="D4345" t="s">
        <v>14759</v>
      </c>
      <c r="E4345">
        <v>2</v>
      </c>
      <c r="F4345" t="s">
        <v>14760</v>
      </c>
      <c r="G4345" t="s">
        <v>14410</v>
      </c>
      <c r="H4345" t="s">
        <v>14761</v>
      </c>
    </row>
    <row r="4346" spans="1:9">
      <c r="A4346" t="str">
        <f>"0120040 "</f>
        <v xml:space="preserve">0120040 </v>
      </c>
      <c r="B4346" t="s">
        <v>14406</v>
      </c>
      <c r="C4346" t="s">
        <v>14762</v>
      </c>
      <c r="D4346" t="s">
        <v>14763</v>
      </c>
      <c r="E4346">
        <v>4</v>
      </c>
      <c r="F4346" t="s">
        <v>14764</v>
      </c>
      <c r="G4346" t="s">
        <v>14410</v>
      </c>
      <c r="H4346" t="s">
        <v>14765</v>
      </c>
      <c r="I4346" t="s">
        <v>14766</v>
      </c>
    </row>
    <row r="4347" spans="1:9">
      <c r="A4347" t="str">
        <f>"0120137 "</f>
        <v xml:space="preserve">0120137 </v>
      </c>
      <c r="B4347" t="s">
        <v>14406</v>
      </c>
      <c r="C4347" t="s">
        <v>14767</v>
      </c>
      <c r="D4347" t="s">
        <v>14768</v>
      </c>
      <c r="E4347">
        <v>2</v>
      </c>
      <c r="F4347" t="s">
        <v>14769</v>
      </c>
      <c r="G4347" t="s">
        <v>14410</v>
      </c>
      <c r="H4347" t="s">
        <v>14770</v>
      </c>
      <c r="I4347" t="s">
        <v>14771</v>
      </c>
    </row>
    <row r="4348" spans="1:9">
      <c r="A4348" t="str">
        <f>"0120188 "</f>
        <v xml:space="preserve">0120188 </v>
      </c>
      <c r="B4348" t="s">
        <v>14406</v>
      </c>
      <c r="C4348" t="s">
        <v>14772</v>
      </c>
      <c r="D4348" t="s">
        <v>14773</v>
      </c>
      <c r="E4348">
        <v>2</v>
      </c>
      <c r="F4348" t="s">
        <v>14520</v>
      </c>
      <c r="G4348" t="s">
        <v>14410</v>
      </c>
      <c r="H4348" t="s">
        <v>14774</v>
      </c>
    </row>
    <row r="4349" spans="1:9">
      <c r="A4349" t="str">
        <f>"0120202 "</f>
        <v xml:space="preserve">0120202 </v>
      </c>
      <c r="B4349" t="s">
        <v>14406</v>
      </c>
      <c r="C4349" t="s">
        <v>14775</v>
      </c>
      <c r="D4349" t="s">
        <v>14776</v>
      </c>
      <c r="E4349">
        <v>2</v>
      </c>
      <c r="F4349" t="s">
        <v>14777</v>
      </c>
      <c r="G4349" t="s">
        <v>14410</v>
      </c>
      <c r="H4349" t="s">
        <v>14778</v>
      </c>
      <c r="I4349" t="s">
        <v>14779</v>
      </c>
    </row>
    <row r="4350" spans="1:9">
      <c r="A4350" t="str">
        <f>"0120235 "</f>
        <v xml:space="preserve">0120235 </v>
      </c>
      <c r="B4350" t="s">
        <v>14406</v>
      </c>
      <c r="C4350" t="s">
        <v>14780</v>
      </c>
      <c r="D4350" t="s">
        <v>14781</v>
      </c>
      <c r="E4350">
        <v>1</v>
      </c>
      <c r="F4350" t="s">
        <v>14782</v>
      </c>
      <c r="G4350" t="s">
        <v>14410</v>
      </c>
      <c r="H4350" t="s">
        <v>14783</v>
      </c>
      <c r="I4350" t="s">
        <v>14784</v>
      </c>
    </row>
    <row r="4351" spans="1:9">
      <c r="A4351" t="str">
        <f>"0120364 "</f>
        <v xml:space="preserve">0120364 </v>
      </c>
      <c r="B4351" t="s">
        <v>14406</v>
      </c>
      <c r="C4351" t="s">
        <v>14785</v>
      </c>
      <c r="D4351" t="s">
        <v>14786</v>
      </c>
      <c r="E4351">
        <v>2</v>
      </c>
      <c r="F4351" t="s">
        <v>1770</v>
      </c>
      <c r="G4351" t="s">
        <v>14410</v>
      </c>
      <c r="H4351" t="s">
        <v>14787</v>
      </c>
      <c r="I4351" t="s">
        <v>14788</v>
      </c>
    </row>
    <row r="4352" spans="1:9">
      <c r="A4352" t="str">
        <f>"0120466 "</f>
        <v xml:space="preserve">0120466 </v>
      </c>
      <c r="B4352" t="s">
        <v>14406</v>
      </c>
      <c r="C4352" t="s">
        <v>14789</v>
      </c>
      <c r="D4352" t="s">
        <v>14790</v>
      </c>
      <c r="E4352">
        <v>1</v>
      </c>
      <c r="F4352" t="s">
        <v>14791</v>
      </c>
      <c r="G4352" t="s">
        <v>14410</v>
      </c>
      <c r="H4352" t="s">
        <v>14792</v>
      </c>
    </row>
    <row r="4353" spans="1:9">
      <c r="A4353" t="str">
        <f>"0120491 "</f>
        <v xml:space="preserve">0120491 </v>
      </c>
      <c r="B4353" t="s">
        <v>14406</v>
      </c>
      <c r="C4353" t="s">
        <v>14793</v>
      </c>
      <c r="D4353" t="s">
        <v>14794</v>
      </c>
      <c r="E4353">
        <v>2</v>
      </c>
      <c r="F4353" t="s">
        <v>14795</v>
      </c>
      <c r="G4353" t="s">
        <v>14410</v>
      </c>
      <c r="H4353" t="s">
        <v>14796</v>
      </c>
      <c r="I4353" t="s">
        <v>14797</v>
      </c>
    </row>
    <row r="4354" spans="1:9">
      <c r="A4354" t="str">
        <f>"0120532 "</f>
        <v xml:space="preserve">0120532 </v>
      </c>
      <c r="B4354" t="s">
        <v>14406</v>
      </c>
      <c r="C4354" t="s">
        <v>14798</v>
      </c>
      <c r="D4354" t="s">
        <v>14799</v>
      </c>
      <c r="E4354">
        <v>1</v>
      </c>
      <c r="F4354" t="s">
        <v>14450</v>
      </c>
      <c r="G4354" t="s">
        <v>14410</v>
      </c>
      <c r="H4354" t="s">
        <v>14800</v>
      </c>
      <c r="I4354" t="s">
        <v>14801</v>
      </c>
    </row>
    <row r="4355" spans="1:9">
      <c r="A4355" t="str">
        <f>"0120553 "</f>
        <v xml:space="preserve">0120553 </v>
      </c>
      <c r="B4355" t="s">
        <v>14406</v>
      </c>
      <c r="C4355" t="s">
        <v>14802</v>
      </c>
      <c r="D4355" t="s">
        <v>14803</v>
      </c>
      <c r="E4355" t="s">
        <v>16</v>
      </c>
      <c r="F4355" t="s">
        <v>8233</v>
      </c>
      <c r="G4355" t="s">
        <v>14410</v>
      </c>
      <c r="H4355" t="s">
        <v>14804</v>
      </c>
      <c r="I4355" t="s">
        <v>14805</v>
      </c>
    </row>
    <row r="4356" spans="1:9">
      <c r="A4356" t="str">
        <f>"0120563 "</f>
        <v xml:space="preserve">0120563 </v>
      </c>
      <c r="B4356" t="s">
        <v>14406</v>
      </c>
      <c r="C4356" t="s">
        <v>14806</v>
      </c>
      <c r="D4356" t="s">
        <v>14807</v>
      </c>
      <c r="E4356">
        <v>3</v>
      </c>
      <c r="F4356" t="s">
        <v>14808</v>
      </c>
      <c r="G4356" t="s">
        <v>14410</v>
      </c>
      <c r="H4356" t="s">
        <v>14809</v>
      </c>
      <c r="I4356" t="s">
        <v>14810</v>
      </c>
    </row>
    <row r="4357" spans="1:9">
      <c r="A4357" t="str">
        <f>"0120565 "</f>
        <v xml:space="preserve">0120565 </v>
      </c>
      <c r="B4357" t="s">
        <v>14406</v>
      </c>
      <c r="C4357" t="s">
        <v>14811</v>
      </c>
      <c r="D4357" t="s">
        <v>14812</v>
      </c>
      <c r="E4357">
        <v>1</v>
      </c>
      <c r="F4357" t="s">
        <v>14813</v>
      </c>
      <c r="G4357" t="s">
        <v>14410</v>
      </c>
      <c r="H4357" t="s">
        <v>14814</v>
      </c>
      <c r="I4357" t="s">
        <v>14815</v>
      </c>
    </row>
    <row r="4358" spans="1:9">
      <c r="A4358" t="str">
        <f>"0120576 "</f>
        <v xml:space="preserve">0120576 </v>
      </c>
      <c r="B4358" t="s">
        <v>14406</v>
      </c>
      <c r="C4358" t="s">
        <v>14816</v>
      </c>
      <c r="D4358" t="s">
        <v>14817</v>
      </c>
      <c r="E4358">
        <v>2</v>
      </c>
      <c r="F4358" t="s">
        <v>14818</v>
      </c>
      <c r="G4358" t="s">
        <v>14410</v>
      </c>
      <c r="H4358" t="s">
        <v>14819</v>
      </c>
      <c r="I4358" t="s">
        <v>14820</v>
      </c>
    </row>
    <row r="4359" spans="1:9">
      <c r="A4359" t="str">
        <f>"0120752 "</f>
        <v xml:space="preserve">0120752 </v>
      </c>
      <c r="B4359" t="s">
        <v>14406</v>
      </c>
      <c r="C4359" t="s">
        <v>14821</v>
      </c>
      <c r="D4359" t="s">
        <v>14822</v>
      </c>
      <c r="E4359">
        <v>1</v>
      </c>
      <c r="F4359" t="s">
        <v>14823</v>
      </c>
      <c r="G4359" t="s">
        <v>14410</v>
      </c>
      <c r="H4359" t="s">
        <v>14824</v>
      </c>
      <c r="I4359" t="s">
        <v>14825</v>
      </c>
    </row>
    <row r="4360" spans="1:9">
      <c r="A4360" t="str">
        <f>"0121601 "</f>
        <v xml:space="preserve">0121601 </v>
      </c>
      <c r="B4360" t="s">
        <v>14406</v>
      </c>
      <c r="C4360" t="s">
        <v>14826</v>
      </c>
      <c r="D4360" t="s">
        <v>14827</v>
      </c>
      <c r="E4360">
        <v>2</v>
      </c>
      <c r="F4360" t="s">
        <v>14828</v>
      </c>
      <c r="G4360" t="s">
        <v>14410</v>
      </c>
      <c r="H4360" t="s">
        <v>14829</v>
      </c>
      <c r="I4360" t="s">
        <v>14830</v>
      </c>
    </row>
    <row r="4361" spans="1:9">
      <c r="A4361" t="str">
        <f>"0121628 "</f>
        <v xml:space="preserve">0121628 </v>
      </c>
      <c r="B4361" t="s">
        <v>14406</v>
      </c>
      <c r="C4361" t="s">
        <v>14831</v>
      </c>
      <c r="D4361" t="s">
        <v>14832</v>
      </c>
      <c r="E4361">
        <v>2</v>
      </c>
      <c r="F4361" t="s">
        <v>14833</v>
      </c>
      <c r="G4361" t="s">
        <v>14410</v>
      </c>
      <c r="H4361" t="s">
        <v>14834</v>
      </c>
      <c r="I4361" t="s">
        <v>14835</v>
      </c>
    </row>
    <row r="4362" spans="1:9">
      <c r="A4362" t="str">
        <f>"0121629 "</f>
        <v xml:space="preserve">0121629 </v>
      </c>
      <c r="B4362" t="s">
        <v>14406</v>
      </c>
      <c r="C4362" t="s">
        <v>14836</v>
      </c>
      <c r="D4362" t="s">
        <v>14837</v>
      </c>
      <c r="E4362">
        <v>2</v>
      </c>
      <c r="F4362" t="s">
        <v>6442</v>
      </c>
      <c r="G4362" t="s">
        <v>14410</v>
      </c>
      <c r="H4362" t="s">
        <v>14838</v>
      </c>
      <c r="I4362" t="s">
        <v>14835</v>
      </c>
    </row>
    <row r="4363" spans="1:9">
      <c r="A4363" t="str">
        <f>"0121764 "</f>
        <v xml:space="preserve">0121764 </v>
      </c>
      <c r="B4363" t="s">
        <v>14406</v>
      </c>
      <c r="C4363" t="s">
        <v>14839</v>
      </c>
      <c r="D4363" t="s">
        <v>14840</v>
      </c>
      <c r="E4363">
        <v>1</v>
      </c>
      <c r="F4363" t="s">
        <v>14841</v>
      </c>
      <c r="G4363" t="s">
        <v>14410</v>
      </c>
      <c r="H4363" t="s">
        <v>14842</v>
      </c>
      <c r="I4363" t="s">
        <v>14843</v>
      </c>
    </row>
    <row r="4364" spans="1:9">
      <c r="A4364" t="str">
        <f>"0121765 "</f>
        <v xml:space="preserve">0121765 </v>
      </c>
      <c r="B4364" t="s">
        <v>14406</v>
      </c>
      <c r="C4364" t="s">
        <v>14844</v>
      </c>
      <c r="D4364" t="s">
        <v>14845</v>
      </c>
      <c r="E4364">
        <v>1</v>
      </c>
      <c r="F4364" t="s">
        <v>14841</v>
      </c>
      <c r="G4364" t="s">
        <v>14410</v>
      </c>
      <c r="H4364" t="s">
        <v>14846</v>
      </c>
      <c r="I4364" t="s">
        <v>14847</v>
      </c>
    </row>
    <row r="4365" spans="1:9">
      <c r="A4365" t="str">
        <f>"0121782 "</f>
        <v xml:space="preserve">0121782 </v>
      </c>
      <c r="B4365" t="s">
        <v>14406</v>
      </c>
      <c r="C4365" t="s">
        <v>14848</v>
      </c>
      <c r="D4365" t="s">
        <v>14849</v>
      </c>
      <c r="E4365">
        <v>2</v>
      </c>
      <c r="F4365" t="s">
        <v>8501</v>
      </c>
      <c r="G4365" t="s">
        <v>14410</v>
      </c>
      <c r="H4365" t="s">
        <v>14850</v>
      </c>
      <c r="I4365" t="s">
        <v>14851</v>
      </c>
    </row>
    <row r="4366" spans="1:9">
      <c r="A4366" t="str">
        <f>"0121797 "</f>
        <v xml:space="preserve">0121797 </v>
      </c>
      <c r="B4366" t="s">
        <v>14406</v>
      </c>
      <c r="C4366" t="s">
        <v>14852</v>
      </c>
      <c r="D4366" t="s">
        <v>14853</v>
      </c>
      <c r="E4366">
        <v>2</v>
      </c>
      <c r="F4366" t="s">
        <v>14854</v>
      </c>
      <c r="G4366" t="s">
        <v>14410</v>
      </c>
      <c r="H4366" t="s">
        <v>14855</v>
      </c>
      <c r="I4366" t="s">
        <v>14856</v>
      </c>
    </row>
    <row r="4367" spans="1:9">
      <c r="A4367" t="str">
        <f>"0121809 "</f>
        <v xml:space="preserve">0121809 </v>
      </c>
      <c r="B4367" t="s">
        <v>14406</v>
      </c>
      <c r="C4367" t="s">
        <v>14857</v>
      </c>
      <c r="D4367" t="s">
        <v>14858</v>
      </c>
      <c r="E4367">
        <v>1</v>
      </c>
      <c r="F4367" t="s">
        <v>14859</v>
      </c>
      <c r="G4367" t="s">
        <v>14410</v>
      </c>
      <c r="H4367" t="s">
        <v>14860</v>
      </c>
      <c r="I4367" t="s">
        <v>14861</v>
      </c>
    </row>
    <row r="4368" spans="1:9">
      <c r="A4368" t="str">
        <f>"0121816 "</f>
        <v xml:space="preserve">0121816 </v>
      </c>
      <c r="B4368" t="s">
        <v>14406</v>
      </c>
      <c r="C4368" t="s">
        <v>14862</v>
      </c>
      <c r="D4368" t="s">
        <v>14863</v>
      </c>
      <c r="E4368">
        <v>1</v>
      </c>
      <c r="F4368" t="s">
        <v>14864</v>
      </c>
      <c r="G4368" t="s">
        <v>14410</v>
      </c>
      <c r="H4368" t="s">
        <v>14865</v>
      </c>
      <c r="I4368" t="s">
        <v>14866</v>
      </c>
    </row>
    <row r="4369" spans="1:9">
      <c r="A4369" t="str">
        <f>"0121885 "</f>
        <v xml:space="preserve">0121885 </v>
      </c>
      <c r="B4369" t="s">
        <v>14406</v>
      </c>
      <c r="C4369" t="s">
        <v>14867</v>
      </c>
      <c r="D4369" t="s">
        <v>14868</v>
      </c>
      <c r="E4369">
        <v>4</v>
      </c>
      <c r="F4369" t="s">
        <v>14869</v>
      </c>
      <c r="G4369" t="s">
        <v>14410</v>
      </c>
      <c r="H4369" t="s">
        <v>14870</v>
      </c>
      <c r="I4369" t="s">
        <v>14871</v>
      </c>
    </row>
    <row r="4370" spans="1:9">
      <c r="A4370" t="str">
        <f>"0121886 "</f>
        <v xml:space="preserve">0121886 </v>
      </c>
      <c r="B4370" t="s">
        <v>14406</v>
      </c>
      <c r="C4370" t="s">
        <v>14872</v>
      </c>
      <c r="D4370" t="s">
        <v>14873</v>
      </c>
      <c r="E4370">
        <v>2</v>
      </c>
      <c r="F4370" t="s">
        <v>14874</v>
      </c>
      <c r="G4370" t="s">
        <v>14410</v>
      </c>
      <c r="H4370" t="s">
        <v>14875</v>
      </c>
      <c r="I4370" t="s">
        <v>14876</v>
      </c>
    </row>
    <row r="4371" spans="1:9">
      <c r="A4371" t="str">
        <f>"0121910 "</f>
        <v xml:space="preserve">0121910 </v>
      </c>
      <c r="B4371" t="s">
        <v>14406</v>
      </c>
      <c r="C4371" t="s">
        <v>14877</v>
      </c>
      <c r="D4371" t="s">
        <v>14878</v>
      </c>
      <c r="E4371">
        <v>1</v>
      </c>
      <c r="F4371" t="s">
        <v>14879</v>
      </c>
      <c r="G4371" t="s">
        <v>14410</v>
      </c>
      <c r="H4371" t="s">
        <v>14880</v>
      </c>
      <c r="I4371" t="s">
        <v>14881</v>
      </c>
    </row>
    <row r="4372" spans="1:9">
      <c r="A4372" t="str">
        <f>"0121927 "</f>
        <v xml:space="preserve">0121927 </v>
      </c>
      <c r="B4372" t="s">
        <v>14406</v>
      </c>
      <c r="C4372" t="s">
        <v>14882</v>
      </c>
      <c r="D4372" t="s">
        <v>14883</v>
      </c>
      <c r="E4372">
        <v>2</v>
      </c>
      <c r="F4372" t="s">
        <v>14884</v>
      </c>
      <c r="G4372" t="s">
        <v>14410</v>
      </c>
      <c r="H4372" t="s">
        <v>14885</v>
      </c>
      <c r="I4372" t="s">
        <v>14886</v>
      </c>
    </row>
    <row r="4373" spans="1:9">
      <c r="A4373" t="str">
        <f>"0121928 "</f>
        <v xml:space="preserve">0121928 </v>
      </c>
      <c r="B4373" t="s">
        <v>14406</v>
      </c>
      <c r="C4373" t="s">
        <v>14887</v>
      </c>
      <c r="D4373" t="s">
        <v>14888</v>
      </c>
      <c r="E4373">
        <v>2</v>
      </c>
      <c r="F4373" t="s">
        <v>14884</v>
      </c>
      <c r="G4373" t="s">
        <v>14410</v>
      </c>
      <c r="H4373" t="s">
        <v>14889</v>
      </c>
      <c r="I4373" t="s">
        <v>14890</v>
      </c>
    </row>
    <row r="4374" spans="1:9">
      <c r="A4374" t="str">
        <f>"0121947 "</f>
        <v xml:space="preserve">0121947 </v>
      </c>
      <c r="B4374" t="s">
        <v>14406</v>
      </c>
      <c r="C4374" t="s">
        <v>14891</v>
      </c>
      <c r="D4374" t="s">
        <v>14892</v>
      </c>
      <c r="E4374">
        <v>4</v>
      </c>
      <c r="F4374" t="s">
        <v>14893</v>
      </c>
      <c r="G4374" t="s">
        <v>14410</v>
      </c>
      <c r="H4374" t="s">
        <v>14894</v>
      </c>
      <c r="I4374" t="s">
        <v>14895</v>
      </c>
    </row>
    <row r="4375" spans="1:9">
      <c r="A4375" t="str">
        <f>"0122021 "</f>
        <v xml:space="preserve">0122021 </v>
      </c>
      <c r="B4375" t="s">
        <v>14406</v>
      </c>
      <c r="C4375" t="s">
        <v>14896</v>
      </c>
      <c r="D4375" t="s">
        <v>14897</v>
      </c>
      <c r="E4375">
        <v>1</v>
      </c>
      <c r="F4375" t="s">
        <v>14898</v>
      </c>
      <c r="G4375" t="s">
        <v>14410</v>
      </c>
      <c r="H4375" t="s">
        <v>14899</v>
      </c>
      <c r="I4375" t="s">
        <v>14900</v>
      </c>
    </row>
    <row r="4376" spans="1:9">
      <c r="A4376" t="str">
        <f>"0122022 "</f>
        <v xml:space="preserve">0122022 </v>
      </c>
      <c r="B4376" t="s">
        <v>14406</v>
      </c>
      <c r="C4376" t="s">
        <v>14901</v>
      </c>
      <c r="D4376" t="s">
        <v>14902</v>
      </c>
      <c r="E4376">
        <v>1</v>
      </c>
      <c r="F4376" t="s">
        <v>14898</v>
      </c>
      <c r="G4376" t="s">
        <v>14410</v>
      </c>
      <c r="H4376" t="s">
        <v>14903</v>
      </c>
      <c r="I4376" t="s">
        <v>14904</v>
      </c>
    </row>
    <row r="4377" spans="1:9">
      <c r="A4377" t="str">
        <f>"0122052 "</f>
        <v xml:space="preserve">0122052 </v>
      </c>
      <c r="B4377" t="s">
        <v>14406</v>
      </c>
      <c r="C4377" t="s">
        <v>14905</v>
      </c>
      <c r="D4377" t="s">
        <v>14906</v>
      </c>
      <c r="E4377">
        <v>2</v>
      </c>
      <c r="F4377" t="s">
        <v>14907</v>
      </c>
      <c r="G4377" t="s">
        <v>14410</v>
      </c>
      <c r="H4377" t="s">
        <v>14908</v>
      </c>
      <c r="I4377" t="s">
        <v>14909</v>
      </c>
    </row>
    <row r="4378" spans="1:9">
      <c r="A4378" t="str">
        <f>"0122053 "</f>
        <v xml:space="preserve">0122053 </v>
      </c>
      <c r="B4378" t="s">
        <v>14406</v>
      </c>
      <c r="C4378" t="s">
        <v>14910</v>
      </c>
      <c r="D4378" t="s">
        <v>14911</v>
      </c>
      <c r="E4378">
        <v>1</v>
      </c>
      <c r="F4378" t="s">
        <v>14864</v>
      </c>
      <c r="G4378" t="s">
        <v>14410</v>
      </c>
      <c r="H4378" t="s">
        <v>14912</v>
      </c>
    </row>
    <row r="4379" spans="1:9">
      <c r="A4379" t="str">
        <f>"0122059 "</f>
        <v xml:space="preserve">0122059 </v>
      </c>
      <c r="B4379" t="s">
        <v>14406</v>
      </c>
      <c r="C4379" t="s">
        <v>14913</v>
      </c>
      <c r="D4379" t="s">
        <v>14914</v>
      </c>
      <c r="E4379">
        <v>1</v>
      </c>
      <c r="F4379" t="s">
        <v>14915</v>
      </c>
      <c r="G4379" t="s">
        <v>14410</v>
      </c>
      <c r="H4379" t="s">
        <v>14916</v>
      </c>
      <c r="I4379" t="s">
        <v>14917</v>
      </c>
    </row>
    <row r="4380" spans="1:9">
      <c r="A4380" t="str">
        <f>"0122060 "</f>
        <v xml:space="preserve">0122060 </v>
      </c>
      <c r="B4380" t="s">
        <v>14406</v>
      </c>
      <c r="C4380" t="s">
        <v>14918</v>
      </c>
      <c r="D4380" t="s">
        <v>14919</v>
      </c>
      <c r="E4380">
        <v>1</v>
      </c>
      <c r="F4380" t="s">
        <v>14915</v>
      </c>
      <c r="G4380" t="s">
        <v>14410</v>
      </c>
      <c r="H4380" t="s">
        <v>14920</v>
      </c>
      <c r="I4380" t="s">
        <v>14921</v>
      </c>
    </row>
    <row r="4381" spans="1:9">
      <c r="A4381" t="str">
        <f>"0122074 "</f>
        <v xml:space="preserve">0122074 </v>
      </c>
      <c r="B4381" t="s">
        <v>14406</v>
      </c>
      <c r="C4381" t="s">
        <v>14922</v>
      </c>
      <c r="D4381" t="s">
        <v>14923</v>
      </c>
      <c r="E4381">
        <v>2</v>
      </c>
      <c r="F4381" t="s">
        <v>14924</v>
      </c>
      <c r="G4381" t="s">
        <v>14410</v>
      </c>
      <c r="H4381" t="s">
        <v>14925</v>
      </c>
      <c r="I4381" t="s">
        <v>14926</v>
      </c>
    </row>
    <row r="4382" spans="1:9">
      <c r="A4382" t="str">
        <f>"0122085 "</f>
        <v xml:space="preserve">0122085 </v>
      </c>
      <c r="B4382" t="s">
        <v>14406</v>
      </c>
      <c r="C4382" t="s">
        <v>14927</v>
      </c>
      <c r="D4382" t="s">
        <v>14928</v>
      </c>
      <c r="E4382">
        <v>1</v>
      </c>
      <c r="F4382" t="s">
        <v>14929</v>
      </c>
      <c r="G4382" t="s">
        <v>14410</v>
      </c>
      <c r="H4382" t="s">
        <v>14930</v>
      </c>
    </row>
    <row r="4383" spans="1:9">
      <c r="A4383" t="str">
        <f>"0122102 "</f>
        <v xml:space="preserve">0122102 </v>
      </c>
      <c r="B4383" t="s">
        <v>14406</v>
      </c>
      <c r="C4383" t="s">
        <v>14931</v>
      </c>
      <c r="D4383" t="s">
        <v>14932</v>
      </c>
      <c r="E4383">
        <v>4</v>
      </c>
      <c r="F4383" t="s">
        <v>14933</v>
      </c>
      <c r="G4383" t="s">
        <v>14410</v>
      </c>
      <c r="H4383" t="s">
        <v>14934</v>
      </c>
      <c r="I4383" t="s">
        <v>14935</v>
      </c>
    </row>
    <row r="4384" spans="1:9">
      <c r="A4384" t="str">
        <f>"0122184 "</f>
        <v xml:space="preserve">0122184 </v>
      </c>
      <c r="B4384" t="s">
        <v>14406</v>
      </c>
      <c r="C4384" t="s">
        <v>14936</v>
      </c>
      <c r="D4384" t="s">
        <v>14937</v>
      </c>
      <c r="E4384">
        <v>1</v>
      </c>
      <c r="F4384" t="s">
        <v>14938</v>
      </c>
      <c r="G4384" t="s">
        <v>14410</v>
      </c>
      <c r="H4384" t="s">
        <v>14939</v>
      </c>
      <c r="I4384" t="s">
        <v>14940</v>
      </c>
    </row>
    <row r="4385" spans="1:9">
      <c r="A4385" t="str">
        <f>"0122203 "</f>
        <v xml:space="preserve">0122203 </v>
      </c>
      <c r="B4385" t="s">
        <v>14406</v>
      </c>
      <c r="C4385" t="s">
        <v>14941</v>
      </c>
      <c r="D4385" t="s">
        <v>14942</v>
      </c>
      <c r="E4385">
        <v>1</v>
      </c>
      <c r="F4385" t="s">
        <v>14943</v>
      </c>
      <c r="G4385" t="s">
        <v>14410</v>
      </c>
      <c r="H4385" t="s">
        <v>14944</v>
      </c>
    </row>
    <row r="4386" spans="1:9">
      <c r="A4386" t="str">
        <f>"0122216 "</f>
        <v xml:space="preserve">0122216 </v>
      </c>
      <c r="B4386" t="s">
        <v>14406</v>
      </c>
      <c r="C4386" t="s">
        <v>14945</v>
      </c>
      <c r="D4386" t="s">
        <v>14946</v>
      </c>
      <c r="E4386">
        <v>2</v>
      </c>
      <c r="F4386" t="s">
        <v>14947</v>
      </c>
      <c r="G4386" t="s">
        <v>14410</v>
      </c>
      <c r="H4386" t="s">
        <v>14948</v>
      </c>
      <c r="I4386" t="s">
        <v>14949</v>
      </c>
    </row>
    <row r="4387" spans="1:9">
      <c r="A4387" t="str">
        <f>"0122225 "</f>
        <v xml:space="preserve">0122225 </v>
      </c>
      <c r="B4387" t="s">
        <v>14406</v>
      </c>
      <c r="C4387" t="s">
        <v>14950</v>
      </c>
      <c r="D4387" t="s">
        <v>14951</v>
      </c>
      <c r="E4387">
        <v>2</v>
      </c>
      <c r="F4387" t="s">
        <v>14574</v>
      </c>
      <c r="G4387" t="s">
        <v>14410</v>
      </c>
      <c r="H4387" t="s">
        <v>14952</v>
      </c>
      <c r="I4387" t="s">
        <v>14953</v>
      </c>
    </row>
    <row r="4388" spans="1:9">
      <c r="A4388" t="str">
        <f>"0122236 "</f>
        <v xml:space="preserve">0122236 </v>
      </c>
      <c r="B4388" t="s">
        <v>14406</v>
      </c>
      <c r="C4388" t="s">
        <v>14954</v>
      </c>
      <c r="D4388" t="s">
        <v>14955</v>
      </c>
      <c r="E4388">
        <v>2</v>
      </c>
      <c r="F4388" t="s">
        <v>14956</v>
      </c>
      <c r="G4388" t="s">
        <v>14410</v>
      </c>
      <c r="H4388" t="s">
        <v>14957</v>
      </c>
    </row>
    <row r="4389" spans="1:9">
      <c r="A4389" t="str">
        <f>"0122237 "</f>
        <v xml:space="preserve">0122237 </v>
      </c>
      <c r="B4389" t="s">
        <v>14406</v>
      </c>
      <c r="C4389" t="s">
        <v>14958</v>
      </c>
      <c r="D4389" t="s">
        <v>14959</v>
      </c>
      <c r="E4389">
        <v>2</v>
      </c>
      <c r="F4389" t="s">
        <v>14960</v>
      </c>
      <c r="G4389" t="s">
        <v>14410</v>
      </c>
      <c r="H4389" t="s">
        <v>14961</v>
      </c>
    </row>
    <row r="4390" spans="1:9">
      <c r="A4390" t="str">
        <f>"0122239 "</f>
        <v xml:space="preserve">0122239 </v>
      </c>
      <c r="B4390" t="s">
        <v>14406</v>
      </c>
      <c r="C4390" t="s">
        <v>14962</v>
      </c>
      <c r="D4390" t="s">
        <v>14963</v>
      </c>
      <c r="E4390">
        <v>2</v>
      </c>
      <c r="F4390" t="s">
        <v>14964</v>
      </c>
      <c r="G4390" t="s">
        <v>14410</v>
      </c>
      <c r="H4390" t="s">
        <v>14965</v>
      </c>
      <c r="I4390" t="s">
        <v>14966</v>
      </c>
    </row>
    <row r="4391" spans="1:9">
      <c r="A4391" t="str">
        <f>"0122255 "</f>
        <v xml:space="preserve">0122255 </v>
      </c>
      <c r="B4391" t="s">
        <v>14406</v>
      </c>
      <c r="C4391" t="s">
        <v>14967</v>
      </c>
      <c r="D4391" t="s">
        <v>14968</v>
      </c>
      <c r="E4391">
        <v>2</v>
      </c>
      <c r="F4391" t="s">
        <v>14969</v>
      </c>
      <c r="G4391" t="s">
        <v>14410</v>
      </c>
      <c r="H4391" t="s">
        <v>14970</v>
      </c>
    </row>
    <row r="4392" spans="1:9">
      <c r="A4392" t="str">
        <f>"0122287 "</f>
        <v xml:space="preserve">0122287 </v>
      </c>
      <c r="B4392" t="s">
        <v>14406</v>
      </c>
      <c r="C4392" t="s">
        <v>14971</v>
      </c>
      <c r="D4392" t="s">
        <v>14972</v>
      </c>
      <c r="E4392">
        <v>2</v>
      </c>
      <c r="F4392" t="s">
        <v>14973</v>
      </c>
      <c r="G4392" t="s">
        <v>14410</v>
      </c>
      <c r="H4392" t="s">
        <v>14974</v>
      </c>
      <c r="I4392" t="s">
        <v>14975</v>
      </c>
    </row>
    <row r="4393" spans="1:9">
      <c r="A4393" t="str">
        <f>"0122298 "</f>
        <v xml:space="preserve">0122298 </v>
      </c>
      <c r="B4393" t="s">
        <v>14406</v>
      </c>
      <c r="C4393" t="s">
        <v>14976</v>
      </c>
      <c r="D4393" t="s">
        <v>14977</v>
      </c>
      <c r="E4393">
        <v>2</v>
      </c>
      <c r="F4393" t="s">
        <v>14978</v>
      </c>
      <c r="G4393" t="s">
        <v>14410</v>
      </c>
      <c r="H4393" t="s">
        <v>14979</v>
      </c>
      <c r="I4393" t="s">
        <v>14980</v>
      </c>
    </row>
    <row r="4394" spans="1:9">
      <c r="A4394" t="str">
        <f>"0122318 "</f>
        <v xml:space="preserve">0122318 </v>
      </c>
      <c r="B4394" t="s">
        <v>14406</v>
      </c>
      <c r="C4394" t="s">
        <v>14981</v>
      </c>
      <c r="D4394" t="s">
        <v>14982</v>
      </c>
      <c r="E4394">
        <v>3</v>
      </c>
      <c r="F4394" t="s">
        <v>14983</v>
      </c>
      <c r="G4394" t="s">
        <v>14410</v>
      </c>
      <c r="H4394" t="s">
        <v>14984</v>
      </c>
      <c r="I4394" t="s">
        <v>14985</v>
      </c>
    </row>
    <row r="4395" spans="1:9">
      <c r="A4395" t="str">
        <f>"0122319 "</f>
        <v xml:space="preserve">0122319 </v>
      </c>
      <c r="B4395" t="s">
        <v>14406</v>
      </c>
      <c r="C4395" t="s">
        <v>14986</v>
      </c>
      <c r="D4395" t="s">
        <v>14987</v>
      </c>
      <c r="E4395">
        <v>2</v>
      </c>
      <c r="F4395" t="s">
        <v>8745</v>
      </c>
      <c r="G4395" t="s">
        <v>14410</v>
      </c>
      <c r="H4395" t="s">
        <v>14988</v>
      </c>
      <c r="I4395" t="s">
        <v>14989</v>
      </c>
    </row>
    <row r="4396" spans="1:9">
      <c r="A4396" t="str">
        <f>"0122323 "</f>
        <v xml:space="preserve">0122323 </v>
      </c>
      <c r="B4396" t="s">
        <v>14406</v>
      </c>
      <c r="C4396" t="s">
        <v>14990</v>
      </c>
      <c r="D4396" t="s">
        <v>14991</v>
      </c>
      <c r="E4396">
        <v>2</v>
      </c>
      <c r="F4396" t="s">
        <v>14992</v>
      </c>
      <c r="G4396" t="s">
        <v>14410</v>
      </c>
      <c r="H4396" t="s">
        <v>14993</v>
      </c>
      <c r="I4396" t="s">
        <v>14994</v>
      </c>
    </row>
    <row r="4397" spans="1:9">
      <c r="A4397" t="str">
        <f>"0122369 "</f>
        <v xml:space="preserve">0122369 </v>
      </c>
      <c r="B4397" t="s">
        <v>14406</v>
      </c>
      <c r="C4397" t="s">
        <v>14995</v>
      </c>
      <c r="D4397" t="s">
        <v>14996</v>
      </c>
      <c r="E4397">
        <v>1</v>
      </c>
      <c r="F4397" t="s">
        <v>14997</v>
      </c>
      <c r="G4397" t="s">
        <v>14410</v>
      </c>
      <c r="H4397" t="s">
        <v>14998</v>
      </c>
      <c r="I4397" t="s">
        <v>14999</v>
      </c>
    </row>
    <row r="4398" spans="1:9">
      <c r="A4398" t="str">
        <f>"0122370 "</f>
        <v xml:space="preserve">0122370 </v>
      </c>
      <c r="B4398" t="s">
        <v>14406</v>
      </c>
      <c r="C4398" t="s">
        <v>15000</v>
      </c>
      <c r="D4398" t="s">
        <v>15001</v>
      </c>
      <c r="E4398">
        <v>2</v>
      </c>
      <c r="F4398" t="s">
        <v>14997</v>
      </c>
      <c r="G4398" t="s">
        <v>14410</v>
      </c>
      <c r="H4398" t="s">
        <v>15002</v>
      </c>
      <c r="I4398" t="s">
        <v>15003</v>
      </c>
    </row>
    <row r="4399" spans="1:9">
      <c r="A4399" t="str">
        <f>"0122371 "</f>
        <v xml:space="preserve">0122371 </v>
      </c>
      <c r="B4399" t="s">
        <v>14406</v>
      </c>
      <c r="C4399" t="s">
        <v>15004</v>
      </c>
      <c r="D4399" t="s">
        <v>15005</v>
      </c>
      <c r="E4399" t="s">
        <v>16</v>
      </c>
      <c r="F4399" t="s">
        <v>15006</v>
      </c>
      <c r="G4399" t="s">
        <v>14410</v>
      </c>
      <c r="H4399" t="s">
        <v>15007</v>
      </c>
      <c r="I4399" t="s">
        <v>15008</v>
      </c>
    </row>
    <row r="4400" spans="1:9">
      <c r="A4400" t="str">
        <f>"0122372 "</f>
        <v xml:space="preserve">0122372 </v>
      </c>
      <c r="B4400" t="s">
        <v>14406</v>
      </c>
      <c r="C4400" t="s">
        <v>15009</v>
      </c>
      <c r="D4400" t="s">
        <v>15010</v>
      </c>
      <c r="E4400" t="s">
        <v>16</v>
      </c>
      <c r="F4400" t="s">
        <v>15011</v>
      </c>
      <c r="G4400" t="s">
        <v>14410</v>
      </c>
      <c r="H4400" t="s">
        <v>15012</v>
      </c>
      <c r="I4400" t="s">
        <v>15013</v>
      </c>
    </row>
    <row r="4401" spans="1:9">
      <c r="A4401" t="str">
        <f>"0122405 "</f>
        <v xml:space="preserve">0122405 </v>
      </c>
      <c r="B4401" t="s">
        <v>14406</v>
      </c>
      <c r="C4401" t="s">
        <v>15014</v>
      </c>
      <c r="D4401" t="s">
        <v>15015</v>
      </c>
      <c r="E4401">
        <v>2</v>
      </c>
      <c r="F4401" t="s">
        <v>15016</v>
      </c>
      <c r="G4401" t="s">
        <v>14410</v>
      </c>
      <c r="H4401" t="s">
        <v>15017</v>
      </c>
      <c r="I4401" t="s">
        <v>15018</v>
      </c>
    </row>
    <row r="4402" spans="1:9">
      <c r="A4402" t="str">
        <f>"0122460 "</f>
        <v xml:space="preserve">0122460 </v>
      </c>
      <c r="B4402" t="s">
        <v>14406</v>
      </c>
      <c r="C4402" t="s">
        <v>15019</v>
      </c>
      <c r="D4402" t="s">
        <v>15020</v>
      </c>
      <c r="E4402">
        <v>2</v>
      </c>
      <c r="F4402" t="s">
        <v>15021</v>
      </c>
      <c r="G4402" t="s">
        <v>14410</v>
      </c>
      <c r="H4402" t="s">
        <v>15022</v>
      </c>
      <c r="I4402" t="s">
        <v>15023</v>
      </c>
    </row>
    <row r="4403" spans="1:9">
      <c r="A4403" t="str">
        <f>"0122551 "</f>
        <v xml:space="preserve">0122551 </v>
      </c>
      <c r="B4403" t="s">
        <v>14406</v>
      </c>
      <c r="C4403" t="s">
        <v>15024</v>
      </c>
      <c r="D4403" t="s">
        <v>15025</v>
      </c>
      <c r="E4403">
        <v>3</v>
      </c>
      <c r="F4403" t="s">
        <v>15026</v>
      </c>
      <c r="G4403" t="s">
        <v>14410</v>
      </c>
      <c r="H4403" t="s">
        <v>15027</v>
      </c>
      <c r="I4403" t="s">
        <v>15028</v>
      </c>
    </row>
    <row r="4404" spans="1:9">
      <c r="A4404" t="str">
        <f>"0122552 "</f>
        <v xml:space="preserve">0122552 </v>
      </c>
      <c r="B4404" t="s">
        <v>14406</v>
      </c>
      <c r="C4404" t="s">
        <v>15029</v>
      </c>
      <c r="D4404" t="s">
        <v>15030</v>
      </c>
      <c r="E4404">
        <v>3</v>
      </c>
      <c r="F4404" t="s">
        <v>15026</v>
      </c>
      <c r="G4404" t="s">
        <v>14410</v>
      </c>
      <c r="H4404" t="s">
        <v>15031</v>
      </c>
      <c r="I4404" t="s">
        <v>15032</v>
      </c>
    </row>
    <row r="4405" spans="1:9">
      <c r="A4405" t="str">
        <f>"0122563 "</f>
        <v xml:space="preserve">0122563 </v>
      </c>
      <c r="B4405" t="s">
        <v>14406</v>
      </c>
      <c r="C4405" t="s">
        <v>15033</v>
      </c>
      <c r="D4405" t="s">
        <v>15034</v>
      </c>
      <c r="E4405">
        <v>1</v>
      </c>
      <c r="F4405" t="s">
        <v>14879</v>
      </c>
      <c r="G4405" t="s">
        <v>14410</v>
      </c>
      <c r="H4405" t="s">
        <v>15035</v>
      </c>
      <c r="I4405" t="s">
        <v>15036</v>
      </c>
    </row>
    <row r="4406" spans="1:9">
      <c r="A4406" t="str">
        <f>"0122597 "</f>
        <v xml:space="preserve">0122597 </v>
      </c>
      <c r="B4406" t="s">
        <v>14406</v>
      </c>
      <c r="C4406" t="s">
        <v>15037</v>
      </c>
      <c r="D4406" t="s">
        <v>15038</v>
      </c>
      <c r="E4406">
        <v>2</v>
      </c>
      <c r="F4406" t="s">
        <v>14791</v>
      </c>
      <c r="G4406" t="s">
        <v>14410</v>
      </c>
      <c r="H4406" t="s">
        <v>15039</v>
      </c>
      <c r="I4406" t="s">
        <v>15040</v>
      </c>
    </row>
    <row r="4407" spans="1:9">
      <c r="A4407" t="str">
        <f>"0122659 "</f>
        <v xml:space="preserve">0122659 </v>
      </c>
      <c r="B4407" t="s">
        <v>14406</v>
      </c>
      <c r="C4407" t="s">
        <v>15041</v>
      </c>
      <c r="D4407" t="s">
        <v>15042</v>
      </c>
      <c r="E4407" t="s">
        <v>16</v>
      </c>
      <c r="F4407" t="s">
        <v>15043</v>
      </c>
      <c r="G4407" t="s">
        <v>14410</v>
      </c>
      <c r="H4407" t="s">
        <v>15044</v>
      </c>
      <c r="I4407" t="s">
        <v>15045</v>
      </c>
    </row>
    <row r="4408" spans="1:9">
      <c r="A4408" t="str">
        <f>"0122735 "</f>
        <v xml:space="preserve">0122735 </v>
      </c>
      <c r="B4408" t="s">
        <v>14406</v>
      </c>
      <c r="C4408" t="s">
        <v>15046</v>
      </c>
      <c r="D4408" t="s">
        <v>15047</v>
      </c>
      <c r="E4408">
        <v>4</v>
      </c>
      <c r="F4408" t="s">
        <v>15048</v>
      </c>
      <c r="G4408" t="s">
        <v>14410</v>
      </c>
      <c r="H4408" t="s">
        <v>15049</v>
      </c>
      <c r="I4408" t="s">
        <v>15050</v>
      </c>
    </row>
    <row r="4409" spans="1:9">
      <c r="A4409" t="str">
        <f>"0122736 "</f>
        <v xml:space="preserve">0122736 </v>
      </c>
      <c r="B4409" t="s">
        <v>14406</v>
      </c>
      <c r="C4409" t="s">
        <v>15051</v>
      </c>
      <c r="D4409" t="s">
        <v>15052</v>
      </c>
      <c r="E4409">
        <v>2</v>
      </c>
      <c r="F4409" t="s">
        <v>15053</v>
      </c>
      <c r="G4409" t="s">
        <v>14410</v>
      </c>
      <c r="H4409" t="s">
        <v>15054</v>
      </c>
      <c r="I4409" t="s">
        <v>15055</v>
      </c>
    </row>
    <row r="4410" spans="1:9">
      <c r="A4410" t="str">
        <f>"0122765 "</f>
        <v xml:space="preserve">0122765 </v>
      </c>
      <c r="B4410" t="s">
        <v>14406</v>
      </c>
      <c r="C4410" t="s">
        <v>15056</v>
      </c>
      <c r="D4410" t="s">
        <v>15057</v>
      </c>
      <c r="E4410">
        <v>2</v>
      </c>
      <c r="F4410" t="s">
        <v>15058</v>
      </c>
      <c r="G4410" t="s">
        <v>14410</v>
      </c>
      <c r="H4410" t="s">
        <v>15059</v>
      </c>
      <c r="I4410" t="s">
        <v>15060</v>
      </c>
    </row>
    <row r="4411" spans="1:9">
      <c r="A4411" t="str">
        <f>"0122766 "</f>
        <v xml:space="preserve">0122766 </v>
      </c>
      <c r="B4411" t="s">
        <v>14406</v>
      </c>
      <c r="C4411" t="s">
        <v>15061</v>
      </c>
      <c r="D4411" t="s">
        <v>15062</v>
      </c>
      <c r="E4411">
        <v>1</v>
      </c>
      <c r="F4411" t="s">
        <v>15063</v>
      </c>
      <c r="G4411" t="s">
        <v>14410</v>
      </c>
      <c r="H4411" t="s">
        <v>15064</v>
      </c>
      <c r="I4411" t="s">
        <v>15065</v>
      </c>
    </row>
    <row r="4412" spans="1:9">
      <c r="A4412" t="str">
        <f>"0122768 "</f>
        <v xml:space="preserve">0122768 </v>
      </c>
      <c r="B4412" t="s">
        <v>14406</v>
      </c>
      <c r="C4412" t="s">
        <v>15066</v>
      </c>
      <c r="D4412" t="s">
        <v>15067</v>
      </c>
      <c r="E4412">
        <v>2</v>
      </c>
      <c r="F4412" t="s">
        <v>15068</v>
      </c>
      <c r="G4412" t="s">
        <v>14410</v>
      </c>
      <c r="H4412" t="s">
        <v>15069</v>
      </c>
      <c r="I4412" t="s">
        <v>15070</v>
      </c>
    </row>
    <row r="4413" spans="1:9">
      <c r="A4413" t="str">
        <f>"0122788 "</f>
        <v xml:space="preserve">0122788 </v>
      </c>
      <c r="B4413" t="s">
        <v>14406</v>
      </c>
      <c r="C4413" t="s">
        <v>15071</v>
      </c>
      <c r="D4413" t="s">
        <v>15072</v>
      </c>
      <c r="E4413">
        <v>1</v>
      </c>
      <c r="F4413" t="s">
        <v>15073</v>
      </c>
      <c r="G4413" t="s">
        <v>14410</v>
      </c>
      <c r="H4413" t="s">
        <v>15074</v>
      </c>
    </row>
    <row r="4414" spans="1:9">
      <c r="A4414" t="str">
        <f>"0122813 "</f>
        <v xml:space="preserve">0122813 </v>
      </c>
      <c r="B4414" t="s">
        <v>14406</v>
      </c>
      <c r="C4414" t="s">
        <v>15075</v>
      </c>
      <c r="D4414" t="s">
        <v>15076</v>
      </c>
      <c r="E4414">
        <v>2</v>
      </c>
      <c r="F4414" t="s">
        <v>15077</v>
      </c>
      <c r="G4414" t="s">
        <v>14410</v>
      </c>
      <c r="H4414" t="s">
        <v>15078</v>
      </c>
      <c r="I4414" t="s">
        <v>15079</v>
      </c>
    </row>
    <row r="4415" spans="1:9">
      <c r="A4415" t="str">
        <f>"0122816 "</f>
        <v xml:space="preserve">0122816 </v>
      </c>
      <c r="B4415" t="s">
        <v>14406</v>
      </c>
      <c r="C4415" t="s">
        <v>15080</v>
      </c>
      <c r="D4415" t="s">
        <v>15081</v>
      </c>
      <c r="E4415">
        <v>4</v>
      </c>
      <c r="F4415" t="s">
        <v>15082</v>
      </c>
      <c r="G4415" t="s">
        <v>14410</v>
      </c>
      <c r="H4415" t="s">
        <v>15083</v>
      </c>
      <c r="I4415" t="s">
        <v>15084</v>
      </c>
    </row>
    <row r="4416" spans="1:9">
      <c r="A4416" t="str">
        <f>"0122849 "</f>
        <v xml:space="preserve">0122849 </v>
      </c>
      <c r="B4416" t="s">
        <v>14406</v>
      </c>
      <c r="C4416" t="s">
        <v>15085</v>
      </c>
      <c r="D4416" t="s">
        <v>15086</v>
      </c>
      <c r="E4416">
        <v>2</v>
      </c>
      <c r="F4416" t="s">
        <v>15087</v>
      </c>
      <c r="G4416" t="s">
        <v>14410</v>
      </c>
      <c r="H4416" t="s">
        <v>15088</v>
      </c>
      <c r="I4416" t="s">
        <v>15089</v>
      </c>
    </row>
    <row r="4417" spans="1:9">
      <c r="A4417" t="str">
        <f>"0122852 "</f>
        <v xml:space="preserve">0122852 </v>
      </c>
      <c r="B4417" t="s">
        <v>14406</v>
      </c>
      <c r="C4417" t="s">
        <v>15090</v>
      </c>
      <c r="D4417" t="s">
        <v>15091</v>
      </c>
      <c r="E4417">
        <v>1</v>
      </c>
      <c r="F4417" t="s">
        <v>15092</v>
      </c>
      <c r="G4417" t="s">
        <v>14410</v>
      </c>
      <c r="H4417" t="s">
        <v>15093</v>
      </c>
      <c r="I4417" t="s">
        <v>15094</v>
      </c>
    </row>
    <row r="4418" spans="1:9">
      <c r="A4418" t="str">
        <f>"0123024 "</f>
        <v xml:space="preserve">0123024 </v>
      </c>
      <c r="B4418" t="s">
        <v>14406</v>
      </c>
      <c r="C4418" t="s">
        <v>15095</v>
      </c>
      <c r="D4418" t="s">
        <v>15096</v>
      </c>
      <c r="E4418">
        <v>4</v>
      </c>
      <c r="F4418" t="s">
        <v>15097</v>
      </c>
      <c r="G4418" t="s">
        <v>14410</v>
      </c>
      <c r="H4418" t="s">
        <v>15098</v>
      </c>
      <c r="I4418" t="s">
        <v>15099</v>
      </c>
    </row>
    <row r="4419" spans="1:9">
      <c r="A4419" t="str">
        <f>"0123055 "</f>
        <v xml:space="preserve">0123055 </v>
      </c>
      <c r="B4419" t="s">
        <v>14406</v>
      </c>
      <c r="C4419" t="s">
        <v>15100</v>
      </c>
      <c r="D4419" t="s">
        <v>15101</v>
      </c>
      <c r="E4419">
        <v>2</v>
      </c>
      <c r="F4419" t="s">
        <v>15102</v>
      </c>
      <c r="G4419" t="s">
        <v>14410</v>
      </c>
      <c r="H4419" t="s">
        <v>15103</v>
      </c>
      <c r="I4419" t="s">
        <v>15104</v>
      </c>
    </row>
    <row r="4420" spans="1:9">
      <c r="A4420" t="str">
        <f>"0123099 "</f>
        <v xml:space="preserve">0123099 </v>
      </c>
      <c r="B4420" t="s">
        <v>14406</v>
      </c>
      <c r="C4420" t="s">
        <v>15105</v>
      </c>
      <c r="D4420" t="s">
        <v>15106</v>
      </c>
      <c r="E4420" t="s">
        <v>16</v>
      </c>
      <c r="F4420" t="s">
        <v>15107</v>
      </c>
      <c r="G4420" t="s">
        <v>14410</v>
      </c>
      <c r="H4420" t="s">
        <v>15108</v>
      </c>
      <c r="I4420" t="s">
        <v>15109</v>
      </c>
    </row>
    <row r="4421" spans="1:9">
      <c r="A4421" t="str">
        <f>"0123100 "</f>
        <v xml:space="preserve">0123100 </v>
      </c>
      <c r="B4421" t="s">
        <v>14406</v>
      </c>
      <c r="C4421" t="s">
        <v>15110</v>
      </c>
      <c r="D4421" t="s">
        <v>15111</v>
      </c>
      <c r="E4421">
        <v>4</v>
      </c>
      <c r="F4421" t="s">
        <v>15112</v>
      </c>
      <c r="G4421" t="s">
        <v>14410</v>
      </c>
      <c r="H4421" t="s">
        <v>15113</v>
      </c>
      <c r="I4421" t="s">
        <v>15114</v>
      </c>
    </row>
    <row r="4422" spans="1:9">
      <c r="A4422" t="str">
        <f>"0123155 "</f>
        <v xml:space="preserve">0123155 </v>
      </c>
      <c r="B4422" t="s">
        <v>14406</v>
      </c>
      <c r="C4422" t="s">
        <v>15115</v>
      </c>
      <c r="D4422" t="s">
        <v>15116</v>
      </c>
      <c r="E4422">
        <v>2</v>
      </c>
      <c r="F4422" t="s">
        <v>15117</v>
      </c>
      <c r="G4422" t="s">
        <v>14410</v>
      </c>
      <c r="H4422" t="s">
        <v>15118</v>
      </c>
      <c r="I4422" t="s">
        <v>15119</v>
      </c>
    </row>
    <row r="4423" spans="1:9">
      <c r="A4423" t="str">
        <f>"0123161 "</f>
        <v xml:space="preserve">0123161 </v>
      </c>
      <c r="B4423" t="s">
        <v>14406</v>
      </c>
      <c r="C4423" t="s">
        <v>15120</v>
      </c>
      <c r="D4423" t="s">
        <v>15121</v>
      </c>
      <c r="E4423">
        <v>2</v>
      </c>
      <c r="F4423" t="s">
        <v>15122</v>
      </c>
      <c r="G4423" t="s">
        <v>14410</v>
      </c>
      <c r="H4423" t="s">
        <v>15123</v>
      </c>
    </row>
    <row r="4424" spans="1:9">
      <c r="A4424" t="str">
        <f>"0123171 "</f>
        <v xml:space="preserve">0123171 </v>
      </c>
      <c r="B4424" t="s">
        <v>14406</v>
      </c>
      <c r="C4424" t="s">
        <v>15124</v>
      </c>
      <c r="D4424" t="s">
        <v>15125</v>
      </c>
      <c r="E4424">
        <v>5</v>
      </c>
      <c r="F4424" t="s">
        <v>9098</v>
      </c>
      <c r="G4424" t="s">
        <v>14410</v>
      </c>
      <c r="H4424" t="s">
        <v>15126</v>
      </c>
      <c r="I4424" t="s">
        <v>15127</v>
      </c>
    </row>
    <row r="4425" spans="1:9">
      <c r="A4425" t="str">
        <f>"0123241 "</f>
        <v xml:space="preserve">0123241 </v>
      </c>
      <c r="B4425" t="s">
        <v>14406</v>
      </c>
      <c r="C4425" t="s">
        <v>15128</v>
      </c>
      <c r="D4425" t="s">
        <v>15129</v>
      </c>
      <c r="E4425">
        <v>4</v>
      </c>
      <c r="F4425" t="s">
        <v>14497</v>
      </c>
      <c r="G4425" t="s">
        <v>14410</v>
      </c>
      <c r="H4425" t="s">
        <v>15130</v>
      </c>
      <c r="I4425" t="s">
        <v>15131</v>
      </c>
    </row>
    <row r="4426" spans="1:9">
      <c r="A4426" t="str">
        <f>"0123242 "</f>
        <v xml:space="preserve">0123242 </v>
      </c>
      <c r="B4426" t="s">
        <v>14406</v>
      </c>
      <c r="C4426" t="s">
        <v>15132</v>
      </c>
      <c r="D4426" t="s">
        <v>15133</v>
      </c>
      <c r="E4426">
        <v>4</v>
      </c>
      <c r="F4426" t="s">
        <v>10028</v>
      </c>
      <c r="G4426" t="s">
        <v>14410</v>
      </c>
      <c r="H4426" t="s">
        <v>15134</v>
      </c>
      <c r="I4426" t="s">
        <v>15131</v>
      </c>
    </row>
    <row r="4427" spans="1:9">
      <c r="A4427" t="str">
        <f>"0123318 "</f>
        <v xml:space="preserve">0123318 </v>
      </c>
      <c r="B4427" t="s">
        <v>14406</v>
      </c>
      <c r="C4427" t="s">
        <v>15135</v>
      </c>
      <c r="D4427" t="s">
        <v>15136</v>
      </c>
      <c r="E4427">
        <v>1</v>
      </c>
      <c r="F4427" t="s">
        <v>15137</v>
      </c>
      <c r="G4427" t="s">
        <v>14410</v>
      </c>
      <c r="H4427" t="s">
        <v>15138</v>
      </c>
      <c r="I4427" t="s">
        <v>15139</v>
      </c>
    </row>
    <row r="4428" spans="1:9">
      <c r="A4428" t="str">
        <f>"0123333 "</f>
        <v xml:space="preserve">0123333 </v>
      </c>
      <c r="B4428" t="s">
        <v>14406</v>
      </c>
      <c r="C4428" t="s">
        <v>15140</v>
      </c>
      <c r="D4428" t="s">
        <v>15141</v>
      </c>
      <c r="E4428">
        <v>2</v>
      </c>
      <c r="F4428" t="s">
        <v>7601</v>
      </c>
      <c r="G4428" t="s">
        <v>14410</v>
      </c>
      <c r="H4428" t="s">
        <v>15142</v>
      </c>
    </row>
    <row r="4429" spans="1:9">
      <c r="A4429" t="str">
        <f>"0123342 "</f>
        <v xml:space="preserve">0123342 </v>
      </c>
      <c r="B4429" t="s">
        <v>14406</v>
      </c>
      <c r="C4429" t="s">
        <v>15143</v>
      </c>
      <c r="D4429" t="s">
        <v>15144</v>
      </c>
      <c r="E4429">
        <v>3</v>
      </c>
      <c r="F4429" t="s">
        <v>15145</v>
      </c>
      <c r="G4429" t="s">
        <v>14410</v>
      </c>
      <c r="H4429" t="s">
        <v>15146</v>
      </c>
      <c r="I4429" t="s">
        <v>15147</v>
      </c>
    </row>
    <row r="4430" spans="1:9">
      <c r="A4430" t="str">
        <f>"0123408 "</f>
        <v xml:space="preserve">0123408 </v>
      </c>
      <c r="B4430" t="s">
        <v>14406</v>
      </c>
      <c r="C4430" t="s">
        <v>15148</v>
      </c>
      <c r="D4430" t="s">
        <v>15149</v>
      </c>
      <c r="E4430">
        <v>1</v>
      </c>
      <c r="F4430" t="s">
        <v>14415</v>
      </c>
      <c r="G4430" t="s">
        <v>14410</v>
      </c>
      <c r="H4430" t="s">
        <v>15150</v>
      </c>
    </row>
    <row r="4431" spans="1:9">
      <c r="A4431" t="str">
        <f>"0123432 "</f>
        <v xml:space="preserve">0123432 </v>
      </c>
      <c r="B4431" t="s">
        <v>14406</v>
      </c>
      <c r="C4431" t="s">
        <v>15151</v>
      </c>
      <c r="D4431" t="s">
        <v>15152</v>
      </c>
      <c r="E4431">
        <v>1</v>
      </c>
      <c r="F4431" t="s">
        <v>15153</v>
      </c>
      <c r="G4431" t="s">
        <v>14410</v>
      </c>
      <c r="H4431" t="s">
        <v>15154</v>
      </c>
    </row>
    <row r="4432" spans="1:9">
      <c r="A4432" t="str">
        <f>"0123433 "</f>
        <v xml:space="preserve">0123433 </v>
      </c>
      <c r="B4432" t="s">
        <v>14406</v>
      </c>
      <c r="C4432" t="s">
        <v>15155</v>
      </c>
      <c r="D4432" t="s">
        <v>15156</v>
      </c>
      <c r="E4432">
        <v>1</v>
      </c>
      <c r="F4432" t="s">
        <v>15153</v>
      </c>
      <c r="G4432" t="s">
        <v>14410</v>
      </c>
      <c r="H4432" t="s">
        <v>15157</v>
      </c>
    </row>
    <row r="4433" spans="1:9">
      <c r="A4433" t="str">
        <f>"0123454 "</f>
        <v xml:space="preserve">0123454 </v>
      </c>
      <c r="B4433" t="s">
        <v>14406</v>
      </c>
      <c r="C4433" t="s">
        <v>15158</v>
      </c>
      <c r="D4433" t="s">
        <v>15159</v>
      </c>
      <c r="E4433">
        <v>2</v>
      </c>
      <c r="F4433" t="s">
        <v>15160</v>
      </c>
      <c r="G4433" t="s">
        <v>14410</v>
      </c>
      <c r="H4433" t="s">
        <v>15161</v>
      </c>
      <c r="I4433" t="s">
        <v>15162</v>
      </c>
    </row>
    <row r="4434" spans="1:9">
      <c r="A4434" t="str">
        <f>"0123466 "</f>
        <v xml:space="preserve">0123466 </v>
      </c>
      <c r="B4434" t="s">
        <v>14406</v>
      </c>
      <c r="C4434" t="s">
        <v>15163</v>
      </c>
      <c r="D4434" t="s">
        <v>15164</v>
      </c>
      <c r="E4434">
        <v>2</v>
      </c>
      <c r="F4434" t="s">
        <v>15165</v>
      </c>
      <c r="G4434" t="s">
        <v>14410</v>
      </c>
      <c r="H4434" t="s">
        <v>15166</v>
      </c>
      <c r="I4434" t="s">
        <v>15167</v>
      </c>
    </row>
    <row r="4435" spans="1:9">
      <c r="A4435" t="str">
        <f>"0123498 "</f>
        <v xml:space="preserve">0123498 </v>
      </c>
      <c r="B4435" t="s">
        <v>14406</v>
      </c>
      <c r="C4435" t="s">
        <v>15168</v>
      </c>
      <c r="D4435" t="s">
        <v>15169</v>
      </c>
      <c r="E4435">
        <v>2</v>
      </c>
      <c r="F4435" t="s">
        <v>15170</v>
      </c>
      <c r="G4435" t="s">
        <v>14410</v>
      </c>
      <c r="H4435" t="s">
        <v>15171</v>
      </c>
    </row>
    <row r="4436" spans="1:9">
      <c r="A4436" t="str">
        <f>"0123587 "</f>
        <v xml:space="preserve">0123587 </v>
      </c>
      <c r="B4436" t="s">
        <v>14406</v>
      </c>
      <c r="C4436" t="s">
        <v>15172</v>
      </c>
      <c r="D4436" t="s">
        <v>15173</v>
      </c>
      <c r="E4436">
        <v>1</v>
      </c>
      <c r="F4436" t="s">
        <v>15174</v>
      </c>
      <c r="G4436" t="s">
        <v>14410</v>
      </c>
      <c r="H4436" t="s">
        <v>15175</v>
      </c>
      <c r="I4436" t="s">
        <v>15176</v>
      </c>
    </row>
    <row r="4437" spans="1:9">
      <c r="A4437" t="str">
        <f>"0123588 "</f>
        <v xml:space="preserve">0123588 </v>
      </c>
      <c r="B4437" t="s">
        <v>14406</v>
      </c>
      <c r="C4437" t="s">
        <v>15177</v>
      </c>
      <c r="D4437" t="s">
        <v>15178</v>
      </c>
      <c r="E4437">
        <v>1</v>
      </c>
      <c r="F4437" t="s">
        <v>14874</v>
      </c>
      <c r="G4437" t="s">
        <v>14410</v>
      </c>
      <c r="H4437" t="s">
        <v>15179</v>
      </c>
      <c r="I4437" t="s">
        <v>15180</v>
      </c>
    </row>
    <row r="4438" spans="1:9">
      <c r="A4438" t="str">
        <f>"0123596 "</f>
        <v xml:space="preserve">0123596 </v>
      </c>
      <c r="B4438" t="s">
        <v>14406</v>
      </c>
      <c r="C4438" t="s">
        <v>15181</v>
      </c>
      <c r="D4438" t="s">
        <v>15182</v>
      </c>
      <c r="E4438">
        <v>2</v>
      </c>
      <c r="F4438" t="s">
        <v>15183</v>
      </c>
      <c r="G4438" t="s">
        <v>14410</v>
      </c>
      <c r="H4438" t="s">
        <v>15184</v>
      </c>
    </row>
    <row r="4439" spans="1:9">
      <c r="A4439" t="str">
        <f>"0123614 "</f>
        <v xml:space="preserve">0123614 </v>
      </c>
      <c r="B4439" t="s">
        <v>14406</v>
      </c>
      <c r="C4439" t="s">
        <v>15185</v>
      </c>
      <c r="D4439" t="s">
        <v>15186</v>
      </c>
      <c r="E4439">
        <v>2</v>
      </c>
      <c r="F4439" t="s">
        <v>15187</v>
      </c>
      <c r="G4439" t="s">
        <v>14410</v>
      </c>
      <c r="H4439" t="s">
        <v>15188</v>
      </c>
      <c r="I4439" t="s">
        <v>15189</v>
      </c>
    </row>
    <row r="4440" spans="1:9">
      <c r="A4440" t="str">
        <f>"0123615 "</f>
        <v xml:space="preserve">0123615 </v>
      </c>
      <c r="B4440" t="s">
        <v>14406</v>
      </c>
      <c r="C4440" t="s">
        <v>15190</v>
      </c>
      <c r="D4440" t="s">
        <v>15191</v>
      </c>
      <c r="E4440">
        <v>2</v>
      </c>
      <c r="F4440" t="s">
        <v>15192</v>
      </c>
      <c r="G4440" t="s">
        <v>14410</v>
      </c>
      <c r="H4440" t="s">
        <v>15193</v>
      </c>
    </row>
    <row r="4441" spans="1:9">
      <c r="A4441" t="str">
        <f>"0123617 "</f>
        <v xml:space="preserve">0123617 </v>
      </c>
      <c r="B4441" t="s">
        <v>14406</v>
      </c>
      <c r="C4441" t="s">
        <v>15194</v>
      </c>
      <c r="D4441" t="s">
        <v>15195</v>
      </c>
      <c r="E4441">
        <v>4</v>
      </c>
      <c r="F4441" t="s">
        <v>14898</v>
      </c>
      <c r="G4441" t="s">
        <v>14410</v>
      </c>
      <c r="H4441" t="s">
        <v>15196</v>
      </c>
    </row>
    <row r="4442" spans="1:9">
      <c r="A4442" t="str">
        <f>"0123630 "</f>
        <v xml:space="preserve">0123630 </v>
      </c>
      <c r="B4442" t="s">
        <v>14406</v>
      </c>
      <c r="C4442" t="s">
        <v>15197</v>
      </c>
      <c r="D4442" t="s">
        <v>15198</v>
      </c>
      <c r="E4442">
        <v>4</v>
      </c>
      <c r="F4442" t="s">
        <v>15199</v>
      </c>
      <c r="G4442" t="s">
        <v>14410</v>
      </c>
      <c r="H4442" t="s">
        <v>15200</v>
      </c>
    </row>
    <row r="4443" spans="1:9">
      <c r="A4443" t="str">
        <f>"0123655 "</f>
        <v xml:space="preserve">0123655 </v>
      </c>
      <c r="B4443" t="s">
        <v>14406</v>
      </c>
      <c r="C4443" t="s">
        <v>15201</v>
      </c>
      <c r="D4443" t="s">
        <v>15202</v>
      </c>
      <c r="E4443">
        <v>2</v>
      </c>
      <c r="F4443" t="s">
        <v>7356</v>
      </c>
      <c r="G4443" t="s">
        <v>14410</v>
      </c>
      <c r="H4443" t="s">
        <v>15203</v>
      </c>
    </row>
    <row r="4444" spans="1:9">
      <c r="A4444" t="str">
        <f>"0123720 "</f>
        <v xml:space="preserve">0123720 </v>
      </c>
      <c r="B4444" t="s">
        <v>14406</v>
      </c>
      <c r="C4444" t="s">
        <v>15204</v>
      </c>
      <c r="D4444" t="s">
        <v>15205</v>
      </c>
      <c r="E4444">
        <v>2</v>
      </c>
      <c r="F4444" t="s">
        <v>14764</v>
      </c>
      <c r="G4444" t="s">
        <v>14410</v>
      </c>
      <c r="H4444" t="s">
        <v>15206</v>
      </c>
    </row>
    <row r="4445" spans="1:9">
      <c r="A4445" t="str">
        <f>"0123725 "</f>
        <v xml:space="preserve">0123725 </v>
      </c>
      <c r="B4445" t="s">
        <v>14406</v>
      </c>
      <c r="C4445" t="s">
        <v>15207</v>
      </c>
      <c r="D4445" t="s">
        <v>15208</v>
      </c>
      <c r="E4445">
        <v>1</v>
      </c>
      <c r="F4445" t="s">
        <v>15209</v>
      </c>
      <c r="G4445" t="s">
        <v>14410</v>
      </c>
      <c r="H4445" t="s">
        <v>15210</v>
      </c>
    </row>
    <row r="4446" spans="1:9">
      <c r="A4446" t="str">
        <f>"0123750 "</f>
        <v xml:space="preserve">0123750 </v>
      </c>
      <c r="B4446" t="s">
        <v>14406</v>
      </c>
      <c r="C4446" t="s">
        <v>15211</v>
      </c>
      <c r="D4446" t="s">
        <v>15212</v>
      </c>
      <c r="E4446">
        <v>1</v>
      </c>
      <c r="F4446" t="s">
        <v>15213</v>
      </c>
      <c r="G4446" t="s">
        <v>14410</v>
      </c>
      <c r="H4446" t="s">
        <v>15214</v>
      </c>
    </row>
    <row r="4447" spans="1:9">
      <c r="A4447" t="str">
        <f>"0123778 "</f>
        <v xml:space="preserve">0123778 </v>
      </c>
      <c r="B4447" t="s">
        <v>14406</v>
      </c>
      <c r="C4447" t="s">
        <v>15215</v>
      </c>
      <c r="D4447" t="s">
        <v>15216</v>
      </c>
      <c r="E4447">
        <v>1</v>
      </c>
      <c r="F4447" t="s">
        <v>15217</v>
      </c>
      <c r="G4447" t="s">
        <v>14410</v>
      </c>
      <c r="H4447" t="s">
        <v>15218</v>
      </c>
    </row>
    <row r="4448" spans="1:9">
      <c r="A4448" t="str">
        <f>"0123788 "</f>
        <v xml:space="preserve">0123788 </v>
      </c>
      <c r="B4448" t="s">
        <v>14406</v>
      </c>
      <c r="C4448" t="s">
        <v>15219</v>
      </c>
      <c r="D4448" t="s">
        <v>15220</v>
      </c>
      <c r="E4448">
        <v>1</v>
      </c>
      <c r="F4448" t="s">
        <v>15221</v>
      </c>
      <c r="G4448" t="s">
        <v>14410</v>
      </c>
      <c r="H4448" t="s">
        <v>15222</v>
      </c>
    </row>
    <row r="4449" spans="1:9">
      <c r="A4449" t="str">
        <f>"0123852 "</f>
        <v xml:space="preserve">0123852 </v>
      </c>
      <c r="B4449" t="s">
        <v>14406</v>
      </c>
      <c r="C4449" t="s">
        <v>15223</v>
      </c>
      <c r="D4449" t="s">
        <v>15224</v>
      </c>
      <c r="E4449">
        <v>4</v>
      </c>
      <c r="F4449" t="s">
        <v>15225</v>
      </c>
      <c r="G4449" t="s">
        <v>14410</v>
      </c>
      <c r="H4449" t="s">
        <v>15226</v>
      </c>
      <c r="I4449" t="s">
        <v>15227</v>
      </c>
    </row>
    <row r="4450" spans="1:9">
      <c r="A4450" t="str">
        <f>"0123854 "</f>
        <v xml:space="preserve">0123854 </v>
      </c>
      <c r="B4450" t="s">
        <v>14406</v>
      </c>
      <c r="C4450" t="s">
        <v>15228</v>
      </c>
      <c r="D4450" t="s">
        <v>15229</v>
      </c>
      <c r="E4450">
        <v>2</v>
      </c>
      <c r="F4450" t="s">
        <v>15230</v>
      </c>
      <c r="G4450" t="s">
        <v>14410</v>
      </c>
      <c r="H4450" t="s">
        <v>15231</v>
      </c>
      <c r="I4450" t="s">
        <v>15232</v>
      </c>
    </row>
    <row r="4451" spans="1:9">
      <c r="A4451" t="str">
        <f>"0123865 "</f>
        <v xml:space="preserve">0123865 </v>
      </c>
      <c r="B4451" t="s">
        <v>14406</v>
      </c>
      <c r="C4451" t="s">
        <v>15233</v>
      </c>
      <c r="D4451" t="s">
        <v>15234</v>
      </c>
      <c r="E4451">
        <v>1</v>
      </c>
      <c r="F4451" t="s">
        <v>15235</v>
      </c>
      <c r="G4451" t="s">
        <v>14410</v>
      </c>
      <c r="H4451" t="s">
        <v>15236</v>
      </c>
      <c r="I4451" t="s">
        <v>15237</v>
      </c>
    </row>
    <row r="4452" spans="1:9">
      <c r="A4452" t="str">
        <f>"0123866 "</f>
        <v xml:space="preserve">0123866 </v>
      </c>
      <c r="B4452" t="s">
        <v>14406</v>
      </c>
      <c r="C4452" t="s">
        <v>15238</v>
      </c>
      <c r="D4452" t="s">
        <v>15239</v>
      </c>
      <c r="E4452">
        <v>1</v>
      </c>
      <c r="F4452" t="s">
        <v>15235</v>
      </c>
      <c r="G4452" t="s">
        <v>14410</v>
      </c>
      <c r="H4452" t="s">
        <v>15240</v>
      </c>
      <c r="I4452" t="s">
        <v>15241</v>
      </c>
    </row>
    <row r="4453" spans="1:9">
      <c r="A4453" t="str">
        <f>"0123963 "</f>
        <v xml:space="preserve">0123963 </v>
      </c>
      <c r="B4453" t="s">
        <v>14406</v>
      </c>
      <c r="C4453" t="s">
        <v>15242</v>
      </c>
      <c r="D4453" t="s">
        <v>15243</v>
      </c>
      <c r="E4453">
        <v>1</v>
      </c>
      <c r="F4453" t="s">
        <v>15244</v>
      </c>
      <c r="G4453" t="s">
        <v>14410</v>
      </c>
      <c r="H4453" t="s">
        <v>15245</v>
      </c>
      <c r="I4453" t="s">
        <v>15246</v>
      </c>
    </row>
    <row r="4454" spans="1:9">
      <c r="A4454" t="str">
        <f>"0123964 "</f>
        <v xml:space="preserve">0123964 </v>
      </c>
      <c r="B4454" t="s">
        <v>14406</v>
      </c>
      <c r="C4454" t="s">
        <v>15247</v>
      </c>
      <c r="D4454" t="s">
        <v>15248</v>
      </c>
      <c r="E4454">
        <v>1</v>
      </c>
      <c r="F4454" t="s">
        <v>15244</v>
      </c>
      <c r="G4454" t="s">
        <v>14410</v>
      </c>
      <c r="H4454" t="s">
        <v>15249</v>
      </c>
      <c r="I4454" t="s">
        <v>15250</v>
      </c>
    </row>
    <row r="4455" spans="1:9">
      <c r="A4455" t="str">
        <f>"0124007 "</f>
        <v xml:space="preserve">0124007 </v>
      </c>
      <c r="B4455" t="s">
        <v>14406</v>
      </c>
      <c r="C4455" t="s">
        <v>15251</v>
      </c>
      <c r="D4455" t="s">
        <v>15252</v>
      </c>
      <c r="E4455">
        <v>1</v>
      </c>
      <c r="F4455" t="s">
        <v>9098</v>
      </c>
      <c r="G4455" t="s">
        <v>14410</v>
      </c>
      <c r="H4455" t="s">
        <v>15253</v>
      </c>
      <c r="I4455" t="s">
        <v>15254</v>
      </c>
    </row>
    <row r="4456" spans="1:9">
      <c r="A4456" t="str">
        <f>"0124038 "</f>
        <v xml:space="preserve">0124038 </v>
      </c>
      <c r="B4456" t="s">
        <v>14406</v>
      </c>
      <c r="C4456" t="s">
        <v>15255</v>
      </c>
      <c r="D4456" t="s">
        <v>15256</v>
      </c>
      <c r="E4456">
        <v>2</v>
      </c>
      <c r="F4456" t="s">
        <v>15257</v>
      </c>
      <c r="G4456" t="s">
        <v>14410</v>
      </c>
      <c r="H4456" t="s">
        <v>15258</v>
      </c>
      <c r="I4456" t="s">
        <v>15259</v>
      </c>
    </row>
    <row r="4457" spans="1:9">
      <c r="A4457" t="str">
        <f>"0124100 "</f>
        <v xml:space="preserve">0124100 </v>
      </c>
      <c r="B4457" t="s">
        <v>14406</v>
      </c>
      <c r="C4457" t="s">
        <v>15260</v>
      </c>
      <c r="D4457" t="s">
        <v>15261</v>
      </c>
      <c r="E4457">
        <v>1</v>
      </c>
      <c r="F4457" t="s">
        <v>15262</v>
      </c>
      <c r="G4457" t="s">
        <v>14410</v>
      </c>
      <c r="H4457" t="s">
        <v>15263</v>
      </c>
      <c r="I4457" t="s">
        <v>15264</v>
      </c>
    </row>
    <row r="4458" spans="1:9">
      <c r="A4458" t="str">
        <f>"0124113 "</f>
        <v xml:space="preserve">0124113 </v>
      </c>
      <c r="B4458" t="s">
        <v>14406</v>
      </c>
      <c r="C4458" t="s">
        <v>15265</v>
      </c>
      <c r="D4458" t="s">
        <v>15266</v>
      </c>
      <c r="E4458">
        <v>2</v>
      </c>
      <c r="F4458" t="s">
        <v>15267</v>
      </c>
      <c r="G4458" t="s">
        <v>14410</v>
      </c>
      <c r="H4458" t="s">
        <v>15268</v>
      </c>
      <c r="I4458" t="s">
        <v>15269</v>
      </c>
    </row>
    <row r="4459" spans="1:9">
      <c r="A4459" t="str">
        <f>"0124128 "</f>
        <v xml:space="preserve">0124128 </v>
      </c>
      <c r="B4459" t="s">
        <v>14406</v>
      </c>
      <c r="C4459" t="s">
        <v>15270</v>
      </c>
      <c r="D4459" t="s">
        <v>15271</v>
      </c>
      <c r="E4459" t="s">
        <v>16</v>
      </c>
      <c r="F4459" t="s">
        <v>15272</v>
      </c>
      <c r="G4459" t="s">
        <v>14410</v>
      </c>
      <c r="H4459" t="s">
        <v>15273</v>
      </c>
      <c r="I4459" t="s">
        <v>15274</v>
      </c>
    </row>
    <row r="4460" spans="1:9">
      <c r="A4460" t="str">
        <f>"0124159 "</f>
        <v xml:space="preserve">0124159 </v>
      </c>
      <c r="B4460" t="s">
        <v>14406</v>
      </c>
      <c r="C4460" t="s">
        <v>15275</v>
      </c>
      <c r="D4460" t="s">
        <v>15276</v>
      </c>
      <c r="E4460">
        <v>2</v>
      </c>
      <c r="F4460" t="s">
        <v>15277</v>
      </c>
      <c r="G4460" t="s">
        <v>14410</v>
      </c>
      <c r="H4460" t="s">
        <v>15278</v>
      </c>
    </row>
    <row r="4461" spans="1:9">
      <c r="A4461" t="str">
        <f>"0124170 "</f>
        <v xml:space="preserve">0124170 </v>
      </c>
      <c r="B4461" t="s">
        <v>14406</v>
      </c>
      <c r="C4461" t="s">
        <v>15279</v>
      </c>
      <c r="D4461" t="s">
        <v>15280</v>
      </c>
      <c r="E4461">
        <v>2</v>
      </c>
      <c r="F4461" t="s">
        <v>15281</v>
      </c>
      <c r="G4461" t="s">
        <v>14410</v>
      </c>
      <c r="H4461" t="s">
        <v>15282</v>
      </c>
    </row>
    <row r="4462" spans="1:9">
      <c r="A4462" t="str">
        <f>"0124171 "</f>
        <v xml:space="preserve">0124171 </v>
      </c>
      <c r="B4462" t="s">
        <v>14406</v>
      </c>
      <c r="C4462" t="s">
        <v>15283</v>
      </c>
      <c r="D4462" t="s">
        <v>15284</v>
      </c>
      <c r="E4462">
        <v>2</v>
      </c>
      <c r="F4462" t="s">
        <v>9153</v>
      </c>
      <c r="G4462" t="s">
        <v>14410</v>
      </c>
      <c r="H4462" t="s">
        <v>15285</v>
      </c>
    </row>
    <row r="4463" spans="1:9">
      <c r="A4463" t="str">
        <f>"0124184 "</f>
        <v xml:space="preserve">0124184 </v>
      </c>
      <c r="B4463" t="s">
        <v>14406</v>
      </c>
      <c r="C4463" t="s">
        <v>15286</v>
      </c>
      <c r="D4463" t="s">
        <v>15287</v>
      </c>
      <c r="E4463">
        <v>2</v>
      </c>
      <c r="F4463" t="s">
        <v>15288</v>
      </c>
      <c r="G4463" t="s">
        <v>14410</v>
      </c>
      <c r="H4463" t="s">
        <v>15289</v>
      </c>
    </row>
    <row r="4464" spans="1:9">
      <c r="A4464" t="str">
        <f>"0124213 "</f>
        <v xml:space="preserve">0124213 </v>
      </c>
      <c r="B4464" t="s">
        <v>14406</v>
      </c>
      <c r="C4464" t="s">
        <v>15290</v>
      </c>
      <c r="D4464" t="s">
        <v>15291</v>
      </c>
      <c r="E4464">
        <v>1</v>
      </c>
      <c r="F4464" t="s">
        <v>15292</v>
      </c>
      <c r="G4464" t="s">
        <v>14410</v>
      </c>
      <c r="H4464" t="s">
        <v>15293</v>
      </c>
      <c r="I4464" t="s">
        <v>15294</v>
      </c>
    </row>
    <row r="4465" spans="1:9">
      <c r="A4465" t="str">
        <f>"0124253 "</f>
        <v xml:space="preserve">0124253 </v>
      </c>
      <c r="B4465" t="s">
        <v>14406</v>
      </c>
      <c r="C4465" t="s">
        <v>15295</v>
      </c>
      <c r="D4465" t="s">
        <v>15296</v>
      </c>
      <c r="E4465">
        <v>2</v>
      </c>
      <c r="F4465" t="s">
        <v>15187</v>
      </c>
      <c r="G4465" t="s">
        <v>14410</v>
      </c>
      <c r="H4465" t="s">
        <v>15297</v>
      </c>
      <c r="I4465" t="s">
        <v>15298</v>
      </c>
    </row>
    <row r="4466" spans="1:9">
      <c r="A4466" t="str">
        <f>"0124289 "</f>
        <v xml:space="preserve">0124289 </v>
      </c>
      <c r="B4466" t="s">
        <v>14406</v>
      </c>
      <c r="C4466" t="s">
        <v>15299</v>
      </c>
      <c r="D4466" t="s">
        <v>15300</v>
      </c>
      <c r="E4466">
        <v>1</v>
      </c>
      <c r="F4466" t="s">
        <v>15301</v>
      </c>
      <c r="G4466" t="s">
        <v>14410</v>
      </c>
      <c r="H4466" t="s">
        <v>15302</v>
      </c>
      <c r="I4466" t="s">
        <v>15303</v>
      </c>
    </row>
    <row r="4467" spans="1:9">
      <c r="A4467" t="str">
        <f>"0124298 "</f>
        <v xml:space="preserve">0124298 </v>
      </c>
      <c r="B4467" t="s">
        <v>14406</v>
      </c>
      <c r="C4467" t="s">
        <v>15304</v>
      </c>
      <c r="D4467" t="s">
        <v>15305</v>
      </c>
      <c r="E4467" t="s">
        <v>16</v>
      </c>
      <c r="F4467" t="s">
        <v>14574</v>
      </c>
      <c r="G4467" t="s">
        <v>14410</v>
      </c>
      <c r="H4467" t="s">
        <v>15306</v>
      </c>
      <c r="I4467" t="s">
        <v>15307</v>
      </c>
    </row>
    <row r="4468" spans="1:9">
      <c r="A4468" t="str">
        <f>"0124324 "</f>
        <v xml:space="preserve">0124324 </v>
      </c>
      <c r="B4468" t="s">
        <v>14406</v>
      </c>
      <c r="C4468" t="s">
        <v>15308</v>
      </c>
      <c r="D4468" t="s">
        <v>15309</v>
      </c>
      <c r="E4468">
        <v>2</v>
      </c>
      <c r="F4468" t="s">
        <v>15310</v>
      </c>
      <c r="G4468" t="s">
        <v>14410</v>
      </c>
      <c r="H4468" t="s">
        <v>15311</v>
      </c>
      <c r="I4468" t="s">
        <v>15312</v>
      </c>
    </row>
    <row r="4469" spans="1:9">
      <c r="A4469" t="str">
        <f>"0124392 "</f>
        <v xml:space="preserve">0124392 </v>
      </c>
      <c r="B4469" t="s">
        <v>14406</v>
      </c>
      <c r="C4469" t="s">
        <v>15313</v>
      </c>
      <c r="D4469" t="s">
        <v>15314</v>
      </c>
      <c r="E4469">
        <v>4</v>
      </c>
      <c r="F4469" t="s">
        <v>14530</v>
      </c>
      <c r="G4469" t="s">
        <v>14410</v>
      </c>
      <c r="H4469" t="s">
        <v>15315</v>
      </c>
      <c r="I4469" t="s">
        <v>15316</v>
      </c>
    </row>
    <row r="4470" spans="1:9">
      <c r="A4470" t="str">
        <f>"0124394 "</f>
        <v xml:space="preserve">0124394 </v>
      </c>
      <c r="B4470" t="s">
        <v>14406</v>
      </c>
      <c r="C4470" t="s">
        <v>15317</v>
      </c>
      <c r="D4470" t="s">
        <v>15318</v>
      </c>
      <c r="E4470" t="s">
        <v>16</v>
      </c>
      <c r="F4470" t="s">
        <v>15319</v>
      </c>
      <c r="G4470" t="s">
        <v>14410</v>
      </c>
      <c r="H4470" t="s">
        <v>15320</v>
      </c>
      <c r="I4470" t="s">
        <v>15321</v>
      </c>
    </row>
    <row r="4471" spans="1:9">
      <c r="A4471" t="str">
        <f>"0124400 "</f>
        <v xml:space="preserve">0124400 </v>
      </c>
      <c r="B4471" t="s">
        <v>14406</v>
      </c>
      <c r="C4471" t="s">
        <v>15322</v>
      </c>
      <c r="D4471" t="s">
        <v>15323</v>
      </c>
      <c r="E4471">
        <v>1</v>
      </c>
      <c r="F4471" t="s">
        <v>6442</v>
      </c>
      <c r="G4471" t="s">
        <v>14410</v>
      </c>
      <c r="H4471" t="s">
        <v>15324</v>
      </c>
      <c r="I4471" t="s">
        <v>15325</v>
      </c>
    </row>
    <row r="4472" spans="1:9">
      <c r="A4472" t="str">
        <f>"0124401 "</f>
        <v xml:space="preserve">0124401 </v>
      </c>
      <c r="B4472" t="s">
        <v>14406</v>
      </c>
      <c r="C4472" t="s">
        <v>15326</v>
      </c>
      <c r="D4472" t="s">
        <v>15327</v>
      </c>
      <c r="E4472">
        <v>1</v>
      </c>
      <c r="F4472" t="s">
        <v>6442</v>
      </c>
      <c r="G4472" t="s">
        <v>14410</v>
      </c>
      <c r="H4472" t="s">
        <v>15328</v>
      </c>
      <c r="I4472" t="s">
        <v>15329</v>
      </c>
    </row>
    <row r="4473" spans="1:9">
      <c r="A4473" t="str">
        <f>"0124442 "</f>
        <v xml:space="preserve">0124442 </v>
      </c>
      <c r="B4473" t="s">
        <v>14406</v>
      </c>
      <c r="C4473" t="s">
        <v>15330</v>
      </c>
      <c r="D4473" t="s">
        <v>15331</v>
      </c>
      <c r="E4473">
        <v>1</v>
      </c>
      <c r="F4473" t="s">
        <v>15332</v>
      </c>
      <c r="G4473" t="s">
        <v>14410</v>
      </c>
      <c r="H4473" t="s">
        <v>15333</v>
      </c>
      <c r="I4473" t="s">
        <v>15334</v>
      </c>
    </row>
    <row r="4474" spans="1:9">
      <c r="A4474" t="str">
        <f>"0124443 "</f>
        <v xml:space="preserve">0124443 </v>
      </c>
      <c r="B4474" t="s">
        <v>14406</v>
      </c>
      <c r="C4474" t="s">
        <v>15335</v>
      </c>
      <c r="D4474" t="s">
        <v>15336</v>
      </c>
      <c r="E4474">
        <v>2</v>
      </c>
      <c r="F4474" t="s">
        <v>15337</v>
      </c>
      <c r="G4474" t="s">
        <v>14410</v>
      </c>
      <c r="H4474" t="s">
        <v>15338</v>
      </c>
      <c r="I4474" t="s">
        <v>15339</v>
      </c>
    </row>
    <row r="4475" spans="1:9">
      <c r="A4475" t="str">
        <f>"0124527 "</f>
        <v xml:space="preserve">0124527 </v>
      </c>
      <c r="B4475" t="s">
        <v>14406</v>
      </c>
      <c r="C4475" t="s">
        <v>15340</v>
      </c>
      <c r="D4475" t="s">
        <v>15341</v>
      </c>
      <c r="E4475">
        <v>2</v>
      </c>
      <c r="F4475" t="s">
        <v>15342</v>
      </c>
      <c r="G4475" t="s">
        <v>14410</v>
      </c>
      <c r="H4475" t="s">
        <v>15343</v>
      </c>
    </row>
    <row r="4476" spans="1:9">
      <c r="A4476" t="str">
        <f>"0124530 "</f>
        <v xml:space="preserve">0124530 </v>
      </c>
      <c r="B4476" t="s">
        <v>14406</v>
      </c>
      <c r="C4476" t="s">
        <v>15344</v>
      </c>
      <c r="D4476" t="s">
        <v>15345</v>
      </c>
      <c r="E4476">
        <v>2</v>
      </c>
      <c r="F4476" t="s">
        <v>15346</v>
      </c>
      <c r="G4476" t="s">
        <v>14410</v>
      </c>
      <c r="H4476" t="s">
        <v>15347</v>
      </c>
    </row>
    <row r="4477" spans="1:9">
      <c r="A4477" t="str">
        <f>"0124593 "</f>
        <v xml:space="preserve">0124593 </v>
      </c>
      <c r="B4477" t="s">
        <v>14406</v>
      </c>
      <c r="C4477" t="s">
        <v>15348</v>
      </c>
      <c r="D4477" t="s">
        <v>15349</v>
      </c>
      <c r="E4477">
        <v>2</v>
      </c>
      <c r="F4477" t="s">
        <v>15350</v>
      </c>
      <c r="G4477" t="s">
        <v>14410</v>
      </c>
      <c r="H4477" t="s">
        <v>15351</v>
      </c>
    </row>
    <row r="4478" spans="1:9">
      <c r="A4478" t="str">
        <f>"0124594 "</f>
        <v xml:space="preserve">0124594 </v>
      </c>
      <c r="B4478" t="s">
        <v>14406</v>
      </c>
      <c r="C4478" t="s">
        <v>15352</v>
      </c>
      <c r="D4478" t="s">
        <v>15353</v>
      </c>
      <c r="E4478">
        <v>1</v>
      </c>
      <c r="F4478" t="s">
        <v>15354</v>
      </c>
      <c r="G4478" t="s">
        <v>14410</v>
      </c>
      <c r="H4478" t="s">
        <v>15355</v>
      </c>
    </row>
    <row r="4479" spans="1:9">
      <c r="A4479" t="str">
        <f>"0124994 "</f>
        <v xml:space="preserve">0124994 </v>
      </c>
      <c r="B4479" t="s">
        <v>14406</v>
      </c>
      <c r="C4479" t="s">
        <v>15356</v>
      </c>
      <c r="D4479" t="s">
        <v>15357</v>
      </c>
      <c r="E4479">
        <v>2</v>
      </c>
      <c r="F4479" t="s">
        <v>15153</v>
      </c>
      <c r="G4479" t="s">
        <v>14410</v>
      </c>
      <c r="H4479" t="s">
        <v>15358</v>
      </c>
    </row>
    <row r="4480" spans="1:9">
      <c r="A4480" t="str">
        <f>"0125024 "</f>
        <v xml:space="preserve">0125024 </v>
      </c>
      <c r="B4480" t="s">
        <v>14406</v>
      </c>
      <c r="C4480" t="s">
        <v>15359</v>
      </c>
      <c r="D4480" t="s">
        <v>15360</v>
      </c>
      <c r="E4480">
        <v>4</v>
      </c>
      <c r="F4480" t="s">
        <v>7601</v>
      </c>
      <c r="G4480" t="s">
        <v>14410</v>
      </c>
      <c r="H4480" t="s">
        <v>15361</v>
      </c>
      <c r="I4480" t="s">
        <v>15362</v>
      </c>
    </row>
    <row r="4481" spans="1:9">
      <c r="A4481" t="str">
        <f>"0125025 "</f>
        <v xml:space="preserve">0125025 </v>
      </c>
      <c r="B4481" t="s">
        <v>14406</v>
      </c>
      <c r="C4481" t="s">
        <v>15363</v>
      </c>
      <c r="D4481" t="s">
        <v>15364</v>
      </c>
      <c r="E4481" t="s">
        <v>16</v>
      </c>
      <c r="F4481" t="s">
        <v>15365</v>
      </c>
      <c r="G4481" t="s">
        <v>14410</v>
      </c>
      <c r="H4481" t="s">
        <v>15366</v>
      </c>
      <c r="I4481" t="s">
        <v>15362</v>
      </c>
    </row>
    <row r="4482" spans="1:9">
      <c r="A4482" t="str">
        <f>"0125064 "</f>
        <v xml:space="preserve">0125064 </v>
      </c>
      <c r="B4482" t="s">
        <v>14406</v>
      </c>
      <c r="C4482" t="s">
        <v>15367</v>
      </c>
      <c r="D4482" t="s">
        <v>15368</v>
      </c>
      <c r="E4482">
        <v>1</v>
      </c>
      <c r="F4482" t="s">
        <v>15369</v>
      </c>
      <c r="G4482" t="s">
        <v>14410</v>
      </c>
      <c r="H4482" t="s">
        <v>15370</v>
      </c>
      <c r="I4482" t="s">
        <v>15371</v>
      </c>
    </row>
    <row r="4483" spans="1:9">
      <c r="A4483" t="str">
        <f>"0125065 "</f>
        <v xml:space="preserve">0125065 </v>
      </c>
      <c r="B4483" t="s">
        <v>14406</v>
      </c>
      <c r="C4483" t="s">
        <v>15372</v>
      </c>
      <c r="D4483" t="s">
        <v>15373</v>
      </c>
      <c r="E4483">
        <v>2</v>
      </c>
      <c r="F4483" t="s">
        <v>15374</v>
      </c>
      <c r="G4483" t="s">
        <v>14410</v>
      </c>
      <c r="H4483" t="s">
        <v>15375</v>
      </c>
      <c r="I4483" t="s">
        <v>15376</v>
      </c>
    </row>
    <row r="4484" spans="1:9">
      <c r="A4484" t="str">
        <f>"0125066 "</f>
        <v xml:space="preserve">0125066 </v>
      </c>
      <c r="B4484" t="s">
        <v>14406</v>
      </c>
      <c r="C4484" t="s">
        <v>15377</v>
      </c>
      <c r="D4484" t="s">
        <v>15378</v>
      </c>
      <c r="E4484">
        <v>2</v>
      </c>
      <c r="F4484" t="s">
        <v>15379</v>
      </c>
      <c r="G4484" t="s">
        <v>14410</v>
      </c>
      <c r="H4484" t="s">
        <v>15380</v>
      </c>
      <c r="I4484" t="s">
        <v>15381</v>
      </c>
    </row>
    <row r="4485" spans="1:9">
      <c r="A4485" t="str">
        <f>"0125069 "</f>
        <v xml:space="preserve">0125069 </v>
      </c>
      <c r="B4485" t="s">
        <v>14406</v>
      </c>
      <c r="C4485" t="s">
        <v>15382</v>
      </c>
      <c r="D4485" t="s">
        <v>15383</v>
      </c>
      <c r="E4485">
        <v>2</v>
      </c>
      <c r="F4485" t="s">
        <v>14450</v>
      </c>
      <c r="G4485" t="s">
        <v>14410</v>
      </c>
      <c r="H4485" t="s">
        <v>15384</v>
      </c>
    </row>
    <row r="4486" spans="1:9">
      <c r="A4486" t="str">
        <f>"0125073 "</f>
        <v xml:space="preserve">0125073 </v>
      </c>
      <c r="B4486" t="s">
        <v>14406</v>
      </c>
      <c r="C4486" t="s">
        <v>15385</v>
      </c>
      <c r="D4486" t="s">
        <v>15386</v>
      </c>
      <c r="E4486">
        <v>4</v>
      </c>
      <c r="F4486" t="s">
        <v>14450</v>
      </c>
      <c r="G4486" t="s">
        <v>14410</v>
      </c>
      <c r="H4486" t="s">
        <v>15387</v>
      </c>
      <c r="I4486" t="s">
        <v>6134</v>
      </c>
    </row>
    <row r="4487" spans="1:9">
      <c r="A4487" t="str">
        <f>"0125074 "</f>
        <v xml:space="preserve">0125074 </v>
      </c>
      <c r="B4487" t="s">
        <v>14406</v>
      </c>
      <c r="C4487" t="s">
        <v>15388</v>
      </c>
      <c r="D4487" t="s">
        <v>15389</v>
      </c>
      <c r="E4487">
        <v>2</v>
      </c>
      <c r="F4487" t="s">
        <v>15390</v>
      </c>
      <c r="G4487" t="s">
        <v>14410</v>
      </c>
      <c r="H4487" t="s">
        <v>15391</v>
      </c>
      <c r="I4487" t="s">
        <v>15392</v>
      </c>
    </row>
    <row r="4488" spans="1:9">
      <c r="A4488" t="str">
        <f>"0125082 "</f>
        <v xml:space="preserve">0125082 </v>
      </c>
      <c r="B4488" t="s">
        <v>14406</v>
      </c>
      <c r="C4488" t="s">
        <v>15393</v>
      </c>
      <c r="D4488" t="s">
        <v>15394</v>
      </c>
      <c r="E4488">
        <v>2</v>
      </c>
      <c r="F4488" t="s">
        <v>15395</v>
      </c>
      <c r="G4488" t="s">
        <v>14410</v>
      </c>
      <c r="H4488" t="s">
        <v>15396</v>
      </c>
      <c r="I4488" t="s">
        <v>15397</v>
      </c>
    </row>
    <row r="4489" spans="1:9">
      <c r="A4489" t="str">
        <f>"0125083 "</f>
        <v xml:space="preserve">0125083 </v>
      </c>
      <c r="B4489" t="s">
        <v>14406</v>
      </c>
      <c r="C4489" t="s">
        <v>15398</v>
      </c>
      <c r="D4489" t="s">
        <v>15399</v>
      </c>
      <c r="E4489">
        <v>2</v>
      </c>
      <c r="F4489" t="s">
        <v>15400</v>
      </c>
      <c r="G4489" t="s">
        <v>14410</v>
      </c>
      <c r="H4489" t="s">
        <v>15401</v>
      </c>
      <c r="I4489" t="s">
        <v>15402</v>
      </c>
    </row>
    <row r="4490" spans="1:9">
      <c r="A4490" t="str">
        <f>"0125097 "</f>
        <v xml:space="preserve">0125097 </v>
      </c>
      <c r="B4490" t="s">
        <v>14406</v>
      </c>
      <c r="C4490" t="s">
        <v>15403</v>
      </c>
      <c r="D4490" t="s">
        <v>15404</v>
      </c>
      <c r="E4490">
        <v>1</v>
      </c>
      <c r="F4490" t="s">
        <v>15405</v>
      </c>
      <c r="G4490" t="s">
        <v>14410</v>
      </c>
      <c r="H4490" t="s">
        <v>15406</v>
      </c>
      <c r="I4490" t="s">
        <v>15407</v>
      </c>
    </row>
    <row r="4491" spans="1:9">
      <c r="A4491" t="str">
        <f>"0125099 "</f>
        <v xml:space="preserve">0125099 </v>
      </c>
      <c r="B4491" t="s">
        <v>14406</v>
      </c>
      <c r="C4491" t="s">
        <v>15408</v>
      </c>
      <c r="D4491" t="s">
        <v>15409</v>
      </c>
      <c r="E4491">
        <v>1</v>
      </c>
      <c r="F4491" t="s">
        <v>15410</v>
      </c>
      <c r="G4491" t="s">
        <v>14410</v>
      </c>
      <c r="H4491" t="s">
        <v>15411</v>
      </c>
      <c r="I4491" t="s">
        <v>15412</v>
      </c>
    </row>
    <row r="4492" spans="1:9">
      <c r="A4492" t="str">
        <f>"0125101 "</f>
        <v xml:space="preserve">0125101 </v>
      </c>
      <c r="B4492" t="s">
        <v>14406</v>
      </c>
      <c r="C4492" t="s">
        <v>15413</v>
      </c>
      <c r="D4492" t="s">
        <v>15414</v>
      </c>
      <c r="E4492">
        <v>1</v>
      </c>
      <c r="F4492" t="s">
        <v>15415</v>
      </c>
      <c r="G4492" t="s">
        <v>14410</v>
      </c>
      <c r="H4492" t="s">
        <v>15416</v>
      </c>
      <c r="I4492" t="s">
        <v>15417</v>
      </c>
    </row>
    <row r="4493" spans="1:9">
      <c r="A4493" t="str">
        <f>"0125120 "</f>
        <v xml:space="preserve">0125120 </v>
      </c>
      <c r="B4493" t="s">
        <v>14406</v>
      </c>
      <c r="C4493" t="s">
        <v>15418</v>
      </c>
      <c r="D4493" t="s">
        <v>15419</v>
      </c>
      <c r="E4493">
        <v>2</v>
      </c>
      <c r="F4493" t="s">
        <v>15420</v>
      </c>
      <c r="G4493" t="s">
        <v>14410</v>
      </c>
      <c r="H4493" t="s">
        <v>15421</v>
      </c>
    </row>
    <row r="4494" spans="1:9">
      <c r="A4494" t="str">
        <f>"0125129 "</f>
        <v xml:space="preserve">0125129 </v>
      </c>
      <c r="B4494" t="s">
        <v>14406</v>
      </c>
      <c r="C4494" t="s">
        <v>15422</v>
      </c>
      <c r="D4494" t="s">
        <v>15423</v>
      </c>
      <c r="E4494">
        <v>1</v>
      </c>
      <c r="F4494" t="s">
        <v>15424</v>
      </c>
      <c r="G4494" t="s">
        <v>14410</v>
      </c>
      <c r="H4494" t="s">
        <v>15425</v>
      </c>
      <c r="I4494" t="s">
        <v>15426</v>
      </c>
    </row>
    <row r="4495" spans="1:9">
      <c r="A4495" t="str">
        <f>"0125131 "</f>
        <v xml:space="preserve">0125131 </v>
      </c>
      <c r="B4495" t="s">
        <v>14406</v>
      </c>
      <c r="C4495" t="s">
        <v>15427</v>
      </c>
      <c r="D4495" t="s">
        <v>15428</v>
      </c>
      <c r="E4495">
        <v>2</v>
      </c>
      <c r="F4495" t="s">
        <v>15429</v>
      </c>
      <c r="G4495" t="s">
        <v>14410</v>
      </c>
      <c r="H4495" t="s">
        <v>15430</v>
      </c>
    </row>
    <row r="4496" spans="1:9">
      <c r="A4496" t="str">
        <f>"0125141 "</f>
        <v xml:space="preserve">0125141 </v>
      </c>
      <c r="B4496" t="s">
        <v>14406</v>
      </c>
      <c r="C4496" t="s">
        <v>15431</v>
      </c>
      <c r="D4496" t="s">
        <v>15432</v>
      </c>
      <c r="E4496">
        <v>1</v>
      </c>
      <c r="F4496" t="s">
        <v>15433</v>
      </c>
      <c r="G4496" t="s">
        <v>14410</v>
      </c>
      <c r="H4496" t="s">
        <v>15434</v>
      </c>
      <c r="I4496" t="s">
        <v>15435</v>
      </c>
    </row>
    <row r="4497" spans="1:9">
      <c r="A4497" t="str">
        <f>"0125142 "</f>
        <v xml:space="preserve">0125142 </v>
      </c>
      <c r="B4497" t="s">
        <v>14406</v>
      </c>
      <c r="C4497" t="s">
        <v>15436</v>
      </c>
      <c r="D4497" t="s">
        <v>15437</v>
      </c>
      <c r="E4497">
        <v>1</v>
      </c>
      <c r="F4497" t="s">
        <v>15433</v>
      </c>
      <c r="G4497" t="s">
        <v>14410</v>
      </c>
      <c r="H4497" t="s">
        <v>15438</v>
      </c>
      <c r="I4497" t="s">
        <v>15439</v>
      </c>
    </row>
    <row r="4498" spans="1:9">
      <c r="A4498" t="str">
        <f>"0125150 "</f>
        <v xml:space="preserve">0125150 </v>
      </c>
      <c r="B4498" t="s">
        <v>14406</v>
      </c>
      <c r="C4498" t="s">
        <v>15440</v>
      </c>
      <c r="D4498" t="s">
        <v>15441</v>
      </c>
      <c r="E4498">
        <v>1</v>
      </c>
      <c r="F4498" t="s">
        <v>2153</v>
      </c>
      <c r="G4498" t="s">
        <v>14410</v>
      </c>
      <c r="H4498" t="s">
        <v>15442</v>
      </c>
    </row>
    <row r="4499" spans="1:9">
      <c r="A4499" t="str">
        <f>"0125239 "</f>
        <v xml:space="preserve">0125239 </v>
      </c>
      <c r="B4499" t="s">
        <v>14406</v>
      </c>
      <c r="C4499" t="s">
        <v>15443</v>
      </c>
      <c r="D4499" t="s">
        <v>15444</v>
      </c>
      <c r="E4499">
        <v>1</v>
      </c>
      <c r="F4499" t="s">
        <v>15445</v>
      </c>
      <c r="G4499" t="s">
        <v>14410</v>
      </c>
      <c r="H4499" t="s">
        <v>15446</v>
      </c>
      <c r="I4499" t="s">
        <v>15447</v>
      </c>
    </row>
    <row r="4500" spans="1:9">
      <c r="A4500" t="str">
        <f>"0125240 "</f>
        <v xml:space="preserve">0125240 </v>
      </c>
      <c r="B4500" t="s">
        <v>14406</v>
      </c>
      <c r="C4500" t="s">
        <v>15448</v>
      </c>
      <c r="D4500" t="s">
        <v>15449</v>
      </c>
      <c r="E4500">
        <v>1</v>
      </c>
      <c r="F4500" t="s">
        <v>15450</v>
      </c>
      <c r="G4500" t="s">
        <v>14410</v>
      </c>
      <c r="H4500" t="s">
        <v>15451</v>
      </c>
      <c r="I4500" t="s">
        <v>15452</v>
      </c>
    </row>
    <row r="4501" spans="1:9">
      <c r="A4501" t="str">
        <f>"0125246 "</f>
        <v xml:space="preserve">0125246 </v>
      </c>
      <c r="B4501" t="s">
        <v>14406</v>
      </c>
      <c r="C4501" t="s">
        <v>15453</v>
      </c>
      <c r="D4501" t="s">
        <v>15454</v>
      </c>
      <c r="E4501">
        <v>3</v>
      </c>
      <c r="F4501" t="s">
        <v>15455</v>
      </c>
      <c r="G4501" t="s">
        <v>14410</v>
      </c>
      <c r="H4501" t="s">
        <v>15456</v>
      </c>
      <c r="I4501" t="s">
        <v>15457</v>
      </c>
    </row>
    <row r="4502" spans="1:9">
      <c r="A4502" t="str">
        <f>"0125247 "</f>
        <v xml:space="preserve">0125247 </v>
      </c>
      <c r="B4502" t="s">
        <v>14406</v>
      </c>
      <c r="C4502" t="s">
        <v>15458</v>
      </c>
      <c r="D4502" t="s">
        <v>15459</v>
      </c>
      <c r="E4502">
        <v>1</v>
      </c>
      <c r="F4502" t="s">
        <v>9153</v>
      </c>
      <c r="G4502" t="s">
        <v>14410</v>
      </c>
      <c r="H4502" t="s">
        <v>15460</v>
      </c>
      <c r="I4502" t="s">
        <v>15461</v>
      </c>
    </row>
    <row r="4503" spans="1:9">
      <c r="A4503" t="str">
        <f>"0125263 "</f>
        <v xml:space="preserve">0125263 </v>
      </c>
      <c r="B4503" t="s">
        <v>14406</v>
      </c>
      <c r="C4503" t="s">
        <v>15462</v>
      </c>
      <c r="D4503" t="s">
        <v>15463</v>
      </c>
      <c r="E4503">
        <v>5</v>
      </c>
      <c r="F4503" t="s">
        <v>15464</v>
      </c>
      <c r="G4503" t="s">
        <v>14410</v>
      </c>
      <c r="H4503" t="s">
        <v>15465</v>
      </c>
      <c r="I4503" t="s">
        <v>15466</v>
      </c>
    </row>
    <row r="4504" spans="1:9">
      <c r="A4504" t="str">
        <f>"0125264 "</f>
        <v xml:space="preserve">0125264 </v>
      </c>
      <c r="B4504" t="s">
        <v>14406</v>
      </c>
      <c r="C4504" t="s">
        <v>15467</v>
      </c>
      <c r="D4504" t="s">
        <v>15468</v>
      </c>
      <c r="E4504">
        <v>5</v>
      </c>
      <c r="F4504" t="s">
        <v>15469</v>
      </c>
      <c r="G4504" t="s">
        <v>14410</v>
      </c>
      <c r="H4504" t="s">
        <v>15470</v>
      </c>
      <c r="I4504" t="s">
        <v>15471</v>
      </c>
    </row>
    <row r="4505" spans="1:9">
      <c r="A4505" t="str">
        <f>"0125265 "</f>
        <v xml:space="preserve">0125265 </v>
      </c>
      <c r="B4505" t="s">
        <v>14406</v>
      </c>
      <c r="C4505" t="s">
        <v>15472</v>
      </c>
      <c r="D4505" t="s">
        <v>15473</v>
      </c>
      <c r="E4505" t="s">
        <v>16</v>
      </c>
      <c r="F4505" t="s">
        <v>15474</v>
      </c>
      <c r="G4505" t="s">
        <v>14410</v>
      </c>
      <c r="H4505" t="s">
        <v>15475</v>
      </c>
      <c r="I4505" t="s">
        <v>15476</v>
      </c>
    </row>
    <row r="4506" spans="1:9">
      <c r="A4506" t="str">
        <f>"0125288 "</f>
        <v xml:space="preserve">0125288 </v>
      </c>
      <c r="B4506" t="s">
        <v>14406</v>
      </c>
      <c r="C4506" t="s">
        <v>15477</v>
      </c>
      <c r="D4506" t="s">
        <v>15478</v>
      </c>
      <c r="E4506">
        <v>1</v>
      </c>
      <c r="F4506" t="s">
        <v>15479</v>
      </c>
      <c r="G4506" t="s">
        <v>14410</v>
      </c>
      <c r="H4506" t="s">
        <v>15480</v>
      </c>
      <c r="I4506" t="s">
        <v>15481</v>
      </c>
    </row>
    <row r="4507" spans="1:9">
      <c r="A4507" t="str">
        <f>"0125309 "</f>
        <v xml:space="preserve">0125309 </v>
      </c>
      <c r="B4507" t="s">
        <v>14406</v>
      </c>
      <c r="C4507" t="s">
        <v>15482</v>
      </c>
      <c r="D4507" t="s">
        <v>15483</v>
      </c>
      <c r="E4507">
        <v>2</v>
      </c>
      <c r="F4507" t="s">
        <v>15484</v>
      </c>
      <c r="G4507" t="s">
        <v>14410</v>
      </c>
      <c r="H4507" t="s">
        <v>15485</v>
      </c>
      <c r="I4507" t="s">
        <v>15486</v>
      </c>
    </row>
    <row r="4508" spans="1:9">
      <c r="A4508" t="str">
        <f>"0125352 "</f>
        <v xml:space="preserve">0125352 </v>
      </c>
      <c r="B4508" t="s">
        <v>14406</v>
      </c>
      <c r="C4508" t="s">
        <v>15487</v>
      </c>
      <c r="D4508" t="s">
        <v>15488</v>
      </c>
      <c r="E4508">
        <v>1</v>
      </c>
      <c r="F4508" t="s">
        <v>15489</v>
      </c>
      <c r="G4508" t="s">
        <v>14410</v>
      </c>
      <c r="H4508" t="s">
        <v>15490</v>
      </c>
      <c r="I4508" t="s">
        <v>15491</v>
      </c>
    </row>
    <row r="4509" spans="1:9">
      <c r="A4509" t="str">
        <f>"0125353 "</f>
        <v xml:space="preserve">0125353 </v>
      </c>
      <c r="B4509" t="s">
        <v>14406</v>
      </c>
      <c r="C4509" t="s">
        <v>15492</v>
      </c>
      <c r="D4509" t="s">
        <v>15493</v>
      </c>
      <c r="E4509">
        <v>1</v>
      </c>
      <c r="F4509" t="s">
        <v>12122</v>
      </c>
      <c r="G4509" t="s">
        <v>14410</v>
      </c>
      <c r="H4509" t="s">
        <v>15494</v>
      </c>
    </row>
    <row r="4510" spans="1:9">
      <c r="A4510" t="str">
        <f>"0125357 "</f>
        <v xml:space="preserve">0125357 </v>
      </c>
      <c r="B4510" t="s">
        <v>14406</v>
      </c>
      <c r="C4510" t="s">
        <v>15495</v>
      </c>
      <c r="D4510" t="s">
        <v>15496</v>
      </c>
      <c r="E4510">
        <v>1</v>
      </c>
      <c r="F4510" t="s">
        <v>15497</v>
      </c>
      <c r="G4510" t="s">
        <v>14410</v>
      </c>
      <c r="H4510" t="s">
        <v>15498</v>
      </c>
    </row>
    <row r="4511" spans="1:9">
      <c r="A4511" t="str">
        <f>"0125363 "</f>
        <v xml:space="preserve">0125363 </v>
      </c>
      <c r="B4511" t="s">
        <v>14406</v>
      </c>
      <c r="C4511" t="s">
        <v>15499</v>
      </c>
      <c r="D4511" t="s">
        <v>15500</v>
      </c>
      <c r="E4511">
        <v>2</v>
      </c>
      <c r="F4511" t="s">
        <v>15112</v>
      </c>
      <c r="G4511" t="s">
        <v>14410</v>
      </c>
      <c r="H4511" t="s">
        <v>15501</v>
      </c>
    </row>
    <row r="4512" spans="1:9">
      <c r="A4512" t="str">
        <f>"0125365 "</f>
        <v xml:space="preserve">0125365 </v>
      </c>
      <c r="B4512" t="s">
        <v>14406</v>
      </c>
      <c r="C4512" t="s">
        <v>15502</v>
      </c>
      <c r="D4512" t="s">
        <v>15503</v>
      </c>
      <c r="E4512">
        <v>1</v>
      </c>
      <c r="F4512" t="s">
        <v>15192</v>
      </c>
      <c r="G4512" t="s">
        <v>14410</v>
      </c>
      <c r="H4512" t="s">
        <v>15504</v>
      </c>
    </row>
    <row r="4513" spans="1:9">
      <c r="A4513" t="str">
        <f>"0125366 "</f>
        <v xml:space="preserve">0125366 </v>
      </c>
      <c r="B4513" t="s">
        <v>14406</v>
      </c>
      <c r="C4513" t="s">
        <v>15505</v>
      </c>
      <c r="D4513" t="s">
        <v>15506</v>
      </c>
      <c r="E4513">
        <v>1</v>
      </c>
      <c r="F4513" t="s">
        <v>15507</v>
      </c>
      <c r="G4513" t="s">
        <v>14410</v>
      </c>
      <c r="H4513" t="s">
        <v>15508</v>
      </c>
      <c r="I4513" t="s">
        <v>15509</v>
      </c>
    </row>
    <row r="4514" spans="1:9">
      <c r="A4514" t="str">
        <f>"0125381 "</f>
        <v xml:space="preserve">0125381 </v>
      </c>
      <c r="B4514" t="s">
        <v>14406</v>
      </c>
      <c r="C4514" t="s">
        <v>15510</v>
      </c>
      <c r="D4514" t="s">
        <v>15511</v>
      </c>
      <c r="E4514">
        <v>2</v>
      </c>
      <c r="F4514" t="s">
        <v>15512</v>
      </c>
      <c r="G4514" t="s">
        <v>14410</v>
      </c>
      <c r="H4514" t="s">
        <v>15513</v>
      </c>
      <c r="I4514" t="s">
        <v>15514</v>
      </c>
    </row>
    <row r="4515" spans="1:9">
      <c r="A4515" t="str">
        <f>"0125409 "</f>
        <v xml:space="preserve">0125409 </v>
      </c>
      <c r="B4515" t="s">
        <v>14406</v>
      </c>
      <c r="C4515" t="s">
        <v>15515</v>
      </c>
      <c r="D4515" t="s">
        <v>15516</v>
      </c>
      <c r="E4515">
        <v>2</v>
      </c>
      <c r="F4515" t="s">
        <v>15517</v>
      </c>
      <c r="G4515" t="s">
        <v>14410</v>
      </c>
      <c r="H4515" t="s">
        <v>15518</v>
      </c>
      <c r="I4515" t="s">
        <v>15519</v>
      </c>
    </row>
    <row r="4516" spans="1:9">
      <c r="A4516" t="str">
        <f>"0125410 "</f>
        <v xml:space="preserve">0125410 </v>
      </c>
      <c r="B4516" t="s">
        <v>14406</v>
      </c>
      <c r="C4516" t="s">
        <v>15520</v>
      </c>
      <c r="D4516" t="s">
        <v>15521</v>
      </c>
      <c r="E4516">
        <v>2</v>
      </c>
      <c r="F4516" t="s">
        <v>15522</v>
      </c>
      <c r="G4516" t="s">
        <v>14410</v>
      </c>
      <c r="H4516" t="s">
        <v>15523</v>
      </c>
      <c r="I4516" t="s">
        <v>15519</v>
      </c>
    </row>
    <row r="4517" spans="1:9">
      <c r="A4517" t="str">
        <f>"0125429 "</f>
        <v xml:space="preserve">0125429 </v>
      </c>
      <c r="B4517" t="s">
        <v>14406</v>
      </c>
      <c r="C4517" t="s">
        <v>15524</v>
      </c>
      <c r="D4517" t="s">
        <v>15525</v>
      </c>
      <c r="E4517">
        <v>1</v>
      </c>
      <c r="F4517" t="s">
        <v>15526</v>
      </c>
      <c r="G4517" t="s">
        <v>14410</v>
      </c>
      <c r="H4517" t="s">
        <v>15527</v>
      </c>
    </row>
    <row r="4518" spans="1:9">
      <c r="A4518" t="str">
        <f>"0125435 "</f>
        <v xml:space="preserve">0125435 </v>
      </c>
      <c r="B4518" t="s">
        <v>14406</v>
      </c>
      <c r="C4518" t="s">
        <v>15528</v>
      </c>
      <c r="D4518" t="s">
        <v>15529</v>
      </c>
      <c r="E4518">
        <v>4</v>
      </c>
      <c r="F4518" t="s">
        <v>15530</v>
      </c>
      <c r="G4518" t="s">
        <v>14410</v>
      </c>
      <c r="H4518" t="s">
        <v>15531</v>
      </c>
      <c r="I4518" t="s">
        <v>15532</v>
      </c>
    </row>
    <row r="4519" spans="1:9">
      <c r="A4519" t="str">
        <f>"0125449 "</f>
        <v xml:space="preserve">0125449 </v>
      </c>
      <c r="B4519" t="s">
        <v>14406</v>
      </c>
      <c r="C4519" t="s">
        <v>15533</v>
      </c>
      <c r="D4519" t="s">
        <v>15534</v>
      </c>
      <c r="E4519">
        <v>2</v>
      </c>
      <c r="F4519" t="s">
        <v>15535</v>
      </c>
      <c r="G4519" t="s">
        <v>14410</v>
      </c>
      <c r="H4519" t="s">
        <v>15536</v>
      </c>
      <c r="I4519" t="s">
        <v>15537</v>
      </c>
    </row>
    <row r="4520" spans="1:9">
      <c r="A4520" t="str">
        <f>"0125488 "</f>
        <v xml:space="preserve">0125488 </v>
      </c>
      <c r="B4520" t="s">
        <v>14406</v>
      </c>
      <c r="C4520" t="s">
        <v>15538</v>
      </c>
      <c r="D4520" t="s">
        <v>15539</v>
      </c>
      <c r="E4520">
        <v>4</v>
      </c>
      <c r="F4520" t="s">
        <v>15540</v>
      </c>
      <c r="G4520" t="s">
        <v>14410</v>
      </c>
      <c r="H4520" t="s">
        <v>15541</v>
      </c>
    </row>
    <row r="4521" spans="1:9">
      <c r="A4521" t="str">
        <f>"0125506 "</f>
        <v xml:space="preserve">0125506 </v>
      </c>
      <c r="B4521" t="s">
        <v>14406</v>
      </c>
      <c r="C4521" t="s">
        <v>15542</v>
      </c>
      <c r="D4521" t="s">
        <v>15543</v>
      </c>
      <c r="E4521">
        <v>1</v>
      </c>
      <c r="F4521" t="s">
        <v>15544</v>
      </c>
      <c r="G4521" t="s">
        <v>14410</v>
      </c>
      <c r="H4521" t="s">
        <v>15545</v>
      </c>
      <c r="I4521" t="s">
        <v>15546</v>
      </c>
    </row>
    <row r="4522" spans="1:9">
      <c r="A4522" t="str">
        <f>"0125507 "</f>
        <v xml:space="preserve">0125507 </v>
      </c>
      <c r="B4522" t="s">
        <v>14406</v>
      </c>
      <c r="C4522" t="s">
        <v>15547</v>
      </c>
      <c r="D4522" t="s">
        <v>15548</v>
      </c>
      <c r="E4522">
        <v>2</v>
      </c>
      <c r="F4522" t="s">
        <v>15544</v>
      </c>
      <c r="G4522" t="s">
        <v>14410</v>
      </c>
      <c r="H4522" t="s">
        <v>15549</v>
      </c>
      <c r="I4522" t="s">
        <v>15550</v>
      </c>
    </row>
    <row r="4523" spans="1:9">
      <c r="A4523" t="str">
        <f>"0125509 "</f>
        <v xml:space="preserve">0125509 </v>
      </c>
      <c r="B4523" t="s">
        <v>14406</v>
      </c>
      <c r="C4523" t="s">
        <v>15551</v>
      </c>
      <c r="D4523" t="s">
        <v>15552</v>
      </c>
      <c r="E4523">
        <v>2</v>
      </c>
      <c r="F4523" t="s">
        <v>15553</v>
      </c>
      <c r="G4523" t="s">
        <v>14410</v>
      </c>
      <c r="H4523" t="s">
        <v>15554</v>
      </c>
      <c r="I4523" t="s">
        <v>15555</v>
      </c>
    </row>
    <row r="4524" spans="1:9">
      <c r="A4524" t="str">
        <f>"0125533 "</f>
        <v xml:space="preserve">0125533 </v>
      </c>
      <c r="B4524" t="s">
        <v>14406</v>
      </c>
      <c r="C4524" t="s">
        <v>15556</v>
      </c>
      <c r="D4524" t="s">
        <v>15557</v>
      </c>
      <c r="E4524">
        <v>2</v>
      </c>
      <c r="F4524" t="s">
        <v>15558</v>
      </c>
      <c r="G4524" t="s">
        <v>14410</v>
      </c>
      <c r="H4524" t="s">
        <v>15559</v>
      </c>
      <c r="I4524" t="s">
        <v>15560</v>
      </c>
    </row>
    <row r="4525" spans="1:9">
      <c r="A4525" t="str">
        <f>"0125547 "</f>
        <v xml:space="preserve">0125547 </v>
      </c>
      <c r="B4525" t="s">
        <v>14406</v>
      </c>
      <c r="C4525" t="s">
        <v>15561</v>
      </c>
      <c r="D4525" t="s">
        <v>15562</v>
      </c>
      <c r="E4525">
        <v>1</v>
      </c>
      <c r="F4525" t="s">
        <v>15563</v>
      </c>
      <c r="G4525" t="s">
        <v>14410</v>
      </c>
      <c r="H4525" t="s">
        <v>15564</v>
      </c>
      <c r="I4525" t="s">
        <v>15565</v>
      </c>
    </row>
    <row r="4526" spans="1:9">
      <c r="A4526" t="str">
        <f>"0125582 "</f>
        <v xml:space="preserve">0125582 </v>
      </c>
      <c r="B4526" t="s">
        <v>14406</v>
      </c>
      <c r="C4526" t="s">
        <v>15566</v>
      </c>
      <c r="D4526" t="s">
        <v>15567</v>
      </c>
      <c r="E4526">
        <v>1</v>
      </c>
      <c r="F4526" t="s">
        <v>14710</v>
      </c>
      <c r="G4526" t="s">
        <v>14410</v>
      </c>
      <c r="H4526" t="s">
        <v>15568</v>
      </c>
      <c r="I4526" t="s">
        <v>15569</v>
      </c>
    </row>
    <row r="4527" spans="1:9">
      <c r="A4527" t="str">
        <f>"0125583 "</f>
        <v xml:space="preserve">0125583 </v>
      </c>
      <c r="B4527" t="s">
        <v>14406</v>
      </c>
      <c r="C4527" t="s">
        <v>15570</v>
      </c>
      <c r="D4527" t="s">
        <v>15571</v>
      </c>
      <c r="E4527">
        <v>1</v>
      </c>
      <c r="F4527" t="s">
        <v>14710</v>
      </c>
      <c r="G4527" t="s">
        <v>14410</v>
      </c>
      <c r="H4527" t="s">
        <v>15572</v>
      </c>
      <c r="I4527" t="s">
        <v>15573</v>
      </c>
    </row>
    <row r="4528" spans="1:9">
      <c r="A4528" t="str">
        <f>"0125584 "</f>
        <v xml:space="preserve">0125584 </v>
      </c>
      <c r="B4528" t="s">
        <v>14406</v>
      </c>
      <c r="C4528" t="s">
        <v>15574</v>
      </c>
      <c r="D4528" t="s">
        <v>15575</v>
      </c>
      <c r="E4528">
        <v>2</v>
      </c>
      <c r="F4528" t="s">
        <v>15319</v>
      </c>
      <c r="G4528" t="s">
        <v>14410</v>
      </c>
      <c r="H4528" t="s">
        <v>15576</v>
      </c>
      <c r="I4528" t="s">
        <v>15577</v>
      </c>
    </row>
    <row r="4529" spans="1:9">
      <c r="A4529" t="str">
        <f>"0125586 "</f>
        <v xml:space="preserve">0125586 </v>
      </c>
      <c r="B4529" t="s">
        <v>14406</v>
      </c>
      <c r="C4529" t="s">
        <v>15578</v>
      </c>
      <c r="D4529" t="s">
        <v>15579</v>
      </c>
      <c r="E4529">
        <v>2</v>
      </c>
      <c r="F4529" t="s">
        <v>15580</v>
      </c>
      <c r="G4529" t="s">
        <v>14410</v>
      </c>
      <c r="H4529" t="s">
        <v>15581</v>
      </c>
      <c r="I4529" t="s">
        <v>15452</v>
      </c>
    </row>
    <row r="4530" spans="1:9">
      <c r="A4530" t="str">
        <f>"0125613 "</f>
        <v xml:space="preserve">0125613 </v>
      </c>
      <c r="B4530" t="s">
        <v>14406</v>
      </c>
      <c r="C4530" t="s">
        <v>15582</v>
      </c>
      <c r="D4530" t="s">
        <v>15583</v>
      </c>
      <c r="E4530">
        <v>2</v>
      </c>
      <c r="F4530" t="s">
        <v>15584</v>
      </c>
      <c r="G4530" t="s">
        <v>14410</v>
      </c>
      <c r="H4530" t="s">
        <v>15585</v>
      </c>
      <c r="I4530" t="s">
        <v>15586</v>
      </c>
    </row>
    <row r="4531" spans="1:9">
      <c r="A4531" t="str">
        <f>"0125616 "</f>
        <v xml:space="preserve">0125616 </v>
      </c>
      <c r="B4531" t="s">
        <v>14406</v>
      </c>
      <c r="C4531" t="s">
        <v>15587</v>
      </c>
      <c r="D4531" t="s">
        <v>15588</v>
      </c>
      <c r="E4531">
        <v>2</v>
      </c>
      <c r="F4531" t="s">
        <v>15589</v>
      </c>
      <c r="G4531" t="s">
        <v>14410</v>
      </c>
      <c r="H4531" t="s">
        <v>15590</v>
      </c>
    </row>
    <row r="4532" spans="1:9">
      <c r="A4532" t="str">
        <f>"0125644 "</f>
        <v xml:space="preserve">0125644 </v>
      </c>
      <c r="B4532" t="s">
        <v>14406</v>
      </c>
      <c r="C4532" t="s">
        <v>15591</v>
      </c>
      <c r="D4532" t="s">
        <v>15592</v>
      </c>
      <c r="E4532">
        <v>4</v>
      </c>
      <c r="F4532" t="s">
        <v>15593</v>
      </c>
      <c r="G4532" t="s">
        <v>14410</v>
      </c>
      <c r="H4532" t="s">
        <v>15594</v>
      </c>
      <c r="I4532" t="s">
        <v>15595</v>
      </c>
    </row>
    <row r="4533" spans="1:9">
      <c r="A4533" t="str">
        <f>"0125645 "</f>
        <v xml:space="preserve">0125645 </v>
      </c>
      <c r="B4533" t="s">
        <v>14406</v>
      </c>
      <c r="C4533" t="s">
        <v>15596</v>
      </c>
      <c r="D4533" t="s">
        <v>15597</v>
      </c>
      <c r="E4533">
        <v>2</v>
      </c>
      <c r="F4533" t="s">
        <v>15598</v>
      </c>
      <c r="G4533" t="s">
        <v>14410</v>
      </c>
      <c r="H4533" t="s">
        <v>15599</v>
      </c>
      <c r="I4533" t="s">
        <v>15600</v>
      </c>
    </row>
    <row r="4534" spans="1:9">
      <c r="A4534" t="str">
        <f>"0125646 "</f>
        <v xml:space="preserve">0125646 </v>
      </c>
      <c r="B4534" t="s">
        <v>14406</v>
      </c>
      <c r="C4534" t="s">
        <v>15601</v>
      </c>
      <c r="D4534" t="s">
        <v>15602</v>
      </c>
      <c r="E4534">
        <v>2</v>
      </c>
      <c r="F4534" t="s">
        <v>15603</v>
      </c>
      <c r="G4534" t="s">
        <v>14410</v>
      </c>
      <c r="H4534" t="s">
        <v>15604</v>
      </c>
      <c r="I4534" t="s">
        <v>15605</v>
      </c>
    </row>
    <row r="4535" spans="1:9">
      <c r="A4535" t="str">
        <f>"0125649 "</f>
        <v xml:space="preserve">0125649 </v>
      </c>
      <c r="B4535" t="s">
        <v>14406</v>
      </c>
      <c r="C4535" t="s">
        <v>15606</v>
      </c>
      <c r="D4535" t="s">
        <v>15607</v>
      </c>
      <c r="E4535">
        <v>2</v>
      </c>
      <c r="F4535" t="s">
        <v>15608</v>
      </c>
      <c r="G4535" t="s">
        <v>14410</v>
      </c>
      <c r="H4535" t="s">
        <v>15609</v>
      </c>
    </row>
    <row r="4536" spans="1:9">
      <c r="A4536" t="str">
        <f>"0125651 "</f>
        <v xml:space="preserve">0125651 </v>
      </c>
      <c r="B4536" t="s">
        <v>14406</v>
      </c>
      <c r="C4536" t="s">
        <v>15610</v>
      </c>
      <c r="D4536" t="s">
        <v>15611</v>
      </c>
      <c r="E4536">
        <v>2</v>
      </c>
      <c r="F4536" t="s">
        <v>15053</v>
      </c>
      <c r="G4536" t="s">
        <v>14410</v>
      </c>
      <c r="H4536" t="s">
        <v>15612</v>
      </c>
    </row>
    <row r="4537" spans="1:9">
      <c r="A4537" t="str">
        <f>"0125653 "</f>
        <v xml:space="preserve">0125653 </v>
      </c>
      <c r="B4537" t="s">
        <v>14406</v>
      </c>
      <c r="C4537" t="s">
        <v>15613</v>
      </c>
      <c r="D4537" t="s">
        <v>15614</v>
      </c>
      <c r="E4537">
        <v>2</v>
      </c>
      <c r="F4537" t="s">
        <v>8241</v>
      </c>
      <c r="G4537" t="s">
        <v>14410</v>
      </c>
      <c r="H4537" t="s">
        <v>15615</v>
      </c>
    </row>
    <row r="4538" spans="1:9">
      <c r="A4538" t="str">
        <f>"0125657 "</f>
        <v xml:space="preserve">0125657 </v>
      </c>
      <c r="B4538" t="s">
        <v>14406</v>
      </c>
      <c r="C4538" t="s">
        <v>15616</v>
      </c>
      <c r="D4538" t="s">
        <v>15617</v>
      </c>
      <c r="E4538">
        <v>2</v>
      </c>
      <c r="F4538" t="s">
        <v>15618</v>
      </c>
      <c r="G4538" t="s">
        <v>14410</v>
      </c>
      <c r="H4538" t="s">
        <v>15619</v>
      </c>
    </row>
    <row r="4539" spans="1:9">
      <c r="A4539" t="str">
        <f>"0125658 "</f>
        <v xml:space="preserve">0125658 </v>
      </c>
      <c r="B4539" t="s">
        <v>14406</v>
      </c>
      <c r="C4539" t="s">
        <v>15620</v>
      </c>
      <c r="D4539" t="s">
        <v>15621</v>
      </c>
      <c r="E4539">
        <v>2</v>
      </c>
      <c r="F4539" t="s">
        <v>15622</v>
      </c>
      <c r="G4539" t="s">
        <v>14410</v>
      </c>
      <c r="H4539" t="s">
        <v>15623</v>
      </c>
    </row>
    <row r="4540" spans="1:9">
      <c r="A4540" t="str">
        <f>"0125660 "</f>
        <v xml:space="preserve">0125660 </v>
      </c>
      <c r="B4540" t="s">
        <v>14406</v>
      </c>
      <c r="C4540" t="s">
        <v>15624</v>
      </c>
      <c r="D4540" t="s">
        <v>15625</v>
      </c>
      <c r="E4540">
        <v>2</v>
      </c>
      <c r="F4540" t="s">
        <v>14715</v>
      </c>
      <c r="G4540" t="s">
        <v>14410</v>
      </c>
      <c r="H4540" t="s">
        <v>15626</v>
      </c>
    </row>
    <row r="4541" spans="1:9">
      <c r="A4541" t="str">
        <f>"0125662 "</f>
        <v xml:space="preserve">0125662 </v>
      </c>
      <c r="B4541" t="s">
        <v>14406</v>
      </c>
      <c r="C4541" t="s">
        <v>15627</v>
      </c>
      <c r="D4541" t="s">
        <v>15628</v>
      </c>
      <c r="E4541">
        <v>2</v>
      </c>
      <c r="F4541" t="s">
        <v>15629</v>
      </c>
      <c r="G4541" t="s">
        <v>14410</v>
      </c>
      <c r="H4541" t="s">
        <v>15630</v>
      </c>
      <c r="I4541" t="s">
        <v>15631</v>
      </c>
    </row>
    <row r="4542" spans="1:9">
      <c r="A4542" t="str">
        <f>"0125663 "</f>
        <v xml:space="preserve">0125663 </v>
      </c>
      <c r="B4542" t="s">
        <v>14406</v>
      </c>
      <c r="C4542" t="s">
        <v>15632</v>
      </c>
      <c r="D4542" t="s">
        <v>15633</v>
      </c>
      <c r="E4542">
        <v>2</v>
      </c>
      <c r="F4542" t="s">
        <v>15634</v>
      </c>
      <c r="G4542" t="s">
        <v>14410</v>
      </c>
      <c r="H4542" t="s">
        <v>15635</v>
      </c>
      <c r="I4542" t="s">
        <v>15636</v>
      </c>
    </row>
    <row r="4543" spans="1:9">
      <c r="A4543" t="str">
        <f>"0125669 "</f>
        <v xml:space="preserve">0125669 </v>
      </c>
      <c r="B4543" t="s">
        <v>14406</v>
      </c>
      <c r="C4543" t="s">
        <v>15637</v>
      </c>
      <c r="D4543" t="s">
        <v>15638</v>
      </c>
      <c r="E4543">
        <v>2</v>
      </c>
      <c r="F4543" t="s">
        <v>15639</v>
      </c>
      <c r="G4543" t="s">
        <v>14410</v>
      </c>
      <c r="H4543" t="s">
        <v>15640</v>
      </c>
    </row>
    <row r="4544" spans="1:9">
      <c r="A4544" t="str">
        <f>"0125674 "</f>
        <v xml:space="preserve">0125674 </v>
      </c>
      <c r="B4544" t="s">
        <v>14406</v>
      </c>
      <c r="C4544" t="s">
        <v>15641</v>
      </c>
      <c r="D4544" t="s">
        <v>15642</v>
      </c>
      <c r="E4544">
        <v>2</v>
      </c>
      <c r="F4544" t="s">
        <v>15643</v>
      </c>
      <c r="G4544" t="s">
        <v>14410</v>
      </c>
      <c r="H4544" t="s">
        <v>15644</v>
      </c>
      <c r="I4544" t="s">
        <v>15645</v>
      </c>
    </row>
    <row r="4545" spans="1:9">
      <c r="A4545" t="str">
        <f>"0125682 "</f>
        <v xml:space="preserve">0125682 </v>
      </c>
      <c r="B4545" t="s">
        <v>14406</v>
      </c>
      <c r="C4545" t="s">
        <v>15646</v>
      </c>
      <c r="D4545" t="s">
        <v>15647</v>
      </c>
      <c r="E4545" t="s">
        <v>16</v>
      </c>
      <c r="F4545" t="s">
        <v>15648</v>
      </c>
      <c r="G4545" t="s">
        <v>14410</v>
      </c>
      <c r="H4545" t="s">
        <v>15649</v>
      </c>
      <c r="I4545" t="s">
        <v>15650</v>
      </c>
    </row>
    <row r="4546" spans="1:9">
      <c r="A4546" t="str">
        <f>"0125709 "</f>
        <v xml:space="preserve">0125709 </v>
      </c>
      <c r="B4546" t="s">
        <v>14406</v>
      </c>
      <c r="C4546" t="s">
        <v>15651</v>
      </c>
      <c r="D4546" t="s">
        <v>15652</v>
      </c>
      <c r="E4546">
        <v>1</v>
      </c>
      <c r="F4546" t="s">
        <v>15653</v>
      </c>
      <c r="G4546" t="s">
        <v>14410</v>
      </c>
      <c r="H4546" t="s">
        <v>15654</v>
      </c>
    </row>
    <row r="4547" spans="1:9">
      <c r="A4547" t="str">
        <f>"0125710 "</f>
        <v xml:space="preserve">0125710 </v>
      </c>
      <c r="B4547" t="s">
        <v>14406</v>
      </c>
      <c r="C4547" t="s">
        <v>15655</v>
      </c>
      <c r="D4547" t="s">
        <v>15656</v>
      </c>
      <c r="E4547">
        <v>2</v>
      </c>
      <c r="F4547" t="s">
        <v>15653</v>
      </c>
      <c r="G4547" t="s">
        <v>14410</v>
      </c>
      <c r="H4547" t="s">
        <v>15657</v>
      </c>
    </row>
    <row r="4548" spans="1:9">
      <c r="A4548" t="str">
        <f>"0125713 "</f>
        <v xml:space="preserve">0125713 </v>
      </c>
      <c r="B4548" t="s">
        <v>14406</v>
      </c>
      <c r="C4548" t="s">
        <v>15658</v>
      </c>
      <c r="D4548" t="s">
        <v>15659</v>
      </c>
      <c r="E4548">
        <v>1</v>
      </c>
      <c r="F4548" t="s">
        <v>15660</v>
      </c>
      <c r="G4548" t="s">
        <v>14410</v>
      </c>
      <c r="H4548" t="s">
        <v>15661</v>
      </c>
      <c r="I4548" t="s">
        <v>15662</v>
      </c>
    </row>
    <row r="4549" spans="1:9">
      <c r="A4549" t="str">
        <f>"0125714 "</f>
        <v xml:space="preserve">0125714 </v>
      </c>
      <c r="B4549" t="s">
        <v>14406</v>
      </c>
      <c r="C4549" t="s">
        <v>15663</v>
      </c>
      <c r="D4549" t="s">
        <v>15664</v>
      </c>
      <c r="E4549">
        <v>1</v>
      </c>
      <c r="F4549" t="s">
        <v>15660</v>
      </c>
      <c r="G4549" t="s">
        <v>14410</v>
      </c>
      <c r="H4549" t="s">
        <v>15665</v>
      </c>
      <c r="I4549" t="s">
        <v>15666</v>
      </c>
    </row>
    <row r="4550" spans="1:9">
      <c r="A4550" t="str">
        <f>"0125724 "</f>
        <v xml:space="preserve">0125724 </v>
      </c>
      <c r="B4550" t="s">
        <v>14406</v>
      </c>
      <c r="C4550" t="s">
        <v>15667</v>
      </c>
      <c r="D4550" t="s">
        <v>15668</v>
      </c>
      <c r="E4550">
        <v>1</v>
      </c>
      <c r="F4550" t="s">
        <v>15669</v>
      </c>
      <c r="G4550" t="s">
        <v>14410</v>
      </c>
      <c r="H4550" t="s">
        <v>15670</v>
      </c>
      <c r="I4550" t="s">
        <v>15671</v>
      </c>
    </row>
    <row r="4551" spans="1:9">
      <c r="A4551" t="str">
        <f>"0125725 "</f>
        <v xml:space="preserve">0125725 </v>
      </c>
      <c r="B4551" t="s">
        <v>14406</v>
      </c>
      <c r="C4551" t="s">
        <v>15672</v>
      </c>
      <c r="D4551" t="s">
        <v>15673</v>
      </c>
      <c r="E4551">
        <v>2</v>
      </c>
      <c r="F4551" t="s">
        <v>15369</v>
      </c>
      <c r="G4551" t="s">
        <v>14410</v>
      </c>
      <c r="H4551" t="s">
        <v>15674</v>
      </c>
      <c r="I4551" t="s">
        <v>15675</v>
      </c>
    </row>
    <row r="4552" spans="1:9">
      <c r="A4552" t="str">
        <f>"0125826 "</f>
        <v xml:space="preserve">0125826 </v>
      </c>
      <c r="B4552" t="s">
        <v>14406</v>
      </c>
      <c r="C4552" t="s">
        <v>15676</v>
      </c>
      <c r="D4552" t="s">
        <v>15677</v>
      </c>
      <c r="E4552">
        <v>2</v>
      </c>
      <c r="F4552" t="s">
        <v>15678</v>
      </c>
      <c r="G4552" t="s">
        <v>14410</v>
      </c>
      <c r="H4552" t="s">
        <v>15679</v>
      </c>
      <c r="I4552" t="s">
        <v>15680</v>
      </c>
    </row>
    <row r="4553" spans="1:9">
      <c r="A4553" t="str">
        <f>"0125827 "</f>
        <v xml:space="preserve">0125827 </v>
      </c>
      <c r="B4553" t="s">
        <v>14406</v>
      </c>
      <c r="C4553" t="s">
        <v>15681</v>
      </c>
      <c r="D4553" t="s">
        <v>15682</v>
      </c>
      <c r="E4553">
        <v>2</v>
      </c>
      <c r="F4553" t="s">
        <v>15678</v>
      </c>
      <c r="G4553" t="s">
        <v>14410</v>
      </c>
      <c r="H4553" t="s">
        <v>15683</v>
      </c>
      <c r="I4553" t="s">
        <v>15684</v>
      </c>
    </row>
    <row r="4554" spans="1:9">
      <c r="A4554" t="str">
        <f>"0125828 "</f>
        <v xml:space="preserve">0125828 </v>
      </c>
      <c r="B4554" t="s">
        <v>14406</v>
      </c>
      <c r="C4554" t="s">
        <v>15685</v>
      </c>
      <c r="D4554" t="s">
        <v>15686</v>
      </c>
      <c r="E4554">
        <v>2</v>
      </c>
      <c r="F4554" t="s">
        <v>15479</v>
      </c>
      <c r="G4554" t="s">
        <v>14410</v>
      </c>
      <c r="H4554" t="s">
        <v>15687</v>
      </c>
    </row>
    <row r="4555" spans="1:9">
      <c r="A4555" t="str">
        <f>"0125829 "</f>
        <v xml:space="preserve">0125829 </v>
      </c>
      <c r="B4555" t="s">
        <v>14406</v>
      </c>
      <c r="C4555" t="s">
        <v>15688</v>
      </c>
      <c r="D4555" t="s">
        <v>15689</v>
      </c>
      <c r="E4555">
        <v>2</v>
      </c>
      <c r="F4555" t="s">
        <v>15479</v>
      </c>
      <c r="G4555" t="s">
        <v>14410</v>
      </c>
      <c r="H4555" t="s">
        <v>15690</v>
      </c>
    </row>
    <row r="4556" spans="1:9">
      <c r="A4556" t="str">
        <f>"0125844 "</f>
        <v xml:space="preserve">0125844 </v>
      </c>
      <c r="B4556" t="s">
        <v>14406</v>
      </c>
      <c r="C4556" t="s">
        <v>15691</v>
      </c>
      <c r="D4556" t="s">
        <v>15692</v>
      </c>
      <c r="E4556">
        <v>2</v>
      </c>
      <c r="F4556" t="s">
        <v>15693</v>
      </c>
      <c r="G4556" t="s">
        <v>14410</v>
      </c>
      <c r="H4556" t="s">
        <v>15694</v>
      </c>
    </row>
    <row r="4557" spans="1:9">
      <c r="A4557" t="str">
        <f>"0125851 "</f>
        <v xml:space="preserve">0125851 </v>
      </c>
      <c r="B4557" t="s">
        <v>14406</v>
      </c>
      <c r="C4557" t="s">
        <v>15695</v>
      </c>
      <c r="D4557" t="s">
        <v>15696</v>
      </c>
      <c r="E4557">
        <v>4</v>
      </c>
      <c r="F4557" t="s">
        <v>15697</v>
      </c>
      <c r="G4557" t="s">
        <v>14410</v>
      </c>
      <c r="H4557" t="s">
        <v>15698</v>
      </c>
      <c r="I4557" t="s">
        <v>15699</v>
      </c>
    </row>
    <row r="4558" spans="1:9">
      <c r="A4558" t="str">
        <f>"0125853 "</f>
        <v xml:space="preserve">0125853 </v>
      </c>
      <c r="B4558" t="s">
        <v>14406</v>
      </c>
      <c r="C4558" t="s">
        <v>15700</v>
      </c>
      <c r="D4558" t="s">
        <v>15701</v>
      </c>
      <c r="E4558">
        <v>2</v>
      </c>
      <c r="F4558" t="s">
        <v>9971</v>
      </c>
      <c r="G4558" t="s">
        <v>14410</v>
      </c>
      <c r="H4558" t="s">
        <v>15702</v>
      </c>
    </row>
    <row r="4559" spans="1:9">
      <c r="A4559" t="str">
        <f>"0125856 "</f>
        <v xml:space="preserve">0125856 </v>
      </c>
      <c r="B4559" t="s">
        <v>14406</v>
      </c>
      <c r="C4559" t="s">
        <v>15703</v>
      </c>
      <c r="D4559" t="s">
        <v>15704</v>
      </c>
      <c r="E4559">
        <v>1</v>
      </c>
      <c r="F4559" t="s">
        <v>15705</v>
      </c>
      <c r="G4559" t="s">
        <v>14410</v>
      </c>
      <c r="H4559" t="s">
        <v>15706</v>
      </c>
    </row>
    <row r="4560" spans="1:9">
      <c r="A4560" t="str">
        <f>"0125857 "</f>
        <v xml:space="preserve">0125857 </v>
      </c>
      <c r="B4560" t="s">
        <v>14406</v>
      </c>
      <c r="C4560" t="s">
        <v>15707</v>
      </c>
      <c r="D4560" t="s">
        <v>15708</v>
      </c>
      <c r="E4560">
        <v>1</v>
      </c>
      <c r="F4560" t="s">
        <v>15183</v>
      </c>
      <c r="G4560" t="s">
        <v>14410</v>
      </c>
      <c r="H4560" t="s">
        <v>15709</v>
      </c>
    </row>
    <row r="4561" spans="1:9">
      <c r="A4561" t="str">
        <f>"0125869 "</f>
        <v xml:space="preserve">0125869 </v>
      </c>
      <c r="B4561" t="s">
        <v>14406</v>
      </c>
      <c r="C4561" t="s">
        <v>15710</v>
      </c>
      <c r="D4561" t="s">
        <v>15711</v>
      </c>
      <c r="E4561">
        <v>2</v>
      </c>
      <c r="F4561" t="s">
        <v>9842</v>
      </c>
      <c r="G4561" t="s">
        <v>14410</v>
      </c>
      <c r="H4561" t="s">
        <v>15712</v>
      </c>
      <c r="I4561" t="s">
        <v>15713</v>
      </c>
    </row>
    <row r="4562" spans="1:9">
      <c r="A4562" t="str">
        <f>"0125880 "</f>
        <v xml:space="preserve">0125880 </v>
      </c>
      <c r="B4562" t="s">
        <v>14406</v>
      </c>
      <c r="C4562" t="s">
        <v>15714</v>
      </c>
      <c r="D4562" t="s">
        <v>15715</v>
      </c>
      <c r="E4562">
        <v>1</v>
      </c>
      <c r="F4562" t="s">
        <v>15716</v>
      </c>
      <c r="G4562" t="s">
        <v>14410</v>
      </c>
      <c r="H4562" t="s">
        <v>15717</v>
      </c>
      <c r="I4562" t="s">
        <v>15718</v>
      </c>
    </row>
    <row r="4563" spans="1:9">
      <c r="A4563" t="str">
        <f>"0125899 "</f>
        <v xml:space="preserve">0125899 </v>
      </c>
      <c r="B4563" t="s">
        <v>14406</v>
      </c>
      <c r="C4563" t="s">
        <v>15719</v>
      </c>
      <c r="D4563" t="s">
        <v>15720</v>
      </c>
      <c r="E4563">
        <v>2</v>
      </c>
      <c r="F4563" t="s">
        <v>14769</v>
      </c>
      <c r="G4563" t="s">
        <v>14410</v>
      </c>
      <c r="H4563" t="s">
        <v>15721</v>
      </c>
    </row>
    <row r="4564" spans="1:9">
      <c r="A4564" t="str">
        <f>"0125982 "</f>
        <v xml:space="preserve">0125982 </v>
      </c>
      <c r="B4564" t="s">
        <v>14406</v>
      </c>
      <c r="C4564" t="s">
        <v>15722</v>
      </c>
      <c r="D4564" t="s">
        <v>15723</v>
      </c>
      <c r="E4564">
        <v>4</v>
      </c>
      <c r="F4564" t="s">
        <v>15724</v>
      </c>
      <c r="G4564" t="s">
        <v>14410</v>
      </c>
      <c r="H4564" t="s">
        <v>15725</v>
      </c>
      <c r="I4564" t="s">
        <v>15726</v>
      </c>
    </row>
    <row r="4565" spans="1:9">
      <c r="A4565" t="str">
        <f>"0125993 "</f>
        <v xml:space="preserve">0125993 </v>
      </c>
      <c r="B4565" t="s">
        <v>14406</v>
      </c>
      <c r="C4565" t="s">
        <v>15727</v>
      </c>
      <c r="D4565" t="s">
        <v>15728</v>
      </c>
      <c r="E4565">
        <v>1</v>
      </c>
      <c r="F4565" t="s">
        <v>15729</v>
      </c>
      <c r="G4565" t="s">
        <v>14410</v>
      </c>
      <c r="H4565" t="s">
        <v>15730</v>
      </c>
      <c r="I4565" t="s">
        <v>15731</v>
      </c>
    </row>
    <row r="4566" spans="1:9">
      <c r="A4566" t="str">
        <f>"0125994 "</f>
        <v xml:space="preserve">0125994 </v>
      </c>
      <c r="B4566" t="s">
        <v>14406</v>
      </c>
      <c r="C4566" t="s">
        <v>15732</v>
      </c>
      <c r="D4566" t="s">
        <v>15733</v>
      </c>
      <c r="E4566">
        <v>1</v>
      </c>
      <c r="F4566" t="s">
        <v>15729</v>
      </c>
      <c r="G4566" t="s">
        <v>14410</v>
      </c>
      <c r="H4566" t="s">
        <v>15734</v>
      </c>
      <c r="I4566" t="s">
        <v>15735</v>
      </c>
    </row>
    <row r="4567" spans="1:9">
      <c r="A4567" t="str">
        <f>"0125997 "</f>
        <v xml:space="preserve">0125997 </v>
      </c>
      <c r="B4567" t="s">
        <v>14406</v>
      </c>
      <c r="C4567" t="s">
        <v>15736</v>
      </c>
      <c r="D4567" t="s">
        <v>15737</v>
      </c>
      <c r="E4567" t="s">
        <v>16</v>
      </c>
      <c r="F4567" t="s">
        <v>15738</v>
      </c>
      <c r="G4567" t="s">
        <v>14410</v>
      </c>
      <c r="H4567" t="s">
        <v>15739</v>
      </c>
      <c r="I4567" t="s">
        <v>15740</v>
      </c>
    </row>
    <row r="4568" spans="1:9">
      <c r="A4568" t="str">
        <f>"0126011 "</f>
        <v xml:space="preserve">0126011 </v>
      </c>
      <c r="B4568" t="s">
        <v>14406</v>
      </c>
      <c r="C4568" t="s">
        <v>15741</v>
      </c>
      <c r="D4568" t="s">
        <v>15742</v>
      </c>
      <c r="E4568">
        <v>4</v>
      </c>
      <c r="F4568" t="s">
        <v>15743</v>
      </c>
      <c r="G4568" t="s">
        <v>14410</v>
      </c>
      <c r="H4568" t="s">
        <v>15744</v>
      </c>
      <c r="I4568" t="s">
        <v>15745</v>
      </c>
    </row>
    <row r="4569" spans="1:9">
      <c r="A4569" t="str">
        <f>"0126032 "</f>
        <v xml:space="preserve">0126032 </v>
      </c>
      <c r="B4569" t="s">
        <v>14406</v>
      </c>
      <c r="C4569" t="s">
        <v>15746</v>
      </c>
      <c r="D4569" t="s">
        <v>15747</v>
      </c>
      <c r="E4569">
        <v>3</v>
      </c>
      <c r="F4569" t="s">
        <v>15748</v>
      </c>
      <c r="G4569" t="s">
        <v>14410</v>
      </c>
      <c r="H4569" t="s">
        <v>15749</v>
      </c>
      <c r="I4569" t="s">
        <v>15750</v>
      </c>
    </row>
    <row r="4570" spans="1:9">
      <c r="A4570" t="str">
        <f>"0126077 "</f>
        <v xml:space="preserve">0126077 </v>
      </c>
      <c r="B4570" t="s">
        <v>14406</v>
      </c>
      <c r="C4570" t="s">
        <v>15751</v>
      </c>
      <c r="D4570" t="s">
        <v>15752</v>
      </c>
      <c r="E4570">
        <v>2</v>
      </c>
      <c r="F4570" t="s">
        <v>15753</v>
      </c>
      <c r="G4570" t="s">
        <v>14410</v>
      </c>
      <c r="H4570" t="s">
        <v>15754</v>
      </c>
      <c r="I4570" t="s">
        <v>15755</v>
      </c>
    </row>
    <row r="4571" spans="1:9">
      <c r="A4571" t="str">
        <f>"0126114 "</f>
        <v xml:space="preserve">0126114 </v>
      </c>
      <c r="B4571" t="s">
        <v>14406</v>
      </c>
      <c r="C4571" t="s">
        <v>15756</v>
      </c>
      <c r="D4571" t="s">
        <v>15757</v>
      </c>
      <c r="E4571">
        <v>2</v>
      </c>
      <c r="F4571" t="s">
        <v>15758</v>
      </c>
      <c r="G4571" t="s">
        <v>14410</v>
      </c>
      <c r="H4571" t="s">
        <v>15759</v>
      </c>
    </row>
    <row r="4572" spans="1:9">
      <c r="A4572" t="str">
        <f>"0126130 "</f>
        <v xml:space="preserve">0126130 </v>
      </c>
      <c r="B4572" t="s">
        <v>14406</v>
      </c>
      <c r="C4572" t="s">
        <v>15760</v>
      </c>
      <c r="D4572" t="s">
        <v>15761</v>
      </c>
      <c r="E4572">
        <v>2</v>
      </c>
      <c r="F4572" t="s">
        <v>15762</v>
      </c>
      <c r="G4572" t="s">
        <v>14410</v>
      </c>
      <c r="H4572" t="s">
        <v>15763</v>
      </c>
    </row>
    <row r="4573" spans="1:9">
      <c r="A4573" t="str">
        <f>"0126131 "</f>
        <v xml:space="preserve">0126131 </v>
      </c>
      <c r="B4573" t="s">
        <v>14406</v>
      </c>
      <c r="C4573" t="s">
        <v>15764</v>
      </c>
      <c r="D4573" t="s">
        <v>15765</v>
      </c>
      <c r="E4573">
        <v>2</v>
      </c>
      <c r="F4573" t="s">
        <v>15762</v>
      </c>
      <c r="G4573" t="s">
        <v>14410</v>
      </c>
      <c r="H4573" t="s">
        <v>15766</v>
      </c>
    </row>
    <row r="4574" spans="1:9">
      <c r="A4574" t="str">
        <f>"0126141 "</f>
        <v xml:space="preserve">0126141 </v>
      </c>
      <c r="B4574" t="s">
        <v>14406</v>
      </c>
      <c r="C4574" t="s">
        <v>15767</v>
      </c>
      <c r="D4574" t="s">
        <v>15768</v>
      </c>
      <c r="E4574">
        <v>2</v>
      </c>
      <c r="F4574" t="s">
        <v>15517</v>
      </c>
      <c r="G4574" t="s">
        <v>14410</v>
      </c>
      <c r="H4574" t="s">
        <v>15769</v>
      </c>
      <c r="I4574" t="s">
        <v>15770</v>
      </c>
    </row>
    <row r="4575" spans="1:9">
      <c r="A4575" t="str">
        <f>"0126143 "</f>
        <v xml:space="preserve">0126143 </v>
      </c>
      <c r="B4575" t="s">
        <v>14406</v>
      </c>
      <c r="C4575" t="s">
        <v>15771</v>
      </c>
      <c r="D4575" t="s">
        <v>15772</v>
      </c>
      <c r="E4575">
        <v>2</v>
      </c>
      <c r="F4575" t="s">
        <v>14678</v>
      </c>
      <c r="G4575" t="s">
        <v>14410</v>
      </c>
      <c r="H4575" t="s">
        <v>15773</v>
      </c>
      <c r="I4575" t="s">
        <v>15774</v>
      </c>
    </row>
    <row r="4576" spans="1:9">
      <c r="A4576" t="str">
        <f>"0126145 "</f>
        <v xml:space="preserve">0126145 </v>
      </c>
      <c r="B4576" t="s">
        <v>14406</v>
      </c>
      <c r="C4576" t="s">
        <v>15775</v>
      </c>
      <c r="D4576" t="s">
        <v>15776</v>
      </c>
      <c r="E4576">
        <v>2</v>
      </c>
      <c r="F4576" t="s">
        <v>14869</v>
      </c>
      <c r="G4576" t="s">
        <v>14410</v>
      </c>
      <c r="H4576" t="s">
        <v>15777</v>
      </c>
    </row>
    <row r="4577" spans="1:9">
      <c r="A4577" t="str">
        <f>"0126158 "</f>
        <v xml:space="preserve">0126158 </v>
      </c>
      <c r="B4577" t="s">
        <v>14406</v>
      </c>
      <c r="C4577" t="s">
        <v>15778</v>
      </c>
      <c r="D4577" t="s">
        <v>15779</v>
      </c>
      <c r="E4577">
        <v>1</v>
      </c>
      <c r="F4577" t="s">
        <v>15780</v>
      </c>
      <c r="G4577" t="s">
        <v>14410</v>
      </c>
      <c r="H4577" t="s">
        <v>15781</v>
      </c>
    </row>
    <row r="4578" spans="1:9">
      <c r="A4578" t="str">
        <f>"0126159 "</f>
        <v xml:space="preserve">0126159 </v>
      </c>
      <c r="B4578" t="s">
        <v>14406</v>
      </c>
      <c r="C4578" t="s">
        <v>15782</v>
      </c>
      <c r="D4578" t="s">
        <v>15783</v>
      </c>
      <c r="E4578">
        <v>1</v>
      </c>
      <c r="F4578" t="s">
        <v>15780</v>
      </c>
      <c r="G4578" t="s">
        <v>14410</v>
      </c>
      <c r="H4578" t="s">
        <v>15784</v>
      </c>
    </row>
    <row r="4579" spans="1:9">
      <c r="A4579" t="str">
        <f>"0126172 "</f>
        <v xml:space="preserve">0126172 </v>
      </c>
      <c r="B4579" t="s">
        <v>14406</v>
      </c>
      <c r="C4579" t="s">
        <v>15785</v>
      </c>
      <c r="D4579" t="s">
        <v>15786</v>
      </c>
      <c r="E4579">
        <v>2</v>
      </c>
      <c r="F4579" t="s">
        <v>15507</v>
      </c>
      <c r="G4579" t="s">
        <v>14410</v>
      </c>
      <c r="H4579" t="s">
        <v>15787</v>
      </c>
      <c r="I4579" t="s">
        <v>15788</v>
      </c>
    </row>
    <row r="4580" spans="1:9">
      <c r="A4580" t="str">
        <f>"0126225 "</f>
        <v xml:space="preserve">0126225 </v>
      </c>
      <c r="B4580" t="s">
        <v>14406</v>
      </c>
      <c r="C4580" t="s">
        <v>15789</v>
      </c>
      <c r="D4580" t="s">
        <v>15790</v>
      </c>
      <c r="E4580">
        <v>2</v>
      </c>
      <c r="F4580" t="s">
        <v>14742</v>
      </c>
      <c r="G4580" t="s">
        <v>14410</v>
      </c>
      <c r="H4580" t="s">
        <v>15791</v>
      </c>
      <c r="I4580" t="s">
        <v>15792</v>
      </c>
    </row>
    <row r="4581" spans="1:9">
      <c r="A4581" t="str">
        <f>"0126241 "</f>
        <v xml:space="preserve">0126241 </v>
      </c>
      <c r="B4581" t="s">
        <v>14406</v>
      </c>
      <c r="C4581" t="s">
        <v>15793</v>
      </c>
      <c r="D4581" t="s">
        <v>15794</v>
      </c>
      <c r="E4581">
        <v>2</v>
      </c>
      <c r="F4581" t="s">
        <v>2463</v>
      </c>
      <c r="G4581" t="s">
        <v>14410</v>
      </c>
      <c r="H4581" t="s">
        <v>15795</v>
      </c>
      <c r="I4581" t="s">
        <v>15796</v>
      </c>
    </row>
    <row r="4582" spans="1:9">
      <c r="A4582" t="str">
        <f>"0126262 "</f>
        <v xml:space="preserve">0126262 </v>
      </c>
      <c r="B4582" t="s">
        <v>14406</v>
      </c>
      <c r="C4582" t="s">
        <v>15797</v>
      </c>
      <c r="D4582" t="s">
        <v>15798</v>
      </c>
      <c r="E4582">
        <v>1</v>
      </c>
      <c r="F4582" t="s">
        <v>15292</v>
      </c>
      <c r="G4582" t="s">
        <v>14410</v>
      </c>
      <c r="H4582" t="s">
        <v>15799</v>
      </c>
      <c r="I4582" t="s">
        <v>15800</v>
      </c>
    </row>
    <row r="4583" spans="1:9">
      <c r="A4583" t="str">
        <f>"0126271 "</f>
        <v xml:space="preserve">0126271 </v>
      </c>
      <c r="B4583" t="s">
        <v>14406</v>
      </c>
      <c r="C4583" t="s">
        <v>15801</v>
      </c>
      <c r="D4583" t="s">
        <v>15802</v>
      </c>
      <c r="E4583">
        <v>4</v>
      </c>
      <c r="F4583" t="s">
        <v>14520</v>
      </c>
      <c r="G4583" t="s">
        <v>14410</v>
      </c>
      <c r="H4583" t="s">
        <v>15803</v>
      </c>
      <c r="I4583" t="s">
        <v>15804</v>
      </c>
    </row>
    <row r="4584" spans="1:9">
      <c r="A4584" t="str">
        <f>"0126276 "</f>
        <v xml:space="preserve">0126276 </v>
      </c>
      <c r="B4584" t="s">
        <v>14406</v>
      </c>
      <c r="C4584" t="s">
        <v>15805</v>
      </c>
      <c r="D4584" t="s">
        <v>15806</v>
      </c>
      <c r="E4584">
        <v>2</v>
      </c>
      <c r="F4584" t="s">
        <v>15807</v>
      </c>
      <c r="G4584" t="s">
        <v>14410</v>
      </c>
      <c r="H4584" t="s">
        <v>15808</v>
      </c>
    </row>
    <row r="4585" spans="1:9">
      <c r="A4585" t="str">
        <f>"0126311 "</f>
        <v xml:space="preserve">0126311 </v>
      </c>
      <c r="B4585" t="s">
        <v>14406</v>
      </c>
      <c r="C4585" t="s">
        <v>15809</v>
      </c>
      <c r="D4585" t="s">
        <v>15810</v>
      </c>
      <c r="E4585">
        <v>2</v>
      </c>
      <c r="F4585" t="s">
        <v>15811</v>
      </c>
      <c r="G4585" t="s">
        <v>14410</v>
      </c>
      <c r="H4585" t="s">
        <v>15812</v>
      </c>
    </row>
    <row r="4586" spans="1:9">
      <c r="A4586" t="str">
        <f>"0126317 "</f>
        <v xml:space="preserve">0126317 </v>
      </c>
      <c r="B4586" t="s">
        <v>14406</v>
      </c>
      <c r="C4586" t="s">
        <v>15813</v>
      </c>
      <c r="D4586" t="s">
        <v>15814</v>
      </c>
      <c r="E4586">
        <v>2</v>
      </c>
      <c r="F4586" t="s">
        <v>15455</v>
      </c>
      <c r="G4586" t="s">
        <v>14410</v>
      </c>
      <c r="H4586" t="s">
        <v>15815</v>
      </c>
      <c r="I4586" t="s">
        <v>15816</v>
      </c>
    </row>
    <row r="4587" spans="1:9">
      <c r="A4587" t="str">
        <f>"0126449 "</f>
        <v xml:space="preserve">0126449 </v>
      </c>
      <c r="B4587" t="s">
        <v>14406</v>
      </c>
      <c r="C4587" t="s">
        <v>15817</v>
      </c>
      <c r="D4587" t="s">
        <v>15818</v>
      </c>
      <c r="E4587">
        <v>2</v>
      </c>
      <c r="F4587" t="s">
        <v>8347</v>
      </c>
      <c r="G4587" t="s">
        <v>14410</v>
      </c>
      <c r="H4587" t="s">
        <v>15819</v>
      </c>
    </row>
    <row r="4588" spans="1:9">
      <c r="A4588" t="str">
        <f>"0126450 "</f>
        <v xml:space="preserve">0126450 </v>
      </c>
      <c r="B4588" t="s">
        <v>14406</v>
      </c>
      <c r="C4588" t="s">
        <v>15820</v>
      </c>
      <c r="D4588" t="s">
        <v>15821</v>
      </c>
      <c r="E4588">
        <v>2</v>
      </c>
      <c r="F4588" t="s">
        <v>7601</v>
      </c>
      <c r="G4588" t="s">
        <v>14410</v>
      </c>
      <c r="H4588" t="s">
        <v>15822</v>
      </c>
    </row>
    <row r="4589" spans="1:9">
      <c r="A4589" t="str">
        <f>"0126451 "</f>
        <v xml:space="preserve">0126451 </v>
      </c>
      <c r="B4589" t="s">
        <v>14406</v>
      </c>
      <c r="C4589" t="s">
        <v>15823</v>
      </c>
      <c r="D4589" t="s">
        <v>15824</v>
      </c>
      <c r="E4589">
        <v>2</v>
      </c>
      <c r="F4589" t="s">
        <v>14898</v>
      </c>
      <c r="G4589" t="s">
        <v>14410</v>
      </c>
      <c r="H4589" t="s">
        <v>15825</v>
      </c>
    </row>
    <row r="4590" spans="1:9">
      <c r="A4590" t="str">
        <f>"0126459 "</f>
        <v xml:space="preserve">0126459 </v>
      </c>
      <c r="B4590" t="s">
        <v>14406</v>
      </c>
      <c r="C4590" t="s">
        <v>15826</v>
      </c>
      <c r="D4590" t="s">
        <v>15827</v>
      </c>
      <c r="E4590">
        <v>2</v>
      </c>
      <c r="F4590" t="s">
        <v>15828</v>
      </c>
      <c r="G4590" t="s">
        <v>14410</v>
      </c>
      <c r="H4590" t="s">
        <v>15829</v>
      </c>
    </row>
    <row r="4591" spans="1:9">
      <c r="A4591" t="str">
        <f>"0126460 "</f>
        <v xml:space="preserve">0126460 </v>
      </c>
      <c r="B4591" t="s">
        <v>14406</v>
      </c>
      <c r="C4591" t="s">
        <v>15830</v>
      </c>
      <c r="D4591" t="s">
        <v>15831</v>
      </c>
      <c r="E4591">
        <v>2</v>
      </c>
      <c r="F4591" t="s">
        <v>14841</v>
      </c>
      <c r="G4591" t="s">
        <v>14410</v>
      </c>
      <c r="H4591" t="s">
        <v>15832</v>
      </c>
    </row>
    <row r="4592" spans="1:9">
      <c r="A4592" t="str">
        <f>"0126461 "</f>
        <v xml:space="preserve">0126461 </v>
      </c>
      <c r="B4592" t="s">
        <v>14406</v>
      </c>
      <c r="C4592" t="s">
        <v>15833</v>
      </c>
      <c r="D4592" t="s">
        <v>15834</v>
      </c>
      <c r="E4592">
        <v>2</v>
      </c>
      <c r="F4592" t="s">
        <v>15835</v>
      </c>
      <c r="G4592" t="s">
        <v>14410</v>
      </c>
      <c r="H4592" t="s">
        <v>15836</v>
      </c>
    </row>
    <row r="4593" spans="1:9">
      <c r="A4593" t="str">
        <f>"0126473 "</f>
        <v xml:space="preserve">0126473 </v>
      </c>
      <c r="B4593" t="s">
        <v>14406</v>
      </c>
      <c r="C4593" t="s">
        <v>15837</v>
      </c>
      <c r="D4593" t="s">
        <v>15838</v>
      </c>
      <c r="E4593">
        <v>1</v>
      </c>
      <c r="F4593" t="s">
        <v>9153</v>
      </c>
      <c r="G4593" t="s">
        <v>14410</v>
      </c>
      <c r="H4593" t="s">
        <v>15839</v>
      </c>
    </row>
    <row r="4594" spans="1:9">
      <c r="A4594" t="str">
        <f>"0126474 "</f>
        <v xml:space="preserve">0126474 </v>
      </c>
      <c r="B4594" t="s">
        <v>14406</v>
      </c>
      <c r="C4594" t="s">
        <v>15840</v>
      </c>
      <c r="D4594" t="s">
        <v>15841</v>
      </c>
      <c r="E4594">
        <v>1</v>
      </c>
      <c r="F4594" t="s">
        <v>9153</v>
      </c>
      <c r="G4594" t="s">
        <v>14410</v>
      </c>
      <c r="H4594" t="s">
        <v>15842</v>
      </c>
    </row>
    <row r="4595" spans="1:9">
      <c r="A4595" t="str">
        <f>"0126563 "</f>
        <v xml:space="preserve">0126563 </v>
      </c>
      <c r="B4595" t="s">
        <v>14406</v>
      </c>
      <c r="C4595" t="s">
        <v>15843</v>
      </c>
      <c r="D4595" t="s">
        <v>15844</v>
      </c>
      <c r="E4595">
        <v>2</v>
      </c>
      <c r="F4595" t="s">
        <v>15729</v>
      </c>
      <c r="G4595" t="s">
        <v>14410</v>
      </c>
      <c r="H4595" t="s">
        <v>15845</v>
      </c>
    </row>
    <row r="4596" spans="1:9">
      <c r="A4596" t="str">
        <f>"0126623 "</f>
        <v xml:space="preserve">0126623 </v>
      </c>
      <c r="B4596" t="s">
        <v>14406</v>
      </c>
      <c r="C4596" t="s">
        <v>15846</v>
      </c>
      <c r="D4596" t="s">
        <v>15847</v>
      </c>
      <c r="E4596">
        <v>1</v>
      </c>
      <c r="F4596" t="s">
        <v>15848</v>
      </c>
      <c r="G4596" t="s">
        <v>14410</v>
      </c>
      <c r="H4596" t="s">
        <v>15849</v>
      </c>
    </row>
    <row r="4597" spans="1:9">
      <c r="A4597" t="str">
        <f>"0126624 "</f>
        <v xml:space="preserve">0126624 </v>
      </c>
      <c r="B4597" t="s">
        <v>14406</v>
      </c>
      <c r="C4597" t="s">
        <v>15850</v>
      </c>
      <c r="D4597" t="s">
        <v>15851</v>
      </c>
      <c r="E4597">
        <v>1</v>
      </c>
      <c r="F4597" t="s">
        <v>15852</v>
      </c>
      <c r="G4597" t="s">
        <v>14410</v>
      </c>
      <c r="H4597" t="s">
        <v>15853</v>
      </c>
    </row>
    <row r="4598" spans="1:9">
      <c r="A4598" t="str">
        <f>"0126693 "</f>
        <v xml:space="preserve">0126693 </v>
      </c>
      <c r="B4598" t="s">
        <v>14406</v>
      </c>
      <c r="C4598" t="s">
        <v>15854</v>
      </c>
      <c r="D4598" t="s">
        <v>15855</v>
      </c>
      <c r="E4598">
        <v>4</v>
      </c>
      <c r="F4598" t="s">
        <v>1793</v>
      </c>
      <c r="G4598" t="s">
        <v>14410</v>
      </c>
      <c r="H4598" t="s">
        <v>15856</v>
      </c>
      <c r="I4598" t="s">
        <v>15857</v>
      </c>
    </row>
    <row r="4599" spans="1:9">
      <c r="A4599" t="str">
        <f>"0126730 "</f>
        <v xml:space="preserve">0126730 </v>
      </c>
      <c r="B4599" t="s">
        <v>14406</v>
      </c>
      <c r="C4599" t="s">
        <v>15858</v>
      </c>
      <c r="D4599" t="s">
        <v>15859</v>
      </c>
      <c r="E4599">
        <v>4</v>
      </c>
      <c r="F4599" t="s">
        <v>15053</v>
      </c>
      <c r="G4599" t="s">
        <v>14410</v>
      </c>
      <c r="H4599" t="s">
        <v>15860</v>
      </c>
    </row>
    <row r="4600" spans="1:9">
      <c r="A4600" t="str">
        <f>"0126731 "</f>
        <v xml:space="preserve">0126731 </v>
      </c>
      <c r="B4600" t="s">
        <v>14406</v>
      </c>
      <c r="C4600" t="s">
        <v>15861</v>
      </c>
      <c r="D4600" t="s">
        <v>15862</v>
      </c>
      <c r="E4600">
        <v>4</v>
      </c>
      <c r="F4600" t="s">
        <v>15863</v>
      </c>
      <c r="G4600" t="s">
        <v>14410</v>
      </c>
      <c r="H4600" t="s">
        <v>15864</v>
      </c>
    </row>
    <row r="4601" spans="1:9">
      <c r="A4601" t="str">
        <f>"0126740 "</f>
        <v xml:space="preserve">0126740 </v>
      </c>
      <c r="B4601" t="s">
        <v>14406</v>
      </c>
      <c r="C4601" t="s">
        <v>15865</v>
      </c>
      <c r="D4601" t="s">
        <v>15866</v>
      </c>
      <c r="E4601">
        <v>2</v>
      </c>
      <c r="F4601" t="s">
        <v>15272</v>
      </c>
      <c r="G4601" t="s">
        <v>14410</v>
      </c>
      <c r="H4601" t="s">
        <v>15867</v>
      </c>
      <c r="I4601" t="s">
        <v>15868</v>
      </c>
    </row>
    <row r="4602" spans="1:9">
      <c r="A4602" t="str">
        <f>"0126741 "</f>
        <v xml:space="preserve">0126741 </v>
      </c>
      <c r="B4602" t="s">
        <v>14406</v>
      </c>
      <c r="C4602" t="s">
        <v>15869</v>
      </c>
      <c r="D4602" t="s">
        <v>15870</v>
      </c>
      <c r="E4602">
        <v>1</v>
      </c>
      <c r="F4602" t="s">
        <v>15871</v>
      </c>
      <c r="G4602" t="s">
        <v>14410</v>
      </c>
      <c r="H4602" t="s">
        <v>15872</v>
      </c>
      <c r="I4602" t="s">
        <v>15873</v>
      </c>
    </row>
    <row r="4603" spans="1:9">
      <c r="A4603" t="str">
        <f>"0126742 "</f>
        <v xml:space="preserve">0126742 </v>
      </c>
      <c r="B4603" t="s">
        <v>14406</v>
      </c>
      <c r="C4603" t="s">
        <v>15874</v>
      </c>
      <c r="D4603" t="s">
        <v>15875</v>
      </c>
      <c r="E4603">
        <v>1</v>
      </c>
      <c r="F4603" t="s">
        <v>15871</v>
      </c>
      <c r="G4603" t="s">
        <v>14410</v>
      </c>
      <c r="H4603" t="s">
        <v>15876</v>
      </c>
      <c r="I4603" t="s">
        <v>15877</v>
      </c>
    </row>
    <row r="4604" spans="1:9">
      <c r="A4604" t="str">
        <f>"0153863 "</f>
        <v xml:space="preserve">0153863 </v>
      </c>
      <c r="B4604" t="s">
        <v>14406</v>
      </c>
      <c r="C4604" t="s">
        <v>15878</v>
      </c>
      <c r="D4604" t="s">
        <v>15879</v>
      </c>
      <c r="E4604">
        <v>2</v>
      </c>
      <c r="F4604" t="s">
        <v>15880</v>
      </c>
      <c r="G4604" t="s">
        <v>14410</v>
      </c>
      <c r="H4604" t="s">
        <v>15881</v>
      </c>
    </row>
    <row r="4605" spans="1:9">
      <c r="A4605" t="str">
        <f>"0126867 "</f>
        <v xml:space="preserve">0126867 </v>
      </c>
      <c r="B4605" t="s">
        <v>14406</v>
      </c>
      <c r="C4605" t="s">
        <v>15882</v>
      </c>
      <c r="D4605" t="s">
        <v>15883</v>
      </c>
      <c r="E4605">
        <v>2</v>
      </c>
      <c r="F4605" t="s">
        <v>15593</v>
      </c>
      <c r="G4605" t="s">
        <v>14410</v>
      </c>
      <c r="H4605" t="s">
        <v>15884</v>
      </c>
    </row>
    <row r="4606" spans="1:9">
      <c r="A4606" t="str">
        <f>"0126972 "</f>
        <v xml:space="preserve">0126972 </v>
      </c>
      <c r="B4606" t="s">
        <v>14406</v>
      </c>
      <c r="C4606" t="s">
        <v>15885</v>
      </c>
      <c r="D4606" t="s">
        <v>15886</v>
      </c>
      <c r="E4606">
        <v>2</v>
      </c>
      <c r="F4606" t="s">
        <v>15887</v>
      </c>
      <c r="G4606" t="s">
        <v>14410</v>
      </c>
      <c r="H4606" t="s">
        <v>15888</v>
      </c>
      <c r="I4606" t="s">
        <v>15889</v>
      </c>
    </row>
    <row r="4607" spans="1:9">
      <c r="A4607" t="str">
        <f>"0153871 "</f>
        <v xml:space="preserve">0153871 </v>
      </c>
      <c r="B4607" t="s">
        <v>14406</v>
      </c>
      <c r="C4607" t="s">
        <v>15890</v>
      </c>
      <c r="D4607" t="s">
        <v>15891</v>
      </c>
      <c r="E4607" t="s">
        <v>16</v>
      </c>
      <c r="F4607" t="s">
        <v>15892</v>
      </c>
      <c r="G4607" t="s">
        <v>14410</v>
      </c>
      <c r="H4607" t="s">
        <v>15893</v>
      </c>
      <c r="I4607" t="s">
        <v>15894</v>
      </c>
    </row>
    <row r="4608" spans="1:9">
      <c r="A4608" t="str">
        <f>"0157039 "</f>
        <v xml:space="preserve">0157039 </v>
      </c>
      <c r="B4608" t="s">
        <v>14406</v>
      </c>
      <c r="C4608" t="s">
        <v>15895</v>
      </c>
      <c r="D4608" t="s">
        <v>15896</v>
      </c>
      <c r="E4608">
        <v>2</v>
      </c>
      <c r="F4608" t="s">
        <v>15897</v>
      </c>
      <c r="G4608" t="s">
        <v>14410</v>
      </c>
      <c r="H4608" t="s">
        <v>15898</v>
      </c>
      <c r="I4608" t="s">
        <v>15899</v>
      </c>
    </row>
    <row r="4609" spans="1:9">
      <c r="A4609" t="str">
        <f>"0157040 "</f>
        <v xml:space="preserve">0157040 </v>
      </c>
      <c r="B4609" t="s">
        <v>14406</v>
      </c>
      <c r="C4609" t="s">
        <v>15900</v>
      </c>
      <c r="D4609" t="s">
        <v>15901</v>
      </c>
      <c r="E4609">
        <v>2</v>
      </c>
      <c r="F4609" t="s">
        <v>15902</v>
      </c>
      <c r="G4609" t="s">
        <v>14410</v>
      </c>
      <c r="H4609" t="s">
        <v>15903</v>
      </c>
      <c r="I4609" t="s">
        <v>15904</v>
      </c>
    </row>
    <row r="4610" spans="1:9">
      <c r="A4610" t="str">
        <f>"0159080 "</f>
        <v xml:space="preserve">0159080 </v>
      </c>
      <c r="B4610" t="s">
        <v>14406</v>
      </c>
      <c r="C4610" t="s">
        <v>15905</v>
      </c>
      <c r="D4610" t="s">
        <v>15906</v>
      </c>
      <c r="E4610">
        <v>1</v>
      </c>
      <c r="F4610" t="s">
        <v>15907</v>
      </c>
      <c r="G4610" t="s">
        <v>14410</v>
      </c>
      <c r="H4610" t="s">
        <v>15908</v>
      </c>
      <c r="I4610" t="s">
        <v>15909</v>
      </c>
    </row>
    <row r="4611" spans="1:9">
      <c r="A4611" t="str">
        <f>"0157075 "</f>
        <v xml:space="preserve">0157075 </v>
      </c>
      <c r="B4611" t="s">
        <v>14406</v>
      </c>
      <c r="C4611" t="s">
        <v>15910</v>
      </c>
      <c r="D4611" t="s">
        <v>15911</v>
      </c>
      <c r="E4611">
        <v>4</v>
      </c>
      <c r="F4611" t="s">
        <v>15912</v>
      </c>
      <c r="G4611" t="s">
        <v>14410</v>
      </c>
      <c r="H4611" t="s">
        <v>15913</v>
      </c>
      <c r="I4611" t="s">
        <v>15914</v>
      </c>
    </row>
    <row r="4612" spans="1:9">
      <c r="A4612" t="str">
        <f>"0201933 "</f>
        <v xml:space="preserve">0201933 </v>
      </c>
      <c r="B4612" t="s">
        <v>14406</v>
      </c>
      <c r="C4612" t="s">
        <v>15915</v>
      </c>
      <c r="D4612" t="s">
        <v>15916</v>
      </c>
      <c r="E4612">
        <v>2</v>
      </c>
      <c r="F4612" t="s">
        <v>15917</v>
      </c>
      <c r="G4612" t="s">
        <v>14410</v>
      </c>
      <c r="H4612" t="s">
        <v>15918</v>
      </c>
    </row>
    <row r="4613" spans="1:9">
      <c r="A4613" t="str">
        <f>"0201717 "</f>
        <v xml:space="preserve">0201717 </v>
      </c>
      <c r="B4613" t="s">
        <v>14406</v>
      </c>
      <c r="C4613" t="s">
        <v>15919</v>
      </c>
      <c r="D4613" t="s">
        <v>15920</v>
      </c>
      <c r="E4613">
        <v>4</v>
      </c>
      <c r="F4613" t="s">
        <v>15199</v>
      </c>
      <c r="G4613" t="s">
        <v>14410</v>
      </c>
      <c r="H4613" t="s">
        <v>15921</v>
      </c>
      <c r="I4613" t="s">
        <v>15922</v>
      </c>
    </row>
    <row r="4614" spans="1:9">
      <c r="A4614" t="str">
        <f>"0201943 "</f>
        <v xml:space="preserve">0201943 </v>
      </c>
      <c r="B4614" t="s">
        <v>14406</v>
      </c>
      <c r="C4614" t="s">
        <v>15923</v>
      </c>
      <c r="D4614" t="s">
        <v>15924</v>
      </c>
      <c r="E4614">
        <v>2</v>
      </c>
      <c r="F4614" t="s">
        <v>15925</v>
      </c>
      <c r="G4614" t="s">
        <v>14410</v>
      </c>
      <c r="H4614" t="s">
        <v>15926</v>
      </c>
    </row>
    <row r="4615" spans="1:9">
      <c r="A4615" t="str">
        <f>"0162798 "</f>
        <v xml:space="preserve">0162798 </v>
      </c>
      <c r="B4615" t="s">
        <v>14406</v>
      </c>
      <c r="C4615" t="s">
        <v>15927</v>
      </c>
      <c r="D4615" t="s">
        <v>15928</v>
      </c>
      <c r="E4615">
        <v>2</v>
      </c>
      <c r="F4615" t="s">
        <v>15929</v>
      </c>
      <c r="G4615" t="s">
        <v>14410</v>
      </c>
      <c r="H4615" t="s">
        <v>15930</v>
      </c>
    </row>
    <row r="4616" spans="1:9">
      <c r="A4616" t="str">
        <f>"0201791 "</f>
        <v xml:space="preserve">0201791 </v>
      </c>
      <c r="B4616" t="s">
        <v>14406</v>
      </c>
      <c r="C4616" t="s">
        <v>15931</v>
      </c>
      <c r="D4616" t="s">
        <v>15932</v>
      </c>
      <c r="E4616">
        <v>2</v>
      </c>
      <c r="F4616" t="s">
        <v>15933</v>
      </c>
      <c r="G4616" t="s">
        <v>14410</v>
      </c>
      <c r="H4616" t="s">
        <v>15934</v>
      </c>
      <c r="I4616" t="s">
        <v>15935</v>
      </c>
    </row>
    <row r="4617" spans="1:9">
      <c r="A4617" t="str">
        <f>"0202024 "</f>
        <v xml:space="preserve">0202024 </v>
      </c>
      <c r="B4617" t="s">
        <v>14406</v>
      </c>
      <c r="C4617" t="s">
        <v>15936</v>
      </c>
      <c r="D4617" t="s">
        <v>15937</v>
      </c>
      <c r="E4617" t="s">
        <v>16</v>
      </c>
      <c r="F4617" t="s">
        <v>15938</v>
      </c>
      <c r="G4617" t="s">
        <v>14410</v>
      </c>
      <c r="H4617" t="s">
        <v>15939</v>
      </c>
    </row>
    <row r="4618" spans="1:9">
      <c r="A4618" t="str">
        <f>"0256394 "</f>
        <v xml:space="preserve">0256394 </v>
      </c>
      <c r="B4618" t="s">
        <v>14406</v>
      </c>
      <c r="C4618" t="s">
        <v>15940</v>
      </c>
      <c r="D4618" t="s">
        <v>15941</v>
      </c>
      <c r="E4618" t="s">
        <v>16</v>
      </c>
      <c r="F4618" t="s">
        <v>15507</v>
      </c>
      <c r="G4618" t="s">
        <v>14410</v>
      </c>
      <c r="H4618" t="s">
        <v>15942</v>
      </c>
    </row>
    <row r="4619" spans="1:9">
      <c r="A4619" t="str">
        <f>"0256699 "</f>
        <v xml:space="preserve">0256699 </v>
      </c>
      <c r="B4619" t="s">
        <v>14406</v>
      </c>
      <c r="C4619" t="s">
        <v>15943</v>
      </c>
      <c r="D4619" t="s">
        <v>15944</v>
      </c>
      <c r="E4619">
        <v>2</v>
      </c>
      <c r="F4619" t="s">
        <v>15474</v>
      </c>
      <c r="G4619" t="s">
        <v>14410</v>
      </c>
      <c r="H4619" t="s">
        <v>15945</v>
      </c>
    </row>
    <row r="4620" spans="1:9">
      <c r="A4620" t="str">
        <f>"0256760 "</f>
        <v xml:space="preserve">0256760 </v>
      </c>
      <c r="B4620" t="s">
        <v>14406</v>
      </c>
      <c r="C4620" t="s">
        <v>15946</v>
      </c>
      <c r="D4620" t="s">
        <v>15947</v>
      </c>
      <c r="E4620" t="s">
        <v>16</v>
      </c>
      <c r="F4620" t="s">
        <v>15948</v>
      </c>
      <c r="G4620" t="s">
        <v>14410</v>
      </c>
      <c r="H4620" t="s">
        <v>15949</v>
      </c>
    </row>
    <row r="4621" spans="1:9">
      <c r="A4621" t="str">
        <f>"0269350 "</f>
        <v xml:space="preserve">0269350 </v>
      </c>
      <c r="B4621" t="s">
        <v>14406</v>
      </c>
      <c r="C4621" t="s">
        <v>15950</v>
      </c>
      <c r="D4621" t="s">
        <v>15951</v>
      </c>
      <c r="E4621">
        <v>1</v>
      </c>
      <c r="F4621" t="s">
        <v>15288</v>
      </c>
      <c r="G4621" t="s">
        <v>14410</v>
      </c>
      <c r="H4621" t="s">
        <v>15952</v>
      </c>
      <c r="I4621" t="s">
        <v>15953</v>
      </c>
    </row>
    <row r="4622" spans="1:9">
      <c r="A4622" t="str">
        <f>"0256766 "</f>
        <v xml:space="preserve">0256766 </v>
      </c>
      <c r="B4622" t="s">
        <v>14406</v>
      </c>
      <c r="C4622" t="s">
        <v>15954</v>
      </c>
      <c r="D4622" t="s">
        <v>15955</v>
      </c>
      <c r="E4622">
        <v>1</v>
      </c>
      <c r="F4622" t="s">
        <v>15956</v>
      </c>
      <c r="G4622" t="s">
        <v>14410</v>
      </c>
      <c r="H4622" t="s">
        <v>15957</v>
      </c>
    </row>
    <row r="4623" spans="1:9">
      <c r="A4623" t="str">
        <f>"0256768 "</f>
        <v xml:space="preserve">0256768 </v>
      </c>
      <c r="B4623" t="s">
        <v>14406</v>
      </c>
      <c r="C4623" t="s">
        <v>15958</v>
      </c>
      <c r="D4623" t="s">
        <v>15959</v>
      </c>
      <c r="E4623">
        <v>4</v>
      </c>
      <c r="F4623" t="s">
        <v>6321</v>
      </c>
      <c r="G4623" t="s">
        <v>14410</v>
      </c>
      <c r="H4623" t="s">
        <v>15960</v>
      </c>
    </row>
    <row r="4624" spans="1:9">
      <c r="A4624" t="str">
        <f>"0256824 "</f>
        <v xml:space="preserve">0256824 </v>
      </c>
      <c r="B4624" t="s">
        <v>14406</v>
      </c>
      <c r="C4624" t="s">
        <v>15961</v>
      </c>
      <c r="D4624" t="s">
        <v>15962</v>
      </c>
      <c r="E4624">
        <v>2</v>
      </c>
      <c r="F4624" t="s">
        <v>15963</v>
      </c>
      <c r="G4624" t="s">
        <v>14410</v>
      </c>
      <c r="H4624" t="s">
        <v>15964</v>
      </c>
    </row>
    <row r="4625" spans="1:9">
      <c r="A4625" t="str">
        <f>"0257038 "</f>
        <v xml:space="preserve">0257038 </v>
      </c>
      <c r="B4625" t="s">
        <v>14406</v>
      </c>
      <c r="C4625" t="s">
        <v>15965</v>
      </c>
      <c r="D4625" t="s">
        <v>15966</v>
      </c>
      <c r="E4625" t="s">
        <v>16</v>
      </c>
      <c r="F4625" t="s">
        <v>15967</v>
      </c>
      <c r="G4625" t="s">
        <v>14410</v>
      </c>
      <c r="H4625" t="s">
        <v>15968</v>
      </c>
    </row>
    <row r="4626" spans="1:9">
      <c r="A4626" t="str">
        <f>"0257142 "</f>
        <v xml:space="preserve">0257142 </v>
      </c>
      <c r="B4626" t="s">
        <v>14406</v>
      </c>
      <c r="C4626" t="s">
        <v>15969</v>
      </c>
      <c r="D4626" t="s">
        <v>15970</v>
      </c>
      <c r="E4626">
        <v>2</v>
      </c>
      <c r="F4626" t="s">
        <v>15971</v>
      </c>
      <c r="G4626" t="s">
        <v>14410</v>
      </c>
      <c r="H4626" t="s">
        <v>15972</v>
      </c>
    </row>
    <row r="4627" spans="1:9">
      <c r="A4627" t="str">
        <f>"0023032 "</f>
        <v xml:space="preserve">0023032 </v>
      </c>
      <c r="B4627" t="s">
        <v>15973</v>
      </c>
      <c r="C4627" t="s">
        <v>15974</v>
      </c>
      <c r="D4627" t="str">
        <f>"00010  LPR - Р“Р°Р»СЊРјС–РІРЅС– РєРѕР»РѕРґРєРё РґРѕ Р±Р°СЂР°Р±Р°РЅС–РІ (HB)"</f>
        <v>00010  LPR - Р“Р°Р»СЊРјС–РІРЅС– РєРѕР»РѕРґРєРё РґРѕ Р±Р°СЂР°Р±Р°РЅС–РІ (HB)</v>
      </c>
      <c r="E4627">
        <v>4</v>
      </c>
      <c r="F4627" t="s">
        <v>15975</v>
      </c>
      <c r="G4627" t="s">
        <v>15973</v>
      </c>
      <c r="H4627" t="str">
        <f>"00010"</f>
        <v>00010</v>
      </c>
      <c r="I4627" t="s">
        <v>15976</v>
      </c>
    </row>
    <row r="4628" spans="1:9">
      <c r="A4628" t="str">
        <f>"0023037 "</f>
        <v xml:space="preserve">0023037 </v>
      </c>
      <c r="B4628" t="s">
        <v>15973</v>
      </c>
      <c r="C4628" t="s">
        <v>15977</v>
      </c>
      <c r="D4628" t="str">
        <f>"00140  LPR - Р“Р°Р»СЊРјС–РІРЅС– РєРѕР»РѕРґРєРё РґРѕ Р±Р°СЂР°Р±Р°РЅС–РІ"</f>
        <v>00140  LPR - Р“Р°Р»СЊРјС–РІРЅС– РєРѕР»РѕРґРєРё РґРѕ Р±Р°СЂР°Р±Р°РЅС–РІ</v>
      </c>
      <c r="E4628">
        <v>3</v>
      </c>
      <c r="F4628" t="s">
        <v>5654</v>
      </c>
      <c r="G4628" t="s">
        <v>15973</v>
      </c>
      <c r="H4628" t="str">
        <f>"00140"</f>
        <v>00140</v>
      </c>
      <c r="I4628" t="s">
        <v>15978</v>
      </c>
    </row>
    <row r="4629" spans="1:9">
      <c r="A4629" t="str">
        <f>"0023063 "</f>
        <v xml:space="preserve">0023063 </v>
      </c>
      <c r="B4629" t="s">
        <v>15973</v>
      </c>
      <c r="C4629" t="s">
        <v>15979</v>
      </c>
      <c r="D4629" t="str">
        <f>"00600  LPR - Р“Р°Р»СЊРјС–РІРЅС– РєРѕР»РѕРґРєРё РґРѕ Р±Р°СЂР°Р±Р°РЅС–РІ"</f>
        <v>00600  LPR - Р“Р°Р»СЊРјС–РІРЅС– РєРѕР»РѕРґРєРё РґРѕ Р±Р°СЂР°Р±Р°РЅС–РІ</v>
      </c>
      <c r="E4629">
        <v>2</v>
      </c>
      <c r="F4629" t="s">
        <v>15980</v>
      </c>
      <c r="G4629" t="s">
        <v>15973</v>
      </c>
      <c r="H4629" t="str">
        <f>"00600"</f>
        <v>00600</v>
      </c>
      <c r="I4629" t="s">
        <v>15981</v>
      </c>
    </row>
    <row r="4630" spans="1:9">
      <c r="A4630" t="str">
        <f>"0023078 "</f>
        <v xml:space="preserve">0023078 </v>
      </c>
      <c r="B4630" t="s">
        <v>15973</v>
      </c>
      <c r="C4630" t="s">
        <v>15982</v>
      </c>
      <c r="D4630" t="str">
        <f>"00890  LPR - Р“Р°Р»СЊРјС–РІРЅС– РєРѕР»РѕРґРєРё РґРѕ Р±Р°СЂР°Р±Р°РЅС–РІ"</f>
        <v>00890  LPR - Р“Р°Р»СЊРјС–РІРЅС– РєРѕР»РѕРґРєРё РґРѕ Р±Р°СЂР°Р±Р°РЅС–РІ</v>
      </c>
      <c r="E4630">
        <v>2</v>
      </c>
      <c r="F4630" t="s">
        <v>3759</v>
      </c>
      <c r="G4630" t="s">
        <v>15973</v>
      </c>
      <c r="H4630" t="str">
        <f>"00890"</f>
        <v>00890</v>
      </c>
      <c r="I4630" t="s">
        <v>15983</v>
      </c>
    </row>
    <row r="4631" spans="1:9">
      <c r="A4631" t="str">
        <f>"0023084 "</f>
        <v xml:space="preserve">0023084 </v>
      </c>
      <c r="B4631" t="s">
        <v>15973</v>
      </c>
      <c r="C4631" t="s">
        <v>15984</v>
      </c>
      <c r="D4631" t="str">
        <f>"00930  LPR - Р“Р°Р»СЊРјС–РІРЅС– РєРѕР»РѕРґРєРё РґРѕ Р±Р°СЂР°Р±Р°РЅС–РІ"</f>
        <v>00930  LPR - Р“Р°Р»СЊРјС–РІРЅС– РєРѕР»РѕРґРєРё РґРѕ Р±Р°СЂР°Р±Р°РЅС–РІ</v>
      </c>
      <c r="E4631">
        <v>2</v>
      </c>
      <c r="F4631" t="s">
        <v>15985</v>
      </c>
      <c r="G4631" t="s">
        <v>15973</v>
      </c>
      <c r="H4631" t="str">
        <f>"00930"</f>
        <v>00930</v>
      </c>
      <c r="I4631" t="s">
        <v>15986</v>
      </c>
    </row>
    <row r="4632" spans="1:9">
      <c r="A4632" t="str">
        <f>"0035805 "</f>
        <v xml:space="preserve">0035805 </v>
      </c>
      <c r="B4632" t="s">
        <v>15973</v>
      </c>
      <c r="C4632" t="s">
        <v>15987</v>
      </c>
      <c r="D4632" t="str">
        <f>"01001  LPR - Р“Р°Р»СЊРјС–РІРЅС– РєРѕР»РѕРґРєРё РґРѕ Р±Р°СЂР°Р±Р°РЅС–РІ"</f>
        <v>01001  LPR - Р“Р°Р»СЊРјС–РІРЅС– РєРѕР»РѕРґРєРё РґРѕ Р±Р°СЂР°Р±Р°РЅС–РІ</v>
      </c>
      <c r="E4632">
        <v>2</v>
      </c>
      <c r="F4632" t="s">
        <v>15988</v>
      </c>
      <c r="G4632" t="s">
        <v>15973</v>
      </c>
      <c r="H4632" t="str">
        <f>"01001"</f>
        <v>01001</v>
      </c>
      <c r="I4632" t="s">
        <v>15989</v>
      </c>
    </row>
    <row r="4633" spans="1:9">
      <c r="A4633" t="str">
        <f>"0048832 "</f>
        <v xml:space="preserve">0048832 </v>
      </c>
      <c r="B4633" t="s">
        <v>15973</v>
      </c>
      <c r="C4633" t="s">
        <v>15990</v>
      </c>
      <c r="D4633" t="str">
        <f>"01003  LPR - Р“Р°Р»СЊРјС–РІРЅС– РєРѕР»РѕРґРєРё РґРѕ Р±Р°СЂР°Р±Р°РЅС–РІ"</f>
        <v>01003  LPR - Р“Р°Р»СЊРјС–РІРЅС– РєРѕР»РѕРґРєРё РґРѕ Р±Р°СЂР°Р±Р°РЅС–РІ</v>
      </c>
      <c r="E4633">
        <v>1</v>
      </c>
      <c r="F4633" t="s">
        <v>15988</v>
      </c>
      <c r="G4633" t="s">
        <v>15973</v>
      </c>
      <c r="H4633" t="str">
        <f>"01003"</f>
        <v>01003</v>
      </c>
      <c r="I4633" t="s">
        <v>15991</v>
      </c>
    </row>
    <row r="4634" spans="1:9">
      <c r="A4634" t="str">
        <f>"0048844 "</f>
        <v xml:space="preserve">0048844 </v>
      </c>
      <c r="B4634" t="s">
        <v>15973</v>
      </c>
      <c r="C4634" t="s">
        <v>15992</v>
      </c>
      <c r="D4634" t="str">
        <f>"01056  LPR - Р“Р°Р»СЊРјС–РІРЅС– РєРѕР»РѕРґРєРё РґРѕ Р±Р°СЂР°Р±Р°РЅС–РІ"</f>
        <v>01056  LPR - Р“Р°Р»СЊРјС–РІРЅС– РєРѕР»РѕРґРєРё РґРѕ Р±Р°СЂР°Р±Р°РЅС–РІ</v>
      </c>
      <c r="E4634">
        <v>1</v>
      </c>
      <c r="F4634" t="s">
        <v>15993</v>
      </c>
      <c r="G4634" t="s">
        <v>15973</v>
      </c>
      <c r="H4634" t="str">
        <f>"01056"</f>
        <v>01056</v>
      </c>
      <c r="I4634" t="s">
        <v>15994</v>
      </c>
    </row>
    <row r="4635" spans="1:9">
      <c r="A4635" t="str">
        <f>"0048849 "</f>
        <v xml:space="preserve">0048849 </v>
      </c>
      <c r="B4635" t="s">
        <v>15973</v>
      </c>
      <c r="C4635" t="s">
        <v>15995</v>
      </c>
      <c r="D4635" t="str">
        <f>"01063  LPR - Р“Р°Р»СЊРјС–РІРЅС– РєРѕР»РѕРґРєРё РґРѕ Р±Р°СЂР°Р±Р°РЅС–РІ HB"</f>
        <v>01063  LPR - Р“Р°Р»СЊРјС–РІРЅС– РєРѕР»РѕРґРєРё РґРѕ Р±Р°СЂР°Р±Р°РЅС–РІ HB</v>
      </c>
      <c r="E4635">
        <v>2</v>
      </c>
      <c r="F4635" t="s">
        <v>15996</v>
      </c>
      <c r="G4635" t="s">
        <v>15973</v>
      </c>
      <c r="H4635" t="str">
        <f>"01063"</f>
        <v>01063</v>
      </c>
      <c r="I4635" t="s">
        <v>15997</v>
      </c>
    </row>
    <row r="4636" spans="1:9">
      <c r="A4636" t="str">
        <f>"0101924 "</f>
        <v xml:space="preserve">0101924 </v>
      </c>
      <c r="B4636" t="s">
        <v>15973</v>
      </c>
      <c r="C4636" t="s">
        <v>15998</v>
      </c>
      <c r="D4636" t="str">
        <f>"01101  LPR - Р“Р°Р»СЊРјС–РІРЅС– РєРѕР»РѕРґРєРё РґРѕ Р±Р°СЂР°Р±Р°РЅС–РІ"</f>
        <v>01101  LPR - Р“Р°Р»СЊРјС–РІРЅС– РєРѕР»РѕРґРєРё РґРѕ Р±Р°СЂР°Р±Р°РЅС–РІ</v>
      </c>
      <c r="E4636">
        <v>2</v>
      </c>
      <c r="F4636" t="s">
        <v>15999</v>
      </c>
      <c r="G4636" t="s">
        <v>15973</v>
      </c>
      <c r="H4636" t="str">
        <f>"01101"</f>
        <v>01101</v>
      </c>
      <c r="I4636" t="s">
        <v>16000</v>
      </c>
    </row>
    <row r="4637" spans="1:9">
      <c r="A4637" t="str">
        <f>"0023102 "</f>
        <v xml:space="preserve">0023102 </v>
      </c>
      <c r="B4637" t="s">
        <v>15973</v>
      </c>
      <c r="C4637" t="s">
        <v>16001</v>
      </c>
      <c r="D4637" t="str">
        <f>"01390  LPR - Р“Р°Р»СЊРјС–РІРЅС– РєРѕР»РѕРґРєРё РґРѕ Р±Р°СЂР°Р±Р°РЅС–РІ"</f>
        <v>01390  LPR - Р“Р°Р»СЊРјС–РІРЅС– РєРѕР»РѕРґРєРё РґРѕ Р±Р°СЂР°Р±Р°РЅС–РІ</v>
      </c>
      <c r="E4637">
        <v>1</v>
      </c>
      <c r="F4637" t="s">
        <v>16002</v>
      </c>
      <c r="G4637" t="s">
        <v>15973</v>
      </c>
      <c r="H4637" t="str">
        <f>"01390"</f>
        <v>01390</v>
      </c>
      <c r="I4637" t="s">
        <v>16003</v>
      </c>
    </row>
    <row r="4638" spans="1:9">
      <c r="A4638" t="str">
        <f>"0023120 "</f>
        <v xml:space="preserve">0023120 </v>
      </c>
      <c r="B4638" t="s">
        <v>15973</v>
      </c>
      <c r="C4638" t="s">
        <v>16004</v>
      </c>
      <c r="D4638" t="str">
        <f>"02570  LPR - Р“Р°Р»СЊРјС–РІРЅС– РєРѕР»РѕРґРєРё РґРѕ Р±Р°СЂР°Р±Р°РЅС–РІ (HB)"</f>
        <v>02570  LPR - Р“Р°Р»СЊРјС–РІРЅС– РєРѕР»РѕРґРєРё РґРѕ Р±Р°СЂР°Р±Р°РЅС–РІ (HB)</v>
      </c>
      <c r="E4638">
        <v>3</v>
      </c>
      <c r="F4638" t="s">
        <v>16005</v>
      </c>
      <c r="G4638" t="s">
        <v>15973</v>
      </c>
      <c r="H4638" t="str">
        <f>"02570"</f>
        <v>02570</v>
      </c>
      <c r="I4638" t="s">
        <v>16006</v>
      </c>
    </row>
    <row r="4639" spans="1:9">
      <c r="A4639" t="str">
        <f>"0023129 "</f>
        <v xml:space="preserve">0023129 </v>
      </c>
      <c r="B4639" t="s">
        <v>15973</v>
      </c>
      <c r="C4639" t="s">
        <v>16007</v>
      </c>
      <c r="D4639" t="str">
        <f>"02850  LPR - Р“Р°Р»СЊРјС–РІРЅС– РєРѕР»РѕРґРєРё РґРѕ Р±Р°СЂР°Р±Р°РЅС–РІ"</f>
        <v>02850  LPR - Р“Р°Р»СЊРјС–РІРЅС– РєРѕР»РѕРґРєРё РґРѕ Р±Р°СЂР°Р±Р°РЅС–РІ</v>
      </c>
      <c r="E4639">
        <v>3</v>
      </c>
      <c r="F4639" t="s">
        <v>16008</v>
      </c>
      <c r="G4639" t="s">
        <v>15973</v>
      </c>
      <c r="H4639" t="str">
        <f>"02850"</f>
        <v>02850</v>
      </c>
      <c r="I4639" t="s">
        <v>16009</v>
      </c>
    </row>
    <row r="4640" spans="1:9">
      <c r="A4640" t="str">
        <f>"0023152 "</f>
        <v xml:space="preserve">0023152 </v>
      </c>
      <c r="B4640" t="s">
        <v>15973</v>
      </c>
      <c r="C4640" t="s">
        <v>16010</v>
      </c>
      <c r="D4640" t="str">
        <f>"03330  LPR - Р“Р°Р»СЊРјС–РІРЅС– РєРѕР»РѕРґРєРё РґРѕ Р±Р°СЂР°Р±Р°РЅС–РІ"</f>
        <v>03330  LPR - Р“Р°Р»СЊРјС–РІРЅС– РєРѕР»РѕРґРєРё РґРѕ Р±Р°СЂР°Р±Р°РЅС–РІ</v>
      </c>
      <c r="E4640">
        <v>1</v>
      </c>
      <c r="F4640" t="s">
        <v>16011</v>
      </c>
      <c r="G4640" t="s">
        <v>15973</v>
      </c>
      <c r="H4640" t="str">
        <f>"03330"</f>
        <v>03330</v>
      </c>
      <c r="I4640" t="s">
        <v>16012</v>
      </c>
    </row>
    <row r="4641" spans="1:9">
      <c r="A4641" t="str">
        <f>"0023166 "</f>
        <v xml:space="preserve">0023166 </v>
      </c>
      <c r="B4641" t="s">
        <v>15973</v>
      </c>
      <c r="C4641" t="s">
        <v>16013</v>
      </c>
      <c r="D4641" t="str">
        <f>"03970  LPR - Р“Р°Р»СЊРјС–РІРЅС– РєРѕР»РѕРґРєРё РґРѕ Р±Р°СЂР°Р±Р°РЅС–РІ"</f>
        <v>03970  LPR - Р“Р°Р»СЊРјС–РІРЅС– РєРѕР»РѕРґРєРё РґРѕ Р±Р°СЂР°Р±Р°РЅС–РІ</v>
      </c>
      <c r="E4641">
        <v>2</v>
      </c>
      <c r="F4641" t="s">
        <v>3057</v>
      </c>
      <c r="G4641" t="s">
        <v>15973</v>
      </c>
      <c r="H4641" t="str">
        <f>"03970"</f>
        <v>03970</v>
      </c>
      <c r="I4641" t="s">
        <v>16014</v>
      </c>
    </row>
    <row r="4642" spans="1:9">
      <c r="A4642" t="str">
        <f>"0023174 "</f>
        <v xml:space="preserve">0023174 </v>
      </c>
      <c r="B4642" t="s">
        <v>15973</v>
      </c>
      <c r="C4642" t="s">
        <v>16015</v>
      </c>
      <c r="D4642" t="str">
        <f>"04100  LPR - Р“Р°Р»СЊРјС–РІРЅС– РєРѕР»РѕРґРєРё РґРѕ Р±Р°СЂР°Р±Р°РЅС–РІ"</f>
        <v>04100  LPR - Р“Р°Р»СЊРјС–РІРЅС– РєРѕР»РѕРґРєРё РґРѕ Р±Р°СЂР°Р±Р°РЅС–РІ</v>
      </c>
      <c r="E4642">
        <v>4</v>
      </c>
      <c r="F4642" t="s">
        <v>16016</v>
      </c>
      <c r="G4642" t="s">
        <v>15973</v>
      </c>
      <c r="H4642" t="str">
        <f>"04100"</f>
        <v>04100</v>
      </c>
      <c r="I4642" t="s">
        <v>16017</v>
      </c>
    </row>
    <row r="4643" spans="1:9">
      <c r="A4643" t="str">
        <f>"0023179 "</f>
        <v xml:space="preserve">0023179 </v>
      </c>
      <c r="B4643" t="s">
        <v>15973</v>
      </c>
      <c r="C4643" t="s">
        <v>16018</v>
      </c>
      <c r="D4643" t="str">
        <f>"04280  LPR - Р“Р°Р»СЊРјС–РІРЅС– РєРѕР»РѕРґРєРё РґРѕ Р±Р°СЂР°Р±Р°РЅС–РІ (HB)"</f>
        <v>04280  LPR - Р“Р°Р»СЊРјС–РІРЅС– РєРѕР»РѕРґРєРё РґРѕ Р±Р°СЂР°Р±Р°РЅС–РІ (HB)</v>
      </c>
      <c r="E4643">
        <v>1</v>
      </c>
      <c r="F4643" t="s">
        <v>16019</v>
      </c>
      <c r="G4643" t="s">
        <v>15973</v>
      </c>
      <c r="H4643" t="str">
        <f>"04280"</f>
        <v>04280</v>
      </c>
      <c r="I4643" t="s">
        <v>16020</v>
      </c>
    </row>
    <row r="4644" spans="1:9">
      <c r="A4644" t="str">
        <f>"0023185 "</f>
        <v xml:space="preserve">0023185 </v>
      </c>
      <c r="B4644" t="s">
        <v>15973</v>
      </c>
      <c r="C4644" t="s">
        <v>16021</v>
      </c>
      <c r="D4644" t="str">
        <f>"04330  LPR - Р“Р°Р»СЊРјС–РІРЅС– РєРѕР»РѕРґРєРё РґРѕ Р±Р°СЂР°Р±Р°РЅС–РІ"</f>
        <v>04330  LPR - Р“Р°Р»СЊРјС–РІРЅС– РєРѕР»РѕРґРєРё РґРѕ Р±Р°СЂР°Р±Р°РЅС–РІ</v>
      </c>
      <c r="E4644">
        <v>1</v>
      </c>
      <c r="F4644" t="s">
        <v>16022</v>
      </c>
      <c r="G4644" t="s">
        <v>15973</v>
      </c>
      <c r="H4644" t="str">
        <f>"04330"</f>
        <v>04330</v>
      </c>
      <c r="I4644" t="s">
        <v>16023</v>
      </c>
    </row>
    <row r="4645" spans="1:9">
      <c r="A4645" t="str">
        <f>"0023197 "</f>
        <v xml:space="preserve">0023197 </v>
      </c>
      <c r="B4645" t="s">
        <v>15973</v>
      </c>
      <c r="C4645" t="s">
        <v>16024</v>
      </c>
      <c r="D4645" t="str">
        <f>"04480  LPR - Р“Р°Р»СЊРјС–РІРЅС– РєРѕР»РѕРґРєРё РґРѕ Р±Р°СЂР°Р±Р°РЅС–РІ"</f>
        <v>04480  LPR - Р“Р°Р»СЊРјС–РІРЅС– РєРѕР»РѕРґРєРё РґРѕ Р±Р°СЂР°Р±Р°РЅС–РІ</v>
      </c>
      <c r="E4645">
        <v>2</v>
      </c>
      <c r="F4645" t="s">
        <v>6420</v>
      </c>
      <c r="G4645" t="s">
        <v>15973</v>
      </c>
      <c r="H4645" t="str">
        <f>"04480"</f>
        <v>04480</v>
      </c>
      <c r="I4645" t="s">
        <v>16025</v>
      </c>
    </row>
    <row r="4646" spans="1:9">
      <c r="A4646" t="str">
        <f>"0023200 "</f>
        <v xml:space="preserve">0023200 </v>
      </c>
      <c r="B4646" t="s">
        <v>15973</v>
      </c>
      <c r="C4646" t="s">
        <v>16026</v>
      </c>
      <c r="D4646" t="str">
        <f>"04530  LPR - Р“Р°Р»СЊРјС–РІРЅС– РєРѕР»РѕРґРєРё РґРѕ Р±Р°СЂР°Р±Р°РЅС–РІ"</f>
        <v>04530  LPR - Р“Р°Р»СЊРјС–РІРЅС– РєРѕР»РѕРґРєРё РґРѕ Р±Р°СЂР°Р±Р°РЅС–РІ</v>
      </c>
      <c r="E4646">
        <v>1</v>
      </c>
      <c r="F4646" t="s">
        <v>16027</v>
      </c>
      <c r="G4646" t="s">
        <v>15973</v>
      </c>
      <c r="H4646" t="str">
        <f>"04530"</f>
        <v>04530</v>
      </c>
      <c r="I4646" t="s">
        <v>16028</v>
      </c>
    </row>
    <row r="4647" spans="1:9">
      <c r="A4647" t="str">
        <f>"0023205 "</f>
        <v xml:space="preserve">0023205 </v>
      </c>
      <c r="B4647" t="s">
        <v>15973</v>
      </c>
      <c r="C4647" t="s">
        <v>16029</v>
      </c>
      <c r="D4647" t="str">
        <f>"04600  LPR - Р“Р°Р»СЊРјС–РІРЅС– РєРѕР»РѕРґРєРё РґРѕ Р±Р°СЂР°Р±Р°РЅС–РІ"</f>
        <v>04600  LPR - Р“Р°Р»СЊРјС–РІРЅС– РєРѕР»РѕРґРєРё РґРѕ Р±Р°СЂР°Р±Р°РЅС–РІ</v>
      </c>
      <c r="E4647">
        <v>2</v>
      </c>
      <c r="F4647" t="s">
        <v>16030</v>
      </c>
      <c r="G4647" t="s">
        <v>15973</v>
      </c>
      <c r="H4647" t="str">
        <f>"04600"</f>
        <v>04600</v>
      </c>
      <c r="I4647" t="s">
        <v>16031</v>
      </c>
    </row>
    <row r="4648" spans="1:9">
      <c r="A4648" t="str">
        <f>"0023209 "</f>
        <v xml:space="preserve">0023209 </v>
      </c>
      <c r="B4648" t="s">
        <v>15973</v>
      </c>
      <c r="C4648" t="s">
        <v>16032</v>
      </c>
      <c r="D4648" t="str">
        <f>"04640  LPR - Р“Р°Р»СЊРјС–РІРЅС– РєРѕР»РѕРґРєРё РґРѕ Р±Р°СЂР°Р±Р°РЅС–РІ"</f>
        <v>04640  LPR - Р“Р°Р»СЊРјС–РІРЅС– РєРѕР»РѕРґРєРё РґРѕ Р±Р°СЂР°Р±Р°РЅС–РІ</v>
      </c>
      <c r="E4648">
        <v>1</v>
      </c>
      <c r="F4648" t="s">
        <v>16033</v>
      </c>
      <c r="G4648" t="s">
        <v>15973</v>
      </c>
      <c r="H4648" t="str">
        <f>"04640"</f>
        <v>04640</v>
      </c>
      <c r="I4648" t="s">
        <v>16034</v>
      </c>
    </row>
    <row r="4649" spans="1:9">
      <c r="A4649" t="str">
        <f>"0023210 "</f>
        <v xml:space="preserve">0023210 </v>
      </c>
      <c r="B4649" t="s">
        <v>15973</v>
      </c>
      <c r="C4649" t="s">
        <v>16035</v>
      </c>
      <c r="D4649" t="str">
        <f>"04650  LPR - Р“Р°Р»СЊРјС–РІРЅС– РєРѕР»РѕРґРєРё РґРѕ Р±Р°СЂР°Р±Р°РЅС–РІ"</f>
        <v>04650  LPR - Р“Р°Р»СЊРјС–РІРЅС– РєРѕР»РѕРґРєРё РґРѕ Р±Р°СЂР°Р±Р°РЅС–РІ</v>
      </c>
      <c r="E4649">
        <v>2</v>
      </c>
      <c r="F4649" t="s">
        <v>16036</v>
      </c>
      <c r="G4649" t="s">
        <v>15973</v>
      </c>
      <c r="H4649" t="str">
        <f>"04650"</f>
        <v>04650</v>
      </c>
      <c r="I4649" t="s">
        <v>16037</v>
      </c>
    </row>
    <row r="4650" spans="1:9">
      <c r="A4650" t="str">
        <f>"0023211 "</f>
        <v xml:space="preserve">0023211 </v>
      </c>
      <c r="B4650" t="s">
        <v>15973</v>
      </c>
      <c r="C4650" t="s">
        <v>16038</v>
      </c>
      <c r="D4650" t="str">
        <f>"04660  LPR - Р“Р°Р»СЊРјС–РІРЅС– РєРѕР»РѕРґРєРё РґРѕ Р±Р°СЂР°Р±Р°РЅС–РІ"</f>
        <v>04660  LPR - Р“Р°Р»СЊРјС–РІРЅС– РєРѕР»РѕРґРєРё РґРѕ Р±Р°СЂР°Р±Р°РЅС–РІ</v>
      </c>
      <c r="E4650">
        <v>4</v>
      </c>
      <c r="F4650" t="s">
        <v>6717</v>
      </c>
      <c r="G4650" t="s">
        <v>15973</v>
      </c>
      <c r="H4650" t="str">
        <f>"04660"</f>
        <v>04660</v>
      </c>
      <c r="I4650" t="s">
        <v>16039</v>
      </c>
    </row>
    <row r="4651" spans="1:9">
      <c r="A4651" t="str">
        <f>"0023221 "</f>
        <v xml:space="preserve">0023221 </v>
      </c>
      <c r="B4651" t="s">
        <v>15973</v>
      </c>
      <c r="C4651" t="s">
        <v>16040</v>
      </c>
      <c r="D4651" t="str">
        <f>"04730  LPR - Р“Р°Р»СЊРјС–РІРЅС– РєРѕР»РѕРґРєРё РґРѕ Р±Р°СЂР°Р±Р°РЅС–РІ (HB)"</f>
        <v>04730  LPR - Р“Р°Р»СЊРјС–РІРЅС– РєРѕР»РѕРґРєРё РґРѕ Р±Р°СЂР°Р±Р°РЅС–РІ (HB)</v>
      </c>
      <c r="E4651">
        <v>1</v>
      </c>
      <c r="F4651" t="s">
        <v>14841</v>
      </c>
      <c r="G4651" t="s">
        <v>15973</v>
      </c>
      <c r="H4651" t="str">
        <f>"04730"</f>
        <v>04730</v>
      </c>
      <c r="I4651" t="s">
        <v>16041</v>
      </c>
    </row>
    <row r="4652" spans="1:9">
      <c r="A4652" t="str">
        <f>"0023230 "</f>
        <v xml:space="preserve">0023230 </v>
      </c>
      <c r="B4652" t="s">
        <v>15973</v>
      </c>
      <c r="C4652" t="s">
        <v>16042</v>
      </c>
      <c r="D4652" t="str">
        <f>"04830  LPR - Р“Р°Р»СЊРјС–РІРЅС– РєРѕР»РѕРґРєРё РґРѕ Р±Р°СЂР°Р±Р°РЅС–РІ"</f>
        <v>04830  LPR - Р“Р°Р»СЊРјС–РІРЅС– РєРѕР»РѕРґРєРё РґРѕ Р±Р°СЂР°Р±Р°РЅС–РІ</v>
      </c>
      <c r="E4652">
        <v>4</v>
      </c>
      <c r="F4652" t="s">
        <v>16005</v>
      </c>
      <c r="G4652" t="s">
        <v>15973</v>
      </c>
      <c r="H4652" t="str">
        <f>"04830"</f>
        <v>04830</v>
      </c>
      <c r="I4652" t="s">
        <v>16043</v>
      </c>
    </row>
    <row r="4653" spans="1:9">
      <c r="A4653" t="str">
        <f>"0023234 "</f>
        <v xml:space="preserve">0023234 </v>
      </c>
      <c r="B4653" t="s">
        <v>15973</v>
      </c>
      <c r="C4653" t="s">
        <v>16044</v>
      </c>
      <c r="D4653" t="str">
        <f>"04860  LPR - Р“Р°Р»СЊРјС–РІРЅС– РєРѕР»РѕРґРєРё РґРѕ Р±Р°СЂР°Р±Р°РЅС–РІ"</f>
        <v>04860  LPR - Р“Р°Р»СЊРјС–РІРЅС– РєРѕР»РѕРґРєРё РґРѕ Р±Р°СЂР°Р±Р°РЅС–РІ</v>
      </c>
      <c r="E4653">
        <v>1</v>
      </c>
      <c r="F4653" t="s">
        <v>16045</v>
      </c>
      <c r="G4653" t="s">
        <v>15973</v>
      </c>
      <c r="H4653" t="str">
        <f>"04860"</f>
        <v>04860</v>
      </c>
      <c r="I4653" t="s">
        <v>16046</v>
      </c>
    </row>
    <row r="4654" spans="1:9">
      <c r="A4654" t="str">
        <f>"0023248 "</f>
        <v xml:space="preserve">0023248 </v>
      </c>
      <c r="B4654" t="s">
        <v>15973</v>
      </c>
      <c r="C4654" t="s">
        <v>16047</v>
      </c>
      <c r="D4654" t="str">
        <f>"04980  LPR - Р“Р°Р»СЊРјС–РІРЅС– РєРѕР»РѕРґРєРё РґРѕ Р±Р°СЂР°Р±Р°РЅС–РІ"</f>
        <v>04980  LPR - Р“Р°Р»СЊРјС–РІРЅС– РєРѕР»РѕРґРєРё РґРѕ Р±Р°СЂР°Р±Р°РЅС–РІ</v>
      </c>
      <c r="E4654" t="s">
        <v>16</v>
      </c>
      <c r="F4654" t="s">
        <v>16048</v>
      </c>
      <c r="G4654" t="s">
        <v>15973</v>
      </c>
      <c r="H4654" t="str">
        <f>"04980"</f>
        <v>04980</v>
      </c>
      <c r="I4654" t="s">
        <v>16049</v>
      </c>
    </row>
    <row r="4655" spans="1:9">
      <c r="A4655" t="str">
        <f>"0023251 "</f>
        <v xml:space="preserve">0023251 </v>
      </c>
      <c r="B4655" t="s">
        <v>15973</v>
      </c>
      <c r="C4655" t="s">
        <v>16050</v>
      </c>
      <c r="D4655" t="str">
        <f>"04990  LPR - Р“Р°Р»СЊРјС–РІРЅС– РєРѕР»РѕРґРєРё РґРѕ Р±Р°СЂР°Р±Р°РЅС–РІ"</f>
        <v>04990  LPR - Р“Р°Р»СЊРјС–РІРЅС– РєРѕР»РѕРґРєРё РґРѕ Р±Р°СЂР°Р±Р°РЅС–РІ</v>
      </c>
      <c r="E4655">
        <v>1</v>
      </c>
      <c r="F4655" t="s">
        <v>16051</v>
      </c>
      <c r="G4655" t="s">
        <v>15973</v>
      </c>
      <c r="H4655" t="str">
        <f>"04990"</f>
        <v>04990</v>
      </c>
      <c r="I4655" t="s">
        <v>16052</v>
      </c>
    </row>
    <row r="4656" spans="1:9">
      <c r="A4656" t="str">
        <f>"0024548 "</f>
        <v xml:space="preserve">0024548 </v>
      </c>
      <c r="B4656" t="s">
        <v>15973</v>
      </c>
      <c r="C4656" t="s">
        <v>16053</v>
      </c>
      <c r="D4656" t="str">
        <f>"05040  LPR - Р“Р°Р»СЊРјС–РІРЅС– РєРѕР»РѕРґРєРё РґРѕ Р±Р°СЂР°Р±Р°РЅС–РІ"</f>
        <v>05040  LPR - Р“Р°Р»СЊРјС–РІРЅС– РєРѕР»РѕРґРєРё РґРѕ Р±Р°СЂР°Р±Р°РЅС–РІ</v>
      </c>
      <c r="E4656">
        <v>2</v>
      </c>
      <c r="F4656" t="s">
        <v>5330</v>
      </c>
      <c r="G4656" t="s">
        <v>15973</v>
      </c>
      <c r="H4656" t="str">
        <f>"05040"</f>
        <v>05040</v>
      </c>
      <c r="I4656" t="s">
        <v>16054</v>
      </c>
    </row>
    <row r="4657" spans="1:9">
      <c r="A4657" t="str">
        <f>"0024554 "</f>
        <v xml:space="preserve">0024554 </v>
      </c>
      <c r="B4657" t="s">
        <v>15973</v>
      </c>
      <c r="C4657" t="s">
        <v>16055</v>
      </c>
      <c r="D4657" t="str">
        <f>"05070  LPR - Р“Р°Р»СЊРјС–РІРЅС– РєРѕР»РѕРґРєРё РґРѕ Р±Р°СЂР°Р±Р°РЅС–РІ"</f>
        <v>05070  LPR - Р“Р°Р»СЊРјС–РІРЅС– РєРѕР»РѕРґРєРё РґРѕ Р±Р°СЂР°Р±Р°РЅС–РІ</v>
      </c>
      <c r="E4657">
        <v>2</v>
      </c>
      <c r="F4657" t="s">
        <v>16056</v>
      </c>
      <c r="G4657" t="s">
        <v>15973</v>
      </c>
      <c r="H4657" t="str">
        <f>"05070"</f>
        <v>05070</v>
      </c>
      <c r="I4657" t="s">
        <v>16057</v>
      </c>
    </row>
    <row r="4658" spans="1:9">
      <c r="A4658" t="str">
        <f>"0024557 "</f>
        <v xml:space="preserve">0024557 </v>
      </c>
      <c r="B4658" t="s">
        <v>15973</v>
      </c>
      <c r="C4658" t="s">
        <v>16058</v>
      </c>
      <c r="D4658" t="str">
        <f>"05095  LPR - Р“Р°Р»СЊРјС–РІРЅС– РєРѕР»РѕРґРєРё РґРѕ Р±Р°СЂР°Р±Р°РЅС–РІ"</f>
        <v>05095  LPR - Р“Р°Р»СЊРјС–РІРЅС– РєРѕР»РѕРґРєРё РґРѕ Р±Р°СЂР°Р±Р°РЅС–РІ</v>
      </c>
      <c r="E4658">
        <v>1</v>
      </c>
      <c r="F4658" t="s">
        <v>16059</v>
      </c>
      <c r="G4658" t="s">
        <v>15973</v>
      </c>
      <c r="H4658" t="str">
        <f>"05095"</f>
        <v>05095</v>
      </c>
      <c r="I4658" t="s">
        <v>16060</v>
      </c>
    </row>
    <row r="4659" spans="1:9">
      <c r="A4659" t="str">
        <f>"0024613 "</f>
        <v xml:space="preserve">0024613 </v>
      </c>
      <c r="B4659" t="s">
        <v>15973</v>
      </c>
      <c r="C4659" t="s">
        <v>16061</v>
      </c>
      <c r="D4659" t="str">
        <f>"05690  LPR - Р“Р°Р»СЊРјС–РІРЅС– РєРѕР»РѕРґРєРё РґРѕ Р±Р°СЂР°Р±Р°РЅС–РІ"</f>
        <v>05690  LPR - Р“Р°Р»СЊРјС–РІРЅС– РєРѕР»РѕРґРєРё РґРѕ Р±Р°СЂР°Р±Р°РЅС–РІ</v>
      </c>
      <c r="E4659">
        <v>1</v>
      </c>
      <c r="F4659" t="s">
        <v>16062</v>
      </c>
      <c r="G4659" t="s">
        <v>15973</v>
      </c>
      <c r="H4659" t="str">
        <f>"05690"</f>
        <v>05690</v>
      </c>
      <c r="I4659" t="s">
        <v>16063</v>
      </c>
    </row>
    <row r="4660" spans="1:9">
      <c r="A4660" t="str">
        <f>"0024619 "</f>
        <v xml:space="preserve">0024619 </v>
      </c>
      <c r="B4660" t="s">
        <v>15973</v>
      </c>
      <c r="C4660" t="s">
        <v>16064</v>
      </c>
      <c r="D4660" t="str">
        <f>"05730  LPR - Р“Р°Р»СЊРјС–РІРЅС– РєРѕР»РѕРґРєРё РґРѕ Р±Р°СЂР°Р±Р°РЅС–РІ"</f>
        <v>05730  LPR - Р“Р°Р»СЊРјС–РІРЅС– РєРѕР»РѕРґРєРё РґРѕ Р±Р°СЂР°Р±Р°РЅС–РІ</v>
      </c>
      <c r="E4660">
        <v>1</v>
      </c>
      <c r="F4660" t="s">
        <v>16065</v>
      </c>
      <c r="G4660" t="s">
        <v>15973</v>
      </c>
      <c r="H4660" t="str">
        <f>"05730"</f>
        <v>05730</v>
      </c>
      <c r="I4660" t="s">
        <v>16066</v>
      </c>
    </row>
    <row r="4661" spans="1:9">
      <c r="A4661" t="str">
        <f>"0024623 "</f>
        <v xml:space="preserve">0024623 </v>
      </c>
      <c r="B4661" t="s">
        <v>15973</v>
      </c>
      <c r="C4661" t="s">
        <v>16067</v>
      </c>
      <c r="D4661" t="str">
        <f>"05780  LPR - Р“Р°Р»СЊРјС–РІРЅС– РєРѕР»РѕРґРєРё РґРѕ Р±Р°СЂР°Р±Р°РЅС–РІ"</f>
        <v>05780  LPR - Р“Р°Р»СЊРјС–РІРЅС– РєРѕР»РѕРґРєРё РґРѕ Р±Р°СЂР°Р±Р°РЅС–РІ</v>
      </c>
      <c r="E4661">
        <v>2</v>
      </c>
      <c r="F4661" t="s">
        <v>6853</v>
      </c>
      <c r="G4661" t="s">
        <v>15973</v>
      </c>
      <c r="H4661" t="str">
        <f>"05780"</f>
        <v>05780</v>
      </c>
      <c r="I4661" t="s">
        <v>16068</v>
      </c>
    </row>
    <row r="4662" spans="1:9">
      <c r="A4662" t="str">
        <f>"0023258 "</f>
        <v xml:space="preserve">0023258 </v>
      </c>
      <c r="B4662" t="s">
        <v>15973</v>
      </c>
      <c r="C4662" t="s">
        <v>16069</v>
      </c>
      <c r="D4662" t="str">
        <f>"05P007  LPR - Р“Р°Р»СЊРјС–РІРЅС– РєРѕР»РѕРґРєРё РґРѕ РґРёСЃРєС–РІ"</f>
        <v>05P007  LPR - Р“Р°Р»СЊРјС–РІРЅС– РєРѕР»РѕРґРєРё РґРѕ РґРёСЃРєС–РІ</v>
      </c>
      <c r="E4662">
        <v>1</v>
      </c>
      <c r="F4662" t="s">
        <v>16002</v>
      </c>
      <c r="G4662" t="s">
        <v>15973</v>
      </c>
      <c r="H4662" t="str">
        <f>"05P007"</f>
        <v>05P007</v>
      </c>
      <c r="I4662" t="s">
        <v>16070</v>
      </c>
    </row>
    <row r="4663" spans="1:9">
      <c r="A4663" t="str">
        <f>"0023262 "</f>
        <v xml:space="preserve">0023262 </v>
      </c>
      <c r="B4663" t="s">
        <v>15973</v>
      </c>
      <c r="C4663" t="s">
        <v>16071</v>
      </c>
      <c r="D4663" t="str">
        <f>"05P011  LPR - Р“Р°Р»СЊРјС–РІРЅС– РєРѕР»РѕРґРєРё РґРѕ РґРёСЃРєС–РІ"</f>
        <v>05P011  LPR - Р“Р°Р»СЊРјС–РІРЅС– РєРѕР»РѕРґРєРё РґРѕ РґРёСЃРєС–РІ</v>
      </c>
      <c r="E4663">
        <v>1</v>
      </c>
      <c r="F4663" t="s">
        <v>16072</v>
      </c>
      <c r="G4663" t="s">
        <v>15973</v>
      </c>
      <c r="H4663" t="str">
        <f>"05P011"</f>
        <v>05P011</v>
      </c>
      <c r="I4663" t="s">
        <v>16073</v>
      </c>
    </row>
    <row r="4664" spans="1:9">
      <c r="A4664" t="str">
        <f>"0023275 "</f>
        <v xml:space="preserve">0023275 </v>
      </c>
      <c r="B4664" t="s">
        <v>15973</v>
      </c>
      <c r="C4664" t="s">
        <v>16074</v>
      </c>
      <c r="D4664" t="str">
        <f>"05P024  LPR - Р“Р°Р»СЊРјС–РІРЅС– РєРѕР»РѕРґРєРё РґРѕ РґРёСЃРєС–РІ"</f>
        <v>05P024  LPR - Р“Р°Р»СЊРјС–РІРЅС– РєРѕР»РѕРґРєРё РґРѕ РґРёСЃРєС–РІ</v>
      </c>
      <c r="E4664">
        <v>1</v>
      </c>
      <c r="F4664" t="s">
        <v>16075</v>
      </c>
      <c r="G4664" t="s">
        <v>15973</v>
      </c>
      <c r="H4664" t="str">
        <f>"05P024"</f>
        <v>05P024</v>
      </c>
      <c r="I4664" t="s">
        <v>16076</v>
      </c>
    </row>
    <row r="4665" spans="1:9">
      <c r="A4665" t="str">
        <f>"0023288 "</f>
        <v xml:space="preserve">0023288 </v>
      </c>
      <c r="B4665" t="s">
        <v>15973</v>
      </c>
      <c r="C4665" t="s">
        <v>16077</v>
      </c>
      <c r="D4665" t="str">
        <f>"05P037  LPR - Р“Р°Р»СЊРјС–РІРЅС– РєРѕР»РѕРґРєРё РґРѕ РґРёСЃРєС–РІ"</f>
        <v>05P037  LPR - Р“Р°Р»СЊРјС–РІРЅС– РєРѕР»РѕРґРєРё РґРѕ РґРёСЃРєС–РІ</v>
      </c>
      <c r="E4665">
        <v>1</v>
      </c>
      <c r="F4665" t="s">
        <v>6650</v>
      </c>
      <c r="G4665" t="s">
        <v>15973</v>
      </c>
      <c r="H4665" t="str">
        <f>"05P037"</f>
        <v>05P037</v>
      </c>
      <c r="I4665" t="s">
        <v>16078</v>
      </c>
    </row>
    <row r="4666" spans="1:9">
      <c r="A4666" t="str">
        <f>"0023294 "</f>
        <v xml:space="preserve">0023294 </v>
      </c>
      <c r="B4666" t="s">
        <v>15973</v>
      </c>
      <c r="C4666" t="s">
        <v>16079</v>
      </c>
      <c r="D4666" t="str">
        <f>"05P043  LPR - Р“Р°Р»СЊРјС–РІРЅС– РєРѕР»РѕРґРєРё РґРѕ РґРёСЃРєС–РІ"</f>
        <v>05P043  LPR - Р“Р°Р»СЊРјС–РІРЅС– РєРѕР»РѕРґРєРё РґРѕ РґРёСЃРєС–РІ</v>
      </c>
      <c r="E4666">
        <v>1</v>
      </c>
      <c r="F4666" t="s">
        <v>16080</v>
      </c>
      <c r="G4666" t="s">
        <v>15973</v>
      </c>
      <c r="H4666" t="str">
        <f>"05P043"</f>
        <v>05P043</v>
      </c>
      <c r="I4666" t="s">
        <v>16081</v>
      </c>
    </row>
    <row r="4667" spans="1:9">
      <c r="A4667" t="str">
        <f>"0023343 "</f>
        <v xml:space="preserve">0023343 </v>
      </c>
      <c r="B4667" t="s">
        <v>15973</v>
      </c>
      <c r="C4667" t="s">
        <v>16082</v>
      </c>
      <c r="D4667" t="str">
        <f>"05P1002  LPR - Р“Р°Р»СЊРјС–РІРЅС– РєРѕР»РѕРґРєРё РґРѕ РґРёСЃРєС–РІ"</f>
        <v>05P1002  LPR - Р“Р°Р»СЊРјС–РІРЅС– РєРѕР»РѕРґРєРё РґРѕ РґРёСЃРєС–РІ</v>
      </c>
      <c r="E4667">
        <v>1</v>
      </c>
      <c r="F4667" t="s">
        <v>16083</v>
      </c>
      <c r="G4667" t="s">
        <v>15973</v>
      </c>
      <c r="H4667" t="str">
        <f>"05P1002"</f>
        <v>05P1002</v>
      </c>
      <c r="I4667" t="s">
        <v>16084</v>
      </c>
    </row>
    <row r="4668" spans="1:9">
      <c r="A4668" t="str">
        <f>"0023345 "</f>
        <v xml:space="preserve">0023345 </v>
      </c>
      <c r="B4668" t="s">
        <v>15973</v>
      </c>
      <c r="C4668" t="s">
        <v>16085</v>
      </c>
      <c r="D4668" t="str">
        <f>"05P1004  LPR - Р“Р°Р»СЊРјС–РІРЅС– РєРѕР»РѕРґРєРё РґРѕ РґРёСЃРєС–РІ"</f>
        <v>05P1004  LPR - Р“Р°Р»СЊРјС–РІРЅС– РєРѕР»РѕРґРєРё РґРѕ РґРёСЃРєС–РІ</v>
      </c>
      <c r="E4668">
        <v>1</v>
      </c>
      <c r="F4668" t="s">
        <v>16086</v>
      </c>
      <c r="G4668" t="s">
        <v>15973</v>
      </c>
      <c r="H4668" t="str">
        <f>"05P1004"</f>
        <v>05P1004</v>
      </c>
      <c r="I4668" t="s">
        <v>16087</v>
      </c>
    </row>
    <row r="4669" spans="1:9">
      <c r="A4669" t="str">
        <f>"0023347 "</f>
        <v xml:space="preserve">0023347 </v>
      </c>
      <c r="B4669" t="s">
        <v>15973</v>
      </c>
      <c r="C4669" t="s">
        <v>16088</v>
      </c>
      <c r="D4669" t="str">
        <f>"05P1006  LPR - Р“Р°Р»СЊРјС–РІРЅС– РєРѕР»РѕРґРєРё РґРѕ РґРёСЃРєС–РІ"</f>
        <v>05P1006  LPR - Р“Р°Р»СЊРјС–РІРЅС– РєРѕР»РѕРґРєРё РґРѕ РґРёСЃРєС–РІ</v>
      </c>
      <c r="E4669">
        <v>1</v>
      </c>
      <c r="F4669" t="s">
        <v>16089</v>
      </c>
      <c r="G4669" t="s">
        <v>15973</v>
      </c>
      <c r="H4669" t="str">
        <f>"05P1006"</f>
        <v>05P1006</v>
      </c>
      <c r="I4669" t="s">
        <v>16090</v>
      </c>
    </row>
    <row r="4670" spans="1:9">
      <c r="A4670" t="str">
        <f>"0023351 "</f>
        <v xml:space="preserve">0023351 </v>
      </c>
      <c r="B4670" t="s">
        <v>15973</v>
      </c>
      <c r="C4670" t="s">
        <v>16091</v>
      </c>
      <c r="D4670" t="str">
        <f>"05P101  LPR - Р“Р°Р»СЊРјС–РІРЅС– РєРѕР»РѕРґРєРё РґРѕ РґРёСЃРєС–РІ"</f>
        <v>05P101  LPR - Р“Р°Р»СЊРјС–РІРЅС– РєРѕР»РѕРґРєРё РґРѕ РґРёСЃРєС–РІ</v>
      </c>
      <c r="E4670">
        <v>1</v>
      </c>
      <c r="F4670" t="s">
        <v>16092</v>
      </c>
      <c r="G4670" t="s">
        <v>15973</v>
      </c>
      <c r="H4670" t="str">
        <f>"05P101"</f>
        <v>05P101</v>
      </c>
      <c r="I4670" t="s">
        <v>16093</v>
      </c>
    </row>
    <row r="4671" spans="1:9">
      <c r="A4671" t="str">
        <f>"0023362 "</f>
        <v xml:space="preserve">0023362 </v>
      </c>
      <c r="B4671" t="s">
        <v>15973</v>
      </c>
      <c r="C4671" t="s">
        <v>16094</v>
      </c>
      <c r="D4671" t="str">
        <f>"05P102  LPR - Р“Р°Р»СЊРјС–РІРЅС– РєРѕР»РѕРґРєРё РґРѕ РґРёСЃРєС–РІ"</f>
        <v>05P102  LPR - Р“Р°Р»СЊРјС–РІРЅС– РєРѕР»РѕРґРєРё РґРѕ РґРёСЃРєС–РІ</v>
      </c>
      <c r="E4671">
        <v>1</v>
      </c>
      <c r="F4671" t="s">
        <v>5288</v>
      </c>
      <c r="G4671" t="s">
        <v>15973</v>
      </c>
      <c r="H4671" t="str">
        <f>"05P102"</f>
        <v>05P102</v>
      </c>
      <c r="I4671" t="s">
        <v>16095</v>
      </c>
    </row>
    <row r="4672" spans="1:9">
      <c r="A4672" t="str">
        <f>"0023372 "</f>
        <v xml:space="preserve">0023372 </v>
      </c>
      <c r="B4672" t="s">
        <v>15973</v>
      </c>
      <c r="C4672" t="s">
        <v>16096</v>
      </c>
      <c r="D4672" t="str">
        <f>"05P1029  LPR - Р“Р°Р»СЊРјС–РІРЅС– РєРѕР»РѕРґРєРё РґРѕ РґРёСЃРєС–РІ"</f>
        <v>05P1029  LPR - Р“Р°Р»СЊРјС–РІРЅС– РєРѕР»РѕРґРєРё РґРѕ РґРёСЃРєС–РІ</v>
      </c>
      <c r="E4672">
        <v>1</v>
      </c>
      <c r="F4672" t="s">
        <v>16097</v>
      </c>
      <c r="G4672" t="s">
        <v>15973</v>
      </c>
      <c r="H4672" t="str">
        <f>"05P1029"</f>
        <v>05P1029</v>
      </c>
      <c r="I4672" t="s">
        <v>16098</v>
      </c>
    </row>
    <row r="4673" spans="1:9">
      <c r="A4673" t="str">
        <f>"0023380 "</f>
        <v xml:space="preserve">0023380 </v>
      </c>
      <c r="B4673" t="s">
        <v>15973</v>
      </c>
      <c r="C4673" t="s">
        <v>16099</v>
      </c>
      <c r="D4673" t="str">
        <f>"05P1037  LPR - Р“Р°Р»СЊРјС–РІРЅС– РєРѕР»РѕРґРєРё РґРѕ РґРёСЃРєС–РІ"</f>
        <v>05P1037  LPR - Р“Р°Р»СЊРјС–РІРЅС– РєРѕР»РѕРґРєРё РґРѕ РґРёСЃРєС–РІ</v>
      </c>
      <c r="E4673">
        <v>1</v>
      </c>
      <c r="F4673" t="s">
        <v>16100</v>
      </c>
      <c r="G4673" t="s">
        <v>15973</v>
      </c>
      <c r="H4673" t="str">
        <f>"05P1037"</f>
        <v>05P1037</v>
      </c>
      <c r="I4673" t="s">
        <v>16101</v>
      </c>
    </row>
    <row r="4674" spans="1:9">
      <c r="A4674" t="str">
        <f>"0023394 "</f>
        <v xml:space="preserve">0023394 </v>
      </c>
      <c r="B4674" t="s">
        <v>15973</v>
      </c>
      <c r="C4674" t="s">
        <v>16102</v>
      </c>
      <c r="D4674" t="str">
        <f>"05P1050  LPR - Р“Р°Р»СЊРјС–РІРЅС– РєРѕР»РѕРґРєРё РґРѕ РґРёСЃРєС–РІ"</f>
        <v>05P1050  LPR - Р“Р°Р»СЊРјС–РІРЅС– РєРѕР»РѕРґРєРё РґРѕ РґРёСЃРєС–РІ</v>
      </c>
      <c r="E4674">
        <v>1</v>
      </c>
      <c r="F4674" t="s">
        <v>7953</v>
      </c>
      <c r="G4674" t="s">
        <v>15973</v>
      </c>
      <c r="H4674" t="str">
        <f>"05P1050"</f>
        <v>05P1050</v>
      </c>
      <c r="I4674" t="s">
        <v>16103</v>
      </c>
    </row>
    <row r="4675" spans="1:9">
      <c r="A4675" t="str">
        <f>"0023401 "</f>
        <v xml:space="preserve">0023401 </v>
      </c>
      <c r="B4675" t="s">
        <v>15973</v>
      </c>
      <c r="C4675" t="s">
        <v>16104</v>
      </c>
      <c r="D4675" t="str">
        <f>"05P1059  LPR - Р“Р°Р»СЊРјС–РІРЅС– РєРѕР»РѕРґРєРё РґРѕ РґРёСЃРєС–РІ"</f>
        <v>05P1059  LPR - Р“Р°Р»СЊРјС–РІРЅС– РєРѕР»РѕРґРєРё РґРѕ РґРёСЃРєС–РІ</v>
      </c>
      <c r="E4675">
        <v>1</v>
      </c>
      <c r="F4675" t="s">
        <v>16105</v>
      </c>
      <c r="G4675" t="s">
        <v>15973</v>
      </c>
      <c r="H4675" t="str">
        <f>"05P1059"</f>
        <v>05P1059</v>
      </c>
      <c r="I4675" t="s">
        <v>16106</v>
      </c>
    </row>
    <row r="4676" spans="1:9">
      <c r="A4676" t="str">
        <f>"0023405 "</f>
        <v xml:space="preserve">0023405 </v>
      </c>
      <c r="B4676" t="s">
        <v>15973</v>
      </c>
      <c r="C4676" t="s">
        <v>16107</v>
      </c>
      <c r="D4676" t="str">
        <f>"05P1062  LPR - Р“Р°Р»СЊРјС–РІРЅС– РєРѕР»РѕРґРєРё РґРѕ РґРёСЃРєС–РІ"</f>
        <v>05P1062  LPR - Р“Р°Р»СЊРјС–РІРЅС– РєРѕР»РѕРґРєРё РґРѕ РґРёСЃРєС–РІ</v>
      </c>
      <c r="E4676">
        <v>1</v>
      </c>
      <c r="F4676" t="s">
        <v>16108</v>
      </c>
      <c r="G4676" t="s">
        <v>15973</v>
      </c>
      <c r="H4676" t="str">
        <f>"05P1062"</f>
        <v>05P1062</v>
      </c>
      <c r="I4676" t="s">
        <v>16109</v>
      </c>
    </row>
    <row r="4677" spans="1:9">
      <c r="A4677" t="str">
        <f>"0023411 "</f>
        <v xml:space="preserve">0023411 </v>
      </c>
      <c r="B4677" t="s">
        <v>15973</v>
      </c>
      <c r="C4677" t="s">
        <v>16110</v>
      </c>
      <c r="D4677" t="str">
        <f>"05P1068  LPR - Р“Р°Р»СЊРјС–РІРЅС– РєРѕР»РѕРґРєРё РґРѕ РґРёСЃРєС–РІ"</f>
        <v>05P1068  LPR - Р“Р°Р»СЊРјС–РІРЅС– РєРѕР»РѕРґРєРё РґРѕ РґРёСЃРєС–РІ</v>
      </c>
      <c r="E4677">
        <v>1</v>
      </c>
      <c r="F4677" t="s">
        <v>16111</v>
      </c>
      <c r="G4677" t="s">
        <v>15973</v>
      </c>
      <c r="H4677" t="str">
        <f>"05P1068"</f>
        <v>05P1068</v>
      </c>
      <c r="I4677" t="s">
        <v>16112</v>
      </c>
    </row>
    <row r="4678" spans="1:9">
      <c r="A4678" t="str">
        <f>"0023415 "</f>
        <v xml:space="preserve">0023415 </v>
      </c>
      <c r="B4678" t="s">
        <v>15973</v>
      </c>
      <c r="C4678" t="s">
        <v>16113</v>
      </c>
      <c r="D4678" t="str">
        <f>"05P1071  LPR - Р“Р°Р»СЊРјС–РІРЅС– РєРѕР»РѕРґРєРё РґРѕ РґРёСЃРєС–РІ"</f>
        <v>05P1071  LPR - Р“Р°Р»СЊРјС–РІРЅС– РєРѕР»РѕРґРєРё РґРѕ РґРёСЃРєС–РІ</v>
      </c>
      <c r="E4678">
        <v>2</v>
      </c>
      <c r="F4678" t="s">
        <v>16114</v>
      </c>
      <c r="G4678" t="s">
        <v>15973</v>
      </c>
      <c r="H4678" t="str">
        <f>"05P1071"</f>
        <v>05P1071</v>
      </c>
      <c r="I4678" t="s">
        <v>16115</v>
      </c>
    </row>
    <row r="4679" spans="1:9">
      <c r="A4679" t="str">
        <f>"0023423 "</f>
        <v xml:space="preserve">0023423 </v>
      </c>
      <c r="B4679" t="s">
        <v>15973</v>
      </c>
      <c r="C4679" t="s">
        <v>16116</v>
      </c>
      <c r="D4679" t="str">
        <f>"05P1080  LPR - Р“Р°Р»СЊРјС–РІРЅС– РєРѕР»РѕРґРєРё РґРѕ РґРёСЃРєС–РІ"</f>
        <v>05P1080  LPR - Р“Р°Р»СЊРјС–РІРЅС– РєРѕР»РѕРґРєРё РґРѕ РґРёСЃРєС–РІ</v>
      </c>
      <c r="E4679" t="s">
        <v>16</v>
      </c>
      <c r="F4679" t="s">
        <v>16117</v>
      </c>
      <c r="G4679" t="s">
        <v>15973</v>
      </c>
      <c r="H4679" t="str">
        <f>"05P1080"</f>
        <v>05P1080</v>
      </c>
      <c r="I4679" t="s">
        <v>16118</v>
      </c>
    </row>
    <row r="4680" spans="1:9">
      <c r="A4680" t="str">
        <f>"0023447 "</f>
        <v xml:space="preserve">0023447 </v>
      </c>
      <c r="B4680" t="s">
        <v>15973</v>
      </c>
      <c r="C4680" t="s">
        <v>16119</v>
      </c>
      <c r="D4680" t="str">
        <f>"05P1106  LPR - Р“Р°Р»СЊРјС–РІРЅС– РєРѕР»РѕРґРєРё РґРѕ РґРёСЃРєС–РІ"</f>
        <v>05P1106  LPR - Р“Р°Р»СЊРјС–РІРЅС– РєРѕР»РѕРґРєРё РґРѕ РґРёСЃРєС–РІ</v>
      </c>
      <c r="E4680">
        <v>3</v>
      </c>
      <c r="F4680" t="s">
        <v>16120</v>
      </c>
      <c r="G4680" t="s">
        <v>15973</v>
      </c>
      <c r="H4680" t="str">
        <f>"05P1106"</f>
        <v>05P1106</v>
      </c>
      <c r="I4680" t="s">
        <v>16121</v>
      </c>
    </row>
    <row r="4681" spans="1:9">
      <c r="A4681" t="str">
        <f>"0023454 "</f>
        <v xml:space="preserve">0023454 </v>
      </c>
      <c r="B4681" t="s">
        <v>15973</v>
      </c>
      <c r="C4681" t="s">
        <v>16122</v>
      </c>
      <c r="D4681" t="str">
        <f>"05P1113  LPR - Р“Р°Р»СЊРјС–РІРЅС– РєРѕР»РѕРґРєРё РґРѕ РґРёСЃРєС–РІ"</f>
        <v>05P1113  LPR - Р“Р°Р»СЊРјС–РІРЅС– РєРѕР»РѕРґРєРё РґРѕ РґРёСЃРєС–РІ</v>
      </c>
      <c r="E4681">
        <v>2</v>
      </c>
      <c r="F4681" t="s">
        <v>16123</v>
      </c>
      <c r="G4681" t="s">
        <v>15973</v>
      </c>
      <c r="H4681" t="str">
        <f>"05P1113"</f>
        <v>05P1113</v>
      </c>
      <c r="I4681" t="s">
        <v>16124</v>
      </c>
    </row>
    <row r="4682" spans="1:9">
      <c r="A4682" t="str">
        <f>"0023455 "</f>
        <v xml:space="preserve">0023455 </v>
      </c>
      <c r="B4682" t="s">
        <v>15973</v>
      </c>
      <c r="C4682" t="s">
        <v>16125</v>
      </c>
      <c r="D4682" t="str">
        <f>"05P1114  LPR - Р“Р°Р»СЊРјС–РІРЅС– РєРѕР»РѕРґРєРё РґРѕ РґРёСЃРєС–РІ"</f>
        <v>05P1114  LPR - Р“Р°Р»СЊРјС–РІРЅС– РєРѕР»РѕРґРєРё РґРѕ РґРёСЃРєС–РІ</v>
      </c>
      <c r="E4682">
        <v>1</v>
      </c>
      <c r="F4682" t="s">
        <v>16126</v>
      </c>
      <c r="G4682" t="s">
        <v>15973</v>
      </c>
      <c r="H4682" t="str">
        <f>"05P1114"</f>
        <v>05P1114</v>
      </c>
      <c r="I4682" t="s">
        <v>16127</v>
      </c>
    </row>
    <row r="4683" spans="1:9">
      <c r="A4683" t="str">
        <f>"0023456 "</f>
        <v xml:space="preserve">0023456 </v>
      </c>
      <c r="B4683" t="s">
        <v>15973</v>
      </c>
      <c r="C4683" t="s">
        <v>16128</v>
      </c>
      <c r="D4683" t="str">
        <f>"05P1115  LPR - Р“Р°Р»СЊРјС–РІРЅС– РєРѕР»РѕРґРєРё РґРѕ РґРёСЃРєС–РІ"</f>
        <v>05P1115  LPR - Р“Р°Р»СЊРјС–РІРЅС– РєРѕР»РѕРґРєРё РґРѕ РґРёСЃРєС–РІ</v>
      </c>
      <c r="E4683">
        <v>1</v>
      </c>
      <c r="F4683" t="s">
        <v>16129</v>
      </c>
      <c r="G4683" t="s">
        <v>15973</v>
      </c>
      <c r="H4683" t="str">
        <f>"05P1115"</f>
        <v>05P1115</v>
      </c>
      <c r="I4683" t="s">
        <v>16130</v>
      </c>
    </row>
    <row r="4684" spans="1:9">
      <c r="A4684" t="str">
        <f>"0023460 "</f>
        <v xml:space="preserve">0023460 </v>
      </c>
      <c r="B4684" t="s">
        <v>15973</v>
      </c>
      <c r="C4684" t="s">
        <v>16131</v>
      </c>
      <c r="D4684" t="str">
        <f>"05P1119  LPR - Р“Р°Р»СЊРјС–РІРЅС– РєРѕР»РѕРґРєРё РґРѕ РґРёСЃРєС–РІ"</f>
        <v>05P1119  LPR - Р“Р°Р»СЊРјС–РІРЅС– РєРѕР»РѕРґРєРё РґРѕ РґРёСЃРєС–РІ</v>
      </c>
      <c r="E4684">
        <v>2</v>
      </c>
      <c r="F4684" t="s">
        <v>16132</v>
      </c>
      <c r="G4684" t="s">
        <v>15973</v>
      </c>
      <c r="H4684" t="str">
        <f>"05P1119"</f>
        <v>05P1119</v>
      </c>
      <c r="I4684" t="s">
        <v>16133</v>
      </c>
    </row>
    <row r="4685" spans="1:9">
      <c r="A4685" t="str">
        <f>"0023466 "</f>
        <v xml:space="preserve">0023466 </v>
      </c>
      <c r="B4685" t="s">
        <v>15973</v>
      </c>
      <c r="C4685" t="s">
        <v>16134</v>
      </c>
      <c r="D4685" t="str">
        <f>"05P1124  LPR - Р“Р°Р»СЊРјС–РІРЅС– РєРѕР»РѕРґРєРё РґРѕ РґРёСЃРєС–РІ"</f>
        <v>05P1124  LPR - Р“Р°Р»СЊРјС–РІРЅС– РєРѕР»РѕРґРєРё РґРѕ РґРёСЃРєС–РІ</v>
      </c>
      <c r="E4685">
        <v>1</v>
      </c>
      <c r="F4685" t="s">
        <v>16135</v>
      </c>
      <c r="G4685" t="s">
        <v>15973</v>
      </c>
      <c r="H4685" t="str">
        <f>"05P1124"</f>
        <v>05P1124</v>
      </c>
      <c r="I4685" t="s">
        <v>16136</v>
      </c>
    </row>
    <row r="4686" spans="1:9">
      <c r="A4686" t="str">
        <f>"0023475 "</f>
        <v xml:space="preserve">0023475 </v>
      </c>
      <c r="B4686" t="s">
        <v>15973</v>
      </c>
      <c r="C4686" t="s">
        <v>16137</v>
      </c>
      <c r="D4686" t="str">
        <f>"05P1134  LPR - Р“Р°Р»СЊРјС–РІРЅС– РєРѕР»РѕРґРєРё РґРѕ РґРёСЃРєС–РІ"</f>
        <v>05P1134  LPR - Р“Р°Р»СЊРјС–РІРЅС– РєРѕР»РѕРґРєРё РґРѕ РґРёСЃРєС–РІ</v>
      </c>
      <c r="E4686">
        <v>2</v>
      </c>
      <c r="F4686" t="s">
        <v>6428</v>
      </c>
      <c r="G4686" t="s">
        <v>15973</v>
      </c>
      <c r="H4686" t="str">
        <f>"05P1134"</f>
        <v>05P1134</v>
      </c>
      <c r="I4686" t="s">
        <v>16138</v>
      </c>
    </row>
    <row r="4687" spans="1:9">
      <c r="A4687" t="str">
        <f>"0023525 "</f>
        <v xml:space="preserve">0023525 </v>
      </c>
      <c r="B4687" t="s">
        <v>15973</v>
      </c>
      <c r="C4687" t="s">
        <v>16139</v>
      </c>
      <c r="D4687" t="str">
        <f>"05P1189  LPR - Р“Р°Р»СЊРјС–РІРЅС– РєРѕР»РѕРґРєРё РґРѕ РґРёСЃРєС–РІ"</f>
        <v>05P1189  LPR - Р“Р°Р»СЊРјС–РІРЅС– РєРѕР»РѕРґРєРё РґРѕ РґРёСЃРєС–РІ</v>
      </c>
      <c r="E4687">
        <v>1</v>
      </c>
      <c r="F4687" t="s">
        <v>7953</v>
      </c>
      <c r="G4687" t="s">
        <v>15973</v>
      </c>
      <c r="H4687" t="str">
        <f>"05P1189"</f>
        <v>05P1189</v>
      </c>
      <c r="I4687" t="s">
        <v>16140</v>
      </c>
    </row>
    <row r="4688" spans="1:9">
      <c r="A4688" t="str">
        <f>"0023526 "</f>
        <v xml:space="preserve">0023526 </v>
      </c>
      <c r="B4688" t="s">
        <v>15973</v>
      </c>
      <c r="C4688" t="s">
        <v>16141</v>
      </c>
      <c r="D4688" t="str">
        <f>"05P1190  LPR - Р“Р°Р»СЊРјС–РІРЅС– РєРѕР»РѕРґРєРё РґРѕ РґРёСЃРєС–РІ"</f>
        <v>05P1190  LPR - Р“Р°Р»СЊРјС–РІРЅС– РєРѕР»РѕРґРєРё РґРѕ РґРёСЃРєС–РІ</v>
      </c>
      <c r="E4688">
        <v>1</v>
      </c>
      <c r="F4688" t="s">
        <v>16142</v>
      </c>
      <c r="G4688" t="s">
        <v>15973</v>
      </c>
      <c r="H4688" t="str">
        <f>"05P1190"</f>
        <v>05P1190</v>
      </c>
      <c r="I4688" t="s">
        <v>16143</v>
      </c>
    </row>
    <row r="4689" spans="1:9">
      <c r="A4689" t="str">
        <f>"0023527 "</f>
        <v xml:space="preserve">0023527 </v>
      </c>
      <c r="B4689" t="s">
        <v>15973</v>
      </c>
      <c r="C4689" t="s">
        <v>16144</v>
      </c>
      <c r="D4689" t="str">
        <f>"05P1191  LPR - Р“Р°Р»СЊРјС–РІРЅС– РєРѕР»РѕРґРєРё РґРѕ РґРёСЃРєС–РІ"</f>
        <v>05P1191  LPR - Р“Р°Р»СЊРјС–РІРЅС– РєРѕР»РѕРґРєРё РґРѕ РґРёСЃРєС–РІ</v>
      </c>
      <c r="E4689">
        <v>1</v>
      </c>
      <c r="F4689" t="s">
        <v>6377</v>
      </c>
      <c r="G4689" t="s">
        <v>15973</v>
      </c>
      <c r="H4689" t="str">
        <f>"05P1191"</f>
        <v>05P1191</v>
      </c>
      <c r="I4689" t="s">
        <v>16145</v>
      </c>
    </row>
    <row r="4690" spans="1:9">
      <c r="A4690" t="str">
        <f>"0023528 "</f>
        <v xml:space="preserve">0023528 </v>
      </c>
      <c r="B4690" t="s">
        <v>15973</v>
      </c>
      <c r="C4690" t="s">
        <v>16146</v>
      </c>
      <c r="D4690" t="str">
        <f>"05P1192  LPR - Р“Р°Р»СЊРјС–РІРЅС– РєРѕР»РѕРґРєРё РґРѕ РґРёСЃРєС–РІ"</f>
        <v>05P1192  LPR - Р“Р°Р»СЊРјС–РІРЅС– РєРѕР»РѕРґРєРё РґРѕ РґРёСЃРєС–РІ</v>
      </c>
      <c r="E4690">
        <v>2</v>
      </c>
      <c r="F4690" t="s">
        <v>16147</v>
      </c>
      <c r="G4690" t="s">
        <v>15973</v>
      </c>
      <c r="H4690" t="str">
        <f>"05P1192"</f>
        <v>05P1192</v>
      </c>
      <c r="I4690" t="s">
        <v>16148</v>
      </c>
    </row>
    <row r="4691" spans="1:9">
      <c r="A4691" t="str">
        <f>"0023529 "</f>
        <v xml:space="preserve">0023529 </v>
      </c>
      <c r="B4691" t="s">
        <v>15973</v>
      </c>
      <c r="C4691" t="s">
        <v>16149</v>
      </c>
      <c r="D4691" t="str">
        <f>"05P1193  LPR - Р“Р°Р»СЊРјС–РІРЅС– РєРѕР»РѕРґРєРё РґРѕ РґРёСЃРєС–РІ"</f>
        <v>05P1193  LPR - Р“Р°Р»СЊРјС–РІРЅС– РєРѕР»РѕРґРєРё РґРѕ РґРёСЃРєС–РІ</v>
      </c>
      <c r="E4691">
        <v>1</v>
      </c>
      <c r="F4691" t="s">
        <v>16150</v>
      </c>
      <c r="G4691" t="s">
        <v>15973</v>
      </c>
      <c r="H4691" t="str">
        <f>"05P1193"</f>
        <v>05P1193</v>
      </c>
      <c r="I4691" t="s">
        <v>16151</v>
      </c>
    </row>
    <row r="4692" spans="1:9">
      <c r="A4692" t="str">
        <f>"0023531 "</f>
        <v xml:space="preserve">0023531 </v>
      </c>
      <c r="B4692" t="s">
        <v>15973</v>
      </c>
      <c r="C4692" t="s">
        <v>16152</v>
      </c>
      <c r="D4692" t="str">
        <f>"05P1195  LPR - Р“Р°Р»СЊРјС–РІРЅС– РєРѕР»РѕРґРєРё РґРѕ РґРёСЃРєС–РІ"</f>
        <v>05P1195  LPR - Р“Р°Р»СЊРјС–РІРЅС– РєРѕР»РѕРґРєРё РґРѕ РґРёСЃРєС–РІ</v>
      </c>
      <c r="E4692">
        <v>2</v>
      </c>
      <c r="F4692" t="s">
        <v>16153</v>
      </c>
      <c r="G4692" t="s">
        <v>15973</v>
      </c>
      <c r="H4692" t="str">
        <f>"05P1195"</f>
        <v>05P1195</v>
      </c>
      <c r="I4692" t="s">
        <v>16154</v>
      </c>
    </row>
    <row r="4693" spans="1:9">
      <c r="A4693" t="str">
        <f>"0023533 "</f>
        <v xml:space="preserve">0023533 </v>
      </c>
      <c r="B4693" t="s">
        <v>15973</v>
      </c>
      <c r="C4693" t="s">
        <v>16155</v>
      </c>
      <c r="D4693" t="str">
        <f>"05P1197  LPR - Р“Р°Р»СЊРјС–РІРЅС– РєРѕР»РѕРґРєРё РґРѕ РґРёСЃРєС–РІ"</f>
        <v>05P1197  LPR - Р“Р°Р»СЊРјС–РІРЅС– РєРѕР»РѕРґРєРё РґРѕ РґРёСЃРєС–РІ</v>
      </c>
      <c r="E4693">
        <v>2</v>
      </c>
      <c r="F4693" t="s">
        <v>16156</v>
      </c>
      <c r="G4693" t="s">
        <v>15973</v>
      </c>
      <c r="H4693" t="str">
        <f>"05P1197"</f>
        <v>05P1197</v>
      </c>
      <c r="I4693" t="s">
        <v>16157</v>
      </c>
    </row>
    <row r="4694" spans="1:9">
      <c r="A4694" t="str">
        <f>"0023535 "</f>
        <v xml:space="preserve">0023535 </v>
      </c>
      <c r="B4694" t="s">
        <v>15973</v>
      </c>
      <c r="C4694" t="s">
        <v>16158</v>
      </c>
      <c r="D4694" t="str">
        <f>"05P1199  LPR - Р“Р°Р»СЊРјС–РІРЅС– РєРѕР»РѕРґРєРё РґРѕ РґРёСЃРєС–РІ"</f>
        <v>05P1199  LPR - Р“Р°Р»СЊРјС–РІРЅС– РєРѕР»РѕРґРєРё РґРѕ РґРёСЃРєС–РІ</v>
      </c>
      <c r="E4694">
        <v>3</v>
      </c>
      <c r="F4694" t="s">
        <v>16159</v>
      </c>
      <c r="G4694" t="s">
        <v>15973</v>
      </c>
      <c r="H4694" t="str">
        <f>"05P1199"</f>
        <v>05P1199</v>
      </c>
      <c r="I4694" t="s">
        <v>16160</v>
      </c>
    </row>
    <row r="4695" spans="1:9">
      <c r="A4695" t="str">
        <f>"0023537 "</f>
        <v xml:space="preserve">0023537 </v>
      </c>
      <c r="B4695" t="s">
        <v>15973</v>
      </c>
      <c r="C4695" t="s">
        <v>16161</v>
      </c>
      <c r="D4695" t="str">
        <f>"05P1202  LPR - Р“Р°Р»СЊРјС–РІРЅС– РєРѕР»РѕРґРєРё РґРѕ РґРёСЃРєС–РІ (F, Р· РґР°С‚С‡РёРєРѕРј)"</f>
        <v>05P1202  LPR - Р“Р°Р»СЊРјС–РІРЅС– РєРѕР»РѕРґРєРё РґРѕ РґРёСЃРєС–РІ (F, Р· РґР°С‚С‡РёРєРѕРј)</v>
      </c>
      <c r="E4695">
        <v>1</v>
      </c>
      <c r="F4695" t="s">
        <v>16162</v>
      </c>
      <c r="G4695" t="s">
        <v>15973</v>
      </c>
      <c r="H4695" t="str">
        <f>"05P1202"</f>
        <v>05P1202</v>
      </c>
      <c r="I4695" t="s">
        <v>16163</v>
      </c>
    </row>
    <row r="4696" spans="1:9">
      <c r="A4696" t="str">
        <f>"0023540 "</f>
        <v xml:space="preserve">0023540 </v>
      </c>
      <c r="B4696" t="s">
        <v>15973</v>
      </c>
      <c r="C4696" t="s">
        <v>16164</v>
      </c>
      <c r="D4696" t="str">
        <f>"05P1205  LPR - Р“Р°Р»СЊРјС–РІРЅС– РєРѕР»РѕРґРєРё РґРѕ РґРёСЃРєС–РІ (F, V, Р· РґР°С‚С‡РёРєРѕРј)"</f>
        <v>05P1205  LPR - Р“Р°Р»СЊРјС–РІРЅС– РєРѕР»РѕРґРєРё РґРѕ РґРёСЃРєС–РІ (F, V, Р· РґР°С‚С‡РёРєРѕРј)</v>
      </c>
      <c r="E4696" t="s">
        <v>16</v>
      </c>
      <c r="F4696" t="s">
        <v>16165</v>
      </c>
      <c r="G4696" t="s">
        <v>15973</v>
      </c>
      <c r="H4696" t="str">
        <f>"05P1205"</f>
        <v>05P1205</v>
      </c>
      <c r="I4696" t="s">
        <v>16166</v>
      </c>
    </row>
    <row r="4697" spans="1:9">
      <c r="A4697" t="str">
        <f>"0023541 "</f>
        <v xml:space="preserve">0023541 </v>
      </c>
      <c r="B4697" t="s">
        <v>15973</v>
      </c>
      <c r="C4697" t="s">
        <v>16167</v>
      </c>
      <c r="D4697" t="str">
        <f>"05P1206  LPR - Р“Р°Р»СЊРјС–РІРЅС– РєРѕР»РѕРґРєРё РґРѕ РґРёСЃРєС–РІ (R, V)"</f>
        <v>05P1206  LPR - Р“Р°Р»СЊРјС–РІРЅС– РєРѕР»РѕРґРєРё РґРѕ РґРёСЃРєС–РІ (R, V)</v>
      </c>
      <c r="E4697" t="s">
        <v>16</v>
      </c>
      <c r="F4697" t="s">
        <v>11922</v>
      </c>
      <c r="G4697" t="s">
        <v>15973</v>
      </c>
      <c r="H4697" t="str">
        <f>"05P1206"</f>
        <v>05P1206</v>
      </c>
      <c r="I4697" t="s">
        <v>16168</v>
      </c>
    </row>
    <row r="4698" spans="1:9">
      <c r="A4698" t="str">
        <f>"0023542 "</f>
        <v xml:space="preserve">0023542 </v>
      </c>
      <c r="B4698" t="s">
        <v>15973</v>
      </c>
      <c r="C4698" t="s">
        <v>16169</v>
      </c>
      <c r="D4698" t="str">
        <f>"05P1207  LPR - Р“Р°Р»СЊРјС–РІРЅС– РєРѕР»РѕРґРєРё РґРѕ РґРёСЃРєС–РІ (F, V, Р· РґР°С‚С‡РёРєРѕРј)"</f>
        <v>05P1207  LPR - Р“Р°Р»СЊРјС–РІРЅС– РєРѕР»РѕРґРєРё РґРѕ РґРёСЃРєС–РІ (F, V, Р· РґР°С‚С‡РёРєРѕРј)</v>
      </c>
      <c r="E4698">
        <v>2</v>
      </c>
      <c r="F4698" t="s">
        <v>16170</v>
      </c>
      <c r="G4698" t="s">
        <v>15973</v>
      </c>
      <c r="H4698" t="str">
        <f>"05P1207"</f>
        <v>05P1207</v>
      </c>
      <c r="I4698" t="s">
        <v>16171</v>
      </c>
    </row>
    <row r="4699" spans="1:9">
      <c r="A4699" t="str">
        <f>"0023543 "</f>
        <v xml:space="preserve">0023543 </v>
      </c>
      <c r="B4699" t="s">
        <v>15973</v>
      </c>
      <c r="C4699" t="s">
        <v>16172</v>
      </c>
      <c r="D4699" t="str">
        <f>"05P1208  LPR - Р“Р°Р»СЊРјС–РІРЅС– РєРѕР»РѕРґРєРё РґРѕ РґРёСЃРєС–РІ (F, V, Р· РґР°С‚С‡РёРєРѕРј)"</f>
        <v>05P1208  LPR - Р“Р°Р»СЊРјС–РІРЅС– РєРѕР»РѕРґРєРё РґРѕ РґРёСЃРєС–РІ (F, V, Р· РґР°С‚С‡РёРєРѕРј)</v>
      </c>
      <c r="E4699">
        <v>2</v>
      </c>
      <c r="F4699" t="s">
        <v>16173</v>
      </c>
      <c r="G4699" t="s">
        <v>15973</v>
      </c>
      <c r="H4699" t="str">
        <f>"05P1208"</f>
        <v>05P1208</v>
      </c>
      <c r="I4699" t="s">
        <v>16174</v>
      </c>
    </row>
    <row r="4700" spans="1:9">
      <c r="A4700" t="str">
        <f>"0023546 "</f>
        <v xml:space="preserve">0023546 </v>
      </c>
      <c r="B4700" t="s">
        <v>15973</v>
      </c>
      <c r="C4700" t="s">
        <v>16175</v>
      </c>
      <c r="D4700" t="str">
        <f>"05P1210  LPR - Р“Р°Р»СЊРјС–РІРЅС– РєРѕР»РѕРґРєРё РґРѕ РґРёСЃРєС–РІ (R, S)"</f>
        <v>05P1210  LPR - Р“Р°Р»СЊРјС–РІРЅС– РєРѕР»РѕРґРєРё РґРѕ РґРёСЃРєС–РІ (R, S)</v>
      </c>
      <c r="E4700">
        <v>1</v>
      </c>
      <c r="F4700" t="s">
        <v>16176</v>
      </c>
      <c r="G4700" t="s">
        <v>15973</v>
      </c>
      <c r="H4700" t="str">
        <f>"05P1210"</f>
        <v>05P1210</v>
      </c>
      <c r="I4700" t="s">
        <v>16177</v>
      </c>
    </row>
    <row r="4701" spans="1:9">
      <c r="A4701" t="str">
        <f>"0023547 "</f>
        <v xml:space="preserve">0023547 </v>
      </c>
      <c r="B4701" t="s">
        <v>15973</v>
      </c>
      <c r="C4701" t="s">
        <v>16178</v>
      </c>
      <c r="D4701" t="str">
        <f>"05P1211  LPR - Р“Р°Р»СЊРјС–РІРЅС– РєРѕР»РѕРґРєРё РґРѕ РґРёСЃРєС–РІ (F, V, Р· РґР°С‚С‡РёРєРѕРј)"</f>
        <v>05P1211  LPR - Р“Р°Р»СЊРјС–РІРЅС– РєРѕР»РѕРґРєРё РґРѕ РґРёСЃРєС–РІ (F, V, Р· РґР°С‚С‡РёРєРѕРј)</v>
      </c>
      <c r="E4701">
        <v>1</v>
      </c>
      <c r="F4701" t="s">
        <v>16179</v>
      </c>
      <c r="G4701" t="s">
        <v>15973</v>
      </c>
      <c r="H4701" t="str">
        <f>"05P1211"</f>
        <v>05P1211</v>
      </c>
      <c r="I4701" t="s">
        <v>16180</v>
      </c>
    </row>
    <row r="4702" spans="1:9">
      <c r="A4702" t="str">
        <f>"0023554 "</f>
        <v xml:space="preserve">0023554 </v>
      </c>
      <c r="B4702" t="s">
        <v>15973</v>
      </c>
      <c r="C4702" t="s">
        <v>16181</v>
      </c>
      <c r="D4702" t="str">
        <f>"05P1219  LPR - Р“Р°Р»СЊРјС–РІРЅС– РєРѕР»РѕРґРєРё РґРѕ РґРёСЃРєС–РІ"</f>
        <v>05P1219  LPR - Р“Р°Р»СЊРјС–РІРЅС– РєРѕР»РѕРґРєРё РґРѕ РґРёСЃРєС–РІ</v>
      </c>
      <c r="E4702" t="s">
        <v>16</v>
      </c>
      <c r="F4702" t="s">
        <v>16182</v>
      </c>
      <c r="G4702" t="s">
        <v>15973</v>
      </c>
      <c r="H4702" t="str">
        <f>"05P1219"</f>
        <v>05P1219</v>
      </c>
      <c r="I4702" t="s">
        <v>16183</v>
      </c>
    </row>
    <row r="4703" spans="1:9">
      <c r="A4703" t="str">
        <f>"0023557 "</f>
        <v xml:space="preserve">0023557 </v>
      </c>
      <c r="B4703" t="s">
        <v>15973</v>
      </c>
      <c r="C4703" t="s">
        <v>16184</v>
      </c>
      <c r="D4703" t="str">
        <f>"05P1221  LPR - Р“Р°Р»СЊРјС–РІРЅС– РєРѕР»РѕРґРєРё РґРѕ РґРёСЃРєС–РІ (F, V, Р· РґР°С‚С‡РёРєРѕРј)"</f>
        <v>05P1221  LPR - Р“Р°Р»СЊРјС–РІРЅС– РєРѕР»РѕРґРєРё РґРѕ РґРёСЃРєС–РІ (F, V, Р· РґР°С‚С‡РёРєРѕРј)</v>
      </c>
      <c r="E4703">
        <v>1</v>
      </c>
      <c r="F4703" t="s">
        <v>5914</v>
      </c>
      <c r="G4703" t="s">
        <v>15973</v>
      </c>
      <c r="H4703" t="str">
        <f>"05P1221"</f>
        <v>05P1221</v>
      </c>
      <c r="I4703" t="s">
        <v>16185</v>
      </c>
    </row>
    <row r="4704" spans="1:9">
      <c r="A4704" t="str">
        <f>"0023558 "</f>
        <v xml:space="preserve">0023558 </v>
      </c>
      <c r="B4704" t="s">
        <v>15973</v>
      </c>
      <c r="C4704" t="s">
        <v>16186</v>
      </c>
      <c r="D4704" t="str">
        <f>"05P1222  LPR - Р“Р°Р»СЊРјС–РІРЅС– РєРѕР»РѕРґРєРё РґРѕ РґРёСЃРєС–РІ (F, V, Р· РґР°С‚С‡РёРєРѕРј)"</f>
        <v>05P1222  LPR - Р“Р°Р»СЊРјС–РІРЅС– РєРѕР»РѕРґРєРё РґРѕ РґРёСЃРєС–РІ (F, V, Р· РґР°С‚С‡РёРєРѕРј)</v>
      </c>
      <c r="E4704">
        <v>1</v>
      </c>
      <c r="F4704" t="s">
        <v>16108</v>
      </c>
      <c r="G4704" t="s">
        <v>15973</v>
      </c>
      <c r="H4704" t="str">
        <f>"05P1222"</f>
        <v>05P1222</v>
      </c>
      <c r="I4704" t="s">
        <v>16187</v>
      </c>
    </row>
    <row r="4705" spans="1:9">
      <c r="A4705" t="str">
        <f>"0023561 "</f>
        <v xml:space="preserve">0023561 </v>
      </c>
      <c r="B4705" t="s">
        <v>15973</v>
      </c>
      <c r="C4705" t="s">
        <v>16188</v>
      </c>
      <c r="D4705" t="str">
        <f>"05P1225  LPR - Р“Р°Р»СЊРјС–РІРЅС– РєРѕР»РѕРґРєРё РґРѕ РґРёСЃРєС–РІ (F, V, Р· РґР°С‚С‡РёРєРѕРј)"</f>
        <v>05P1225  LPR - Р“Р°Р»СЊРјС–РІРЅС– РєРѕР»РѕРґРєРё РґРѕ РґРёСЃРєС–РІ (F, V, Р· РґР°С‚С‡РёРєРѕРј)</v>
      </c>
      <c r="E4705">
        <v>1</v>
      </c>
      <c r="F4705" t="s">
        <v>16189</v>
      </c>
      <c r="G4705" t="s">
        <v>15973</v>
      </c>
      <c r="H4705" t="str">
        <f>"05P1225"</f>
        <v>05P1225</v>
      </c>
      <c r="I4705" t="s">
        <v>16190</v>
      </c>
    </row>
    <row r="4706" spans="1:9">
      <c r="A4706" t="str">
        <f>"0023563 "</f>
        <v xml:space="preserve">0023563 </v>
      </c>
      <c r="B4706" t="s">
        <v>15973</v>
      </c>
      <c r="C4706" t="s">
        <v>16191</v>
      </c>
      <c r="D4706" t="str">
        <f>"05P1227  LPR - Р“Р°Р»СЊРјС–РІРЅС– РєРѕР»РѕРґРєРё РґРѕ РґРёСЃРєС–РІ (R, S)"</f>
        <v>05P1227  LPR - Р“Р°Р»СЊРјС–РІРЅС– РєРѕР»РѕРґРєРё РґРѕ РґРёСЃРєС–РІ (R, S)</v>
      </c>
      <c r="E4706">
        <v>1</v>
      </c>
      <c r="F4706" t="s">
        <v>16192</v>
      </c>
      <c r="G4706" t="s">
        <v>15973</v>
      </c>
      <c r="H4706" t="str">
        <f>"05P1227"</f>
        <v>05P1227</v>
      </c>
      <c r="I4706" t="s">
        <v>16193</v>
      </c>
    </row>
    <row r="4707" spans="1:9">
      <c r="A4707" t="str">
        <f>"0023564 "</f>
        <v xml:space="preserve">0023564 </v>
      </c>
      <c r="B4707" t="s">
        <v>15973</v>
      </c>
      <c r="C4707" t="s">
        <v>16194</v>
      </c>
      <c r="D4707" t="str">
        <f>"05P1228  LPR - Р“Р°Р»СЊРјС–РІРЅС– РєРѕР»РѕРґРєРё РґРѕ РґРёСЃРєС–РІ (F, V, Р· РґР°С‚С‡РёРєРѕРј)"</f>
        <v>05P1228  LPR - Р“Р°Р»СЊРјС–РІРЅС– РєРѕР»РѕРґРєРё РґРѕ РґРёСЃРєС–РІ (F, V, Р· РґР°С‚С‡РёРєРѕРј)</v>
      </c>
      <c r="E4707" t="s">
        <v>16</v>
      </c>
      <c r="F4707" t="s">
        <v>16195</v>
      </c>
      <c r="G4707" t="s">
        <v>15973</v>
      </c>
      <c r="H4707" t="str">
        <f>"05P1228"</f>
        <v>05P1228</v>
      </c>
      <c r="I4707" t="s">
        <v>16196</v>
      </c>
    </row>
    <row r="4708" spans="1:9">
      <c r="A4708" t="str">
        <f>"0023565 "</f>
        <v xml:space="preserve">0023565 </v>
      </c>
      <c r="B4708" t="s">
        <v>15973</v>
      </c>
      <c r="C4708" t="s">
        <v>16197</v>
      </c>
      <c r="D4708" t="str">
        <f>"05P1229  LPR - Р“Р°Р»СЊРјС–РІРЅС– РєРѕР»РѕРґРєРё РґРѕ РґРёСЃРєС–РІ (F, Р· РґР°С‚С‡РёРєРѕРј)"</f>
        <v>05P1229  LPR - Р“Р°Р»СЊРјС–РІРЅС– РєРѕР»РѕРґРєРё РґРѕ РґРёСЃРєС–РІ (F, Р· РґР°С‚С‡РёРєРѕРј)</v>
      </c>
      <c r="E4708">
        <v>1</v>
      </c>
      <c r="F4708" t="s">
        <v>16198</v>
      </c>
      <c r="G4708" t="s">
        <v>15973</v>
      </c>
      <c r="H4708" t="str">
        <f>"05P1229"</f>
        <v>05P1229</v>
      </c>
      <c r="I4708" t="s">
        <v>16199</v>
      </c>
    </row>
    <row r="4709" spans="1:9">
      <c r="A4709" t="str">
        <f>"0023567 "</f>
        <v xml:space="preserve">0023567 </v>
      </c>
      <c r="B4709" t="s">
        <v>15973</v>
      </c>
      <c r="C4709" t="s">
        <v>16200</v>
      </c>
      <c r="D4709" t="str">
        <f>"05P1230  LPR - Р“Р°Р»СЊРјС–РІРЅС– РєРѕР»РѕРґРєРё РґРѕ РґРёСЃРєС–РІ (F, V, Р· РґР°С‚С‡РёРєРѕРј)"</f>
        <v>05P1230  LPR - Р“Р°Р»СЊРјС–РІРЅС– РєРѕР»РѕРґРєРё РґРѕ РґРёСЃРєС–РІ (F, V, Р· РґР°С‚С‡РёРєРѕРј)</v>
      </c>
      <c r="E4709">
        <v>2</v>
      </c>
      <c r="F4709" t="s">
        <v>16201</v>
      </c>
      <c r="G4709" t="s">
        <v>15973</v>
      </c>
      <c r="H4709" t="str">
        <f>"05P1230"</f>
        <v>05P1230</v>
      </c>
      <c r="I4709" t="s">
        <v>16202</v>
      </c>
    </row>
    <row r="4710" spans="1:9">
      <c r="A4710" t="str">
        <f>"0023568 "</f>
        <v xml:space="preserve">0023568 </v>
      </c>
      <c r="B4710" t="s">
        <v>15973</v>
      </c>
      <c r="C4710" t="s">
        <v>16203</v>
      </c>
      <c r="D4710" t="str">
        <f>"05P1231  LPR - Р“Р°Р»СЊРјС–РІРЅС– РєРѕР»РѕРґРєРё РґРѕ РґРёСЃРєС–РІ (R, V)"</f>
        <v>05P1231  LPR - Р“Р°Р»СЊРјС–РІРЅС– РєРѕР»РѕРґРєРё РґРѕ РґРёСЃРєС–РІ (R, V)</v>
      </c>
      <c r="E4710">
        <v>1</v>
      </c>
      <c r="F4710" t="s">
        <v>16204</v>
      </c>
      <c r="G4710" t="s">
        <v>15973</v>
      </c>
      <c r="H4710" t="str">
        <f>"05P1231"</f>
        <v>05P1231</v>
      </c>
      <c r="I4710" t="s">
        <v>16205</v>
      </c>
    </row>
    <row r="4711" spans="1:9">
      <c r="A4711" t="str">
        <f>"0023569 "</f>
        <v xml:space="preserve">0023569 </v>
      </c>
      <c r="B4711" t="s">
        <v>15973</v>
      </c>
      <c r="C4711" t="s">
        <v>16206</v>
      </c>
      <c r="D4711" t="str">
        <f>"05P1232  LPR - Р“Р°Р»СЊРјС–РІРЅС– РєРѕР»РѕРґРєРё РґРѕ РґРёСЃРєС–РІ (R)"</f>
        <v>05P1232  LPR - Р“Р°Р»СЊРјС–РІРЅС– РєРѕР»РѕРґРєРё РґРѕ РґРёСЃРєС–РІ (R)</v>
      </c>
      <c r="E4711">
        <v>2</v>
      </c>
      <c r="F4711" t="s">
        <v>16207</v>
      </c>
      <c r="G4711" t="s">
        <v>15973</v>
      </c>
      <c r="H4711" t="str">
        <f>"05P1232"</f>
        <v>05P1232</v>
      </c>
      <c r="I4711" t="s">
        <v>16208</v>
      </c>
    </row>
    <row r="4712" spans="1:9">
      <c r="A4712" t="str">
        <f>"0023576 "</f>
        <v xml:space="preserve">0023576 </v>
      </c>
      <c r="B4712" t="s">
        <v>15973</v>
      </c>
      <c r="C4712" t="s">
        <v>16209</v>
      </c>
      <c r="D4712" t="str">
        <f>"05P1239  LPR - Р“Р°Р»СЊРјС–РІРЅС– РєРѕР»РѕРґРєРё РґРѕ РґРёСЃРєС–РІ (F, Р· РґР°С‚С‡РёРєРѕРј)"</f>
        <v>05P1239  LPR - Р“Р°Р»СЊРјС–РІРЅС– РєРѕР»РѕРґРєРё РґРѕ РґРёСЃРєС–РІ (F, Р· РґР°С‚С‡РёРєРѕРј)</v>
      </c>
      <c r="E4712">
        <v>1</v>
      </c>
      <c r="F4712" t="s">
        <v>16210</v>
      </c>
      <c r="G4712" t="s">
        <v>15973</v>
      </c>
      <c r="H4712" t="str">
        <f>"05P1239"</f>
        <v>05P1239</v>
      </c>
      <c r="I4712" t="s">
        <v>16211</v>
      </c>
    </row>
    <row r="4713" spans="1:9">
      <c r="A4713" t="str">
        <f>"0023582 "</f>
        <v xml:space="preserve">0023582 </v>
      </c>
      <c r="B4713" t="s">
        <v>15973</v>
      </c>
      <c r="C4713" t="s">
        <v>16212</v>
      </c>
      <c r="D4713" t="str">
        <f>"05P1245  LPR - Р“Р°Р»СЊРјС–РІРЅС– РєРѕР»РѕРґРєРё РґРѕ РґРёСЃРєС–РІ (F, V, Р· РґР°С‚С‡РёРєРѕРј)"</f>
        <v>05P1245  LPR - Р“Р°Р»СЊРјС–РІРЅС– РєРѕР»РѕРґРєРё РґРѕ РґРёСЃРєС–РІ (F, V, Р· РґР°С‚С‡РёРєРѕРј)</v>
      </c>
      <c r="E4713">
        <v>1</v>
      </c>
      <c r="F4713" t="s">
        <v>16213</v>
      </c>
      <c r="G4713" t="s">
        <v>15973</v>
      </c>
      <c r="H4713" t="str">
        <f>"05P1245"</f>
        <v>05P1245</v>
      </c>
      <c r="I4713" t="s">
        <v>16214</v>
      </c>
    </row>
    <row r="4714" spans="1:9">
      <c r="A4714" t="str">
        <f>"0023583 "</f>
        <v xml:space="preserve">0023583 </v>
      </c>
      <c r="B4714" t="s">
        <v>15973</v>
      </c>
      <c r="C4714" t="s">
        <v>16215</v>
      </c>
      <c r="D4714" t="str">
        <f>"05P1246  LPR - Р“Р°Р»СЊРјС–РІРЅС– РєРѕР»РѕРґРєРё РґРѕ РґРёСЃРєС–РІ (R, S)"</f>
        <v>05P1246  LPR - Р“Р°Р»СЊРјС–РІРЅС– РєРѕР»РѕРґРєРё РґРѕ РґРёСЃРєС–РІ (R, S)</v>
      </c>
      <c r="E4714" t="s">
        <v>16</v>
      </c>
      <c r="F4714" t="s">
        <v>16216</v>
      </c>
      <c r="G4714" t="s">
        <v>15973</v>
      </c>
      <c r="H4714" t="str">
        <f>"05P1246"</f>
        <v>05P1246</v>
      </c>
      <c r="I4714" t="s">
        <v>16217</v>
      </c>
    </row>
    <row r="4715" spans="1:9">
      <c r="A4715" t="str">
        <f>"0023584 "</f>
        <v xml:space="preserve">0023584 </v>
      </c>
      <c r="B4715" t="s">
        <v>15973</v>
      </c>
      <c r="C4715" t="s">
        <v>16218</v>
      </c>
      <c r="D4715" t="str">
        <f>"05P1247  LPR - Р“Р°Р»СЊРјС–РІРЅС– РєРѕР»РѕРґРєРё РґРѕ РґРёСЃРєС–РІ"</f>
        <v>05P1247  LPR - Р“Р°Р»СЊРјС–РІРЅС– РєРѕР»РѕРґРєРё РґРѕ РґРёСЃРєС–РІ</v>
      </c>
      <c r="E4715">
        <v>1</v>
      </c>
      <c r="F4715" t="s">
        <v>16219</v>
      </c>
      <c r="G4715" t="s">
        <v>15973</v>
      </c>
      <c r="H4715" t="str">
        <f>"05P1247"</f>
        <v>05P1247</v>
      </c>
      <c r="I4715" t="s">
        <v>16220</v>
      </c>
    </row>
    <row r="4716" spans="1:9">
      <c r="A4716" t="str">
        <f>"0023585 "</f>
        <v xml:space="preserve">0023585 </v>
      </c>
      <c r="B4716" t="s">
        <v>15973</v>
      </c>
      <c r="C4716" t="s">
        <v>16221</v>
      </c>
      <c r="D4716" t="str">
        <f>"05P1248  LPR - Р“Р°Р»СЊРјС–РІРЅС– РєРѕР»РѕРґРєРё РґРѕ РґРёСЃРєС–РІ (F, V)"</f>
        <v>05P1248  LPR - Р“Р°Р»СЊРјС–РІРЅС– РєРѕР»РѕРґРєРё РґРѕ РґРёСЃРєС–РІ (F, V)</v>
      </c>
      <c r="E4716">
        <v>1</v>
      </c>
      <c r="F4716" t="s">
        <v>16222</v>
      </c>
      <c r="G4716" t="s">
        <v>15973</v>
      </c>
      <c r="H4716" t="str">
        <f>"05P1248"</f>
        <v>05P1248</v>
      </c>
      <c r="I4716" t="s">
        <v>16223</v>
      </c>
    </row>
    <row r="4717" spans="1:9">
      <c r="A4717" t="str">
        <f>"0023589 "</f>
        <v xml:space="preserve">0023589 </v>
      </c>
      <c r="B4717" t="s">
        <v>15973</v>
      </c>
      <c r="C4717" t="s">
        <v>16224</v>
      </c>
      <c r="D4717" t="str">
        <f>"05P1251  LPR - Р“Р°Р»СЊРјС–РІРЅС– РєРѕР»РѕРґРєРё РґРѕ РґРёСЃРєС–РІ (F, V)"</f>
        <v>05P1251  LPR - Р“Р°Р»СЊРјС–РІРЅС– РєРѕР»РѕРґРєРё РґРѕ РґРёСЃРєС–РІ (F, V)</v>
      </c>
      <c r="E4717">
        <v>1</v>
      </c>
      <c r="F4717" t="s">
        <v>3283</v>
      </c>
      <c r="G4717" t="s">
        <v>15973</v>
      </c>
      <c r="H4717" t="str">
        <f>"05P1251"</f>
        <v>05P1251</v>
      </c>
      <c r="I4717" t="s">
        <v>16225</v>
      </c>
    </row>
    <row r="4718" spans="1:9">
      <c r="A4718" t="str">
        <f>"0023593 "</f>
        <v xml:space="preserve">0023593 </v>
      </c>
      <c r="B4718" t="s">
        <v>15973</v>
      </c>
      <c r="C4718" t="s">
        <v>16226</v>
      </c>
      <c r="D4718" t="str">
        <f>"05P1255  LPR - Р“Р°Р»СЊРјС–РІРЅС– РєРѕР»РѕРґРєРё РґРѕ РґРёСЃРєС–РІ (F, V)"</f>
        <v>05P1255  LPR - Р“Р°Р»СЊРјС–РІРЅС– РєРѕР»РѕРґРєРё РґРѕ РґРёСЃРєС–РІ (F, V)</v>
      </c>
      <c r="E4718">
        <v>2</v>
      </c>
      <c r="F4718" t="s">
        <v>16227</v>
      </c>
      <c r="G4718" t="s">
        <v>15973</v>
      </c>
      <c r="H4718" t="str">
        <f>"05P1255"</f>
        <v>05P1255</v>
      </c>
      <c r="I4718" t="s">
        <v>16228</v>
      </c>
    </row>
    <row r="4719" spans="1:9">
      <c r="A4719" t="str">
        <f>"0023595 "</f>
        <v xml:space="preserve">0023595 </v>
      </c>
      <c r="B4719" t="s">
        <v>15973</v>
      </c>
      <c r="C4719" t="s">
        <v>16229</v>
      </c>
      <c r="D4719" t="str">
        <f>"05P1257  LPR - Р“Р°Р»СЊРјС–РІРЅС– РєРѕР»РѕРґРєРё РґРѕ РґРёСЃРєС–РІ (F, V)"</f>
        <v>05P1257  LPR - Р“Р°Р»СЊРјС–РІРЅС– РєРѕР»РѕРґРєРё РґРѕ РґРёСЃРєС–РІ (F, V)</v>
      </c>
      <c r="E4719">
        <v>1</v>
      </c>
      <c r="F4719" t="s">
        <v>16230</v>
      </c>
      <c r="G4719" t="s">
        <v>15973</v>
      </c>
      <c r="H4719" t="str">
        <f>"05P1257"</f>
        <v>05P1257</v>
      </c>
      <c r="I4719" t="s">
        <v>16231</v>
      </c>
    </row>
    <row r="4720" spans="1:9">
      <c r="A4720" t="str">
        <f>"0023597 "</f>
        <v xml:space="preserve">0023597 </v>
      </c>
      <c r="B4720" t="s">
        <v>15973</v>
      </c>
      <c r="C4720" t="s">
        <v>16232</v>
      </c>
      <c r="D4720" t="str">
        <f>"05P1259  LPR - Р“Р°Р»СЊРјС–РІРЅС– РєРѕР»РѕРґРєРё РґРѕ РґРёСЃРєС–РІ (F, V, Р· РґР°С‚С‡РёРєРѕРј)"</f>
        <v>05P1259  LPR - Р“Р°Р»СЊРјС–РІРЅС– РєРѕР»РѕРґРєРё РґРѕ РґРёСЃРєС–РІ (F, V, Р· РґР°С‚С‡РёРєРѕРј)</v>
      </c>
      <c r="E4720">
        <v>2</v>
      </c>
      <c r="F4720" t="s">
        <v>16233</v>
      </c>
      <c r="G4720" t="s">
        <v>15973</v>
      </c>
      <c r="H4720" t="str">
        <f>"05P1259"</f>
        <v>05P1259</v>
      </c>
      <c r="I4720" t="s">
        <v>16234</v>
      </c>
    </row>
    <row r="4721" spans="1:9">
      <c r="A4721" t="str">
        <f>"0023598 "</f>
        <v xml:space="preserve">0023598 </v>
      </c>
      <c r="B4721" t="s">
        <v>15973</v>
      </c>
      <c r="C4721" t="s">
        <v>16235</v>
      </c>
      <c r="D4721" t="str">
        <f>"05P126  LPR - Р“Р°Р»СЊРјС–РІРЅС– РєРѕР»РѕРґРєРё РґРѕ РґРёСЃРєС–РІ (F)"</f>
        <v>05P126  LPR - Р“Р°Р»СЊРјС–РІРЅС– РєРѕР»РѕРґРєРё РґРѕ РґРёСЃРєС–РІ (F)</v>
      </c>
      <c r="E4721">
        <v>2</v>
      </c>
      <c r="F4721" t="s">
        <v>16236</v>
      </c>
      <c r="G4721" t="s">
        <v>15973</v>
      </c>
      <c r="H4721" t="str">
        <f>"05P126"</f>
        <v>05P126</v>
      </c>
      <c r="I4721" t="s">
        <v>16237</v>
      </c>
    </row>
    <row r="4722" spans="1:9">
      <c r="A4722" t="str">
        <f>"0023599 "</f>
        <v xml:space="preserve">0023599 </v>
      </c>
      <c r="B4722" t="s">
        <v>15973</v>
      </c>
      <c r="C4722" t="s">
        <v>16238</v>
      </c>
      <c r="D4722" t="str">
        <f>"05P1260  LPR - Р“Р°Р»СЊРјС–РІРЅС– РєРѕР»РѕРґРєРё РґРѕ РґРёСЃРєС–РІ (F, V, Р· РґР°С‚С‡РёРєРѕРј)"</f>
        <v>05P1260  LPR - Р“Р°Р»СЊРјС–РІРЅС– РєРѕР»РѕРґРєРё РґРѕ РґРёСЃРєС–РІ (F, V, Р· РґР°С‚С‡РёРєРѕРј)</v>
      </c>
      <c r="E4722">
        <v>2</v>
      </c>
      <c r="F4722" t="s">
        <v>16239</v>
      </c>
      <c r="G4722" t="s">
        <v>15973</v>
      </c>
      <c r="H4722" t="str">
        <f>"05P1260"</f>
        <v>05P1260</v>
      </c>
      <c r="I4722" t="s">
        <v>16240</v>
      </c>
    </row>
    <row r="4723" spans="1:9">
      <c r="A4723" t="str">
        <f>"0023600 "</f>
        <v xml:space="preserve">0023600 </v>
      </c>
      <c r="B4723" t="s">
        <v>15973</v>
      </c>
      <c r="C4723" t="s">
        <v>16241</v>
      </c>
      <c r="D4723" t="str">
        <f>"05P1261  LPR - Р“Р°Р»СЊРјС–РІРЅС– РєРѕР»РѕРґРєРё РґРѕ РґРёСЃРєС–РІ (R, S)"</f>
        <v>05P1261  LPR - Р“Р°Р»СЊРјС–РІРЅС– РєРѕР»РѕРґРєРё РґРѕ РґРёСЃРєС–РІ (R, S)</v>
      </c>
      <c r="E4723">
        <v>3</v>
      </c>
      <c r="F4723" t="s">
        <v>16242</v>
      </c>
      <c r="G4723" t="s">
        <v>15973</v>
      </c>
      <c r="H4723" t="str">
        <f>"05P1261"</f>
        <v>05P1261</v>
      </c>
      <c r="I4723" t="s">
        <v>16243</v>
      </c>
    </row>
    <row r="4724" spans="1:9">
      <c r="A4724" t="str">
        <f>"0035838 "</f>
        <v xml:space="preserve">0035838 </v>
      </c>
      <c r="B4724" t="s">
        <v>15973</v>
      </c>
      <c r="C4724" t="s">
        <v>16244</v>
      </c>
      <c r="D4724" t="str">
        <f>"05P1263  LPR - Р“Р°Р»СЊРјС–РІРЅС– РєРѕР»РѕРґРєРё РґРѕ РґРёСЃРєС–РІ"</f>
        <v>05P1263  LPR - Р“Р°Р»СЊРјС–РІРЅС– РєРѕР»РѕРґРєРё РґРѕ РґРёСЃРєС–РІ</v>
      </c>
      <c r="E4724">
        <v>1</v>
      </c>
      <c r="F4724" t="s">
        <v>16245</v>
      </c>
      <c r="G4724" t="s">
        <v>15973</v>
      </c>
      <c r="H4724" t="str">
        <f>"05P1263"</f>
        <v>05P1263</v>
      </c>
      <c r="I4724" t="s">
        <v>16246</v>
      </c>
    </row>
    <row r="4725" spans="1:9">
      <c r="A4725" t="str">
        <f>"0023603 "</f>
        <v xml:space="preserve">0023603 </v>
      </c>
      <c r="B4725" t="s">
        <v>15973</v>
      </c>
      <c r="C4725" t="s">
        <v>16247</v>
      </c>
      <c r="D4725" t="str">
        <f>"05P1268  LPR - Р“Р°Р»СЊРјС–РІРЅС– РєРѕР»РѕРґРєРё РґРѕ РґРёСЃРєС–РІ (F, V, Р· РґР°С‚С‡РёРєРѕРј)"</f>
        <v>05P1268  LPR - Р“Р°Р»СЊРјС–РІРЅС– РєРѕР»РѕРґРєРё РґРѕ РґРёСЃРєС–РІ (F, V, Р· РґР°С‚С‡РёРєРѕРј)</v>
      </c>
      <c r="E4725">
        <v>1</v>
      </c>
      <c r="F4725" t="s">
        <v>16248</v>
      </c>
      <c r="G4725" t="s">
        <v>15973</v>
      </c>
      <c r="H4725" t="str">
        <f>"05P1268"</f>
        <v>05P1268</v>
      </c>
      <c r="I4725" t="s">
        <v>16249</v>
      </c>
    </row>
    <row r="4726" spans="1:9">
      <c r="A4726" t="str">
        <f>"0023606 "</f>
        <v xml:space="preserve">0023606 </v>
      </c>
      <c r="B4726" t="s">
        <v>15973</v>
      </c>
      <c r="C4726" t="s">
        <v>16250</v>
      </c>
      <c r="D4726" t="str">
        <f>"05P1270  LPR - Р“Р°Р»СЊРјС–РІРЅС– РєРѕР»РѕРґРєРё РґРѕ РґРёСЃРєС–РІ (F, V, Р· РґР°С‚С‡РёРєРѕРј)"</f>
        <v>05P1270  LPR - Р“Р°Р»СЊРјС–РІРЅС– РєРѕР»РѕРґРєРё РґРѕ РґРёСЃРєС–РІ (F, V, Р· РґР°С‚С‡РёРєРѕРј)</v>
      </c>
      <c r="E4726">
        <v>1</v>
      </c>
      <c r="F4726" t="s">
        <v>16251</v>
      </c>
      <c r="G4726" t="s">
        <v>15973</v>
      </c>
      <c r="H4726" t="str">
        <f>"05P1270"</f>
        <v>05P1270</v>
      </c>
      <c r="I4726" t="s">
        <v>16252</v>
      </c>
    </row>
    <row r="4727" spans="1:9">
      <c r="A4727" t="str">
        <f>"0023608 "</f>
        <v xml:space="preserve">0023608 </v>
      </c>
      <c r="B4727" t="s">
        <v>15973</v>
      </c>
      <c r="C4727" t="s">
        <v>16253</v>
      </c>
      <c r="D4727" t="str">
        <f>"05P1272  LPR - Р“Р°Р»СЊРјС–РІРЅС– РєРѕР»РѕРґРєРё РґРѕ РґРёСЃРєС–РІ (R, S)"</f>
        <v>05P1272  LPR - Р“Р°Р»СЊРјС–РІРЅС– РєРѕР»РѕРґРєРё РґРѕ РґРёСЃРєС–РІ (R, S)</v>
      </c>
      <c r="E4727">
        <v>2</v>
      </c>
      <c r="F4727" t="s">
        <v>16254</v>
      </c>
      <c r="G4727" t="s">
        <v>15973</v>
      </c>
      <c r="H4727" t="str">
        <f>"05P1272"</f>
        <v>05P1272</v>
      </c>
      <c r="I4727" t="s">
        <v>16255</v>
      </c>
    </row>
    <row r="4728" spans="1:9">
      <c r="A4728" t="str">
        <f>"0023609 "</f>
        <v xml:space="preserve">0023609 </v>
      </c>
      <c r="B4728" t="s">
        <v>15973</v>
      </c>
      <c r="C4728" t="s">
        <v>16256</v>
      </c>
      <c r="D4728" t="str">
        <f>"05P1273  LPR - Р“Р°Р»СЊРјС–РІРЅС– РєРѕР»РѕРґРєРё РґРѕ РґРёСЃРєС–РІ (R, S)"</f>
        <v>05P1273  LPR - Р“Р°Р»СЊРјС–РІРЅС– РєРѕР»РѕРґРєРё РґРѕ РґРёСЃРєС–РІ (R, S)</v>
      </c>
      <c r="E4728">
        <v>1</v>
      </c>
      <c r="F4728" t="s">
        <v>16198</v>
      </c>
      <c r="G4728" t="s">
        <v>15973</v>
      </c>
      <c r="H4728" t="str">
        <f>"05P1273"</f>
        <v>05P1273</v>
      </c>
      <c r="I4728" t="s">
        <v>16257</v>
      </c>
    </row>
    <row r="4729" spans="1:9">
      <c r="A4729" t="str">
        <f>"0023610 "</f>
        <v xml:space="preserve">0023610 </v>
      </c>
      <c r="B4729" t="s">
        <v>15973</v>
      </c>
      <c r="C4729" t="s">
        <v>16258</v>
      </c>
      <c r="D4729" t="str">
        <f>"05P1274  LPR - Р“Р°Р»СЊРјС–РІРЅС– РєРѕР»РѕРґРєРё РґРѕ РґРёСЃРєС–РІ (R, S)"</f>
        <v>05P1274  LPR - Р“Р°Р»СЊРјС–РІРЅС– РєРѕР»РѕРґРєРё РґРѕ РґРёСЃРєС–РІ (R, S)</v>
      </c>
      <c r="E4729">
        <v>1</v>
      </c>
      <c r="F4729" t="s">
        <v>16259</v>
      </c>
      <c r="G4729" t="s">
        <v>15973</v>
      </c>
      <c r="H4729" t="str">
        <f>"05P1274"</f>
        <v>05P1274</v>
      </c>
      <c r="I4729" t="s">
        <v>16260</v>
      </c>
    </row>
    <row r="4730" spans="1:9">
      <c r="A4730" t="str">
        <f>"0023611 "</f>
        <v xml:space="preserve">0023611 </v>
      </c>
      <c r="B4730" t="s">
        <v>15973</v>
      </c>
      <c r="C4730" t="s">
        <v>16261</v>
      </c>
      <c r="D4730" t="str">
        <f>"05P1275  LPR - Р“Р°Р»СЊРјС–РІРЅС– РєРѕР»РѕРґРєРё РґРѕ РґРёСЃРєС–РІ (F, V)"</f>
        <v>05P1275  LPR - Р“Р°Р»СЊРјС–РІРЅС– РєРѕР»РѕРґРєРё РґРѕ РґРёСЃРєС–РІ (F, V)</v>
      </c>
      <c r="E4730">
        <v>2</v>
      </c>
      <c r="F4730" t="s">
        <v>16262</v>
      </c>
      <c r="G4730" t="s">
        <v>15973</v>
      </c>
      <c r="H4730" t="str">
        <f>"05P1275"</f>
        <v>05P1275</v>
      </c>
      <c r="I4730" t="s">
        <v>16263</v>
      </c>
    </row>
    <row r="4731" spans="1:9">
      <c r="A4731" t="str">
        <f>"0023614 "</f>
        <v xml:space="preserve">0023614 </v>
      </c>
      <c r="B4731" t="s">
        <v>15973</v>
      </c>
      <c r="C4731" t="s">
        <v>16264</v>
      </c>
      <c r="D4731" t="str">
        <f>"05P1278  LPR - Р“Р°Р»СЊРјС–РІРЅС– РєРѕР»РѕРґРєРё РґРѕ РґРёСЃРєС–РІ (R, S)"</f>
        <v>05P1278  LPR - Р“Р°Р»СЊРјС–РІРЅС– РєРѕР»РѕРґРєРё РґРѕ РґРёСЃРєС–РІ (R, S)</v>
      </c>
      <c r="E4731">
        <v>1</v>
      </c>
      <c r="F4731" t="s">
        <v>16198</v>
      </c>
      <c r="G4731" t="s">
        <v>15973</v>
      </c>
      <c r="H4731" t="str">
        <f>"05P1278"</f>
        <v>05P1278</v>
      </c>
      <c r="I4731" t="s">
        <v>16265</v>
      </c>
    </row>
    <row r="4732" spans="1:9">
      <c r="A4732" t="str">
        <f>"0023615 "</f>
        <v xml:space="preserve">0023615 </v>
      </c>
      <c r="B4732" t="s">
        <v>15973</v>
      </c>
      <c r="C4732" t="s">
        <v>16266</v>
      </c>
      <c r="D4732" t="str">
        <f>"05P1279  LPR - Р“Р°Р»СЊРјС–РІРЅС– РєРѕР»РѕРґРєРё РґРѕ РґРёСЃРєС–РІ (F, V)"</f>
        <v>05P1279  LPR - Р“Р°Р»СЊРјС–РІРЅС– РєРѕР»РѕРґРєРё РґРѕ РґРёСЃРєС–РІ (F, V)</v>
      </c>
      <c r="E4732">
        <v>1</v>
      </c>
      <c r="F4732" t="s">
        <v>16267</v>
      </c>
      <c r="G4732" t="s">
        <v>15973</v>
      </c>
      <c r="H4732" t="str">
        <f>"05P1279"</f>
        <v>05P1279</v>
      </c>
      <c r="I4732" t="s">
        <v>16268</v>
      </c>
    </row>
    <row r="4733" spans="1:9">
      <c r="A4733" t="str">
        <f>"0023617 "</f>
        <v xml:space="preserve">0023617 </v>
      </c>
      <c r="B4733" t="s">
        <v>15973</v>
      </c>
      <c r="C4733" t="s">
        <v>16269</v>
      </c>
      <c r="D4733" t="str">
        <f>"05P1281  LPR - Р“Р°Р»СЊРјС–РІРЅС– РєРѕР»РѕРґРєРё РґРѕ РґРёСЃРєС–РІ (R)"</f>
        <v>05P1281  LPR - Р“Р°Р»СЊРјС–РІРЅС– РєРѕР»РѕРґРєРё РґРѕ РґРёСЃРєС–РІ (R)</v>
      </c>
      <c r="E4733">
        <v>2</v>
      </c>
      <c r="F4733" t="s">
        <v>16182</v>
      </c>
      <c r="G4733" t="s">
        <v>15973</v>
      </c>
      <c r="H4733" t="str">
        <f>"05P1281"</f>
        <v>05P1281</v>
      </c>
      <c r="I4733" t="s">
        <v>16270</v>
      </c>
    </row>
    <row r="4734" spans="1:9">
      <c r="A4734" t="str">
        <f>"0023618 "</f>
        <v xml:space="preserve">0023618 </v>
      </c>
      <c r="B4734" t="s">
        <v>15973</v>
      </c>
      <c r="C4734" t="s">
        <v>16271</v>
      </c>
      <c r="D4734" t="str">
        <f>"05P1282  LPR - Р“Р°Р»СЊРјС–РІРЅС– РєРѕР»РѕРґРєРё РґРѕ РґРёСЃРєС–РІ (F, V)"</f>
        <v>05P1282  LPR - Р“Р°Р»СЊРјС–РІРЅС– РєРѕР»РѕРґРєРё РґРѕ РґРёСЃРєС–РІ (F, V)</v>
      </c>
      <c r="E4734">
        <v>3</v>
      </c>
      <c r="F4734" t="s">
        <v>15996</v>
      </c>
      <c r="G4734" t="s">
        <v>15973</v>
      </c>
      <c r="H4734" t="str">
        <f>"05P1282"</f>
        <v>05P1282</v>
      </c>
      <c r="I4734" t="s">
        <v>16272</v>
      </c>
    </row>
    <row r="4735" spans="1:9">
      <c r="A4735" t="str">
        <f>"0023619 "</f>
        <v xml:space="preserve">0023619 </v>
      </c>
      <c r="B4735" t="s">
        <v>15973</v>
      </c>
      <c r="C4735" t="s">
        <v>16273</v>
      </c>
      <c r="D4735" t="str">
        <f>"05P1283  LPR - Р“Р°Р»СЊРјС–РІРЅС– РєРѕР»РѕРґРєРё РґРѕ РґРёСЃРєС–РІ (F, V, Р· РґР°С‚С‡РёРєРѕРј)"</f>
        <v>05P1283  LPR - Р“Р°Р»СЊРјС–РІРЅС– РєРѕР»РѕРґРєРё РґРѕ РґРёСЃРєС–РІ (F, V, Р· РґР°С‚С‡РёРєРѕРј)</v>
      </c>
      <c r="E4735">
        <v>1</v>
      </c>
      <c r="F4735" t="s">
        <v>16274</v>
      </c>
      <c r="G4735" t="s">
        <v>15973</v>
      </c>
      <c r="H4735" t="str">
        <f>"05P1283"</f>
        <v>05P1283</v>
      </c>
      <c r="I4735" t="s">
        <v>16275</v>
      </c>
    </row>
    <row r="4736" spans="1:9">
      <c r="A4736" t="str">
        <f>"0023620 "</f>
        <v xml:space="preserve">0023620 </v>
      </c>
      <c r="B4736" t="s">
        <v>15973</v>
      </c>
      <c r="C4736" t="s">
        <v>16276</v>
      </c>
      <c r="D4736" t="str">
        <f>"05P1284  LPR - Р“Р°Р»СЊРјС–РІРЅС– РєРѕР»РѕРґРєРё РґРѕ РґРёСЃРєС–РІ (R, V)"</f>
        <v>05P1284  LPR - Р“Р°Р»СЊРјС–РІРЅС– РєРѕР»РѕРґРєРё РґРѕ РґРёСЃРєС–РІ (R, V)</v>
      </c>
      <c r="E4736">
        <v>1</v>
      </c>
      <c r="F4736" t="s">
        <v>16277</v>
      </c>
      <c r="G4736" t="s">
        <v>15973</v>
      </c>
      <c r="H4736" t="str">
        <f>"05P1284"</f>
        <v>05P1284</v>
      </c>
      <c r="I4736" t="s">
        <v>16278</v>
      </c>
    </row>
    <row r="4737" spans="1:9">
      <c r="A4737" t="str">
        <f>"0023623 "</f>
        <v xml:space="preserve">0023623 </v>
      </c>
      <c r="B4737" t="s">
        <v>15973</v>
      </c>
      <c r="C4737" t="s">
        <v>16279</v>
      </c>
      <c r="D4737" t="str">
        <f>"05P1287  LPR - Р“Р°Р»СЊРјС–РІРЅС– РєРѕР»РѕРґРєРё РґРѕ РґРёСЃРєС–РІ (F, V, Р· РґР°С‚С‡РёРєРѕРј)"</f>
        <v>05P1287  LPR - Р“Р°Р»СЊРјС–РІРЅС– РєРѕР»РѕРґРєРё РґРѕ РґРёСЃРєС–РІ (F, V, Р· РґР°С‚С‡РёРєРѕРј)</v>
      </c>
      <c r="E4737">
        <v>2</v>
      </c>
      <c r="F4737" t="s">
        <v>16280</v>
      </c>
      <c r="G4737" t="s">
        <v>15973</v>
      </c>
      <c r="H4737" t="str">
        <f>"05P1287"</f>
        <v>05P1287</v>
      </c>
      <c r="I4737" t="s">
        <v>16281</v>
      </c>
    </row>
    <row r="4738" spans="1:9">
      <c r="A4738" t="str">
        <f>"0023624 "</f>
        <v xml:space="preserve">0023624 </v>
      </c>
      <c r="B4738" t="s">
        <v>15973</v>
      </c>
      <c r="C4738" t="s">
        <v>16282</v>
      </c>
      <c r="D4738" t="str">
        <f>"05P1288  LPR - Р“Р°Р»СЊРјС–РІРЅС– РєРѕР»РѕРґРєРё РґРѕ РґРёСЃРєС–РІ (F, V, Р· РґР°С‚С‡РёРєРѕРј)"</f>
        <v>05P1288  LPR - Р“Р°Р»СЊРјС–РІРЅС– РєРѕР»РѕРґРєРё РґРѕ РґРёСЃРєС–РІ (F, V, Р· РґР°С‚С‡РёРєРѕРј)</v>
      </c>
      <c r="E4738">
        <v>1</v>
      </c>
      <c r="F4738" t="s">
        <v>16283</v>
      </c>
      <c r="G4738" t="s">
        <v>15973</v>
      </c>
      <c r="H4738" t="str">
        <f>"05P1288"</f>
        <v>05P1288</v>
      </c>
      <c r="I4738" t="s">
        <v>16284</v>
      </c>
    </row>
    <row r="4739" spans="1:9">
      <c r="A4739" t="str">
        <f>"0023625 "</f>
        <v xml:space="preserve">0023625 </v>
      </c>
      <c r="B4739" t="s">
        <v>15973</v>
      </c>
      <c r="C4739" t="s">
        <v>16285</v>
      </c>
      <c r="D4739" t="str">
        <f>"05P1289  LPR - Р“Р°Р»СЊРјС–РІРЅС– РєРѕР»РѕРґРєРё РґРѕ РґРёСЃРєС–РІ (R, S)"</f>
        <v>05P1289  LPR - Р“Р°Р»СЊРјС–РІРЅС– РєРѕР»РѕРґРєРё РґРѕ РґРёСЃРєС–РІ (R, S)</v>
      </c>
      <c r="E4739">
        <v>3</v>
      </c>
      <c r="F4739" t="s">
        <v>16286</v>
      </c>
      <c r="G4739" t="s">
        <v>15973</v>
      </c>
      <c r="H4739" t="str">
        <f>"05P1289"</f>
        <v>05P1289</v>
      </c>
      <c r="I4739" t="s">
        <v>16287</v>
      </c>
    </row>
    <row r="4740" spans="1:9">
      <c r="A4740" t="str">
        <f>"0023626 "</f>
        <v xml:space="preserve">0023626 </v>
      </c>
      <c r="B4740" t="s">
        <v>15973</v>
      </c>
      <c r="C4740" t="s">
        <v>16288</v>
      </c>
      <c r="D4740" t="str">
        <f>"05P129  LPR - Р“Р°Р»СЊРјС–РІРЅС– РєРѕР»РѕРґРєРё РґРѕ РґРёСЃРєС–РІ (F, S)"</f>
        <v>05P129  LPR - Р“Р°Р»СЊРјС–РІРЅС– РєРѕР»РѕРґРєРё РґРѕ РґРёСЃРєС–РІ (F, S)</v>
      </c>
      <c r="E4740">
        <v>1</v>
      </c>
      <c r="F4740" t="s">
        <v>16289</v>
      </c>
      <c r="G4740" t="s">
        <v>15973</v>
      </c>
      <c r="H4740" t="str">
        <f>"05P129"</f>
        <v>05P129</v>
      </c>
      <c r="I4740" t="s">
        <v>16290</v>
      </c>
    </row>
    <row r="4741" spans="1:9">
      <c r="A4741" t="str">
        <f>"0023629 "</f>
        <v xml:space="preserve">0023629 </v>
      </c>
      <c r="B4741" t="s">
        <v>15973</v>
      </c>
      <c r="C4741" t="s">
        <v>16291</v>
      </c>
      <c r="D4741" t="str">
        <f>"05P1292  LPR - Р“Р°Р»СЊРјС–РІРЅС– РєРѕР»РѕРґРєРё РґРѕ РґРёСЃРєС–РІ (R)"</f>
        <v>05P1292  LPR - Р“Р°Р»СЊРјС–РІРЅС– РєРѕР»РѕРґРєРё РґРѕ РґРёСЃРєС–РІ (R)</v>
      </c>
      <c r="E4741">
        <v>1</v>
      </c>
      <c r="F4741" t="s">
        <v>16292</v>
      </c>
      <c r="G4741" t="s">
        <v>15973</v>
      </c>
      <c r="H4741" t="str">
        <f>"05P1292"</f>
        <v>05P1292</v>
      </c>
      <c r="I4741" t="s">
        <v>16293</v>
      </c>
    </row>
    <row r="4742" spans="1:9">
      <c r="A4742" t="str">
        <f>"0023630 "</f>
        <v xml:space="preserve">0023630 </v>
      </c>
      <c r="B4742" t="s">
        <v>15973</v>
      </c>
      <c r="C4742" t="s">
        <v>16294</v>
      </c>
      <c r="D4742" t="str">
        <f>"05P1293  LPR - Р“Р°Р»СЊРјС–РІРЅС– РєРѕР»РѕРґРєРё РґРѕ РґРёСЃРєС–РІ (R, S)"</f>
        <v>05P1293  LPR - Р“Р°Р»СЊРјС–РІРЅС– РєРѕР»РѕРґРєРё РґРѕ РґРёСЃРєС–РІ (R, S)</v>
      </c>
      <c r="E4742">
        <v>2</v>
      </c>
      <c r="F4742" t="s">
        <v>16295</v>
      </c>
      <c r="G4742" t="s">
        <v>15973</v>
      </c>
      <c r="H4742" t="str">
        <f>"05P1293"</f>
        <v>05P1293</v>
      </c>
      <c r="I4742" t="s">
        <v>16296</v>
      </c>
    </row>
    <row r="4743" spans="1:9">
      <c r="A4743" t="str">
        <f>"0023634 "</f>
        <v xml:space="preserve">0023634 </v>
      </c>
      <c r="B4743" t="s">
        <v>15973</v>
      </c>
      <c r="C4743" t="s">
        <v>16297</v>
      </c>
      <c r="D4743" t="str">
        <f>"05P1297  LPR - Р“Р°Р»СЊРјС–РІРЅС– РєРѕР»РѕРґРєРё РґРѕ РґРёСЃРєС–РІ (F, V)"</f>
        <v>05P1297  LPR - Р“Р°Р»СЊРјС–РІРЅС– РєРѕР»РѕРґРєРё РґРѕ РґРёСЃРєС–РІ (F, V)</v>
      </c>
      <c r="E4743">
        <v>1</v>
      </c>
      <c r="F4743" t="s">
        <v>16298</v>
      </c>
      <c r="G4743" t="s">
        <v>15973</v>
      </c>
      <c r="H4743" t="str">
        <f>"05P1297"</f>
        <v>05P1297</v>
      </c>
      <c r="I4743" t="s">
        <v>16299</v>
      </c>
    </row>
    <row r="4744" spans="1:9">
      <c r="A4744" t="str">
        <f>"0023640 "</f>
        <v xml:space="preserve">0023640 </v>
      </c>
      <c r="B4744" t="s">
        <v>15973</v>
      </c>
      <c r="C4744" t="s">
        <v>16300</v>
      </c>
      <c r="D4744" t="str">
        <f>"05P1303  LPR - Р“Р°Р»СЊРјС–РІРЅС– РєРѕР»РѕРґРєРё РґРѕ РґРёСЃРєС–РІ (R, S)"</f>
        <v>05P1303  LPR - Р“Р°Р»СЊРјС–РІРЅС– РєРѕР»РѕРґРєРё РґРѕ РґРёСЃРєС–РІ (R, S)</v>
      </c>
      <c r="E4744">
        <v>2</v>
      </c>
      <c r="F4744" t="s">
        <v>2634</v>
      </c>
      <c r="G4744" t="s">
        <v>15973</v>
      </c>
      <c r="H4744" t="str">
        <f>"05P1303"</f>
        <v>05P1303</v>
      </c>
      <c r="I4744" t="s">
        <v>16301</v>
      </c>
    </row>
    <row r="4745" spans="1:9">
      <c r="A4745" t="str">
        <f>"0023641 "</f>
        <v xml:space="preserve">0023641 </v>
      </c>
      <c r="B4745" t="s">
        <v>15973</v>
      </c>
      <c r="C4745" t="s">
        <v>16302</v>
      </c>
      <c r="D4745" t="str">
        <f>"05P1304  LPR - Р“Р°Р»СЊРјС–РІРЅС– РєРѕР»РѕРґРєРё РґРѕ РґРёСЃРєС–РІ (F, V, Р· РґР°С‚С‡РёРєРѕРј)"</f>
        <v>05P1304  LPR - Р“Р°Р»СЊРјС–РІРЅС– РєРѕР»РѕРґРєРё РґРѕ РґРёСЃРєС–РІ (F, V, Р· РґР°С‚С‡РёРєРѕРј)</v>
      </c>
      <c r="E4745">
        <v>1</v>
      </c>
      <c r="F4745" t="s">
        <v>16303</v>
      </c>
      <c r="G4745" t="s">
        <v>15973</v>
      </c>
      <c r="H4745" t="str">
        <f>"05P1304"</f>
        <v>05P1304</v>
      </c>
      <c r="I4745" t="s">
        <v>16304</v>
      </c>
    </row>
    <row r="4746" spans="1:9">
      <c r="A4746" t="str">
        <f>"0023649 "</f>
        <v xml:space="preserve">0023649 </v>
      </c>
      <c r="B4746" t="s">
        <v>15973</v>
      </c>
      <c r="C4746" t="s">
        <v>16305</v>
      </c>
      <c r="D4746" t="str">
        <f>"05P1314  LPR - Р“Р°Р»СЊРјС–РІРЅС– РєРѕР»РѕРґРєРё РґРѕ РґРёСЃРєС–РІ (F, V)"</f>
        <v>05P1314  LPR - Р“Р°Р»СЊРјС–РІРЅС– РєРѕР»РѕРґРєРё РґРѕ РґРёСЃРєС–РІ (F, V)</v>
      </c>
      <c r="E4746">
        <v>3</v>
      </c>
      <c r="F4746" t="s">
        <v>11922</v>
      </c>
      <c r="G4746" t="s">
        <v>15973</v>
      </c>
      <c r="H4746" t="str">
        <f>"05P1314"</f>
        <v>05P1314</v>
      </c>
      <c r="I4746" t="s">
        <v>16306</v>
      </c>
    </row>
    <row r="4747" spans="1:9">
      <c r="A4747" t="str">
        <f>"0023653 "</f>
        <v xml:space="preserve">0023653 </v>
      </c>
      <c r="B4747" t="s">
        <v>15973</v>
      </c>
      <c r="C4747" t="s">
        <v>16307</v>
      </c>
      <c r="D4747" t="str">
        <f>"05P1318  LPR - Р“Р°Р»СЊРјС–РІРЅС– РєРѕР»РѕРґРєРё РґРѕ РґРёСЃРєС–РІ (F, V, Р· РґР°С‚С‡РёРєРѕРј)"</f>
        <v>05P1318  LPR - Р“Р°Р»СЊРјС–РІРЅС– РєРѕР»РѕРґРєРё РґРѕ РґРёСЃРєС–РІ (F, V, Р· РґР°С‚С‡РёРєРѕРј)</v>
      </c>
      <c r="E4747">
        <v>2</v>
      </c>
      <c r="F4747" t="s">
        <v>14823</v>
      </c>
      <c r="G4747" t="s">
        <v>15973</v>
      </c>
      <c r="H4747" t="str">
        <f>"05P1318"</f>
        <v>05P1318</v>
      </c>
      <c r="I4747" t="s">
        <v>16308</v>
      </c>
    </row>
    <row r="4748" spans="1:9">
      <c r="A4748" t="str">
        <f>"0023654 "</f>
        <v xml:space="preserve">0023654 </v>
      </c>
      <c r="B4748" t="s">
        <v>15973</v>
      </c>
      <c r="C4748" t="s">
        <v>16309</v>
      </c>
      <c r="D4748" t="str">
        <f>"05P1319  LPR - Р“Р°Р»СЊРјС–РІРЅС– РєРѕР»РѕРґРєРё РґРѕ РґРёСЃРєС–РІ (F, V, Р· РґР°С‚С‡РёРєРѕРј)"</f>
        <v>05P1319  LPR - Р“Р°Р»СЊРјС–РІРЅС– РєРѕР»РѕРґРєРё РґРѕ РґРёСЃРєС–РІ (F, V, Р· РґР°С‚С‡РёРєРѕРј)</v>
      </c>
      <c r="E4748">
        <v>1</v>
      </c>
      <c r="F4748" t="s">
        <v>16310</v>
      </c>
      <c r="G4748" t="s">
        <v>15973</v>
      </c>
      <c r="H4748" t="str">
        <f>"05P1319"</f>
        <v>05P1319</v>
      </c>
      <c r="I4748" t="s">
        <v>16311</v>
      </c>
    </row>
    <row r="4749" spans="1:9">
      <c r="A4749" t="str">
        <f>"0023656 "</f>
        <v xml:space="preserve">0023656 </v>
      </c>
      <c r="B4749" t="s">
        <v>15973</v>
      </c>
      <c r="C4749" t="s">
        <v>16312</v>
      </c>
      <c r="D4749" t="str">
        <f>"05P1320  LPR - Р“Р°Р»СЊРјС–РІРЅС– РєРѕР»РѕРґРєРё РґРѕ РґРёСЃРєС–РІ (R, S)"</f>
        <v>05P1320  LPR - Р“Р°Р»СЊРјС–РІРЅС– РєРѕР»РѕРґРєРё РґРѕ РґРёСЃРєС–РІ (R, S)</v>
      </c>
      <c r="E4749">
        <v>2</v>
      </c>
      <c r="F4749" t="s">
        <v>16313</v>
      </c>
      <c r="G4749" t="s">
        <v>15973</v>
      </c>
      <c r="H4749" t="str">
        <f>"05P1320"</f>
        <v>05P1320</v>
      </c>
      <c r="I4749" t="s">
        <v>16314</v>
      </c>
    </row>
    <row r="4750" spans="1:9">
      <c r="A4750" t="str">
        <f>"0023657 "</f>
        <v xml:space="preserve">0023657 </v>
      </c>
      <c r="B4750" t="s">
        <v>15973</v>
      </c>
      <c r="C4750" t="s">
        <v>16315</v>
      </c>
      <c r="D4750" t="str">
        <f>"05P1321  LPR - Р“Р°Р»СЊРјС–РІРЅС– РєРѕР»РѕРґРєРё РґРѕ РґРёСЃРєС–РІ (F, V)"</f>
        <v>05P1321  LPR - Р“Р°Р»СЊРјС–РІРЅС– РєРѕР»РѕРґРєРё РґРѕ РґРёСЃРєС–РІ (F, V)</v>
      </c>
      <c r="E4750">
        <v>1</v>
      </c>
      <c r="F4750" t="s">
        <v>16316</v>
      </c>
      <c r="G4750" t="s">
        <v>15973</v>
      </c>
      <c r="H4750" t="str">
        <f>"05P1321"</f>
        <v>05P1321</v>
      </c>
      <c r="I4750" t="s">
        <v>16317</v>
      </c>
    </row>
    <row r="4751" spans="1:9">
      <c r="A4751" t="str">
        <f>"0023659 "</f>
        <v xml:space="preserve">0023659 </v>
      </c>
      <c r="B4751" t="s">
        <v>15973</v>
      </c>
      <c r="C4751" t="s">
        <v>16318</v>
      </c>
      <c r="D4751" t="str">
        <f>"05P1323  LPR - Р“Р°Р»СЊРјС–РІРЅС– РєРѕР»РѕРґРєРё РґРѕ РґРёСЃРєС–РІ (R, V)"</f>
        <v>05P1323  LPR - Р“Р°Р»СЊРјС–РІРЅС– РєРѕР»РѕРґРєРё РґРѕ РґРёСЃРєС–РІ (R, V)</v>
      </c>
      <c r="E4751">
        <v>1</v>
      </c>
      <c r="F4751" t="s">
        <v>16319</v>
      </c>
      <c r="G4751" t="s">
        <v>15973</v>
      </c>
      <c r="H4751" t="str">
        <f>"05P1323"</f>
        <v>05P1323</v>
      </c>
      <c r="I4751" t="s">
        <v>16320</v>
      </c>
    </row>
    <row r="4752" spans="1:9">
      <c r="A4752" t="str">
        <f>"0023661 "</f>
        <v xml:space="preserve">0023661 </v>
      </c>
      <c r="B4752" t="s">
        <v>15973</v>
      </c>
      <c r="C4752" t="s">
        <v>16321</v>
      </c>
      <c r="D4752" t="str">
        <f>"05P1326  LPR - Р“Р°Р»СЊРјС–РІРЅС– РєРѕР»РѕРґРєРё РґРѕ РґРёСЃРєС–РІ (R)"</f>
        <v>05P1326  LPR - Р“Р°Р»СЊРјС–РІРЅС– РєРѕР»РѕРґРєРё РґРѕ РґРёСЃРєС–РІ (R)</v>
      </c>
      <c r="E4752">
        <v>1</v>
      </c>
      <c r="F4752" t="s">
        <v>16322</v>
      </c>
      <c r="G4752" t="s">
        <v>15973</v>
      </c>
      <c r="H4752" t="str">
        <f>"05P1326"</f>
        <v>05P1326</v>
      </c>
      <c r="I4752" t="s">
        <v>16323</v>
      </c>
    </row>
    <row r="4753" spans="1:9">
      <c r="A4753" t="str">
        <f>"0023668 "</f>
        <v xml:space="preserve">0023668 </v>
      </c>
      <c r="B4753" t="s">
        <v>15973</v>
      </c>
      <c r="C4753" t="s">
        <v>16324</v>
      </c>
      <c r="D4753" t="str">
        <f>"05P1333  LPR - Р“Р°Р»СЊРјС–РІРЅС– РєРѕР»РѕРґРєРё РґРѕ РґРёСЃРєС–РІ (F, V)"</f>
        <v>05P1333  LPR - Р“Р°Р»СЊРјС–РІРЅС– РєРѕР»РѕРґРєРё РґРѕ РґРёСЃРєС–РІ (F, V)</v>
      </c>
      <c r="E4753">
        <v>1</v>
      </c>
      <c r="F4753" t="s">
        <v>16325</v>
      </c>
      <c r="G4753" t="s">
        <v>15973</v>
      </c>
      <c r="H4753" t="str">
        <f>"05P1333"</f>
        <v>05P1333</v>
      </c>
      <c r="I4753" t="s">
        <v>16326</v>
      </c>
    </row>
    <row r="4754" spans="1:9">
      <c r="A4754" t="str">
        <f>"0023675 "</f>
        <v xml:space="preserve">0023675 </v>
      </c>
      <c r="B4754" t="s">
        <v>15973</v>
      </c>
      <c r="C4754" t="s">
        <v>16327</v>
      </c>
      <c r="D4754" t="str">
        <f>"05P1342  LPR - Р“Р°Р»СЊРјС–РІРЅС– РєРѕР»РѕРґРєРё РґРѕ РґРёСЃРєС–РІ (F, Р· РґР°С‚С‡РёРєРѕРј)"</f>
        <v>05P1342  LPR - Р“Р°Р»СЊРјС–РІРЅС– РєРѕР»РѕРґРєРё РґРѕ РґРёСЃРєС–РІ (F, Р· РґР°С‚С‡РёРєРѕРј)</v>
      </c>
      <c r="E4754">
        <v>1</v>
      </c>
      <c r="F4754" t="s">
        <v>16328</v>
      </c>
      <c r="G4754" t="s">
        <v>15973</v>
      </c>
      <c r="H4754" t="str">
        <f>"05P1342"</f>
        <v>05P1342</v>
      </c>
      <c r="I4754" t="s">
        <v>16329</v>
      </c>
    </row>
    <row r="4755" spans="1:9">
      <c r="A4755" t="str">
        <f>"0023677 "</f>
        <v xml:space="preserve">0023677 </v>
      </c>
      <c r="B4755" t="s">
        <v>15973</v>
      </c>
      <c r="C4755" t="s">
        <v>16330</v>
      </c>
      <c r="D4755" t="str">
        <f>"05P1344  LPR - Р“Р°Р»СЊРјС–РІРЅС– РєРѕР»РѕРґРєРё РґРѕ РґРёСЃРєС–РІ (R, S)"</f>
        <v>05P1344  LPR - Р“Р°Р»СЊРјС–РІРЅС– РєРѕР»РѕРґРєРё РґРѕ РґРёСЃРєС–РІ (R, S)</v>
      </c>
      <c r="E4755">
        <v>2</v>
      </c>
      <c r="F4755" t="s">
        <v>3045</v>
      </c>
      <c r="G4755" t="s">
        <v>15973</v>
      </c>
      <c r="H4755" t="str">
        <f>"05P1344"</f>
        <v>05P1344</v>
      </c>
      <c r="I4755" t="s">
        <v>16331</v>
      </c>
    </row>
    <row r="4756" spans="1:9">
      <c r="A4756" t="str">
        <f>"0023680 "</f>
        <v xml:space="preserve">0023680 </v>
      </c>
      <c r="B4756" t="s">
        <v>15973</v>
      </c>
      <c r="C4756" t="s">
        <v>16332</v>
      </c>
      <c r="D4756" t="str">
        <f>"05P1347  LPR - Р“Р°Р»СЊРјС–РІРЅС– РєРѕР»РѕРґРєРё РґРѕ РґРёСЃРєС–РІ (F, Р· РґР°С‚С‡РёРєРѕРј)"</f>
        <v>05P1347  LPR - Р“Р°Р»СЊРјС–РІРЅС– РєРѕР»РѕРґРєРё РґРѕ РґРёСЃРєС–РІ (F, Р· РґР°С‚С‡РёРєРѕРј)</v>
      </c>
      <c r="E4756">
        <v>2</v>
      </c>
      <c r="F4756" t="s">
        <v>2483</v>
      </c>
      <c r="G4756" t="s">
        <v>15973</v>
      </c>
      <c r="H4756" t="str">
        <f>"05P1347"</f>
        <v>05P1347</v>
      </c>
      <c r="I4756" t="s">
        <v>16333</v>
      </c>
    </row>
    <row r="4757" spans="1:9">
      <c r="A4757" t="str">
        <f>"0023681 "</f>
        <v xml:space="preserve">0023681 </v>
      </c>
      <c r="B4757" t="s">
        <v>15973</v>
      </c>
      <c r="C4757" t="s">
        <v>16334</v>
      </c>
      <c r="D4757" t="str">
        <f>"05P1348  LPR - Р“Р°Р»СЊРјС–РІРЅС– РєРѕР»РѕРґРєРё РґРѕ РґРёСЃРєС–РІ (F, V, Р· РґР°С‚С‡РёРєРѕРј)"</f>
        <v>05P1348  LPR - Р“Р°Р»СЊРјС–РІРЅС– РєРѕР»РѕРґРєРё РґРѕ РґРёСЃРєС–РІ (F, V, Р· РґР°С‚С‡РёРєРѕРј)</v>
      </c>
      <c r="E4757">
        <v>1</v>
      </c>
      <c r="F4757" t="s">
        <v>16335</v>
      </c>
      <c r="G4757" t="s">
        <v>15973</v>
      </c>
      <c r="H4757" t="str">
        <f>"05P1348"</f>
        <v>05P1348</v>
      </c>
      <c r="I4757" t="s">
        <v>16336</v>
      </c>
    </row>
    <row r="4758" spans="1:9">
      <c r="A4758" t="str">
        <f>"0035846 "</f>
        <v xml:space="preserve">0035846 </v>
      </c>
      <c r="B4758" t="s">
        <v>15973</v>
      </c>
      <c r="C4758" t="s">
        <v>16337</v>
      </c>
      <c r="D4758" t="str">
        <f>"05P1351  LPR - Р“Р°Р»СЊРјС–РІРЅС– РєРѕР»РѕРґРєРё РґРѕ РґРёСЃРєС–РІ"</f>
        <v>05P1351  LPR - Р“Р°Р»СЊРјС–РІРЅС– РєРѕР»РѕРґРєРё РґРѕ РґРёСЃРєС–РІ</v>
      </c>
      <c r="E4758">
        <v>5</v>
      </c>
      <c r="F4758" t="s">
        <v>16338</v>
      </c>
      <c r="G4758" t="s">
        <v>15973</v>
      </c>
      <c r="H4758" t="str">
        <f>"05P1351"</f>
        <v>05P1351</v>
      </c>
      <c r="I4758" t="s">
        <v>16339</v>
      </c>
    </row>
    <row r="4759" spans="1:9">
      <c r="A4759" t="str">
        <f>"0023695 "</f>
        <v xml:space="preserve">0023695 </v>
      </c>
      <c r="B4759" t="s">
        <v>15973</v>
      </c>
      <c r="C4759" t="s">
        <v>16340</v>
      </c>
      <c r="D4759" t="str">
        <f>"05P1361  LPR - Р“Р°Р»СЊРјС–РІРЅС– РєРѕР»РѕРґРєРё РґРѕ РґРёСЃРєС–РІ (F, V)"</f>
        <v>05P1361  LPR - Р“Р°Р»СЊРјС–РІРЅС– РєРѕР»РѕРґРєРё РґРѕ РґРёСЃРєС–РІ (F, V)</v>
      </c>
      <c r="E4759">
        <v>1</v>
      </c>
      <c r="F4759" t="s">
        <v>16322</v>
      </c>
      <c r="G4759" t="s">
        <v>15973</v>
      </c>
      <c r="H4759" t="str">
        <f>"05P1361"</f>
        <v>05P1361</v>
      </c>
      <c r="I4759" t="s">
        <v>16341</v>
      </c>
    </row>
    <row r="4760" spans="1:9">
      <c r="A4760" t="str">
        <f>"0023696 "</f>
        <v xml:space="preserve">0023696 </v>
      </c>
      <c r="B4760" t="s">
        <v>15973</v>
      </c>
      <c r="C4760" t="s">
        <v>16342</v>
      </c>
      <c r="D4760" t="str">
        <f>"05P1362  LPR - Р“Р°Р»СЊРјС–РІРЅС– РєРѕР»РѕРґРєРё РґРѕ РґРёСЃРєС–РІ (R, V)"</f>
        <v>05P1362  LPR - Р“Р°Р»СЊРјС–РІРЅС– РєРѕР»РѕРґРєРё РґРѕ РґРёСЃРєС–РІ (R, V)</v>
      </c>
      <c r="E4760">
        <v>1</v>
      </c>
      <c r="F4760" t="s">
        <v>16343</v>
      </c>
      <c r="G4760" t="s">
        <v>15973</v>
      </c>
      <c r="H4760" t="str">
        <f>"05P1362"</f>
        <v>05P1362</v>
      </c>
      <c r="I4760" t="s">
        <v>16344</v>
      </c>
    </row>
    <row r="4761" spans="1:9">
      <c r="A4761" t="str">
        <f>"0023697 "</f>
        <v xml:space="preserve">0023697 </v>
      </c>
      <c r="B4761" t="s">
        <v>15973</v>
      </c>
      <c r="C4761" t="s">
        <v>16345</v>
      </c>
      <c r="D4761" t="str">
        <f>"05P1363  LPR - Р“Р°Р»СЊРјС–РІРЅС– РєРѕР»РѕРґРєРё РґРѕ РґРёСЃРєС–РІ (F, Р· РґР°С‚С‡РёРєРѕРј)"</f>
        <v>05P1363  LPR - Р“Р°Р»СЊРјС–РІРЅС– РєРѕР»РѕРґРєРё РґРѕ РґРёСЃРєС–РІ (F, Р· РґР°С‚С‡РёРєРѕРј)</v>
      </c>
      <c r="E4761">
        <v>1</v>
      </c>
      <c r="F4761" t="s">
        <v>16310</v>
      </c>
      <c r="G4761" t="s">
        <v>15973</v>
      </c>
      <c r="H4761" t="str">
        <f>"05P1363"</f>
        <v>05P1363</v>
      </c>
      <c r="I4761" t="s">
        <v>16346</v>
      </c>
    </row>
    <row r="4762" spans="1:9">
      <c r="A4762" t="str">
        <f>"0023698 "</f>
        <v xml:space="preserve">0023698 </v>
      </c>
      <c r="B4762" t="s">
        <v>15973</v>
      </c>
      <c r="C4762" t="s">
        <v>16347</v>
      </c>
      <c r="D4762" t="str">
        <f>"05P1364  LPR - Р“Р°Р»СЊРјС–РІРЅС– РєРѕР»РѕРґРєРё РґРѕ РґРёСЃРєС–РІ (F, V, Р· РґР°С‚С‡РёРєРѕРј)"</f>
        <v>05P1364  LPR - Р“Р°Р»СЊРјС–РІРЅС– РєРѕР»РѕРґРєРё РґРѕ РґРёСЃРєС–РІ (F, V, Р· РґР°С‚С‡РёРєРѕРј)</v>
      </c>
      <c r="E4762">
        <v>1</v>
      </c>
      <c r="F4762" t="s">
        <v>16348</v>
      </c>
      <c r="G4762" t="s">
        <v>15973</v>
      </c>
      <c r="H4762" t="str">
        <f>"05P1364"</f>
        <v>05P1364</v>
      </c>
      <c r="I4762" t="s">
        <v>16349</v>
      </c>
    </row>
    <row r="4763" spans="1:9">
      <c r="A4763" t="str">
        <f>"0023703 "</f>
        <v xml:space="preserve">0023703 </v>
      </c>
      <c r="B4763" t="s">
        <v>15973</v>
      </c>
      <c r="C4763" t="s">
        <v>16350</v>
      </c>
      <c r="D4763" t="str">
        <f>"05P1369  LPR - Р“Р°Р»СЊРјС–РІРЅС– РєРѕР»РѕРґРєРё РґРѕ РґРёСЃРєС–РІ (F, V, Р· РґР°С‚С‡РёРєРѕРј)"</f>
        <v>05P1369  LPR - Р“Р°Р»СЊРјС–РІРЅС– РєРѕР»РѕРґРєРё РґРѕ РґРёСЃРєС–РІ (F, V, Р· РґР°С‚С‡РёРєРѕРј)</v>
      </c>
      <c r="E4763">
        <v>4</v>
      </c>
      <c r="F4763" t="s">
        <v>16351</v>
      </c>
      <c r="G4763" t="s">
        <v>15973</v>
      </c>
      <c r="H4763" t="str">
        <f>"05P1369"</f>
        <v>05P1369</v>
      </c>
      <c r="I4763" t="s">
        <v>16352</v>
      </c>
    </row>
    <row r="4764" spans="1:9">
      <c r="A4764" t="str">
        <f>"0023708 "</f>
        <v xml:space="preserve">0023708 </v>
      </c>
      <c r="B4764" t="s">
        <v>15973</v>
      </c>
      <c r="C4764" t="s">
        <v>16353</v>
      </c>
      <c r="D4764" t="str">
        <f>"05P1373  LPR - Р“Р°Р»СЊРјС–РІРЅС– РєРѕР»РѕРґРєРё РґРѕ РґРёСЃРєС–РІ (R)"</f>
        <v>05P1373  LPR - Р“Р°Р»СЊРјС–РІРЅС– РєРѕР»РѕРґРєРё РґРѕ РґРёСЃРєС–РІ (R)</v>
      </c>
      <c r="E4764" t="s">
        <v>16</v>
      </c>
      <c r="F4764" t="s">
        <v>16354</v>
      </c>
      <c r="G4764" t="s">
        <v>15973</v>
      </c>
      <c r="H4764" t="str">
        <f>"05P1373"</f>
        <v>05P1373</v>
      </c>
      <c r="I4764" t="s">
        <v>16355</v>
      </c>
    </row>
    <row r="4765" spans="1:9">
      <c r="A4765" t="str">
        <f>"0023710 "</f>
        <v xml:space="preserve">0023710 </v>
      </c>
      <c r="B4765" t="s">
        <v>15973</v>
      </c>
      <c r="C4765" t="s">
        <v>16356</v>
      </c>
      <c r="D4765" t="str">
        <f>"05P1375  LPR - Р“Р°Р»СЊРјС–РІРЅС– РєРѕР»РѕРґРєРё РґРѕ РґРёСЃРєС–РІ (F, V, Р· РґР°С‚С‡РёРєРѕРј)"</f>
        <v>05P1375  LPR - Р“Р°Р»СЊРјС–РІРЅС– РєРѕР»РѕРґРєРё РґРѕ РґРёСЃРєС–РІ (F, V, Р· РґР°С‚С‡РёРєРѕРј)</v>
      </c>
      <c r="E4765">
        <v>2</v>
      </c>
      <c r="F4765" t="s">
        <v>16357</v>
      </c>
      <c r="G4765" t="s">
        <v>15973</v>
      </c>
      <c r="H4765" t="str">
        <f>"05P1375"</f>
        <v>05P1375</v>
      </c>
      <c r="I4765" t="s">
        <v>16358</v>
      </c>
    </row>
    <row r="4766" spans="1:9">
      <c r="A4766" t="str">
        <f>"0023711 "</f>
        <v xml:space="preserve">0023711 </v>
      </c>
      <c r="B4766" t="s">
        <v>15973</v>
      </c>
      <c r="C4766" t="s">
        <v>16359</v>
      </c>
      <c r="D4766" t="str">
        <f>"05P1376  LPR - Р“Р°Р»СЊРјС–РІРЅС– РєРѕР»РѕРґРєРё РґРѕ РґРёСЃРєС–РІ (F, Р· РґР°С‚С‡РёРєРѕРј)"</f>
        <v>05P1376  LPR - Р“Р°Р»СЊРјС–РІРЅС– РєРѕР»РѕРґРєРё РґРѕ РґРёСЃРєС–РІ (F, Р· РґР°С‚С‡РёРєРѕРј)</v>
      </c>
      <c r="E4766">
        <v>1</v>
      </c>
      <c r="F4766" t="s">
        <v>16360</v>
      </c>
      <c r="G4766" t="s">
        <v>15973</v>
      </c>
      <c r="H4766" t="str">
        <f>"05P1376"</f>
        <v>05P1376</v>
      </c>
      <c r="I4766" t="s">
        <v>16361</v>
      </c>
    </row>
    <row r="4767" spans="1:9">
      <c r="A4767" t="str">
        <f>"0023714 "</f>
        <v xml:space="preserve">0023714 </v>
      </c>
      <c r="B4767" t="s">
        <v>15973</v>
      </c>
      <c r="C4767" t="s">
        <v>16362</v>
      </c>
      <c r="D4767" t="str">
        <f>"05P1379  LPR - Р“Р°Р»СЊРјС–РІРЅС– РєРѕР»РѕРґРєРё РґРѕ РґРёСЃРєС–РІ (F, V, Р· РґР°С‚С‡РёРєРѕРј)"</f>
        <v>05P1379  LPR - Р“Р°Р»СЊРјС–РІРЅС– РєРѕР»РѕРґРєРё РґРѕ РґРёСЃРєС–РІ (F, V, Р· РґР°С‚С‡РёРєРѕРј)</v>
      </c>
      <c r="E4767">
        <v>2</v>
      </c>
      <c r="F4767" t="s">
        <v>16156</v>
      </c>
      <c r="G4767" t="s">
        <v>15973</v>
      </c>
      <c r="H4767" t="str">
        <f>"05P1379"</f>
        <v>05P1379</v>
      </c>
      <c r="I4767" t="s">
        <v>16363</v>
      </c>
    </row>
    <row r="4768" spans="1:9">
      <c r="A4768" t="str">
        <f>"0023717 "</f>
        <v xml:space="preserve">0023717 </v>
      </c>
      <c r="B4768" t="s">
        <v>15973</v>
      </c>
      <c r="C4768" t="s">
        <v>16364</v>
      </c>
      <c r="D4768" t="str">
        <f>"05P1382  LPR - Р“Р°Р»СЊРјС–РІРЅС– РєРѕР»РѕРґРєРё РґРѕ РґРёСЃРєС–РІ (F, V, Р· РґР°С‚С‡РёРєРѕРј)"</f>
        <v>05P1382  LPR - Р“Р°Р»СЊРјС–РІРЅС– РєРѕР»РѕРґРєРё РґРѕ РґРёСЃРєС–РІ (F, V, Р· РґР°С‚С‡РёРєРѕРј)</v>
      </c>
      <c r="E4768">
        <v>2</v>
      </c>
      <c r="F4768" t="s">
        <v>16365</v>
      </c>
      <c r="G4768" t="s">
        <v>15973</v>
      </c>
      <c r="H4768" t="str">
        <f>"05P1382"</f>
        <v>05P1382</v>
      </c>
      <c r="I4768" t="s">
        <v>16366</v>
      </c>
    </row>
    <row r="4769" spans="1:9">
      <c r="A4769" t="str">
        <f>"0023726 "</f>
        <v xml:space="preserve">0023726 </v>
      </c>
      <c r="B4769" t="s">
        <v>15973</v>
      </c>
      <c r="C4769" t="s">
        <v>16367</v>
      </c>
      <c r="D4769" t="str">
        <f>"05P1390  LPR - Р“Р°Р»СЊРјС–РІРЅС– РєРѕР»РѕРґРєРё РґРѕ РґРёСЃРєС–РІ (R, S)"</f>
        <v>05P1390  LPR - Р“Р°Р»СЊРјС–РІРЅС– РєРѕР»РѕРґРєРё РґРѕ РґРёСЃРєС–РІ (R, S)</v>
      </c>
      <c r="E4769">
        <v>1</v>
      </c>
      <c r="F4769" t="s">
        <v>16368</v>
      </c>
      <c r="G4769" t="s">
        <v>15973</v>
      </c>
      <c r="H4769" t="str">
        <f>"05P1390"</f>
        <v>05P1390</v>
      </c>
      <c r="I4769" t="s">
        <v>16369</v>
      </c>
    </row>
    <row r="4770" spans="1:9">
      <c r="A4770" t="str">
        <f>"0023732 "</f>
        <v xml:space="preserve">0023732 </v>
      </c>
      <c r="B4770" t="s">
        <v>15973</v>
      </c>
      <c r="C4770" t="s">
        <v>16370</v>
      </c>
      <c r="D4770" t="str">
        <f>"05P140  LPR - Р“Р°Р»СЊРјС–РІРЅС– РєРѕР»РѕРґРєРё РґРѕ РґРёСЃРєС–РІ (F, S)"</f>
        <v>05P140  LPR - Р“Р°Р»СЊРјС–РІРЅС– РєРѕР»РѕРґРєРё РґРѕ РґРёСЃРєС–РІ (F, S)</v>
      </c>
      <c r="E4770">
        <v>2</v>
      </c>
      <c r="F4770" t="s">
        <v>16371</v>
      </c>
      <c r="G4770" t="s">
        <v>15973</v>
      </c>
      <c r="H4770" t="str">
        <f>"05P140"</f>
        <v>05P140</v>
      </c>
      <c r="I4770" t="s">
        <v>16372</v>
      </c>
    </row>
    <row r="4771" spans="1:9">
      <c r="A4771" t="str">
        <f>"0023733 "</f>
        <v xml:space="preserve">0023733 </v>
      </c>
      <c r="B4771" t="s">
        <v>15973</v>
      </c>
      <c r="C4771" t="s">
        <v>16373</v>
      </c>
      <c r="D4771" t="str">
        <f>"05P1400  LPR - Р“Р°Р»СЊРјС–РІРЅС– РєРѕР»РѕРґРєРё РґРѕ РґРёСЃРєС–РІ (R)"</f>
        <v>05P1400  LPR - Р“Р°Р»СЊРјС–РІРЅС– РєРѕР»РѕРґРєРё РґРѕ РґРёСЃРєС–РІ (R)</v>
      </c>
      <c r="E4771">
        <v>1</v>
      </c>
      <c r="F4771" t="s">
        <v>16374</v>
      </c>
      <c r="G4771" t="s">
        <v>15973</v>
      </c>
      <c r="H4771" t="str">
        <f>"05P1400"</f>
        <v>05P1400</v>
      </c>
      <c r="I4771" t="s">
        <v>16375</v>
      </c>
    </row>
    <row r="4772" spans="1:9">
      <c r="A4772" t="str">
        <f>"0023734 "</f>
        <v xml:space="preserve">0023734 </v>
      </c>
      <c r="B4772" t="s">
        <v>15973</v>
      </c>
      <c r="C4772" t="s">
        <v>16376</v>
      </c>
      <c r="D4772" t="str">
        <f>"05P1401  LPR - Р“Р°Р»СЊРјС–РІРЅС– РєРѕР»РѕРґРєРё РґРѕ РґРёСЃРєС–РІ (F, Р· РґР°С‚С‡РёРєРѕРј)"</f>
        <v>05P1401  LPR - Р“Р°Р»СЊРјС–РІРЅС– РєРѕР»РѕРґРєРё РґРѕ РґРёСЃРєС–РІ (F, Р· РґР°С‚С‡РёРєРѕРј)</v>
      </c>
      <c r="E4772">
        <v>1</v>
      </c>
      <c r="F4772" t="s">
        <v>16377</v>
      </c>
      <c r="G4772" t="s">
        <v>15973</v>
      </c>
      <c r="H4772" t="str">
        <f>"05P1401"</f>
        <v>05P1401</v>
      </c>
      <c r="I4772" t="s">
        <v>16378</v>
      </c>
    </row>
    <row r="4773" spans="1:9">
      <c r="A4773" t="str">
        <f>"0023738 "</f>
        <v xml:space="preserve">0023738 </v>
      </c>
      <c r="B4773" t="s">
        <v>15973</v>
      </c>
      <c r="C4773" t="s">
        <v>16379</v>
      </c>
      <c r="D4773" t="str">
        <f>"05P1405  LPR - Р“Р°Р»СЊРјС–РІРЅС– РєРѕР»РѕРґРєРё РґРѕ РґРёСЃРєС–РІ (R, S)"</f>
        <v>05P1405  LPR - Р“Р°Р»СЊРјС–РІРЅС– РєРѕР»РѕРґРєРё РґРѕ РґРёСЃРєС–РІ (R, S)</v>
      </c>
      <c r="E4773">
        <v>1</v>
      </c>
      <c r="F4773" t="s">
        <v>16292</v>
      </c>
      <c r="G4773" t="s">
        <v>15973</v>
      </c>
      <c r="H4773" t="str">
        <f>"05P1405"</f>
        <v>05P1405</v>
      </c>
      <c r="I4773" t="s">
        <v>16380</v>
      </c>
    </row>
    <row r="4774" spans="1:9">
      <c r="A4774" t="str">
        <f>"0023739 "</f>
        <v xml:space="preserve">0023739 </v>
      </c>
      <c r="B4774" t="s">
        <v>15973</v>
      </c>
      <c r="C4774" t="s">
        <v>16381</v>
      </c>
      <c r="D4774" t="str">
        <f>"05P1406  LPR - Р“Р°Р»СЊРјС–РІРЅС– РєРѕР»РѕРґРєРё РґРѕ РґРёСЃРєС–РІ (F, Р· РґР°С‚С‡РёРєРѕРј)"</f>
        <v>05P1406  LPR - Р“Р°Р»СЊРјС–РІРЅС– РєРѕР»РѕРґРєРё РґРѕ РґРёСЃРєС–РІ (F, Р· РґР°С‚С‡РёРєРѕРј)</v>
      </c>
      <c r="E4774">
        <v>1</v>
      </c>
      <c r="F4774" t="s">
        <v>6154</v>
      </c>
      <c r="G4774" t="s">
        <v>15973</v>
      </c>
      <c r="H4774" t="str">
        <f>"05P1406"</f>
        <v>05P1406</v>
      </c>
      <c r="I4774" t="s">
        <v>16382</v>
      </c>
    </row>
    <row r="4775" spans="1:9">
      <c r="A4775" t="str">
        <f>"0023740 "</f>
        <v xml:space="preserve">0023740 </v>
      </c>
      <c r="B4775" t="s">
        <v>15973</v>
      </c>
      <c r="C4775" t="s">
        <v>16383</v>
      </c>
      <c r="D4775" t="str">
        <f>"05P1407  LPR - Р“Р°Р»СЊРјС–РІРЅС– РєРѕР»РѕРґРєРё РґРѕ РґРёСЃРєС–РІ (R, V)"</f>
        <v>05P1407  LPR - Р“Р°Р»СЊРјС–РІРЅС– РєРѕР»РѕРґРєРё РґРѕ РґРёСЃРєС–РІ (R, V)</v>
      </c>
      <c r="E4775">
        <v>1</v>
      </c>
      <c r="F4775" t="s">
        <v>8771</v>
      </c>
      <c r="G4775" t="s">
        <v>15973</v>
      </c>
      <c r="H4775" t="str">
        <f>"05P1407"</f>
        <v>05P1407</v>
      </c>
      <c r="I4775" t="s">
        <v>16384</v>
      </c>
    </row>
    <row r="4776" spans="1:9">
      <c r="A4776" t="str">
        <f>"0023742 "</f>
        <v xml:space="preserve">0023742 </v>
      </c>
      <c r="B4776" t="s">
        <v>15973</v>
      </c>
      <c r="C4776" t="s">
        <v>16385</v>
      </c>
      <c r="D4776" t="str">
        <f>"05P1409  LPR - Р“Р°Р»СЊРјС–РІРЅС– РєРѕР»РѕРґРєРё РґРѕ РґРёСЃРєС–РІ (F, Р· РґР°С‚С‡РёРєРѕРј)"</f>
        <v>05P1409  LPR - Р“Р°Р»СЊРјС–РІРЅС– РєРѕР»РѕРґРєРё РґРѕ РґРёСЃРєС–РІ (F, Р· РґР°С‚С‡РёРєРѕРј)</v>
      </c>
      <c r="E4776">
        <v>2</v>
      </c>
      <c r="F4776" t="s">
        <v>16386</v>
      </c>
      <c r="G4776" t="s">
        <v>15973</v>
      </c>
      <c r="H4776" t="str">
        <f>"05P1409"</f>
        <v>05P1409</v>
      </c>
      <c r="I4776" t="s">
        <v>16387</v>
      </c>
    </row>
    <row r="4777" spans="1:9">
      <c r="A4777" t="str">
        <f>"0035848 "</f>
        <v xml:space="preserve">0035848 </v>
      </c>
      <c r="B4777" t="s">
        <v>15973</v>
      </c>
      <c r="C4777" t="s">
        <v>16388</v>
      </c>
      <c r="D4777" t="str">
        <f>"05P1411  LPR - Р“Р°Р»СЊРјС–РІРЅС– РєРѕР»РѕРґРєРё РґРѕ РґРёСЃРєС–РІ"</f>
        <v>05P1411  LPR - Р“Р°Р»СЊРјС–РІРЅС– РєРѕР»РѕРґРєРё РґРѕ РґРёСЃРєС–РІ</v>
      </c>
      <c r="E4777">
        <v>1</v>
      </c>
      <c r="F4777" t="s">
        <v>16389</v>
      </c>
      <c r="G4777" t="s">
        <v>15973</v>
      </c>
      <c r="H4777" t="str">
        <f>"05P1411"</f>
        <v>05P1411</v>
      </c>
      <c r="I4777" t="s">
        <v>16390</v>
      </c>
    </row>
    <row r="4778" spans="1:9">
      <c r="A4778" t="str">
        <f>"0023746 "</f>
        <v xml:space="preserve">0023746 </v>
      </c>
      <c r="B4778" t="s">
        <v>15973</v>
      </c>
      <c r="C4778" t="s">
        <v>16391</v>
      </c>
      <c r="D4778" t="str">
        <f>"05P1413  LPR - Р“Р°Р»СЊРјС–РІРЅС– РєРѕР»РѕРґРєРё РґРѕ РґРёСЃРєС–РІ (F, V, Р· РґР°С‚С‡РёРєРѕРј)"</f>
        <v>05P1413  LPR - Р“Р°Р»СЊРјС–РІРЅС– РєРѕР»РѕРґРєРё РґРѕ РґРёСЃРєС–РІ (F, V, Р· РґР°С‚С‡РёРєРѕРј)</v>
      </c>
      <c r="E4778">
        <v>1</v>
      </c>
      <c r="F4778" t="s">
        <v>16392</v>
      </c>
      <c r="G4778" t="s">
        <v>15973</v>
      </c>
      <c r="H4778" t="str">
        <f>"05P1413"</f>
        <v>05P1413</v>
      </c>
      <c r="I4778" t="s">
        <v>16393</v>
      </c>
    </row>
    <row r="4779" spans="1:9">
      <c r="A4779" t="str">
        <f>"0023747 "</f>
        <v xml:space="preserve">0023747 </v>
      </c>
      <c r="B4779" t="s">
        <v>15973</v>
      </c>
      <c r="C4779" t="s">
        <v>16394</v>
      </c>
      <c r="D4779" t="str">
        <f>"05P1415  LPR - Р“Р°Р»СЊРјС–РІРЅС– РєРѕР»РѕРґРєРё РґРѕ РґРёСЃРєС–РІ (F, V, Р· РґР°С‚С‡РёРєРѕРј)"</f>
        <v>05P1415  LPR - Р“Р°Р»СЊРјС–РІРЅС– РєРѕР»РѕРґРєРё РґРѕ РґРёСЃРєС–РІ (F, V, Р· РґР°С‚С‡РёРєРѕРј)</v>
      </c>
      <c r="E4779">
        <v>2</v>
      </c>
      <c r="F4779" t="s">
        <v>16395</v>
      </c>
      <c r="G4779" t="s">
        <v>15973</v>
      </c>
      <c r="H4779" t="str">
        <f>"05P1415"</f>
        <v>05P1415</v>
      </c>
      <c r="I4779" t="s">
        <v>16396</v>
      </c>
    </row>
    <row r="4780" spans="1:9">
      <c r="A4780" t="str">
        <f>"0023748 "</f>
        <v xml:space="preserve">0023748 </v>
      </c>
      <c r="B4780" t="s">
        <v>15973</v>
      </c>
      <c r="C4780" t="s">
        <v>16397</v>
      </c>
      <c r="D4780" t="str">
        <f>"05P1416  LPR - Р“Р°Р»СЊРјС–РІРЅС– РєРѕР»РѕРґРєРё РґРѕ РґРёСЃРєС–РІ (R, S)"</f>
        <v>05P1416  LPR - Р“Р°Р»СЊРјС–РІРЅС– РєРѕР»РѕРґРєРё РґРѕ РґРёСЃРєС–РІ (R, S)</v>
      </c>
      <c r="E4780">
        <v>1</v>
      </c>
      <c r="F4780" t="s">
        <v>16398</v>
      </c>
      <c r="G4780" t="s">
        <v>15973</v>
      </c>
      <c r="H4780" t="str">
        <f>"05P1416"</f>
        <v>05P1416</v>
      </c>
      <c r="I4780" t="s">
        <v>16399</v>
      </c>
    </row>
    <row r="4781" spans="1:9">
      <c r="A4781" t="str">
        <f>"0023749 "</f>
        <v xml:space="preserve">0023749 </v>
      </c>
      <c r="B4781" t="s">
        <v>15973</v>
      </c>
      <c r="C4781" t="s">
        <v>16400</v>
      </c>
      <c r="D4781" t="str">
        <f>"05P1417  LPR - Р“Р°Р»СЊРјС–РІРЅС– РєРѕР»РѕРґРєРё РґРѕ РґРёСЃРєС–РІ (R, S)"</f>
        <v>05P1417  LPR - Р“Р°Р»СЊРјС–РІРЅС– РєРѕР»РѕРґРєРё РґРѕ РґРёСЃРєС–РІ (R, S)</v>
      </c>
      <c r="E4781">
        <v>1</v>
      </c>
      <c r="F4781" t="s">
        <v>16111</v>
      </c>
      <c r="G4781" t="s">
        <v>15973</v>
      </c>
      <c r="H4781" t="str">
        <f>"05P1417"</f>
        <v>05P1417</v>
      </c>
      <c r="I4781" t="s">
        <v>16401</v>
      </c>
    </row>
    <row r="4782" spans="1:9">
      <c r="A4782" t="str">
        <f>"0023759 "</f>
        <v xml:space="preserve">0023759 </v>
      </c>
      <c r="B4782" t="s">
        <v>15973</v>
      </c>
      <c r="C4782" t="s">
        <v>16402</v>
      </c>
      <c r="D4782" t="str">
        <f>"05P143  LPR - Р“Р°Р»СЊРјС–РІРЅС– РєРѕР»РѕРґРєРё РґРѕ РґРёСЃРєС–РІ (F, S)"</f>
        <v>05P143  LPR - Р“Р°Р»СЊРјС–РІРЅС– РєРѕР»РѕРґРєРё РґРѕ РґРёСЃРєС–РІ (F, S)</v>
      </c>
      <c r="E4782">
        <v>1</v>
      </c>
      <c r="F4782" t="s">
        <v>16403</v>
      </c>
      <c r="G4782" t="s">
        <v>15973</v>
      </c>
      <c r="H4782" t="str">
        <f>"05P143"</f>
        <v>05P143</v>
      </c>
      <c r="I4782" t="s">
        <v>16404</v>
      </c>
    </row>
    <row r="4783" spans="1:9">
      <c r="A4783" t="str">
        <f>"0035851 "</f>
        <v xml:space="preserve">0035851 </v>
      </c>
      <c r="B4783" t="s">
        <v>15973</v>
      </c>
      <c r="C4783" t="s">
        <v>16405</v>
      </c>
      <c r="D4783" t="str">
        <f>"05P1430  LPR - Р“Р°Р»СЊРјС–РІРЅС– РєРѕР»РѕРґРєРё РґРѕ РґРёСЃРєС–РІ"</f>
        <v>05P1430  LPR - Р“Р°Р»СЊРјС–РІРЅС– РєРѕР»РѕРґРєРё РґРѕ РґРёСЃРєС–РІ</v>
      </c>
      <c r="E4783">
        <v>2</v>
      </c>
      <c r="F4783" t="s">
        <v>16406</v>
      </c>
      <c r="G4783" t="s">
        <v>15973</v>
      </c>
      <c r="H4783" t="str">
        <f>"05P1430"</f>
        <v>05P1430</v>
      </c>
      <c r="I4783" t="s">
        <v>16407</v>
      </c>
    </row>
    <row r="4784" spans="1:9">
      <c r="A4784" t="str">
        <f>"0023761 "</f>
        <v xml:space="preserve">0023761 </v>
      </c>
      <c r="B4784" t="s">
        <v>15973</v>
      </c>
      <c r="C4784" t="s">
        <v>16408</v>
      </c>
      <c r="D4784" t="str">
        <f>"05P1436  LPR - Р“Р°Р»СЊРјС–РІРЅС– РєРѕР»РѕРґРєРё РґРѕ РґРёСЃРєС–РІ (R, S)"</f>
        <v>05P1436  LPR - Р“Р°Р»СЊРјС–РІРЅС– РєРѕР»РѕРґРєРё РґРѕ РґРёСЃРєС–РІ (R, S)</v>
      </c>
      <c r="E4784">
        <v>1</v>
      </c>
      <c r="F4784" t="s">
        <v>16072</v>
      </c>
      <c r="G4784" t="s">
        <v>15973</v>
      </c>
      <c r="H4784" t="str">
        <f>"05P1436"</f>
        <v>05P1436</v>
      </c>
      <c r="I4784" t="s">
        <v>16409</v>
      </c>
    </row>
    <row r="4785" spans="1:9">
      <c r="A4785" t="str">
        <f>"0023770 "</f>
        <v xml:space="preserve">0023770 </v>
      </c>
      <c r="B4785" t="s">
        <v>15973</v>
      </c>
      <c r="C4785" t="s">
        <v>16410</v>
      </c>
      <c r="D4785" t="str">
        <f>"05P1450  LPR - Р“Р°Р»СЊРјС–РІРЅС– РєРѕР»РѕРґРєРё РґРѕ РґРёСЃРєС–РІ (R, S)"</f>
        <v>05P1450  LPR - Р“Р°Р»СЊРјС–РІРЅС– РєРѕР»РѕРґРєРё РґРѕ РґРёСЃРєС–РІ (R, S)</v>
      </c>
      <c r="E4785">
        <v>1</v>
      </c>
      <c r="F4785" t="s">
        <v>16411</v>
      </c>
      <c r="G4785" t="s">
        <v>15973</v>
      </c>
      <c r="H4785" t="str">
        <f>"05P1450"</f>
        <v>05P1450</v>
      </c>
      <c r="I4785" t="s">
        <v>16412</v>
      </c>
    </row>
    <row r="4786" spans="1:9">
      <c r="A4786" t="str">
        <f>"0023771 "</f>
        <v xml:space="preserve">0023771 </v>
      </c>
      <c r="B4786" t="s">
        <v>15973</v>
      </c>
      <c r="C4786" t="s">
        <v>16413</v>
      </c>
      <c r="D4786" t="str">
        <f>"05P1451  LPR - Р“Р°Р»СЊРјС–РІРЅС– РєРѕР»РѕРґРєРё РґРѕ РґРёСЃРєС–РІ (F, Р· РґР°С‚С‡РёРєРѕРј)"</f>
        <v>05P1451  LPR - Р“Р°Р»СЊРјС–РІРЅС– РєРѕР»РѕРґРєРё РґРѕ РґРёСЃРєС–РІ (F, Р· РґР°С‚С‡РёРєРѕРј)</v>
      </c>
      <c r="E4786">
        <v>1</v>
      </c>
      <c r="F4786" t="s">
        <v>16414</v>
      </c>
      <c r="G4786" t="s">
        <v>15973</v>
      </c>
      <c r="H4786" t="str">
        <f>"05P1451"</f>
        <v>05P1451</v>
      </c>
      <c r="I4786" t="s">
        <v>16415</v>
      </c>
    </row>
    <row r="4787" spans="1:9">
      <c r="A4787" t="str">
        <f>"0023775 "</f>
        <v xml:space="preserve">0023775 </v>
      </c>
      <c r="B4787" t="s">
        <v>15973</v>
      </c>
      <c r="C4787" t="s">
        <v>16416</v>
      </c>
      <c r="D4787" t="str">
        <f>"05P1455  LPR - Р“Р°Р»СЊРјС–РІРЅС– РєРѕР»РѕРґРєРё РґРѕ РґРёСЃРєС–РІ (R, S)"</f>
        <v>05P1455  LPR - Р“Р°Р»СЊРјС–РІРЅС– РєРѕР»РѕРґРєРё РґРѕ РґРёСЃРєС–РІ (R, S)</v>
      </c>
      <c r="E4787">
        <v>1</v>
      </c>
      <c r="F4787" t="s">
        <v>16417</v>
      </c>
      <c r="G4787" t="s">
        <v>15973</v>
      </c>
      <c r="H4787" t="str">
        <f>"05P1455"</f>
        <v>05P1455</v>
      </c>
      <c r="I4787" t="s">
        <v>16418</v>
      </c>
    </row>
    <row r="4788" spans="1:9">
      <c r="A4788" t="str">
        <f>"0023776 "</f>
        <v xml:space="preserve">0023776 </v>
      </c>
      <c r="B4788" t="s">
        <v>15973</v>
      </c>
      <c r="C4788" t="s">
        <v>16419</v>
      </c>
      <c r="D4788" t="str">
        <f>"05P1456  LPR - Р“Р°Р»СЊРјС–РІРЅС– РєРѕР»РѕРґРєРё РґРѕ РґРёСЃРєС–РІ (F, Р· РґР°С‚С‡РёРєРѕРј)"</f>
        <v>05P1456  LPR - Р“Р°Р»СЊРјС–РІРЅС– РєРѕР»РѕРґРєРё РґРѕ РґРёСЃРєС–РІ (F, Р· РґР°С‚С‡РёРєРѕРј)</v>
      </c>
      <c r="E4788">
        <v>1</v>
      </c>
      <c r="F4788" t="s">
        <v>16328</v>
      </c>
      <c r="G4788" t="s">
        <v>15973</v>
      </c>
      <c r="H4788" t="str">
        <f>"05P1456"</f>
        <v>05P1456</v>
      </c>
      <c r="I4788" t="s">
        <v>16420</v>
      </c>
    </row>
    <row r="4789" spans="1:9">
      <c r="A4789" t="str">
        <f>"0023784 "</f>
        <v xml:space="preserve">0023784 </v>
      </c>
      <c r="B4789" t="s">
        <v>15973</v>
      </c>
      <c r="C4789" t="s">
        <v>16421</v>
      </c>
      <c r="D4789" t="str">
        <f>"05P1465  LPR - Р“Р°Р»СЊРјС–РІРЅС– РєРѕР»РѕРґРєРё РґРѕ РґРёСЃРєС–РІ (F)"</f>
        <v>05P1465  LPR - Р“Р°Р»СЊРјС–РІРЅС– РєРѕР»РѕРґРєРё РґРѕ РґРёСЃРєС–РІ (F)</v>
      </c>
      <c r="E4789">
        <v>3</v>
      </c>
      <c r="F4789" t="s">
        <v>16422</v>
      </c>
      <c r="G4789" t="s">
        <v>15973</v>
      </c>
      <c r="H4789" t="str">
        <f>"05P1465"</f>
        <v>05P1465</v>
      </c>
      <c r="I4789" t="s">
        <v>16423</v>
      </c>
    </row>
    <row r="4790" spans="1:9">
      <c r="A4790" t="str">
        <f>"0035853 "</f>
        <v xml:space="preserve">0035853 </v>
      </c>
      <c r="B4790" t="s">
        <v>15973</v>
      </c>
      <c r="C4790" t="s">
        <v>16424</v>
      </c>
      <c r="D4790" t="str">
        <f>"05P1469  LPR - Р“Р°Р»СЊРјС–РІРЅС– РєРѕР»РѕРґРєРё РґРѕ РґРёСЃРєС–РІ"</f>
        <v>05P1469  LPR - Р“Р°Р»СЊРјС–РІРЅС– РєРѕР»РѕРґРєРё РґРѕ РґРёСЃРєС–РІ</v>
      </c>
      <c r="E4790">
        <v>1</v>
      </c>
      <c r="F4790" t="s">
        <v>16425</v>
      </c>
      <c r="G4790" t="s">
        <v>15973</v>
      </c>
      <c r="H4790" t="str">
        <f>"05P1469"</f>
        <v>05P1469</v>
      </c>
      <c r="I4790" t="s">
        <v>16426</v>
      </c>
    </row>
    <row r="4791" spans="1:9">
      <c r="A4791" t="str">
        <f>"0023790 "</f>
        <v xml:space="preserve">0023790 </v>
      </c>
      <c r="B4791" t="s">
        <v>15973</v>
      </c>
      <c r="C4791" t="s">
        <v>16427</v>
      </c>
      <c r="D4791" t="str">
        <f>"05P1471  LPR - Р“Р°Р»СЊРјС–РІРЅС– РєРѕР»РѕРґРєРё РґРѕ РґРёСЃРєС–РІ (F, V)"</f>
        <v>05P1471  LPR - Р“Р°Р»СЊРјС–РІРЅС– РєРѕР»РѕРґРєРё РґРѕ РґРёСЃРєС–РІ (F, V)</v>
      </c>
      <c r="E4791">
        <v>1</v>
      </c>
      <c r="F4791" t="s">
        <v>7407</v>
      </c>
      <c r="G4791" t="s">
        <v>15973</v>
      </c>
      <c r="H4791" t="str">
        <f>"05P1471"</f>
        <v>05P1471</v>
      </c>
      <c r="I4791" t="s">
        <v>16428</v>
      </c>
    </row>
    <row r="4792" spans="1:9">
      <c r="A4792" t="str">
        <f>"0023791 "</f>
        <v xml:space="preserve">0023791 </v>
      </c>
      <c r="B4792" t="s">
        <v>15973</v>
      </c>
      <c r="C4792" t="s">
        <v>16429</v>
      </c>
      <c r="D4792" t="str">
        <f>"05P1472  LPR - Р“Р°Р»СЊРјС–РІРЅС– РєРѕР»РѕРґРєРё РґРѕ РґРёСЃРєС–РІ (R)"</f>
        <v>05P1472  LPR - Р“Р°Р»СЊРјС–РІРЅС– РєРѕР»РѕРґРєРё РґРѕ РґРёСЃРєС–РІ (R)</v>
      </c>
      <c r="E4792">
        <v>1</v>
      </c>
      <c r="F4792" t="s">
        <v>16430</v>
      </c>
      <c r="G4792" t="s">
        <v>15973</v>
      </c>
      <c r="H4792" t="str">
        <f>"05P1472"</f>
        <v>05P1472</v>
      </c>
      <c r="I4792" t="s">
        <v>16431</v>
      </c>
    </row>
    <row r="4793" spans="1:9">
      <c r="A4793" t="str">
        <f>"0023793 "</f>
        <v xml:space="preserve">0023793 </v>
      </c>
      <c r="B4793" t="s">
        <v>15973</v>
      </c>
      <c r="C4793" t="s">
        <v>16432</v>
      </c>
      <c r="D4793" t="str">
        <f>"05P1474  LPR - Р“Р°Р»СЊРјС–РІРЅС– РєРѕР»РѕРґРєРё РґРѕ РґРёСЃРєС–РІ (R, S)"</f>
        <v>05P1474  LPR - Р“Р°Р»СЊРјС–РІРЅС– РєРѕР»РѕРґРєРё РґРѕ РґРёСЃРєС–РІ (R, S)</v>
      </c>
      <c r="E4793">
        <v>1</v>
      </c>
      <c r="F4793" t="s">
        <v>16433</v>
      </c>
      <c r="G4793" t="s">
        <v>15973</v>
      </c>
      <c r="H4793" t="str">
        <f>"05P1474"</f>
        <v>05P1474</v>
      </c>
      <c r="I4793" t="s">
        <v>16434</v>
      </c>
    </row>
    <row r="4794" spans="1:9">
      <c r="A4794" t="str">
        <f>"0035854 "</f>
        <v xml:space="preserve">0035854 </v>
      </c>
      <c r="B4794" t="s">
        <v>15973</v>
      </c>
      <c r="C4794" t="s">
        <v>16435</v>
      </c>
      <c r="D4794" t="str">
        <f>"05P1475  LPR - Р“Р°Р»СЊРјС–РІРЅС– РєРѕР»РѕРґРєРё РґРѕ РґРёСЃРєС–РІ"</f>
        <v>05P1475  LPR - Р“Р°Р»СЊРјС–РІРЅС– РєРѕР»РѕРґРєРё РґРѕ РґРёСЃРєС–РІ</v>
      </c>
      <c r="E4794">
        <v>1</v>
      </c>
      <c r="F4794" t="s">
        <v>16245</v>
      </c>
      <c r="G4794" t="s">
        <v>15973</v>
      </c>
      <c r="H4794" t="str">
        <f>"05P1475"</f>
        <v>05P1475</v>
      </c>
      <c r="I4794" t="s">
        <v>16436</v>
      </c>
    </row>
    <row r="4795" spans="1:9">
      <c r="A4795" t="str">
        <f>"0035857 "</f>
        <v xml:space="preserve">0035857 </v>
      </c>
      <c r="B4795" t="s">
        <v>15973</v>
      </c>
      <c r="C4795" t="s">
        <v>16437</v>
      </c>
      <c r="D4795" t="str">
        <f>"05P1480  LPR - Р“Р°Р»СЊРјС–РІРЅС– РєРѕР»РѕРґРєРё РґРѕ РґРёСЃРєС–РІ"</f>
        <v>05P1480  LPR - Р“Р°Р»СЊРјС–РІРЅС– РєРѕР»РѕРґРєРё РґРѕ РґРёСЃРєС–РІ</v>
      </c>
      <c r="E4795">
        <v>1</v>
      </c>
      <c r="F4795" t="s">
        <v>16438</v>
      </c>
      <c r="G4795" t="s">
        <v>15973</v>
      </c>
      <c r="H4795" t="str">
        <f>"05P1480"</f>
        <v>05P1480</v>
      </c>
      <c r="I4795" t="s">
        <v>16439</v>
      </c>
    </row>
    <row r="4796" spans="1:9">
      <c r="A4796" t="str">
        <f>"0035859 "</f>
        <v xml:space="preserve">0035859 </v>
      </c>
      <c r="B4796" t="s">
        <v>15973</v>
      </c>
      <c r="C4796" t="s">
        <v>16440</v>
      </c>
      <c r="D4796" t="str">
        <f>"05P1482  LPR - Р“Р°Р»СЊРјС–РІРЅС– РєРѕР»РѕРґРєРё РґРѕ РґРёСЃРєС–РІ"</f>
        <v>05P1482  LPR - Р“Р°Р»СЊРјС–РІРЅС– РєРѕР»РѕРґРєРё РґРѕ РґРёСЃРєС–РІ</v>
      </c>
      <c r="E4796">
        <v>1</v>
      </c>
      <c r="F4796" t="s">
        <v>16406</v>
      </c>
      <c r="G4796" t="s">
        <v>15973</v>
      </c>
      <c r="H4796" t="str">
        <f>"05P1482"</f>
        <v>05P1482</v>
      </c>
      <c r="I4796" t="s">
        <v>16441</v>
      </c>
    </row>
    <row r="4797" spans="1:9">
      <c r="A4797" t="str">
        <f>"0035861 "</f>
        <v xml:space="preserve">0035861 </v>
      </c>
      <c r="B4797" t="s">
        <v>15973</v>
      </c>
      <c r="C4797" t="s">
        <v>16442</v>
      </c>
      <c r="D4797" t="str">
        <f>"05P1484  LPR - Р“Р°Р»СЊРјС–РІРЅС– РєРѕР»РѕРґРєРё РґРѕ РґРёСЃРєС–РІ"</f>
        <v>05P1484  LPR - Р“Р°Р»СЊРјС–РІРЅС– РєРѕР»РѕРґРєРё РґРѕ РґРёСЃРєС–РІ</v>
      </c>
      <c r="E4797">
        <v>1</v>
      </c>
      <c r="F4797" t="s">
        <v>16245</v>
      </c>
      <c r="G4797" t="s">
        <v>15973</v>
      </c>
      <c r="H4797" t="str">
        <f>"05P1484"</f>
        <v>05P1484</v>
      </c>
      <c r="I4797" t="s">
        <v>16443</v>
      </c>
    </row>
    <row r="4798" spans="1:9">
      <c r="A4798" t="str">
        <f>"0035864 "</f>
        <v xml:space="preserve">0035864 </v>
      </c>
      <c r="B4798" t="s">
        <v>15973</v>
      </c>
      <c r="C4798" t="s">
        <v>16444</v>
      </c>
      <c r="D4798" t="str">
        <f>"05P1487  LPR - Р“Р°Р»СЊРјС–РІРЅС– РєРѕР»РѕРґРєРё РґРѕ РґРёСЃРєС–РІ"</f>
        <v>05P1487  LPR - Р“Р°Р»СЊРјС–РІРЅС– РєРѕР»РѕРґРєРё РґРѕ РґРёСЃРєС–РІ</v>
      </c>
      <c r="E4798" t="s">
        <v>16</v>
      </c>
      <c r="F4798" t="s">
        <v>16445</v>
      </c>
      <c r="G4798" t="s">
        <v>15973</v>
      </c>
      <c r="H4798" t="str">
        <f>"05P1487"</f>
        <v>05P1487</v>
      </c>
      <c r="I4798" t="s">
        <v>16446</v>
      </c>
    </row>
    <row r="4799" spans="1:9">
      <c r="A4799" t="str">
        <f>"0035870 "</f>
        <v xml:space="preserve">0035870 </v>
      </c>
      <c r="B4799" t="s">
        <v>15973</v>
      </c>
      <c r="C4799" t="s">
        <v>16447</v>
      </c>
      <c r="D4799" t="str">
        <f>"05P1493  LPR - Р“Р°Р»СЊРјС–РІРЅС– РєРѕР»РѕРґРєРё РґРѕ РґРёСЃРєС–РІ"</f>
        <v>05P1493  LPR - Р“Р°Р»СЊРјС–РІРЅС– РєРѕР»РѕРґРєРё РґРѕ РґРёСЃРєС–РІ</v>
      </c>
      <c r="E4799">
        <v>2</v>
      </c>
      <c r="F4799" t="s">
        <v>7953</v>
      </c>
      <c r="G4799" t="s">
        <v>15973</v>
      </c>
      <c r="H4799" t="str">
        <f>"05P1493"</f>
        <v>05P1493</v>
      </c>
      <c r="I4799" t="s">
        <v>16448</v>
      </c>
    </row>
    <row r="4800" spans="1:9">
      <c r="A4800" t="str">
        <f>"0035871 "</f>
        <v xml:space="preserve">0035871 </v>
      </c>
      <c r="B4800" t="s">
        <v>15973</v>
      </c>
      <c r="C4800" t="s">
        <v>16449</v>
      </c>
      <c r="D4800" t="str">
        <f>"05P1494  LPR - Р“Р°Р»СЊРјС–РІРЅС– РєРѕР»РѕРґРєРё РґРѕ РґРёСЃРєС–РІ"</f>
        <v>05P1494  LPR - Р“Р°Р»СЊРјС–РІРЅС– РєРѕР»РѕРґРєРё РґРѕ РґРёСЃРєС–РІ</v>
      </c>
      <c r="E4800">
        <v>1</v>
      </c>
      <c r="F4800" t="s">
        <v>16450</v>
      </c>
      <c r="G4800" t="s">
        <v>15973</v>
      </c>
      <c r="H4800" t="str">
        <f>"05P1494"</f>
        <v>05P1494</v>
      </c>
      <c r="I4800" t="s">
        <v>16451</v>
      </c>
    </row>
    <row r="4801" spans="1:9">
      <c r="A4801" t="str">
        <f>"0035873 "</f>
        <v xml:space="preserve">0035873 </v>
      </c>
      <c r="B4801" t="s">
        <v>15973</v>
      </c>
      <c r="C4801" t="s">
        <v>16452</v>
      </c>
      <c r="D4801" t="str">
        <f>"05P1496  LPR - Р“Р°Р»СЊРјС–РІРЅС– РєРѕР»РѕРґРєРё РґРѕ РґРёСЃРєС–РІ"</f>
        <v>05P1496  LPR - Р“Р°Р»СЊРјС–РІРЅС– РєРѕР»РѕРґРєРё РґРѕ РґРёСЃРєС–РІ</v>
      </c>
      <c r="E4801">
        <v>1</v>
      </c>
      <c r="F4801" t="s">
        <v>16453</v>
      </c>
      <c r="G4801" t="s">
        <v>15973</v>
      </c>
      <c r="H4801" t="str">
        <f>"05P1496"</f>
        <v>05P1496</v>
      </c>
      <c r="I4801" t="s">
        <v>16454</v>
      </c>
    </row>
    <row r="4802" spans="1:9">
      <c r="A4802" t="str">
        <f>"0035874 "</f>
        <v xml:space="preserve">0035874 </v>
      </c>
      <c r="B4802" t="s">
        <v>15973</v>
      </c>
      <c r="C4802" t="s">
        <v>16455</v>
      </c>
      <c r="D4802" t="str">
        <f>"05P1497  LPR - Р“Р°Р»СЊРјС–РІРЅС– РєРѕР»РѕРґРєРё РґРѕ РґРёСЃРєС–РІ"</f>
        <v>05P1497  LPR - Р“Р°Р»СЊРјС–РІРЅС– РєРѕР»РѕРґРєРё РґРѕ РґРёСЃРєС–РІ</v>
      </c>
      <c r="E4802">
        <v>1</v>
      </c>
      <c r="F4802" t="s">
        <v>16456</v>
      </c>
      <c r="G4802" t="s">
        <v>15973</v>
      </c>
      <c r="H4802" t="str">
        <f>"05P1497"</f>
        <v>05P1497</v>
      </c>
      <c r="I4802" t="s">
        <v>16457</v>
      </c>
    </row>
    <row r="4803" spans="1:9">
      <c r="A4803" t="str">
        <f>"0035876 "</f>
        <v xml:space="preserve">0035876 </v>
      </c>
      <c r="B4803" t="s">
        <v>15973</v>
      </c>
      <c r="C4803" t="s">
        <v>16458</v>
      </c>
      <c r="D4803" t="str">
        <f>"05P1500  LPR - Р“Р°Р»СЊРјС–РІРЅС– РєРѕР»РѕРґРєРё РґРѕ РґРёСЃРєС–РІ"</f>
        <v>05P1500  LPR - Р“Р°Р»СЊРјС–РІРЅС– РєРѕР»РѕРґРєРё РґРѕ РґРёСЃРєС–РІ</v>
      </c>
      <c r="E4803">
        <v>2</v>
      </c>
      <c r="F4803" t="s">
        <v>7953</v>
      </c>
      <c r="G4803" t="s">
        <v>15973</v>
      </c>
      <c r="H4803" t="str">
        <f>"05P1500"</f>
        <v>05P1500</v>
      </c>
      <c r="I4803" t="s">
        <v>16459</v>
      </c>
    </row>
    <row r="4804" spans="1:9">
      <c r="A4804" t="str">
        <f>"0035883 "</f>
        <v xml:space="preserve">0035883 </v>
      </c>
      <c r="B4804" t="s">
        <v>15973</v>
      </c>
      <c r="C4804" t="s">
        <v>16460</v>
      </c>
      <c r="D4804" t="str">
        <f>"05P1507  LPR - Р“Р°Р»СЊРјС–РІРЅС– РєРѕР»РѕРґРєРё РґРѕ РґРёСЃРєС–РІ"</f>
        <v>05P1507  LPR - Р“Р°Р»СЊРјС–РІРЅС– РєРѕР»РѕРґРєРё РґРѕ РґРёСЃРєС–РІ</v>
      </c>
      <c r="E4804">
        <v>1</v>
      </c>
      <c r="F4804" t="s">
        <v>16461</v>
      </c>
      <c r="G4804" t="s">
        <v>15973</v>
      </c>
      <c r="H4804" t="str">
        <f>"05P1507"</f>
        <v>05P1507</v>
      </c>
      <c r="I4804" t="s">
        <v>16462</v>
      </c>
    </row>
    <row r="4805" spans="1:9">
      <c r="A4805" t="str">
        <f>"0035884 "</f>
        <v xml:space="preserve">0035884 </v>
      </c>
      <c r="B4805" t="s">
        <v>15973</v>
      </c>
      <c r="C4805" t="s">
        <v>16463</v>
      </c>
      <c r="D4805" t="str">
        <f>"05P1509  LPR - Р“Р°Р»СЊРјС–РІРЅС– РєРѕР»РѕРґРєРё РґРѕ РґРёСЃРєС–РІ"</f>
        <v>05P1509  LPR - Р“Р°Р»СЊРјС–РІРЅС– РєРѕР»РѕРґРєРё РґРѕ РґРёСЃРєС–РІ</v>
      </c>
      <c r="E4805">
        <v>1</v>
      </c>
      <c r="F4805" t="s">
        <v>16464</v>
      </c>
      <c r="G4805" t="s">
        <v>15973</v>
      </c>
      <c r="H4805" t="str">
        <f>"05P1509"</f>
        <v>05P1509</v>
      </c>
      <c r="I4805" t="s">
        <v>16465</v>
      </c>
    </row>
    <row r="4806" spans="1:9">
      <c r="A4806" t="str">
        <f>"0035887 "</f>
        <v xml:space="preserve">0035887 </v>
      </c>
      <c r="B4806" t="s">
        <v>15973</v>
      </c>
      <c r="C4806" t="s">
        <v>16466</v>
      </c>
      <c r="D4806" t="str">
        <f>"05P1512  LPR - Р“Р°Р»СЊРјС–РІРЅС– РєРѕР»РѕРґРєРё РґРѕ РґРёСЃРєС–РІ"</f>
        <v>05P1512  LPR - Р“Р°Р»СЊРјС–РІРЅС– РєРѕР»РѕРґРєРё РґРѕ РґРёСЃРєС–РІ</v>
      </c>
      <c r="E4806">
        <v>1</v>
      </c>
      <c r="F4806" t="s">
        <v>15988</v>
      </c>
      <c r="G4806" t="s">
        <v>15973</v>
      </c>
      <c r="H4806" t="str">
        <f>"05P1512"</f>
        <v>05P1512</v>
      </c>
      <c r="I4806" t="s">
        <v>16467</v>
      </c>
    </row>
    <row r="4807" spans="1:9">
      <c r="A4807" t="str">
        <f>"0035890 "</f>
        <v xml:space="preserve">0035890 </v>
      </c>
      <c r="B4807" t="s">
        <v>15973</v>
      </c>
      <c r="C4807" t="s">
        <v>16468</v>
      </c>
      <c r="D4807" t="str">
        <f>"05P1517  LPR - Р“Р°Р»СЊРјС–РІРЅС– РєРѕР»РѕРґРєРё РґРѕ РґРёСЃРєС–РІ"</f>
        <v>05P1517  LPR - Р“Р°Р»СЊРјС–РІРЅС– РєРѕР»РѕРґРєРё РґРѕ РґРёСЃРєС–РІ</v>
      </c>
      <c r="E4807">
        <v>1</v>
      </c>
      <c r="F4807" t="s">
        <v>16469</v>
      </c>
      <c r="G4807" t="s">
        <v>15973</v>
      </c>
      <c r="H4807" t="str">
        <f>"05P1517"</f>
        <v>05P1517</v>
      </c>
      <c r="I4807" t="s">
        <v>16470</v>
      </c>
    </row>
    <row r="4808" spans="1:9">
      <c r="A4808" t="str">
        <f>"0035898 "</f>
        <v xml:space="preserve">0035898 </v>
      </c>
      <c r="B4808" t="s">
        <v>15973</v>
      </c>
      <c r="C4808" t="s">
        <v>16471</v>
      </c>
      <c r="D4808" t="str">
        <f>"05P1536  LPR - Р“Р°Р»СЊРјС–РІРЅС– РєРѕР»РѕРґРєРё РґРѕ РґРёСЃРєС–РІ"</f>
        <v>05P1536  LPR - Р“Р°Р»СЊРјС–РІРЅС– РєРѕР»РѕРґРєРё РґРѕ РґРёСЃРєС–РІ</v>
      </c>
      <c r="E4808">
        <v>1</v>
      </c>
      <c r="F4808" t="s">
        <v>16406</v>
      </c>
      <c r="G4808" t="s">
        <v>15973</v>
      </c>
      <c r="H4808" t="str">
        <f>"05P1536"</f>
        <v>05P1536</v>
      </c>
      <c r="I4808" t="s">
        <v>16472</v>
      </c>
    </row>
    <row r="4809" spans="1:9">
      <c r="A4809" t="str">
        <f>"0048899 "</f>
        <v xml:space="preserve">0048899 </v>
      </c>
      <c r="B4809" t="s">
        <v>15973</v>
      </c>
      <c r="C4809" t="s">
        <v>16473</v>
      </c>
      <c r="D4809" t="str">
        <f>"05P1558  LPR - Р“Р°Р»СЊРјС–РІРЅС– РєРѕР»РѕРґРєРё РґРѕ РґРёСЃРєС–РІ"</f>
        <v>05P1558  LPR - Р“Р°Р»СЊРјС–РІРЅС– РєРѕР»РѕРґРєРё РґРѕ РґРёСЃРєС–РІ</v>
      </c>
      <c r="E4809">
        <v>1</v>
      </c>
      <c r="F4809" t="s">
        <v>16474</v>
      </c>
      <c r="G4809" t="s">
        <v>15973</v>
      </c>
      <c r="H4809" t="str">
        <f>"05P1558"</f>
        <v>05P1558</v>
      </c>
      <c r="I4809" t="s">
        <v>16475</v>
      </c>
    </row>
    <row r="4810" spans="1:9">
      <c r="A4810" t="str">
        <f>"0048907 "</f>
        <v xml:space="preserve">0048907 </v>
      </c>
      <c r="B4810" t="s">
        <v>15973</v>
      </c>
      <c r="C4810" t="s">
        <v>16476</v>
      </c>
      <c r="D4810" t="str">
        <f>"05P1569  LPR - Р“Р°Р»СЊРјС–РІРЅС– РєРѕР»РѕРґРєРё РґРѕ РґРёСЃРєС–РІ"</f>
        <v>05P1569  LPR - Р“Р°Р»СЊРјС–РІРЅС– РєРѕР»РѕРґРєРё РґРѕ РґРёСЃРєС–РІ</v>
      </c>
      <c r="E4810">
        <v>1</v>
      </c>
      <c r="F4810" t="s">
        <v>6428</v>
      </c>
      <c r="G4810" t="s">
        <v>15973</v>
      </c>
      <c r="H4810" t="str">
        <f>"05P1569"</f>
        <v>05P1569</v>
      </c>
      <c r="I4810" t="s">
        <v>16477</v>
      </c>
    </row>
    <row r="4811" spans="1:9">
      <c r="A4811" t="str">
        <f>"0048908 "</f>
        <v xml:space="preserve">0048908 </v>
      </c>
      <c r="B4811" t="s">
        <v>15973</v>
      </c>
      <c r="C4811" t="s">
        <v>16478</v>
      </c>
      <c r="D4811" t="str">
        <f>"05P1572  LPR - Р“Р°Р»СЊРјС–РІРЅС– РєРѕР»РѕРґРєРё РґРѕ РґРёСЃРєС–РІ"</f>
        <v>05P1572  LPR - Р“Р°Р»СЊРјС–РІРЅС– РєРѕР»РѕРґРєРё РґРѕ РґРёСЃРєС–РІ</v>
      </c>
      <c r="E4811">
        <v>1</v>
      </c>
      <c r="F4811" t="s">
        <v>16479</v>
      </c>
      <c r="G4811" t="s">
        <v>15973</v>
      </c>
      <c r="H4811" t="str">
        <f>"05P1572"</f>
        <v>05P1572</v>
      </c>
      <c r="I4811" t="s">
        <v>16480</v>
      </c>
    </row>
    <row r="4812" spans="1:9">
      <c r="A4812" t="str">
        <f>"0048911 "</f>
        <v xml:space="preserve">0048911 </v>
      </c>
      <c r="B4812" t="s">
        <v>15973</v>
      </c>
      <c r="C4812" t="s">
        <v>16481</v>
      </c>
      <c r="D4812" t="str">
        <f>"05P1575  LPR - Р“Р°Р»СЊРјС–РІРЅС– РєРѕР»РѕРґРєРё РґРѕ РґРёСЃРєС–РІ"</f>
        <v>05P1575  LPR - Р“Р°Р»СЊРјС–РІРЅС– РєРѕР»РѕРґРєРё РґРѕ РґРёСЃРєС–РІ</v>
      </c>
      <c r="E4812">
        <v>1</v>
      </c>
      <c r="F4812" t="s">
        <v>16417</v>
      </c>
      <c r="G4812" t="s">
        <v>15973</v>
      </c>
      <c r="H4812" t="str">
        <f>"05P1575"</f>
        <v>05P1575</v>
      </c>
      <c r="I4812" t="s">
        <v>16482</v>
      </c>
    </row>
    <row r="4813" spans="1:9">
      <c r="A4813" t="str">
        <f>"0101940 "</f>
        <v xml:space="preserve">0101940 </v>
      </c>
      <c r="B4813" t="s">
        <v>15973</v>
      </c>
      <c r="C4813" t="s">
        <v>16483</v>
      </c>
      <c r="D4813" t="str">
        <f>"05P1578  LPR - Р“Р°Р»СЊРјС–РІРЅС– РєРѕР»РѕРґРєРё РґРѕ РґРёСЃРєС–РІ"</f>
        <v>05P1578  LPR - Р“Р°Р»СЊРјС–РІРЅС– РєРѕР»РѕРґРєРё РґРѕ РґРёСЃРєС–РІ</v>
      </c>
      <c r="E4813">
        <v>1</v>
      </c>
      <c r="F4813" t="s">
        <v>16484</v>
      </c>
      <c r="G4813" t="s">
        <v>15973</v>
      </c>
      <c r="H4813" t="str">
        <f>"05P1578"</f>
        <v>05P1578</v>
      </c>
      <c r="I4813" t="s">
        <v>16485</v>
      </c>
    </row>
    <row r="4814" spans="1:9">
      <c r="A4814" t="str">
        <f>"0101941 "</f>
        <v xml:space="preserve">0101941 </v>
      </c>
      <c r="B4814" t="s">
        <v>15973</v>
      </c>
      <c r="C4814" t="s">
        <v>16486</v>
      </c>
      <c r="D4814" t="str">
        <f>"05P1579  LPR - Р“Р°Р»СЊРјС–РІРЅС– РєРѕР»РѕРґРєРё РґРѕ РґРёСЃРєС–РІ"</f>
        <v>05P1579  LPR - Р“Р°Р»СЊРјС–РІРЅС– РєРѕР»РѕРґРєРё РґРѕ РґРёСЃРєС–РІ</v>
      </c>
      <c r="E4814">
        <v>1</v>
      </c>
      <c r="F4814" t="s">
        <v>3033</v>
      </c>
      <c r="G4814" t="s">
        <v>15973</v>
      </c>
      <c r="H4814" t="str">
        <f>"05P1579"</f>
        <v>05P1579</v>
      </c>
      <c r="I4814" t="s">
        <v>16487</v>
      </c>
    </row>
    <row r="4815" spans="1:9">
      <c r="A4815" t="str">
        <f>"0048914 "</f>
        <v xml:space="preserve">0048914 </v>
      </c>
      <c r="B4815" t="s">
        <v>15973</v>
      </c>
      <c r="C4815" t="s">
        <v>16488</v>
      </c>
      <c r="D4815" t="str">
        <f>"05P1581  LPR - Р“Р°Р»СЊРјС–РІРЅС– РєРѕР»РѕРґРєРё РґРѕ РґРёСЃРєС–РІ"</f>
        <v>05P1581  LPR - Р“Р°Р»СЊРјС–РІРЅС– РєРѕР»РѕРґРєРё РґРѕ РґРёСЃРєС–РІ</v>
      </c>
      <c r="E4815">
        <v>1</v>
      </c>
      <c r="F4815" t="s">
        <v>16328</v>
      </c>
      <c r="G4815" t="s">
        <v>15973</v>
      </c>
      <c r="H4815" t="str">
        <f>"05P1581"</f>
        <v>05P1581</v>
      </c>
      <c r="I4815" t="s">
        <v>16489</v>
      </c>
    </row>
    <row r="4816" spans="1:9">
      <c r="A4816" t="str">
        <f>"0048923 "</f>
        <v xml:space="preserve">0048923 </v>
      </c>
      <c r="B4816" t="s">
        <v>15973</v>
      </c>
      <c r="C4816" t="s">
        <v>16490</v>
      </c>
      <c r="D4816" t="str">
        <f>"05P1593  LPR - Р“Р°Р»СЊРјС–РІРЅС– РєРѕР»РѕРґРєРё РґРѕ РґРёСЃРєС–РІ"</f>
        <v>05P1593  LPR - Р“Р°Р»СЊРјС–РІРЅС– РєРѕР»РѕРґРєРё РґРѕ РґРёСЃРєС–РІ</v>
      </c>
      <c r="E4816">
        <v>2</v>
      </c>
      <c r="F4816" t="s">
        <v>16310</v>
      </c>
      <c r="G4816" t="s">
        <v>15973</v>
      </c>
      <c r="H4816" t="str">
        <f>"05P1593"</f>
        <v>05P1593</v>
      </c>
      <c r="I4816" t="s">
        <v>16491</v>
      </c>
    </row>
    <row r="4817" spans="1:9">
      <c r="A4817" t="str">
        <f>"0048926 "</f>
        <v xml:space="preserve">0048926 </v>
      </c>
      <c r="B4817" t="s">
        <v>15973</v>
      </c>
      <c r="C4817" t="s">
        <v>16492</v>
      </c>
      <c r="D4817" t="str">
        <f>"05P1599  LPR - Р“Р°Р»СЊРјС–РІРЅС– РєРѕР»РѕРґРєРё РґРѕ РґРёСЃРєС–РІ"</f>
        <v>05P1599  LPR - Р“Р°Р»СЊРјС–РІРЅС– РєРѕР»РѕРґРєРё РґРѕ РґРёСЃРєС–РІ</v>
      </c>
      <c r="E4817">
        <v>1</v>
      </c>
      <c r="F4817" t="s">
        <v>16213</v>
      </c>
      <c r="G4817" t="s">
        <v>15973</v>
      </c>
      <c r="H4817" t="str">
        <f>"05P1599"</f>
        <v>05P1599</v>
      </c>
      <c r="I4817" t="s">
        <v>16493</v>
      </c>
    </row>
    <row r="4818" spans="1:9">
      <c r="A4818" t="str">
        <f>"0048930 "</f>
        <v xml:space="preserve">0048930 </v>
      </c>
      <c r="B4818" t="s">
        <v>15973</v>
      </c>
      <c r="C4818" t="s">
        <v>16494</v>
      </c>
      <c r="D4818" t="str">
        <f>"05P1607  LPR - Р“Р°Р»СЊРјС–РІРЅС– РєРѕР»РѕРґРєРё РґРѕ РґРёСЃРєС–РІ"</f>
        <v>05P1607  LPR - Р“Р°Р»СЊРјС–РІРЅС– РєРѕР»РѕРґРєРё РґРѕ РґРёСЃРєС–РІ</v>
      </c>
      <c r="E4818">
        <v>1</v>
      </c>
      <c r="F4818" t="s">
        <v>16089</v>
      </c>
      <c r="G4818" t="s">
        <v>15973</v>
      </c>
      <c r="H4818" t="str">
        <f>"05P1607"</f>
        <v>05P1607</v>
      </c>
      <c r="I4818" t="s">
        <v>16495</v>
      </c>
    </row>
    <row r="4819" spans="1:9">
      <c r="A4819" t="str">
        <f>"0048931 "</f>
        <v xml:space="preserve">0048931 </v>
      </c>
      <c r="B4819" t="s">
        <v>15973</v>
      </c>
      <c r="C4819" t="s">
        <v>16496</v>
      </c>
      <c r="D4819" t="str">
        <f>"05P1608  LPR - Р“Р°Р»СЊРјС–РІРЅС– РєРѕР»РѕРґРєРё РґРѕ РґРёСЃРєС–РІ"</f>
        <v>05P1608  LPR - Р“Р°Р»СЊРјС–РІРЅС– РєРѕР»РѕРґРєРё РґРѕ РґРёСЃРєС–РІ</v>
      </c>
      <c r="E4819">
        <v>3</v>
      </c>
      <c r="F4819" t="s">
        <v>16497</v>
      </c>
      <c r="G4819" t="s">
        <v>15973</v>
      </c>
      <c r="H4819" t="str">
        <f>"05P1608"</f>
        <v>05P1608</v>
      </c>
      <c r="I4819" t="s">
        <v>16498</v>
      </c>
    </row>
    <row r="4820" spans="1:9">
      <c r="A4820" t="str">
        <f>"0101952 "</f>
        <v xml:space="preserve">0101952 </v>
      </c>
      <c r="B4820" t="s">
        <v>15973</v>
      </c>
      <c r="C4820" t="s">
        <v>16499</v>
      </c>
      <c r="D4820" t="str">
        <f>"05P1618  LPR - Р“Р°Р»СЊРјС–РІРЅС– РєРѕР»РѕРґРєРё РґРѕ РґРёСЃРєС–РІ"</f>
        <v>05P1618  LPR - Р“Р°Р»СЊРјС–РІРЅС– РєРѕР»РѕРґРєРё РґРѕ РґРёСЃРєС–РІ</v>
      </c>
      <c r="E4820">
        <v>1</v>
      </c>
      <c r="F4820" t="s">
        <v>16500</v>
      </c>
      <c r="G4820" t="s">
        <v>15973</v>
      </c>
      <c r="H4820" t="str">
        <f>"05P1618"</f>
        <v>05P1618</v>
      </c>
      <c r="I4820" t="s">
        <v>16501</v>
      </c>
    </row>
    <row r="4821" spans="1:9">
      <c r="A4821" t="str">
        <f>"0101958 "</f>
        <v xml:space="preserve">0101958 </v>
      </c>
      <c r="B4821" t="s">
        <v>15973</v>
      </c>
      <c r="C4821" t="s">
        <v>16502</v>
      </c>
      <c r="D4821" t="str">
        <f>"05P1625  LPR - Р“Р°Р»СЊРјС–РІРЅС– РєРѕР»РѕРґРєРё РґРѕ РґРёСЃРєС–РІ"</f>
        <v>05P1625  LPR - Р“Р°Р»СЊРјС–РІРЅС– РєРѕР»РѕРґРєРё РґРѕ РґРёСЃРєС–РІ</v>
      </c>
      <c r="E4821">
        <v>1</v>
      </c>
      <c r="F4821" t="s">
        <v>16503</v>
      </c>
      <c r="G4821" t="s">
        <v>15973</v>
      </c>
      <c r="H4821" t="str">
        <f>"05P1625"</f>
        <v>05P1625</v>
      </c>
      <c r="I4821" t="s">
        <v>16504</v>
      </c>
    </row>
    <row r="4822" spans="1:9">
      <c r="A4822" t="str">
        <f>"0101964 "</f>
        <v xml:space="preserve">0101964 </v>
      </c>
      <c r="B4822" t="s">
        <v>15973</v>
      </c>
      <c r="C4822" t="s">
        <v>16505</v>
      </c>
      <c r="D4822" t="str">
        <f>"05P1633  LPR - Р“Р°Р»СЊРјС–РІРЅС– РєРѕР»РѕРґРєРё РґРѕ РґРёСЃРєС–РІ"</f>
        <v>05P1633  LPR - Р“Р°Р»СЊРјС–РІРЅС– РєРѕР»РѕРґРєРё РґРѕ РґРёСЃРєС–РІ</v>
      </c>
      <c r="E4822">
        <v>1</v>
      </c>
      <c r="F4822" t="s">
        <v>16011</v>
      </c>
      <c r="G4822" t="s">
        <v>15973</v>
      </c>
      <c r="H4822" t="str">
        <f>"05P1633"</f>
        <v>05P1633</v>
      </c>
      <c r="I4822" t="s">
        <v>16506</v>
      </c>
    </row>
    <row r="4823" spans="1:9">
      <c r="A4823" t="str">
        <f>"0131743 "</f>
        <v xml:space="preserve">0131743 </v>
      </c>
      <c r="B4823" t="s">
        <v>15973</v>
      </c>
      <c r="C4823" t="s">
        <v>16507</v>
      </c>
      <c r="D4823" t="str">
        <f>"05P1702  LPR - Р“Р°Р»СЊРјС–РІРЅС– РєРѕР»РѕРґРєРё РґРѕ РґРёСЃРєС–РІ"</f>
        <v>05P1702  LPR - Р“Р°Р»СЊРјС–РІРЅС– РєРѕР»РѕРґРєРё РґРѕ РґРёСЃРєС–РІ</v>
      </c>
      <c r="E4823">
        <v>1</v>
      </c>
      <c r="F4823" t="s">
        <v>3001</v>
      </c>
      <c r="G4823" t="s">
        <v>15973</v>
      </c>
      <c r="H4823" t="str">
        <f>"05P1702"</f>
        <v>05P1702</v>
      </c>
      <c r="I4823" t="s">
        <v>16508</v>
      </c>
    </row>
    <row r="4824" spans="1:9">
      <c r="A4824" t="str">
        <f>"0157216 "</f>
        <v xml:space="preserve">0157216 </v>
      </c>
      <c r="B4824" t="s">
        <v>15973</v>
      </c>
      <c r="C4824" t="s">
        <v>16509</v>
      </c>
      <c r="D4824" t="str">
        <f>"05P1736  LPR - Р“Р°Р»СЊРјС–РІРЅС– РєРѕР»РѕРґРєРё РґРѕ РґРёСЃРєС–РІ"</f>
        <v>05P1736  LPR - Р“Р°Р»СЊРјС–РІРЅС– РєРѕР»РѕРґРєРё РґРѕ РґРёСЃРєС–РІ</v>
      </c>
      <c r="E4824">
        <v>3</v>
      </c>
      <c r="F4824" t="s">
        <v>16328</v>
      </c>
      <c r="G4824" t="s">
        <v>15973</v>
      </c>
      <c r="H4824" t="str">
        <f>"05P1736"</f>
        <v>05P1736</v>
      </c>
      <c r="I4824" t="s">
        <v>16510</v>
      </c>
    </row>
    <row r="4825" spans="1:9">
      <c r="A4825" t="str">
        <f>"0157224 "</f>
        <v xml:space="preserve">0157224 </v>
      </c>
      <c r="B4825" t="s">
        <v>15973</v>
      </c>
      <c r="C4825" t="s">
        <v>16511</v>
      </c>
      <c r="D4825" t="str">
        <f>"05P1744  LPR - Р“Р°Р»СЊРјС–РІРЅС– РєРѕР»РѕРґРєРё РґРѕ РґРёСЃРєС–РІ"</f>
        <v>05P1744  LPR - Р“Р°Р»СЊРјС–РІРЅС– РєРѕР»РѕРґРєРё РґРѕ РґРёСЃРєС–РІ</v>
      </c>
      <c r="E4825">
        <v>1</v>
      </c>
      <c r="F4825" t="s">
        <v>16512</v>
      </c>
      <c r="G4825" t="s">
        <v>15973</v>
      </c>
      <c r="H4825" t="str">
        <f>"05P1744"</f>
        <v>05P1744</v>
      </c>
      <c r="I4825" t="s">
        <v>16513</v>
      </c>
    </row>
    <row r="4826" spans="1:9">
      <c r="A4826" t="str">
        <f>"0163758 "</f>
        <v xml:space="preserve">0163758 </v>
      </c>
      <c r="B4826" t="s">
        <v>15973</v>
      </c>
      <c r="C4826" t="s">
        <v>16514</v>
      </c>
      <c r="D4826" t="str">
        <f>"05P1770  LPR - Р“Р°Р»СЊРјС–РІРЅС– РєРѕР»РѕРґРєРё РґРѕ РґРёСЃРєС–РІ"</f>
        <v>05P1770  LPR - Р“Р°Р»СЊРјС–РІРЅС– РєРѕР»РѕРґРєРё РґРѕ РґРёСЃРєС–РІ</v>
      </c>
      <c r="E4826">
        <v>1</v>
      </c>
      <c r="F4826" t="s">
        <v>16515</v>
      </c>
      <c r="G4826" t="s">
        <v>15973</v>
      </c>
      <c r="H4826" t="str">
        <f>"05P1770"</f>
        <v>05P1770</v>
      </c>
      <c r="I4826" t="s">
        <v>16516</v>
      </c>
    </row>
    <row r="4827" spans="1:9">
      <c r="A4827" t="str">
        <f>"0157242 "</f>
        <v xml:space="preserve">0157242 </v>
      </c>
      <c r="B4827" t="s">
        <v>15973</v>
      </c>
      <c r="C4827" t="s">
        <v>16517</v>
      </c>
      <c r="D4827" t="str">
        <f>"05P1788  LPR - Р“Р°Р»СЊРјС–РІРЅС– РєРѕР»РѕРґРєРё РґРѕ РґРёСЃРєС–РІ"</f>
        <v>05P1788  LPR - Р“Р°Р»СЊРјС–РІРЅС– РєРѕР»РѕРґРєРё РґРѕ РґРёСЃРєС–РІ</v>
      </c>
      <c r="E4827">
        <v>1</v>
      </c>
      <c r="F4827" t="s">
        <v>16518</v>
      </c>
      <c r="G4827" t="s">
        <v>15973</v>
      </c>
      <c r="H4827" t="str">
        <f>"05P1788"</f>
        <v>05P1788</v>
      </c>
      <c r="I4827" t="s">
        <v>16519</v>
      </c>
    </row>
    <row r="4828" spans="1:9">
      <c r="A4828" t="str">
        <f>"0023817 "</f>
        <v xml:space="preserve">0023817 </v>
      </c>
      <c r="B4828" t="s">
        <v>15973</v>
      </c>
      <c r="C4828" t="s">
        <v>16520</v>
      </c>
      <c r="D4828" t="str">
        <f>"05P179  LPR - Р“Р°Р»СЊРјС–РІРЅС– РєРѕР»РѕРґРєРё РґРѕ РґРёСЃРєС–РІ (F, S)"</f>
        <v>05P179  LPR - Р“Р°Р»СЊРјС–РІРЅС– РєРѕР»РѕРґРєРё РґРѕ РґРёСЃРєС–РІ (F, S)</v>
      </c>
      <c r="E4828">
        <v>1</v>
      </c>
      <c r="F4828" t="s">
        <v>16521</v>
      </c>
      <c r="G4828" t="s">
        <v>15973</v>
      </c>
      <c r="H4828" t="str">
        <f>"05P179"</f>
        <v>05P179</v>
      </c>
      <c r="I4828" t="s">
        <v>16522</v>
      </c>
    </row>
    <row r="4829" spans="1:9">
      <c r="A4829" t="str">
        <f>"0163764 "</f>
        <v xml:space="preserve">0163764 </v>
      </c>
      <c r="B4829" t="s">
        <v>15973</v>
      </c>
      <c r="C4829" t="s">
        <v>16523</v>
      </c>
      <c r="D4829" t="str">
        <f>"05P1795  LPR - Р“Р°Р»СЊРјС–РІРЅС– РєРѕР»РѕРґРєРё РґРѕ РґРёСЃРєС–РІ"</f>
        <v>05P1795  LPR - Р“Р°Р»СЊРјС–РІРЅС– РєРѕР»РѕРґРєРё РґРѕ РґРёСЃРєС–РІ</v>
      </c>
      <c r="E4829">
        <v>1</v>
      </c>
      <c r="F4829" t="s">
        <v>16089</v>
      </c>
      <c r="G4829" t="s">
        <v>15973</v>
      </c>
      <c r="H4829" t="str">
        <f>"05P1795"</f>
        <v>05P1795</v>
      </c>
      <c r="I4829" t="s">
        <v>16524</v>
      </c>
    </row>
    <row r="4830" spans="1:9">
      <c r="A4830" t="str">
        <f>"0023819 "</f>
        <v xml:space="preserve">0023819 </v>
      </c>
      <c r="B4830" t="s">
        <v>15973</v>
      </c>
      <c r="C4830" t="s">
        <v>16525</v>
      </c>
      <c r="D4830" t="str">
        <f>"05P181  LPR - Р“Р°Р»СЊРјС–РІРЅС– РєРѕР»РѕРґРєРё РґРѕ РґРёСЃРєС–РІ"</f>
        <v>05P181  LPR - Р“Р°Р»СЊРјС–РІРЅС– РєРѕР»РѕРґРєРё РґРѕ РґРёСЃРєС–РІ</v>
      </c>
      <c r="E4830">
        <v>2</v>
      </c>
      <c r="F4830" t="s">
        <v>16526</v>
      </c>
      <c r="G4830" t="s">
        <v>15973</v>
      </c>
      <c r="H4830" t="str">
        <f>"05P181"</f>
        <v>05P181</v>
      </c>
      <c r="I4830" t="s">
        <v>16527</v>
      </c>
    </row>
    <row r="4831" spans="1:9">
      <c r="A4831" t="str">
        <f>"0023824 "</f>
        <v xml:space="preserve">0023824 </v>
      </c>
      <c r="B4831" t="s">
        <v>15973</v>
      </c>
      <c r="C4831" t="s">
        <v>16528</v>
      </c>
      <c r="D4831" t="str">
        <f>"05P187  LPR - Р“Р°Р»СЊРјС–РІРЅС– РєРѕР»РѕРґРєРё РґРѕ РґРёСЃРєС–РІ"</f>
        <v>05P187  LPR - Р“Р°Р»СЊРјС–РІРЅС– РєРѕР»РѕРґРєРё РґРѕ РґРёСЃРєС–РІ</v>
      </c>
      <c r="E4831">
        <v>1</v>
      </c>
      <c r="F4831" t="s">
        <v>16092</v>
      </c>
      <c r="G4831" t="s">
        <v>15973</v>
      </c>
      <c r="H4831" t="str">
        <f>"05P187"</f>
        <v>05P187</v>
      </c>
      <c r="I4831" t="s">
        <v>16529</v>
      </c>
    </row>
    <row r="4832" spans="1:9">
      <c r="A4832" t="str">
        <f>"0023826 "</f>
        <v xml:space="preserve">0023826 </v>
      </c>
      <c r="B4832" t="s">
        <v>15973</v>
      </c>
      <c r="C4832" t="s">
        <v>16530</v>
      </c>
      <c r="D4832" t="str">
        <f>"05P190  LPR - Р“Р°Р»СЊРјС–РІРЅС– РєРѕР»РѕРґРєРё РґРѕ РґРёСЃРєС–РІ"</f>
        <v>05P190  LPR - Р“Р°Р»СЊРјС–РІРЅС– РєРѕР»РѕРґРєРё РґРѕ РґРёСЃРєС–РІ</v>
      </c>
      <c r="E4832" t="s">
        <v>16</v>
      </c>
      <c r="F4832" t="s">
        <v>16531</v>
      </c>
      <c r="G4832" t="s">
        <v>15973</v>
      </c>
      <c r="H4832" t="str">
        <f>"05P190"</f>
        <v>05P190</v>
      </c>
      <c r="I4832" t="s">
        <v>16532</v>
      </c>
    </row>
    <row r="4833" spans="1:9">
      <c r="A4833" t="str">
        <f>"0023834 "</f>
        <v xml:space="preserve">0023834 </v>
      </c>
      <c r="B4833" t="s">
        <v>15973</v>
      </c>
      <c r="C4833" t="s">
        <v>16533</v>
      </c>
      <c r="D4833" t="str">
        <f>"05P201  LPR - Р“Р°Р»СЊРјС–РІРЅС– РєРѕР»РѕРґРєРё РґРѕ РґРёСЃРєС–РІ (F, S, Р· РґР°С‚С‡РёРєРѕРј)"</f>
        <v>05P201  LPR - Р“Р°Р»СЊРјС–РІРЅС– РєРѕР»РѕРґРєРё РґРѕ РґРёСЃРєС–РІ (F, S, Р· РґР°С‚С‡РёРєРѕРј)</v>
      </c>
      <c r="E4833">
        <v>2</v>
      </c>
      <c r="F4833" t="s">
        <v>16534</v>
      </c>
      <c r="G4833" t="s">
        <v>15973</v>
      </c>
      <c r="H4833" t="str">
        <f>"05P201"</f>
        <v>05P201</v>
      </c>
      <c r="I4833" t="s">
        <v>16535</v>
      </c>
    </row>
    <row r="4834" spans="1:9">
      <c r="A4834" t="str">
        <f>"0023838 "</f>
        <v xml:space="preserve">0023838 </v>
      </c>
      <c r="B4834" t="s">
        <v>15973</v>
      </c>
      <c r="C4834" t="s">
        <v>16536</v>
      </c>
      <c r="D4834" t="str">
        <f>"05P206  LPR - Р“Р°Р»СЊРјС–РІРЅС– РєРѕР»РѕРґРєРё РґРѕ РґРёСЃРєС–РІ (R, S)"</f>
        <v>05P206  LPR - Р“Р°Р»СЊРјС–РІРЅС– РєРѕР»РѕРґРєРё РґРѕ РґРёСЃРєС–РІ (R, S)</v>
      </c>
      <c r="E4834">
        <v>1</v>
      </c>
      <c r="F4834" t="s">
        <v>5029</v>
      </c>
      <c r="G4834" t="s">
        <v>15973</v>
      </c>
      <c r="H4834" t="str">
        <f>"05P206"</f>
        <v>05P206</v>
      </c>
      <c r="I4834" t="s">
        <v>16537</v>
      </c>
    </row>
    <row r="4835" spans="1:9">
      <c r="A4835" t="str">
        <f>"0023842 "</f>
        <v xml:space="preserve">0023842 </v>
      </c>
      <c r="B4835" t="s">
        <v>15973</v>
      </c>
      <c r="C4835" t="s">
        <v>16538</v>
      </c>
      <c r="D4835" t="str">
        <f>"05P211  LPR - Р“Р°Р»СЊРјС–РІРЅС– РєРѕР»РѕРґРєРё РґРѕ РґРёСЃРєС–РІ (F, S)"</f>
        <v>05P211  LPR - Р“Р°Р»СЊРјС–РІРЅС– РєРѕР»РѕРґРєРё РґРѕ РґРёСЃРєС–РІ (F, S)</v>
      </c>
      <c r="E4835">
        <v>2</v>
      </c>
      <c r="F4835" t="s">
        <v>16539</v>
      </c>
      <c r="G4835" t="s">
        <v>15973</v>
      </c>
      <c r="H4835" t="str">
        <f>"05P211"</f>
        <v>05P211</v>
      </c>
      <c r="I4835" t="s">
        <v>16540</v>
      </c>
    </row>
    <row r="4836" spans="1:9">
      <c r="A4836" t="str">
        <f>"0023846 "</f>
        <v xml:space="preserve">0023846 </v>
      </c>
      <c r="B4836" t="s">
        <v>15973</v>
      </c>
      <c r="C4836" t="s">
        <v>16541</v>
      </c>
      <c r="D4836" t="str">
        <f>"05P216  LPR - Р“Р°Р»СЊРјС–РІРЅС– РєРѕР»РѕРґРєРё РґРѕ РґРёСЃРєС–РІ (F)"</f>
        <v>05P216  LPR - Р“Р°Р»СЊРјС–РІРЅС– РєРѕР»РѕРґРєРё РґРѕ РґРёСЃРєС–РІ (F)</v>
      </c>
      <c r="E4836">
        <v>1</v>
      </c>
      <c r="F4836" t="s">
        <v>16542</v>
      </c>
      <c r="G4836" t="s">
        <v>15973</v>
      </c>
      <c r="H4836" t="str">
        <f>"05P216"</f>
        <v>05P216</v>
      </c>
      <c r="I4836" t="s">
        <v>16543</v>
      </c>
    </row>
    <row r="4837" spans="1:9">
      <c r="A4837" t="str">
        <f>"0023850 "</f>
        <v xml:space="preserve">0023850 </v>
      </c>
      <c r="B4837" t="s">
        <v>15973</v>
      </c>
      <c r="C4837" t="s">
        <v>16544</v>
      </c>
      <c r="D4837" t="str">
        <f>"05P220  LPR - Р“Р°Р»СЊРјС–РІРЅС– РєРѕР»РѕРґРєРё РґРѕ РґРёСЃРєС–РІ (F, V, Р· РґР°С‚С‡РёРєРѕРј)"</f>
        <v>05P220  LPR - Р“Р°Р»СЊРјС–РІРЅС– РєРѕР»РѕРґРєРё РґРѕ РґРёСЃРєС–РІ (F, V, Р· РґР°С‚С‡РёРєРѕРј)</v>
      </c>
      <c r="E4837" t="s">
        <v>16</v>
      </c>
      <c r="F4837" t="s">
        <v>3943</v>
      </c>
      <c r="G4837" t="s">
        <v>15973</v>
      </c>
      <c r="H4837" t="str">
        <f>"05P220"</f>
        <v>05P220</v>
      </c>
      <c r="I4837" t="s">
        <v>16545</v>
      </c>
    </row>
    <row r="4838" spans="1:9">
      <c r="A4838" t="str">
        <f>"0023853 "</f>
        <v xml:space="preserve">0023853 </v>
      </c>
      <c r="B4838" t="s">
        <v>15973</v>
      </c>
      <c r="C4838" t="s">
        <v>16546</v>
      </c>
      <c r="D4838" t="str">
        <f>"05P223  LPR - Р“Р°Р»СЊРјС–РІРЅС– РєРѕР»РѕРґРєРё РґРѕ РґРёСЃРєС–РІ (F, S)"</f>
        <v>05P223  LPR - Р“Р°Р»СЊРјС–РІРЅС– РєРѕР»РѕРґРєРё РґРѕ РґРёСЃРєС–РІ (F, S)</v>
      </c>
      <c r="E4838">
        <v>2</v>
      </c>
      <c r="F4838" t="s">
        <v>16547</v>
      </c>
      <c r="G4838" t="s">
        <v>15973</v>
      </c>
      <c r="H4838" t="str">
        <f>"05P223"</f>
        <v>05P223</v>
      </c>
      <c r="I4838" t="s">
        <v>16548</v>
      </c>
    </row>
    <row r="4839" spans="1:9">
      <c r="A4839" t="str">
        <f>"0023854 "</f>
        <v xml:space="preserve">0023854 </v>
      </c>
      <c r="B4839" t="s">
        <v>15973</v>
      </c>
      <c r="C4839" t="s">
        <v>16549</v>
      </c>
      <c r="D4839" t="str">
        <f>"05P224  LPR - Р“Р°Р»СЊРјС–РІРЅС– РєРѕР»РѕРґРєРё РґРѕ РґРёСЃРєС–РІ (F, V)"</f>
        <v>05P224  LPR - Р“Р°Р»СЊРјС–РІРЅС– РєРѕР»РѕРґРєРё РґРѕ РґРёСЃРєС–РІ (F, V)</v>
      </c>
      <c r="E4839">
        <v>1</v>
      </c>
      <c r="F4839" t="s">
        <v>16550</v>
      </c>
      <c r="G4839" t="s">
        <v>15973</v>
      </c>
      <c r="H4839" t="str">
        <f>"05P224"</f>
        <v>05P224</v>
      </c>
      <c r="I4839" t="s">
        <v>16551</v>
      </c>
    </row>
    <row r="4840" spans="1:9">
      <c r="A4840" t="str">
        <f>"0023855 "</f>
        <v xml:space="preserve">0023855 </v>
      </c>
      <c r="B4840" t="s">
        <v>15973</v>
      </c>
      <c r="C4840" t="s">
        <v>16552</v>
      </c>
      <c r="D4840" t="str">
        <f>"05P225  LPR - Р“Р°Р»СЊРјС–РІРЅС– РєРѕР»РѕРґРєРё РґРѕ РґРёСЃРєС–РІ (F, S)"</f>
        <v>05P225  LPR - Р“Р°Р»СЊРјС–РІРЅС– РєРѕР»РѕРґРєРё РґРѕ РґРёСЃРєС–РІ (F, S)</v>
      </c>
      <c r="E4840" t="s">
        <v>16</v>
      </c>
      <c r="F4840" t="s">
        <v>5065</v>
      </c>
      <c r="G4840" t="s">
        <v>15973</v>
      </c>
      <c r="H4840" t="str">
        <f>"05P225"</f>
        <v>05P225</v>
      </c>
      <c r="I4840" t="s">
        <v>16553</v>
      </c>
    </row>
    <row r="4841" spans="1:9">
      <c r="A4841" t="str">
        <f>"0023863 "</f>
        <v xml:space="preserve">0023863 </v>
      </c>
      <c r="B4841" t="s">
        <v>15973</v>
      </c>
      <c r="C4841" t="s">
        <v>16554</v>
      </c>
      <c r="D4841" t="str">
        <f>"05P233  LPR - Р“Р°Р»СЊРјС–РІРЅС– РєРѕР»РѕРґРєРё РґРѕ РґРёСЃРєС–РІ (R)"</f>
        <v>05P233  LPR - Р“Р°Р»СЊРјС–РІРЅС– РєРѕР»РѕРґРєРё РґРѕ РґРёСЃРєС–РІ (R)</v>
      </c>
      <c r="E4841">
        <v>1</v>
      </c>
      <c r="F4841" t="s">
        <v>16555</v>
      </c>
      <c r="G4841" t="s">
        <v>15973</v>
      </c>
      <c r="H4841" t="str">
        <f>"05P233"</f>
        <v>05P233</v>
      </c>
      <c r="I4841" t="s">
        <v>16556</v>
      </c>
    </row>
    <row r="4842" spans="1:9">
      <c r="A4842" t="str">
        <f>"0023864 "</f>
        <v xml:space="preserve">0023864 </v>
      </c>
      <c r="B4842" t="s">
        <v>15973</v>
      </c>
      <c r="C4842" t="s">
        <v>16557</v>
      </c>
      <c r="D4842" t="str">
        <f>"05P234  LPR - Р“Р°Р»СЊРјС–РІРЅС– РєРѕР»РѕРґРєРё РґРѕ РґРёСЃРєС–РІ (F, S)"</f>
        <v>05P234  LPR - Р“Р°Р»СЊРјС–РІРЅС– РєРѕР»РѕРґРєРё РґРѕ РґРёСЃРєС–РІ (F, S)</v>
      </c>
      <c r="E4842">
        <v>2</v>
      </c>
      <c r="F4842" t="s">
        <v>16558</v>
      </c>
      <c r="G4842" t="s">
        <v>15973</v>
      </c>
      <c r="H4842" t="str">
        <f>"05P234"</f>
        <v>05P234</v>
      </c>
      <c r="I4842" t="s">
        <v>16559</v>
      </c>
    </row>
    <row r="4843" spans="1:9">
      <c r="A4843" t="str">
        <f>"0023886 "</f>
        <v xml:space="preserve">0023886 </v>
      </c>
      <c r="B4843" t="s">
        <v>15973</v>
      </c>
      <c r="C4843" t="s">
        <v>16560</v>
      </c>
      <c r="D4843" t="str">
        <f>"05P261  LPR - Р“Р°Р»СЊРјС–РІРЅС– РєРѕР»РѕРґРєРё РґРѕ РґРёСЃРєС–РІ (F)"</f>
        <v>05P261  LPR - Р“Р°Р»СЊРјС–РІРЅС– РєРѕР»РѕРґРєРё РґРѕ РґРёСЃРєС–РІ (F)</v>
      </c>
      <c r="E4843">
        <v>3</v>
      </c>
      <c r="F4843" t="s">
        <v>16561</v>
      </c>
      <c r="G4843" t="s">
        <v>15973</v>
      </c>
      <c r="H4843" t="str">
        <f>"05P261"</f>
        <v>05P261</v>
      </c>
      <c r="I4843" t="s">
        <v>16562</v>
      </c>
    </row>
    <row r="4844" spans="1:9">
      <c r="A4844" t="str">
        <f>"0023893 "</f>
        <v xml:space="preserve">0023893 </v>
      </c>
      <c r="B4844" t="s">
        <v>15973</v>
      </c>
      <c r="C4844" t="s">
        <v>16563</v>
      </c>
      <c r="D4844" t="str">
        <f>"05P268  LPR - Р“Р°Р»СЊРјС–РІРЅС– РєРѕР»РѕРґРєРё РґРѕ РґРёСЃРєС–РІ (F, V, Р· РґР°С‚С‡РёРєРѕРј)"</f>
        <v>05P268  LPR - Р“Р°Р»СЊРјС–РІРЅС– РєРѕР»РѕРґРєРё РґРѕ РґРёСЃРєС–РІ (F, V, Р· РґР°С‚С‡РёРєРѕРј)</v>
      </c>
      <c r="E4844">
        <v>1</v>
      </c>
      <c r="F4844" t="s">
        <v>16123</v>
      </c>
      <c r="G4844" t="s">
        <v>15973</v>
      </c>
      <c r="H4844" t="str">
        <f>"05P268"</f>
        <v>05P268</v>
      </c>
      <c r="I4844" t="s">
        <v>16564</v>
      </c>
    </row>
    <row r="4845" spans="1:9">
      <c r="A4845" t="str">
        <f>"0023896 "</f>
        <v xml:space="preserve">0023896 </v>
      </c>
      <c r="B4845" t="s">
        <v>15973</v>
      </c>
      <c r="C4845" t="s">
        <v>16565</v>
      </c>
      <c r="D4845" t="str">
        <f>"05P271  LPR - Р“Р°Р»СЊРјС–РІРЅС– РєРѕР»РѕРґРєРё РґРѕ РґРёСЃРєС–РІ (F, S, Р· РґР°С‚С‡РёРєРѕРј)"</f>
        <v>05P271  LPR - Р“Р°Р»СЊРјС–РІРЅС– РєРѕР»РѕРґРєРё РґРѕ РґРёСЃРєС–РІ (F, S, Р· РґР°С‚С‡РёРєРѕРј)</v>
      </c>
      <c r="E4845">
        <v>2</v>
      </c>
      <c r="F4845" t="s">
        <v>846</v>
      </c>
      <c r="G4845" t="s">
        <v>15973</v>
      </c>
      <c r="H4845" t="str">
        <f>"05P271"</f>
        <v>05P271</v>
      </c>
      <c r="I4845" t="s">
        <v>16566</v>
      </c>
    </row>
    <row r="4846" spans="1:9">
      <c r="A4846" t="str">
        <f>"0023905 "</f>
        <v xml:space="preserve">0023905 </v>
      </c>
      <c r="B4846" t="s">
        <v>15973</v>
      </c>
      <c r="C4846" t="s">
        <v>16567</v>
      </c>
      <c r="D4846" t="str">
        <f>"05P280  LPR - Р“Р°Р»СЊРјС–РІРЅС– РєРѕР»РѕРґРєРё РґРѕ РґРёСЃРєС–РІ (F, S)"</f>
        <v>05P280  LPR - Р“Р°Р»СЊРјС–РІРЅС– РєРѕР»РѕРґРєРё РґРѕ РґРёСЃРєС–РІ (F, S)</v>
      </c>
      <c r="E4846">
        <v>3</v>
      </c>
      <c r="F4846" t="s">
        <v>16568</v>
      </c>
      <c r="G4846" t="s">
        <v>15973</v>
      </c>
      <c r="H4846" t="str">
        <f>"05P280"</f>
        <v>05P280</v>
      </c>
      <c r="I4846" t="s">
        <v>16569</v>
      </c>
    </row>
    <row r="4847" spans="1:9">
      <c r="A4847" t="str">
        <f>"0023913 "</f>
        <v xml:space="preserve">0023913 </v>
      </c>
      <c r="B4847" t="s">
        <v>15973</v>
      </c>
      <c r="C4847" t="s">
        <v>16570</v>
      </c>
      <c r="D4847" t="str">
        <f>"05P288  LPR - Р“Р°Р»СЊРјС–РІРЅС– РєРѕР»РѕРґРєРё РґРѕ РґРёСЃРєС–РІ (F, S)"</f>
        <v>05P288  LPR - Р“Р°Р»СЊРјС–РІРЅС– РєРѕР»РѕРґРєРё РґРѕ РґРёСЃРєС–РІ (F, S)</v>
      </c>
      <c r="E4847">
        <v>2</v>
      </c>
      <c r="F4847" t="s">
        <v>16571</v>
      </c>
      <c r="G4847" t="s">
        <v>15973</v>
      </c>
      <c r="H4847" t="str">
        <f>"05P288"</f>
        <v>05P288</v>
      </c>
      <c r="I4847" t="s">
        <v>16572</v>
      </c>
    </row>
    <row r="4848" spans="1:9">
      <c r="A4848" t="str">
        <f>"0023918 "</f>
        <v xml:space="preserve">0023918 </v>
      </c>
      <c r="B4848" t="s">
        <v>15973</v>
      </c>
      <c r="C4848" t="s">
        <v>16573</v>
      </c>
      <c r="D4848" t="str">
        <f>"05P293  LPR - Р“Р°Р»СЊРјС–РІРЅС– РєРѕР»РѕРґРєРё РґРѕ РґРёСЃРєС–РІ (F, S, Р· РґР°С‚С‡РёРєРѕРј)"</f>
        <v>05P293  LPR - Р“Р°Р»СЊРјС–РІРЅС– РєРѕР»РѕРґРєРё РґРѕ РґРёСЃРєС–РІ (F, S, Р· РґР°С‚С‡РёРєРѕРј)</v>
      </c>
      <c r="E4848" t="s">
        <v>16</v>
      </c>
      <c r="F4848" t="s">
        <v>2241</v>
      </c>
      <c r="G4848" t="s">
        <v>15973</v>
      </c>
      <c r="H4848" t="str">
        <f>"05P293"</f>
        <v>05P293</v>
      </c>
      <c r="I4848" t="s">
        <v>16574</v>
      </c>
    </row>
    <row r="4849" spans="1:9">
      <c r="A4849" t="str">
        <f>"0023919 "</f>
        <v xml:space="preserve">0023919 </v>
      </c>
      <c r="B4849" t="s">
        <v>15973</v>
      </c>
      <c r="C4849" t="s">
        <v>16575</v>
      </c>
      <c r="D4849" t="str">
        <f>"05P294  LPR - Р“Р°Р»СЊРјС–РІРЅС– РєРѕР»РѕРґРєРё РґРѕ РґРёСЃРєС–РІ (R, S)"</f>
        <v>05P294  LPR - Р“Р°Р»СЊРјС–РІРЅС– РєРѕР»РѕРґРєРё РґРѕ РґРёСЃРєС–РІ (R, S)</v>
      </c>
      <c r="E4849" t="s">
        <v>16</v>
      </c>
      <c r="F4849" t="s">
        <v>4205</v>
      </c>
      <c r="G4849" t="s">
        <v>15973</v>
      </c>
      <c r="H4849" t="str">
        <f>"05P294"</f>
        <v>05P294</v>
      </c>
      <c r="I4849" t="s">
        <v>16576</v>
      </c>
    </row>
    <row r="4850" spans="1:9">
      <c r="A4850" t="str">
        <f>"0023920 "</f>
        <v xml:space="preserve">0023920 </v>
      </c>
      <c r="B4850" t="s">
        <v>15973</v>
      </c>
      <c r="C4850" t="s">
        <v>16577</v>
      </c>
      <c r="D4850" t="str">
        <f>"05P295  LPR - Р“Р°Р»СЊРјС–РІРЅС– РєРѕР»РѕРґРєРё РґРѕ РґРёСЃРєС–РІ (F, S)"</f>
        <v>05P295  LPR - Р“Р°Р»СЊРјС–РІРЅС– РєРѕР»РѕРґРєРё РґРѕ РґРёСЃРєС–РІ (F, S)</v>
      </c>
      <c r="E4850">
        <v>1</v>
      </c>
      <c r="F4850" t="s">
        <v>6650</v>
      </c>
      <c r="G4850" t="s">
        <v>15973</v>
      </c>
      <c r="H4850" t="str">
        <f>"05P295"</f>
        <v>05P295</v>
      </c>
      <c r="I4850" t="s">
        <v>16578</v>
      </c>
    </row>
    <row r="4851" spans="1:9">
      <c r="A4851" t="str">
        <f>"0023921 "</f>
        <v xml:space="preserve">0023921 </v>
      </c>
      <c r="B4851" t="s">
        <v>15973</v>
      </c>
      <c r="C4851" t="s">
        <v>16579</v>
      </c>
      <c r="D4851" t="str">
        <f>"05P296  LPR - Р“Р°Р»СЊРјС–РІРЅС– РєРѕР»РѕРґРєРё РґРѕ РґРёСЃРєС–РІ (F)"</f>
        <v>05P296  LPR - Р“Р°Р»СЊРјС–РІРЅС– РєРѕР»РѕРґРєРё РґРѕ РґРёСЃРєС–РІ (F)</v>
      </c>
      <c r="E4851">
        <v>1</v>
      </c>
      <c r="F4851" t="s">
        <v>8198</v>
      </c>
      <c r="G4851" t="s">
        <v>15973</v>
      </c>
      <c r="H4851" t="str">
        <f>"05P296"</f>
        <v>05P296</v>
      </c>
      <c r="I4851" t="s">
        <v>16580</v>
      </c>
    </row>
    <row r="4852" spans="1:9">
      <c r="A4852" t="str">
        <f>"0023922 "</f>
        <v xml:space="preserve">0023922 </v>
      </c>
      <c r="B4852" t="s">
        <v>15973</v>
      </c>
      <c r="C4852" t="s">
        <v>16581</v>
      </c>
      <c r="D4852" t="str">
        <f>"05P297  LPR - Р“Р°Р»СЊРјС–РІРЅС– РєРѕР»РѕРґРєРё РґРѕ РґРёСЃРєС–РІ (R)"</f>
        <v>05P297  LPR - Р“Р°Р»СЊРјС–РІРЅС– РєРѕР»РѕРґРєРё РґРѕ РґРёСЃРєС–РІ (R)</v>
      </c>
      <c r="E4852">
        <v>2</v>
      </c>
      <c r="F4852" t="s">
        <v>6420</v>
      </c>
      <c r="G4852" t="s">
        <v>15973</v>
      </c>
      <c r="H4852" t="str">
        <f>"05P297"</f>
        <v>05P297</v>
      </c>
      <c r="I4852" t="s">
        <v>16582</v>
      </c>
    </row>
    <row r="4853" spans="1:9">
      <c r="A4853" t="str">
        <f>"0023924 "</f>
        <v xml:space="preserve">0023924 </v>
      </c>
      <c r="B4853" t="s">
        <v>15973</v>
      </c>
      <c r="C4853" t="s">
        <v>16583</v>
      </c>
      <c r="D4853" t="str">
        <f>"05P299  LPR - Р“Р°Р»СЊРјС–РІРЅС– РєРѕР»РѕРґРєРё РґРѕ РґРёСЃРєС–РІ (F, V)"</f>
        <v>05P299  LPR - Р“Р°Р»СЊРјС–РІРЅС– РєРѕР»РѕРґРєРё РґРѕ РґРёСЃРєС–РІ (F, V)</v>
      </c>
      <c r="E4853">
        <v>1</v>
      </c>
      <c r="F4853" t="s">
        <v>16083</v>
      </c>
      <c r="G4853" t="s">
        <v>15973</v>
      </c>
      <c r="H4853" t="str">
        <f>"05P299"</f>
        <v>05P299</v>
      </c>
      <c r="I4853" t="s">
        <v>16584</v>
      </c>
    </row>
    <row r="4854" spans="1:9">
      <c r="A4854" t="str">
        <f>"0023929 "</f>
        <v xml:space="preserve">0023929 </v>
      </c>
      <c r="B4854" t="s">
        <v>15973</v>
      </c>
      <c r="C4854" t="s">
        <v>16585</v>
      </c>
      <c r="D4854" t="str">
        <f>"05P304  LPR - Р“Р°Р»СЊРјС–РІРЅС– РєРѕР»РѕРґРєРё РґРѕ РґРёСЃРєС–РІ (F, V)"</f>
        <v>05P304  LPR - Р“Р°Р»СЊРјС–РІРЅС– РєРѕР»РѕРґРєРё РґРѕ РґРёСЃРєС–РІ (F, V)</v>
      </c>
      <c r="E4854">
        <v>3</v>
      </c>
      <c r="F4854" t="s">
        <v>16586</v>
      </c>
      <c r="G4854" t="s">
        <v>15973</v>
      </c>
      <c r="H4854" t="str">
        <f>"05P304"</f>
        <v>05P304</v>
      </c>
      <c r="I4854" t="s">
        <v>16587</v>
      </c>
    </row>
    <row r="4855" spans="1:9">
      <c r="A4855" t="str">
        <f>"0023956 "</f>
        <v xml:space="preserve">0023956 </v>
      </c>
      <c r="B4855" t="s">
        <v>15973</v>
      </c>
      <c r="C4855" t="s">
        <v>16588</v>
      </c>
      <c r="D4855" t="str">
        <f>"05P333  LPR - Р“Р°Р»СЊРјС–РІРЅС– РєРѕР»РѕРґРєРё РґРѕ РґРёСЃРєС–РІ (R, S)"</f>
        <v>05P333  LPR - Р“Р°Р»СЊРјС–РІРЅС– РєРѕР»РѕРґРєРё РґРѕ РґРёСЃРєС–РІ (R, S)</v>
      </c>
      <c r="E4855">
        <v>1</v>
      </c>
      <c r="F4855" t="s">
        <v>2544</v>
      </c>
      <c r="G4855" t="s">
        <v>15973</v>
      </c>
      <c r="H4855" t="str">
        <f>"05P333"</f>
        <v>05P333</v>
      </c>
      <c r="I4855" t="s">
        <v>16589</v>
      </c>
    </row>
    <row r="4856" spans="1:9">
      <c r="A4856" t="str">
        <f>"0023957 "</f>
        <v xml:space="preserve">0023957 </v>
      </c>
      <c r="B4856" t="s">
        <v>15973</v>
      </c>
      <c r="C4856" t="s">
        <v>16590</v>
      </c>
      <c r="D4856" t="str">
        <f>"05P334  LPR - Р“Р°Р»СЊРјС–РІРЅС– РєРѕР»РѕРґРєРё РґРѕ РґРёСЃРєС–РІ (R, S)"</f>
        <v>05P334  LPR - Р“Р°Р»СЊРјС–РІРЅС– РєРѕР»РѕРґРєРё РґРѕ РґРёСЃРєС–РІ (R, S)</v>
      </c>
      <c r="E4856">
        <v>5</v>
      </c>
      <c r="F4856" t="s">
        <v>3715</v>
      </c>
      <c r="G4856" t="s">
        <v>15973</v>
      </c>
      <c r="H4856" t="str">
        <f>"05P334"</f>
        <v>05P334</v>
      </c>
      <c r="I4856" t="s">
        <v>16591</v>
      </c>
    </row>
    <row r="4857" spans="1:9">
      <c r="A4857" t="str">
        <f>"0023968 "</f>
        <v xml:space="preserve">0023968 </v>
      </c>
      <c r="B4857" t="s">
        <v>15973</v>
      </c>
      <c r="C4857" t="s">
        <v>16592</v>
      </c>
      <c r="D4857" t="str">
        <f>"05P346  LPR - Р“Р°Р»СЊРјС–РІРЅС– РєРѕР»РѕРґРєРё РґРѕ РґРёСЃРєС–РІ (F, V, Р· РґР°С‚С‡РёРєРѕРј)"</f>
        <v>05P346  LPR - Р“Р°Р»СЊРјС–РІРЅС– РєРѕР»РѕРґРєРё РґРѕ РґРёСЃРєС–РІ (F, V, Р· РґР°С‚С‡РёРєРѕРј)</v>
      </c>
      <c r="E4857">
        <v>2</v>
      </c>
      <c r="F4857" t="s">
        <v>16216</v>
      </c>
      <c r="G4857" t="s">
        <v>15973</v>
      </c>
      <c r="H4857" t="str">
        <f>"05P346"</f>
        <v>05P346</v>
      </c>
      <c r="I4857" t="s">
        <v>16593</v>
      </c>
    </row>
    <row r="4858" spans="1:9">
      <c r="A4858" t="str">
        <f>"0023969 "</f>
        <v xml:space="preserve">0023969 </v>
      </c>
      <c r="B4858" t="s">
        <v>15973</v>
      </c>
      <c r="C4858" t="s">
        <v>16594</v>
      </c>
      <c r="D4858" t="str">
        <f>"05P347  LPR - Р“Р°Р»СЊРјС–РІРЅС– РєРѕР»РѕРґРєРё РґРѕ РґРёСЃРєС–РІ (F, V)"</f>
        <v>05P347  LPR - Р“Р°Р»СЊРјС–РІРЅС– РєРѕР»РѕРґРєРё РґРѕ РґРёСЃРєС–РІ (F, V)</v>
      </c>
      <c r="E4858">
        <v>1</v>
      </c>
      <c r="F4858" t="s">
        <v>16595</v>
      </c>
      <c r="G4858" t="s">
        <v>15973</v>
      </c>
      <c r="H4858" t="str">
        <f>"05P347"</f>
        <v>05P347</v>
      </c>
      <c r="I4858" t="s">
        <v>16596</v>
      </c>
    </row>
    <row r="4859" spans="1:9">
      <c r="A4859" t="str">
        <f>"0023970 "</f>
        <v xml:space="preserve">0023970 </v>
      </c>
      <c r="B4859" t="s">
        <v>15973</v>
      </c>
      <c r="C4859" t="s">
        <v>16597</v>
      </c>
      <c r="D4859" t="str">
        <f>"05P348  LPR - Р“Р°Р»СЊРјС–РІРЅС– РєРѕР»РѕРґРєРё РґРѕ РґРёСЃРєС–РІ (F, Р· РґР°С‚С‡РёРєРѕРј)"</f>
        <v>05P348  LPR - Р“Р°Р»СЊРјС–РІРЅС– РєРѕР»РѕРґРєРё РґРѕ РґРёСЃРєС–РІ (F, Р· РґР°С‚С‡РёРєРѕРј)</v>
      </c>
      <c r="E4859">
        <v>2</v>
      </c>
      <c r="F4859" t="s">
        <v>16389</v>
      </c>
      <c r="G4859" t="s">
        <v>15973</v>
      </c>
      <c r="H4859" t="str">
        <f>"05P348"</f>
        <v>05P348</v>
      </c>
      <c r="I4859" t="s">
        <v>16598</v>
      </c>
    </row>
    <row r="4860" spans="1:9">
      <c r="A4860" t="str">
        <f>"0023971 "</f>
        <v xml:space="preserve">0023971 </v>
      </c>
      <c r="B4860" t="s">
        <v>15973</v>
      </c>
      <c r="C4860" t="s">
        <v>16599</v>
      </c>
      <c r="D4860" t="str">
        <f>"05P349  LPR - Р“Р°Р»СЊРјС–РІРЅС– РєРѕР»РѕРґРєРё РґРѕ РґРёСЃРєС–РІ (F, S, Р· РґР°С‚С‡РёРєРѕРј)"</f>
        <v>05P349  LPR - Р“Р°Р»СЊРјС–РІРЅС– РєРѕР»РѕРґРєРё РґРѕ РґРёСЃРєС–РІ (F, S, Р· РґР°С‚С‡РёРєРѕРј)</v>
      </c>
      <c r="E4860">
        <v>4</v>
      </c>
      <c r="F4860" t="s">
        <v>16159</v>
      </c>
      <c r="G4860" t="s">
        <v>15973</v>
      </c>
      <c r="H4860" t="str">
        <f>"05P349"</f>
        <v>05P349</v>
      </c>
      <c r="I4860" t="s">
        <v>16600</v>
      </c>
    </row>
    <row r="4861" spans="1:9">
      <c r="A4861" t="str">
        <f>"0023975 "</f>
        <v xml:space="preserve">0023975 </v>
      </c>
      <c r="B4861" t="s">
        <v>15973</v>
      </c>
      <c r="C4861" t="s">
        <v>16601</v>
      </c>
      <c r="D4861" t="str">
        <f>"05P354  LPR - Р“Р°Р»СЊРјС–РІРЅС– РєРѕР»РѕРґРєРё РґРѕ РґРёСЃРєС–РІ (F)"</f>
        <v>05P354  LPR - Р“Р°Р»СЊРјС–РІРЅС– РєРѕР»РѕРґРєРё РґРѕ РґРёСЃРєС–РІ (F)</v>
      </c>
      <c r="E4861">
        <v>1</v>
      </c>
      <c r="F4861" t="s">
        <v>5029</v>
      </c>
      <c r="G4861" t="s">
        <v>15973</v>
      </c>
      <c r="H4861" t="str">
        <f>"05P354"</f>
        <v>05P354</v>
      </c>
      <c r="I4861" t="s">
        <v>16602</v>
      </c>
    </row>
    <row r="4862" spans="1:9">
      <c r="A4862" t="str">
        <f>"0023976 "</f>
        <v xml:space="preserve">0023976 </v>
      </c>
      <c r="B4862" t="s">
        <v>15973</v>
      </c>
      <c r="C4862" t="s">
        <v>16603</v>
      </c>
      <c r="D4862" t="str">
        <f>"05P355  LPR - Р“Р°Р»СЊРјС–РІРЅС– РєРѕР»РѕРґРєРё РґРѕ РґРёСЃРєС–РІ (F, V)"</f>
        <v>05P355  LPR - Р“Р°Р»СЊРјС–РІРЅС– РєРѕР»РѕРґРєРё РґРѕ РґРёСЃРєС–РІ (F, V)</v>
      </c>
      <c r="E4862">
        <v>3</v>
      </c>
      <c r="F4862" t="s">
        <v>16555</v>
      </c>
      <c r="G4862" t="s">
        <v>15973</v>
      </c>
      <c r="H4862" t="str">
        <f>"05P355"</f>
        <v>05P355</v>
      </c>
      <c r="I4862" t="s">
        <v>16604</v>
      </c>
    </row>
    <row r="4863" spans="1:9">
      <c r="A4863" t="str">
        <f>"0023982 "</f>
        <v xml:space="preserve">0023982 </v>
      </c>
      <c r="B4863" t="s">
        <v>15973</v>
      </c>
      <c r="C4863" t="s">
        <v>16605</v>
      </c>
      <c r="D4863" t="str">
        <f>"05P362  LPR - Р“Р°Р»СЊРјС–РІРЅС– РєРѕР»РѕРґРєРё РґРѕ РґРёСЃРєС–РІ (R, S)"</f>
        <v>05P362  LPR - Р“Р°Р»СЊРјС–РІРЅС– РєРѕР»РѕРґРєРё РґРѕ РґРёСЃРєС–РІ (R, S)</v>
      </c>
      <c r="E4863">
        <v>1</v>
      </c>
      <c r="F4863" t="s">
        <v>3215</v>
      </c>
      <c r="G4863" t="s">
        <v>15973</v>
      </c>
      <c r="H4863" t="str">
        <f>"05P362"</f>
        <v>05P362</v>
      </c>
      <c r="I4863" t="s">
        <v>16606</v>
      </c>
    </row>
    <row r="4864" spans="1:9">
      <c r="A4864" t="str">
        <f>"0023984 "</f>
        <v xml:space="preserve">0023984 </v>
      </c>
      <c r="B4864" t="s">
        <v>15973</v>
      </c>
      <c r="C4864" t="s">
        <v>16607</v>
      </c>
      <c r="D4864" t="str">
        <f>"05P364  LPR - Р“Р°Р»СЊРјС–РІРЅС– РєРѕР»РѕРґРєРё РґРѕ РґРёСЃРєС–РІ (F, V)"</f>
        <v>05P364  LPR - Р“Р°Р»СЊРјС–РІРЅС– РєРѕР»РѕРґРєРё РґРѕ РґРёСЃРєС–РІ (F, V)</v>
      </c>
      <c r="E4864">
        <v>1</v>
      </c>
      <c r="F4864" t="s">
        <v>16608</v>
      </c>
      <c r="G4864" t="s">
        <v>15973</v>
      </c>
      <c r="H4864" t="str">
        <f>"05P364"</f>
        <v>05P364</v>
      </c>
      <c r="I4864" t="s">
        <v>16609</v>
      </c>
    </row>
    <row r="4865" spans="1:9">
      <c r="A4865" t="str">
        <f>"0023985 "</f>
        <v xml:space="preserve">0023985 </v>
      </c>
      <c r="B4865" t="s">
        <v>15973</v>
      </c>
      <c r="C4865" t="s">
        <v>16610</v>
      </c>
      <c r="D4865" t="str">
        <f>"05P366  LPR - Р“Р°Р»СЊРјС–РІРЅС– РєРѕР»РѕРґРєРё РґРѕ РґРёСЃРєС–РІ (F, V, Р· РґР°С‚С‡РёРєРѕРј)"</f>
        <v>05P366  LPR - Р“Р°Р»СЊРјС–РІРЅС– РєРѕР»РѕРґРєРё РґРѕ РґРёСЃРєС–РІ (F, V, Р· РґР°С‚С‡РёРєРѕРј)</v>
      </c>
      <c r="E4865">
        <v>3</v>
      </c>
      <c r="F4865" t="s">
        <v>16611</v>
      </c>
      <c r="G4865" t="s">
        <v>15973</v>
      </c>
      <c r="H4865" t="str">
        <f>"05P366"</f>
        <v>05P366</v>
      </c>
      <c r="I4865" t="s">
        <v>16612</v>
      </c>
    </row>
    <row r="4866" spans="1:9">
      <c r="A4866" t="str">
        <f>"0023987 "</f>
        <v xml:space="preserve">0023987 </v>
      </c>
      <c r="B4866" t="s">
        <v>15973</v>
      </c>
      <c r="C4866" t="s">
        <v>16613</v>
      </c>
      <c r="D4866" t="str">
        <f>"05P368  LPR - Р“Р°Р»СЊРјС–РІРЅС– РєРѕР»РѕРґРєРё РґРѕ РґРёСЃРєС–РІ (F)"</f>
        <v>05P368  LPR - Р“Р°Р»СЊРјС–РІРЅС– РєРѕР»РѕРґРєРё РґРѕ РґРёСЃРєС–РІ (F)</v>
      </c>
      <c r="E4866">
        <v>1</v>
      </c>
      <c r="F4866" t="s">
        <v>2631</v>
      </c>
      <c r="G4866" t="s">
        <v>15973</v>
      </c>
      <c r="H4866" t="str">
        <f>"05P368"</f>
        <v>05P368</v>
      </c>
      <c r="I4866" t="s">
        <v>16614</v>
      </c>
    </row>
    <row r="4867" spans="1:9">
      <c r="A4867" t="str">
        <f>"0023998 "</f>
        <v xml:space="preserve">0023998 </v>
      </c>
      <c r="B4867" t="s">
        <v>15973</v>
      </c>
      <c r="C4867" t="s">
        <v>16615</v>
      </c>
      <c r="D4867" t="str">
        <f>"05P382  LPR - Р“Р°Р»СЊРјС–РІРЅС– РєРѕР»РѕРґРєРё РґРѕ РґРёСЃРєС–РІ (F)"</f>
        <v>05P382  LPR - Р“Р°Р»СЊРјС–РІРЅС– РєРѕР»РѕРґРєРё РґРѕ РґРёСЃРєС–РІ (F)</v>
      </c>
      <c r="E4867">
        <v>1</v>
      </c>
      <c r="F4867" t="s">
        <v>16072</v>
      </c>
      <c r="G4867" t="s">
        <v>15973</v>
      </c>
      <c r="H4867" t="str">
        <f>"05P382"</f>
        <v>05P382</v>
      </c>
      <c r="I4867" t="s">
        <v>16616</v>
      </c>
    </row>
    <row r="4868" spans="1:9">
      <c r="A4868" t="str">
        <f>"0023999 "</f>
        <v xml:space="preserve">0023999 </v>
      </c>
      <c r="B4868" t="s">
        <v>15973</v>
      </c>
      <c r="C4868" t="s">
        <v>16617</v>
      </c>
      <c r="D4868" t="str">
        <f>"05P383  LPR - Р“Р°Р»СЊРјС–РІРЅС– РєРѕР»РѕРґРєРё РґРѕ РґРёСЃРєС–РІ (F, V)"</f>
        <v>05P383  LPR - Р“Р°Р»СЊРјС–РІРЅС– РєРѕР»РѕРґРєРё РґРѕ РґРёСЃРєС–РІ (F, V)</v>
      </c>
      <c r="E4868">
        <v>1</v>
      </c>
      <c r="F4868" t="s">
        <v>16618</v>
      </c>
      <c r="G4868" t="s">
        <v>15973</v>
      </c>
      <c r="H4868" t="str">
        <f>"05P383"</f>
        <v>05P383</v>
      </c>
      <c r="I4868" t="s">
        <v>16619</v>
      </c>
    </row>
    <row r="4869" spans="1:9">
      <c r="A4869" t="str">
        <f>"0024002 "</f>
        <v xml:space="preserve">0024002 </v>
      </c>
      <c r="B4869" t="s">
        <v>15973</v>
      </c>
      <c r="C4869" t="s">
        <v>16620</v>
      </c>
      <c r="D4869" t="str">
        <f>"05P387  LPR - Р“Р°Р»СЊРјС–РІРЅС– РєРѕР»РѕРґРєРё РґРѕ РґРёСЃРєС–РІ (R, S)"</f>
        <v>05P387  LPR - Р“Р°Р»СЊРјС–РІРЅС– РєРѕР»РѕРґРєРё РґРѕ РґРёСЃРєС–РІ (R, S)</v>
      </c>
      <c r="E4869">
        <v>1</v>
      </c>
      <c r="F4869" t="s">
        <v>16129</v>
      </c>
      <c r="G4869" t="s">
        <v>15973</v>
      </c>
      <c r="H4869" t="str">
        <f>"05P387"</f>
        <v>05P387</v>
      </c>
      <c r="I4869" t="s">
        <v>16621</v>
      </c>
    </row>
    <row r="4870" spans="1:9">
      <c r="A4870" t="str">
        <f>"0024014 "</f>
        <v xml:space="preserve">0024014 </v>
      </c>
      <c r="B4870" t="s">
        <v>15973</v>
      </c>
      <c r="C4870" t="s">
        <v>16622</v>
      </c>
      <c r="D4870" t="str">
        <f>"05P406  LPR - Р“Р°Р»СЊРјС–РІРЅС– РєРѕР»РѕРґРєРё РґРѕ РґРёСЃРєС–РІ"</f>
        <v>05P406  LPR - Р“Р°Р»СЊРјС–РІРЅС– РєРѕР»РѕРґРєРё РґРѕ РґРёСЃРєС–РІ</v>
      </c>
      <c r="E4870">
        <v>1</v>
      </c>
      <c r="F4870" t="s">
        <v>2518</v>
      </c>
      <c r="G4870" t="s">
        <v>15973</v>
      </c>
      <c r="H4870" t="str">
        <f>"05P406"</f>
        <v>05P406</v>
      </c>
      <c r="I4870" t="s">
        <v>16623</v>
      </c>
    </row>
    <row r="4871" spans="1:9">
      <c r="A4871" t="str">
        <f>"0024017 "</f>
        <v xml:space="preserve">0024017 </v>
      </c>
      <c r="B4871" t="s">
        <v>15973</v>
      </c>
      <c r="C4871" t="s">
        <v>16624</v>
      </c>
      <c r="D4871" t="str">
        <f>"05P409  LPR - Р“Р°Р»СЊРјС–РІРЅС– РєРѕР»РѕРґРєРё РґРѕ РґРёСЃРєС–РІ (F, V)"</f>
        <v>05P409  LPR - Р“Р°Р»СЊРјС–РІРЅС– РєРѕР»РѕРґРєРё РґРѕ РґРёСЃРєС–РІ (F, V)</v>
      </c>
      <c r="E4871">
        <v>1</v>
      </c>
      <c r="F4871" t="s">
        <v>16625</v>
      </c>
      <c r="G4871" t="s">
        <v>15973</v>
      </c>
      <c r="H4871" t="str">
        <f>"05P409"</f>
        <v>05P409</v>
      </c>
      <c r="I4871" t="s">
        <v>16626</v>
      </c>
    </row>
    <row r="4872" spans="1:9">
      <c r="A4872" t="str">
        <f>"0024027 "</f>
        <v xml:space="preserve">0024027 </v>
      </c>
      <c r="B4872" t="s">
        <v>15973</v>
      </c>
      <c r="C4872" t="s">
        <v>16627</v>
      </c>
      <c r="D4872" t="str">
        <f>"05P422  LPR - Р“Р°Р»СЊРјС–РІРЅС– РєРѕР»РѕРґРєРё РґРѕ РґРёСЃРєС–РІ (F, V, Р· РґР°С‚С‡РёРєРѕРј)"</f>
        <v>05P422  LPR - Р“Р°Р»СЊРјС–РІРЅС– РєРѕР»РѕРґРєРё РґРѕ РґРёСЃРєС–РІ (F, V, Р· РґР°С‚С‡РёРєРѕРј)</v>
      </c>
      <c r="E4872">
        <v>1</v>
      </c>
      <c r="F4872" t="s">
        <v>16628</v>
      </c>
      <c r="G4872" t="s">
        <v>15973</v>
      </c>
      <c r="H4872" t="str">
        <f>"05P422"</f>
        <v>05P422</v>
      </c>
      <c r="I4872" t="s">
        <v>16629</v>
      </c>
    </row>
    <row r="4873" spans="1:9">
      <c r="A4873" t="str">
        <f>"0024028 "</f>
        <v xml:space="preserve">0024028 </v>
      </c>
      <c r="B4873" t="s">
        <v>15973</v>
      </c>
      <c r="C4873" t="s">
        <v>16630</v>
      </c>
      <c r="D4873" t="str">
        <f>"05P423  LPR - Р“Р°Р»СЊРјС–РІРЅС– РєРѕР»РѕРґРєРё РґРѕ РґРёСЃРєС–РІ (F, V)"</f>
        <v>05P423  LPR - Р“Р°Р»СЊРјС–РІРЅС– РєРѕР»РѕРґРєРё РґРѕ РґРёСЃРєС–РІ (F, V)</v>
      </c>
      <c r="E4873">
        <v>1</v>
      </c>
      <c r="F4873" t="s">
        <v>16325</v>
      </c>
      <c r="G4873" t="s">
        <v>15973</v>
      </c>
      <c r="H4873" t="str">
        <f>"05P423"</f>
        <v>05P423</v>
      </c>
      <c r="I4873" t="s">
        <v>16631</v>
      </c>
    </row>
    <row r="4874" spans="1:9">
      <c r="A4874" t="str">
        <f>"0024030 "</f>
        <v xml:space="preserve">0024030 </v>
      </c>
      <c r="B4874" t="s">
        <v>15973</v>
      </c>
      <c r="C4874" t="s">
        <v>16632</v>
      </c>
      <c r="D4874" t="str">
        <f>"05P425  LPR - Р“Р°Р»СЊРјС–РІРЅС– РєРѕР»РѕРґРєРё РґРѕ РґРёСЃРєС–РІ (F, S, Р· РґР°С‚С‡РёРєРѕРј)"</f>
        <v>05P425  LPR - Р“Р°Р»СЊРјС–РІРЅС– РєРѕР»РѕРґРєРё РґРѕ РґРёСЃРєС–РІ (F, S, Р· РґР°С‚С‡РёРєРѕРј)</v>
      </c>
      <c r="E4874">
        <v>1</v>
      </c>
      <c r="F4874" t="s">
        <v>16633</v>
      </c>
      <c r="G4874" t="s">
        <v>15973</v>
      </c>
      <c r="H4874" t="str">
        <f>"05P425"</f>
        <v>05P425</v>
      </c>
      <c r="I4874" t="s">
        <v>16634</v>
      </c>
    </row>
    <row r="4875" spans="1:9">
      <c r="A4875" t="str">
        <f>"0024031 "</f>
        <v xml:space="preserve">0024031 </v>
      </c>
      <c r="B4875" t="s">
        <v>15973</v>
      </c>
      <c r="C4875" t="s">
        <v>16635</v>
      </c>
      <c r="D4875" t="str">
        <f>"05P426  LPR - Р“Р°Р»СЊРјС–РІРЅС– РєРѕР»РѕРґРєРё РґРѕ РґРёСЃРєС–РІ (F, V, Р· РґР°С‚С‡РёРєРѕРј)"</f>
        <v>05P426  LPR - Р“Р°Р»СЊРјС–РІРЅС– РєРѕР»РѕРґРєРё РґРѕ РґРёСЃРєС–РІ (F, V, Р· РґР°С‚С‡РёРєРѕРј)</v>
      </c>
      <c r="E4875">
        <v>1</v>
      </c>
      <c r="F4875" t="s">
        <v>16636</v>
      </c>
      <c r="G4875" t="s">
        <v>15973</v>
      </c>
      <c r="H4875" t="str">
        <f>"05P426"</f>
        <v>05P426</v>
      </c>
      <c r="I4875" t="s">
        <v>16637</v>
      </c>
    </row>
    <row r="4876" spans="1:9">
      <c r="A4876" t="str">
        <f>"0024033 "</f>
        <v xml:space="preserve">0024033 </v>
      </c>
      <c r="B4876" t="s">
        <v>15973</v>
      </c>
      <c r="C4876" t="s">
        <v>16638</v>
      </c>
      <c r="D4876" t="str">
        <f>"05P428  LPR - Р“Р°Р»СЊРјС–РІРЅС– РєРѕР»РѕРґРєРё РґРѕ РґРёСЃРєС–РІ (R, S)"</f>
        <v>05P428  LPR - Р“Р°Р»СЊРјС–РІРЅС– РєРѕР»РѕРґРєРё РґРѕ РґРёСЃРєС–РІ (R, S)</v>
      </c>
      <c r="E4876">
        <v>1</v>
      </c>
      <c r="F4876" t="s">
        <v>6684</v>
      </c>
      <c r="G4876" t="s">
        <v>15973</v>
      </c>
      <c r="H4876" t="str">
        <f>"05P428"</f>
        <v>05P428</v>
      </c>
      <c r="I4876" t="s">
        <v>16639</v>
      </c>
    </row>
    <row r="4877" spans="1:9">
      <c r="A4877" t="str">
        <f>"0024041 "</f>
        <v xml:space="preserve">0024041 </v>
      </c>
      <c r="B4877" t="s">
        <v>15973</v>
      </c>
      <c r="C4877" t="s">
        <v>16640</v>
      </c>
      <c r="D4877" t="str">
        <f>"05P436  LPR - Р“Р°Р»СЊРјС–РІРЅС– РєРѕР»РѕРґРєРё РґРѕ РґРёСЃРєС–РІ (F, V)"</f>
        <v>05P436  LPR - Р“Р°Р»СЊРјС–РІРЅС– РєРѕР»РѕРґРєРё РґРѕ РґРёСЃРєС–РІ (F, V)</v>
      </c>
      <c r="E4877">
        <v>1</v>
      </c>
      <c r="F4877" t="s">
        <v>16641</v>
      </c>
      <c r="G4877" t="s">
        <v>15973</v>
      </c>
      <c r="H4877" t="str">
        <f>"05P436"</f>
        <v>05P436</v>
      </c>
      <c r="I4877" t="s">
        <v>16642</v>
      </c>
    </row>
    <row r="4878" spans="1:9">
      <c r="A4878" t="str">
        <f>"0024042 "</f>
        <v xml:space="preserve">0024042 </v>
      </c>
      <c r="B4878" t="s">
        <v>15973</v>
      </c>
      <c r="C4878" t="s">
        <v>16643</v>
      </c>
      <c r="D4878" t="str">
        <f>"05P437  LPR - Р“Р°Р»СЊРјС–РІРЅС– РєРѕР»РѕРґРєРё РґРѕ РґРёСЃРєС–РІ (F, V)"</f>
        <v>05P437  LPR - Р“Р°Р»СЊРјС–РІРЅС– РєРѕР»РѕРґРєРё РґРѕ РґРёСЃРєС–РІ (F, V)</v>
      </c>
      <c r="E4878">
        <v>2</v>
      </c>
      <c r="F4878" t="s">
        <v>6483</v>
      </c>
      <c r="G4878" t="s">
        <v>15973</v>
      </c>
      <c r="H4878" t="str">
        <f>"05P437"</f>
        <v>05P437</v>
      </c>
      <c r="I4878" t="s">
        <v>16644</v>
      </c>
    </row>
    <row r="4879" spans="1:9">
      <c r="A4879" t="str">
        <f>"0024044 "</f>
        <v xml:space="preserve">0024044 </v>
      </c>
      <c r="B4879" t="s">
        <v>15973</v>
      </c>
      <c r="C4879" t="s">
        <v>16645</v>
      </c>
      <c r="D4879" t="str">
        <f>"05P439  LPR - Р“Р°Р»СЊРјС–РІРЅС– РєРѕР»РѕРґРєРё РґРѕ РґРёСЃРєС–РІ (F, S)"</f>
        <v>05P439  LPR - Р“Р°Р»СЊРјС–РІРЅС– РєРѕР»РѕРґРєРё РґРѕ РґРёСЃРєС–РІ (F, S)</v>
      </c>
      <c r="E4879">
        <v>1</v>
      </c>
      <c r="F4879" t="s">
        <v>16646</v>
      </c>
      <c r="G4879" t="s">
        <v>15973</v>
      </c>
      <c r="H4879" t="str">
        <f>"05P439"</f>
        <v>05P439</v>
      </c>
      <c r="I4879" t="s">
        <v>16647</v>
      </c>
    </row>
    <row r="4880" spans="1:9">
      <c r="A4880" t="str">
        <f>"0024045 "</f>
        <v xml:space="preserve">0024045 </v>
      </c>
      <c r="B4880" t="s">
        <v>15973</v>
      </c>
      <c r="C4880" t="s">
        <v>16648</v>
      </c>
      <c r="D4880" t="str">
        <f>"05P440  LPR - Р“Р°Р»СЊРјС–РІРЅС– РєРѕР»РѕРґРєРё РґРѕ РґРёСЃРєС–РІ (R)"</f>
        <v>05P440  LPR - Р“Р°Р»СЊРјС–РІРЅС– РєРѕР»РѕРґРєРё РґРѕ РґРёСЃРєС–РІ (R)</v>
      </c>
      <c r="E4880">
        <v>5</v>
      </c>
      <c r="F4880" t="s">
        <v>16649</v>
      </c>
      <c r="G4880" t="s">
        <v>15973</v>
      </c>
      <c r="H4880" t="str">
        <f>"05P440"</f>
        <v>05P440</v>
      </c>
      <c r="I4880" t="s">
        <v>16650</v>
      </c>
    </row>
    <row r="4881" spans="1:9">
      <c r="A4881" t="str">
        <f>"0024050 "</f>
        <v xml:space="preserve">0024050 </v>
      </c>
      <c r="B4881" t="s">
        <v>15973</v>
      </c>
      <c r="C4881" t="s">
        <v>16651</v>
      </c>
      <c r="D4881" t="str">
        <f>"05P445  LPR - Р“Р°Р»СЊРјС–РІРЅС– РєРѕР»РѕРґРєРё РґРѕ РґРёСЃРєС–РІ (F, Р· РґР°С‚С‡РёРєРѕРј)"</f>
        <v>05P445  LPR - Р“Р°Р»СЊРјС–РІРЅС– РєРѕР»РѕРґРєРё РґРѕ РґРёСЃРєС–РІ (F, Р· РґР°С‚С‡РёРєРѕРј)</v>
      </c>
      <c r="E4881">
        <v>2</v>
      </c>
      <c r="F4881" t="s">
        <v>16652</v>
      </c>
      <c r="G4881" t="s">
        <v>15973</v>
      </c>
      <c r="H4881" t="str">
        <f>"05P445"</f>
        <v>05P445</v>
      </c>
      <c r="I4881" t="s">
        <v>16653</v>
      </c>
    </row>
    <row r="4882" spans="1:9">
      <c r="A4882" t="str">
        <f>"0024053 "</f>
        <v xml:space="preserve">0024053 </v>
      </c>
      <c r="B4882" t="s">
        <v>15973</v>
      </c>
      <c r="C4882" t="s">
        <v>16654</v>
      </c>
      <c r="D4882" t="str">
        <f>"05P449  LPR - Р“Р°Р»СЊРјС–РІРЅС– РєРѕР»РѕРґРєРё РґРѕ РґРёСЃРєС–РІ (F)"</f>
        <v>05P449  LPR - Р“Р°Р»СЊРјС–РІРЅС– РєРѕР»РѕРґРєРё РґРѕ РґРёСЃРєС–РІ (F)</v>
      </c>
      <c r="E4882">
        <v>2</v>
      </c>
      <c r="F4882" t="s">
        <v>8058</v>
      </c>
      <c r="G4882" t="s">
        <v>15973</v>
      </c>
      <c r="H4882" t="str">
        <f>"05P449"</f>
        <v>05P449</v>
      </c>
      <c r="I4882" t="s">
        <v>16655</v>
      </c>
    </row>
    <row r="4883" spans="1:9">
      <c r="A4883" t="str">
        <f>"0024057 "</f>
        <v xml:space="preserve">0024057 </v>
      </c>
      <c r="B4883" t="s">
        <v>15973</v>
      </c>
      <c r="C4883" t="s">
        <v>16656</v>
      </c>
      <c r="D4883" t="str">
        <f>"05P453  LPR - Р“Р°Р»СЊРјС–РІРЅС– РєРѕР»РѕРґРєРё РґРѕ РґРёСЃРєС–РІ (F, S, Р· РґР°С‚С‡РёРєРѕРј)"</f>
        <v>05P453  LPR - Р“Р°Р»СЊРјС–РІРЅС– РєРѕР»РѕРґРєРё РґРѕ РґРёСЃРєС–РІ (F, S, Р· РґР°С‚С‡РёРєРѕРј)</v>
      </c>
      <c r="E4883">
        <v>5</v>
      </c>
      <c r="F4883" t="s">
        <v>16445</v>
      </c>
      <c r="G4883" t="s">
        <v>15973</v>
      </c>
      <c r="H4883" t="str">
        <f>"05P453"</f>
        <v>05P453</v>
      </c>
      <c r="I4883" t="s">
        <v>16657</v>
      </c>
    </row>
    <row r="4884" spans="1:9">
      <c r="A4884" t="str">
        <f>"0024066 "</f>
        <v xml:space="preserve">0024066 </v>
      </c>
      <c r="B4884" t="s">
        <v>15973</v>
      </c>
      <c r="C4884" t="s">
        <v>16658</v>
      </c>
      <c r="D4884" t="str">
        <f>"05P462  LPR - Р“Р°Р»СЊРјС–РІРЅС– РєРѕР»РѕРґРєРё РґРѕ РґРёСЃРєС–РІ (F, S, Р· РґР°С‚С‡РёРєРѕРј)"</f>
        <v>05P462  LPR - Р“Р°Р»СЊРјС–РІРЅС– РєРѕР»РѕРґРєРё РґРѕ РґРёСЃРєС–РІ (F, S, Р· РґР°С‚С‡РёРєРѕРј)</v>
      </c>
      <c r="E4884">
        <v>1</v>
      </c>
      <c r="F4884" t="s">
        <v>6420</v>
      </c>
      <c r="G4884" t="s">
        <v>15973</v>
      </c>
      <c r="H4884" t="str">
        <f>"05P462"</f>
        <v>05P462</v>
      </c>
      <c r="I4884" t="s">
        <v>16659</v>
      </c>
    </row>
    <row r="4885" spans="1:9">
      <c r="A4885" t="str">
        <f>"0024067 "</f>
        <v xml:space="preserve">0024067 </v>
      </c>
      <c r="B4885" t="s">
        <v>15973</v>
      </c>
      <c r="C4885" t="s">
        <v>16660</v>
      </c>
      <c r="D4885" t="str">
        <f>"05P463  LPR - Р“Р°Р»СЊРјС–РІРЅС– РєРѕР»РѕРґРєРё РґРѕ РґРёСЃРєС–РІ (R, S)"</f>
        <v>05P463  LPR - Р“Р°Р»СЊРјС–РІРЅС– РєРѕР»РѕРґРєРё РґРѕ РґРёСЃРєС–РІ (R, S)</v>
      </c>
      <c r="E4885">
        <v>1</v>
      </c>
      <c r="F4885" t="s">
        <v>16661</v>
      </c>
      <c r="G4885" t="s">
        <v>15973</v>
      </c>
      <c r="H4885" t="str">
        <f>"05P463"</f>
        <v>05P463</v>
      </c>
      <c r="I4885" t="s">
        <v>16662</v>
      </c>
    </row>
    <row r="4886" spans="1:9">
      <c r="A4886" t="str">
        <f>"0024074 "</f>
        <v xml:space="preserve">0024074 </v>
      </c>
      <c r="B4886" t="s">
        <v>15973</v>
      </c>
      <c r="C4886" t="s">
        <v>16663</v>
      </c>
      <c r="D4886" t="str">
        <f>"05P470  LPR - Р“Р°Р»СЊРјС–РІРЅС– РєРѕР»РѕРґРєРё РґРѕ РґРёСЃРєС–РІ (F, V)"</f>
        <v>05P470  LPR - Р“Р°Р»СЊРјС–РІРЅС– РєРѕР»РѕРґРєРё РґРѕ РґРёСЃРєС–РІ (F, V)</v>
      </c>
      <c r="E4886">
        <v>1</v>
      </c>
      <c r="F4886" t="s">
        <v>16664</v>
      </c>
      <c r="G4886" t="s">
        <v>15973</v>
      </c>
      <c r="H4886" t="str">
        <f>"05P470"</f>
        <v>05P470</v>
      </c>
      <c r="I4886" t="s">
        <v>16665</v>
      </c>
    </row>
    <row r="4887" spans="1:9">
      <c r="A4887" t="str">
        <f>"0024075 "</f>
        <v xml:space="preserve">0024075 </v>
      </c>
      <c r="B4887" t="s">
        <v>15973</v>
      </c>
      <c r="C4887" t="s">
        <v>16666</v>
      </c>
      <c r="D4887" t="str">
        <f>"05P471  LPR - Р“Р°Р»СЊРјС–РІРЅС– РєРѕР»РѕРґРєРё РґРѕ РґРёСЃРєС–РІ (F, V)"</f>
        <v>05P471  LPR - Р“Р°Р»СЊРјС–РІРЅС– РєРѕР»РѕРґРєРё РґРѕ РґРёСЃРєС–РІ (F, V)</v>
      </c>
      <c r="E4887">
        <v>1</v>
      </c>
      <c r="F4887" t="s">
        <v>6428</v>
      </c>
      <c r="G4887" t="s">
        <v>15973</v>
      </c>
      <c r="H4887" t="str">
        <f>"05P471"</f>
        <v>05P471</v>
      </c>
      <c r="I4887" t="s">
        <v>16667</v>
      </c>
    </row>
    <row r="4888" spans="1:9">
      <c r="A4888" t="str">
        <f>"0024076 "</f>
        <v xml:space="preserve">0024076 </v>
      </c>
      <c r="B4888" t="s">
        <v>15973</v>
      </c>
      <c r="C4888" t="s">
        <v>16668</v>
      </c>
      <c r="D4888" t="str">
        <f>"05P472  LPR - Р“Р°Р»СЊРјС–РІРЅС– РєРѕР»РѕРґРєРё РґРѕ РґРёСЃРєС–РІ (F, V, Р· РґР°С‚С‡РёРєРѕРј)"</f>
        <v>05P472  LPR - Р“Р°Р»СЊРјС–РІРЅС– РєРѕР»РѕРґРєРё РґРѕ РґРёСЃРєС–РІ (F, V, Р· РґР°С‚С‡РёРєРѕРј)</v>
      </c>
      <c r="E4888">
        <v>1</v>
      </c>
      <c r="F4888" t="s">
        <v>16669</v>
      </c>
      <c r="G4888" t="s">
        <v>15973</v>
      </c>
      <c r="H4888" t="str">
        <f>"05P472"</f>
        <v>05P472</v>
      </c>
      <c r="I4888" t="s">
        <v>16670</v>
      </c>
    </row>
    <row r="4889" spans="1:9">
      <c r="A4889" t="str">
        <f>"0024081 "</f>
        <v xml:space="preserve">0024081 </v>
      </c>
      <c r="B4889" t="s">
        <v>15973</v>
      </c>
      <c r="C4889" t="s">
        <v>16671</v>
      </c>
      <c r="D4889" t="str">
        <f>"05P478  LPR - Р“Р°Р»СЊРјС–РІРЅС– РєРѕР»РѕРґРєРё РґРѕ РґРёСЃРєС–РІ (F, V, Р· РґР°С‚С‡РёРєРѕРј)"</f>
        <v>05P478  LPR - Р“Р°Р»СЊРјС–РІРЅС– РєРѕР»РѕРґРєРё РґРѕ РґРёСЃРєС–РІ (F, V, Р· РґР°С‚С‡РёРєРѕРј)</v>
      </c>
      <c r="E4889">
        <v>1</v>
      </c>
      <c r="F4889" t="s">
        <v>16417</v>
      </c>
      <c r="G4889" t="s">
        <v>15973</v>
      </c>
      <c r="H4889" t="str">
        <f>"05P478"</f>
        <v>05P478</v>
      </c>
      <c r="I4889" t="s">
        <v>16672</v>
      </c>
    </row>
    <row r="4890" spans="1:9">
      <c r="A4890" t="str">
        <f>"0024084 "</f>
        <v xml:space="preserve">0024084 </v>
      </c>
      <c r="B4890" t="s">
        <v>15973</v>
      </c>
      <c r="C4890" t="s">
        <v>16673</v>
      </c>
      <c r="D4890" t="str">
        <f>"05P481  LPR - Р“Р°Р»СЊРјС–РІРЅС– РєРѕР»РѕРґРєРё РґРѕ РґРёСЃРєС–РІ (F, V)"</f>
        <v>05P481  LPR - Р“Р°Р»СЊРјС–РІРЅС– РєРѕР»РѕРґРєРё РґРѕ РґРёСЃРєС–РІ (F, V)</v>
      </c>
      <c r="E4890">
        <v>3</v>
      </c>
      <c r="F4890" t="s">
        <v>16674</v>
      </c>
      <c r="G4890" t="s">
        <v>15973</v>
      </c>
      <c r="H4890" t="str">
        <f>"05P481"</f>
        <v>05P481</v>
      </c>
      <c r="I4890" t="s">
        <v>16675</v>
      </c>
    </row>
    <row r="4891" spans="1:9">
      <c r="A4891" t="str">
        <f>"0024085 "</f>
        <v xml:space="preserve">0024085 </v>
      </c>
      <c r="B4891" t="s">
        <v>15973</v>
      </c>
      <c r="C4891" t="s">
        <v>16676</v>
      </c>
      <c r="D4891" t="str">
        <f>"05P482  LPR - Р“Р°Р»СЊРјС–РІРЅС– РєРѕР»РѕРґРєРё РґРѕ РґРёСЃРєС–РІ (F, V)"</f>
        <v>05P482  LPR - Р“Р°Р»СЊРјС–РІРЅС– РєРѕР»РѕРґРєРё РґРѕ РґРёСЃРєС–РІ (F, V)</v>
      </c>
      <c r="E4891">
        <v>1</v>
      </c>
      <c r="F4891" t="s">
        <v>16664</v>
      </c>
      <c r="G4891" t="s">
        <v>15973</v>
      </c>
      <c r="H4891" t="str">
        <f>"05P482"</f>
        <v>05P482</v>
      </c>
      <c r="I4891" t="s">
        <v>16677</v>
      </c>
    </row>
    <row r="4892" spans="1:9">
      <c r="A4892" t="str">
        <f>"0024094 "</f>
        <v xml:space="preserve">0024094 </v>
      </c>
      <c r="B4892" t="s">
        <v>15973</v>
      </c>
      <c r="C4892" t="s">
        <v>16678</v>
      </c>
      <c r="D4892" t="str">
        <f>"05P493  LPR - Р“Р°Р»СЊРјС–РІРЅС– РєРѕР»РѕРґРєРё РґРѕ РґРёСЃРєС–РІ (F, S, Р· РґР°С‚С‡РёРєРѕРј)"</f>
        <v>05P493  LPR - Р“Р°Р»СЊРјС–РІРЅС– РєРѕР»РѕРґРєРё РґРѕ РґРёСЃРєС–РІ (F, S, Р· РґР°С‚С‡РёРєРѕРј)</v>
      </c>
      <c r="E4892">
        <v>1</v>
      </c>
      <c r="F4892" t="s">
        <v>16679</v>
      </c>
      <c r="G4892" t="s">
        <v>15973</v>
      </c>
      <c r="H4892" t="str">
        <f>"05P493"</f>
        <v>05P493</v>
      </c>
      <c r="I4892" t="s">
        <v>16680</v>
      </c>
    </row>
    <row r="4893" spans="1:9">
      <c r="A4893" t="str">
        <f>"0024095 "</f>
        <v xml:space="preserve">0024095 </v>
      </c>
      <c r="B4893" t="s">
        <v>15973</v>
      </c>
      <c r="C4893" t="s">
        <v>16681</v>
      </c>
      <c r="D4893" t="str">
        <f>"05P494  LPR - Р“Р°Р»СЊРјС–РІРЅС– РєРѕР»РѕРґРєРё РґРѕ РґРёСЃРєС–РІ (F, V, Р· РґР°С‚С‡РёРєРѕРј)"</f>
        <v>05P494  LPR - Р“Р°Р»СЊРјС–РІРЅС– РєРѕР»РѕРґРєРё РґРѕ РґРёСЃРєС–РІ (F, V, Р· РґР°С‚С‡РёРєРѕРј)</v>
      </c>
      <c r="E4893">
        <v>1</v>
      </c>
      <c r="F4893" t="s">
        <v>16682</v>
      </c>
      <c r="G4893" t="s">
        <v>15973</v>
      </c>
      <c r="H4893" t="str">
        <f>"05P494"</f>
        <v>05P494</v>
      </c>
      <c r="I4893" t="s">
        <v>16683</v>
      </c>
    </row>
    <row r="4894" spans="1:9">
      <c r="A4894" t="str">
        <f>"0024099 "</f>
        <v xml:space="preserve">0024099 </v>
      </c>
      <c r="B4894" t="s">
        <v>15973</v>
      </c>
      <c r="C4894" t="s">
        <v>16684</v>
      </c>
      <c r="D4894" t="str">
        <f>"05P498  LPR - Р“Р°Р»СЊРјС–РІРЅС– РєРѕР»РѕРґРєРё РґРѕ РґРёСЃРєС–РІ (F, V, Р· РґР°С‚С‡РёРєРѕРј)"</f>
        <v>05P498  LPR - Р“Р°Р»СЊРјС–РІРЅС– РєРѕР»РѕРґРєРё РґРѕ РґРёСЃРєС–РІ (F, V, Р· РґР°С‚С‡РёРєРѕРј)</v>
      </c>
      <c r="E4894">
        <v>1</v>
      </c>
      <c r="F4894" t="s">
        <v>16685</v>
      </c>
      <c r="G4894" t="s">
        <v>15973</v>
      </c>
      <c r="H4894" t="str">
        <f>"05P498"</f>
        <v>05P498</v>
      </c>
      <c r="I4894" t="s">
        <v>16686</v>
      </c>
    </row>
    <row r="4895" spans="1:9">
      <c r="A4895" t="str">
        <f>"0024107 "</f>
        <v xml:space="preserve">0024107 </v>
      </c>
      <c r="B4895" t="s">
        <v>15973</v>
      </c>
      <c r="C4895" t="s">
        <v>16687</v>
      </c>
      <c r="D4895" t="str">
        <f>"05P508  LPR - Р“Р°Р»СЊРјС–РІРЅС– РєРѕР»РѕРґРєРё РґРѕ РґРёСЃРєС–РІ (R)"</f>
        <v>05P508  LPR - Р“Р°Р»СЊРјС–РІРЅС– РєРѕР»РѕРґРєРё РґРѕ РґРёСЃРєС–РІ (R)</v>
      </c>
      <c r="E4895">
        <v>4</v>
      </c>
      <c r="F4895" t="s">
        <v>16688</v>
      </c>
      <c r="G4895" t="s">
        <v>15973</v>
      </c>
      <c r="H4895" t="str">
        <f>"05P508"</f>
        <v>05P508</v>
      </c>
      <c r="I4895" t="s">
        <v>16689</v>
      </c>
    </row>
    <row r="4896" spans="1:9">
      <c r="A4896" t="str">
        <f>"0024110 "</f>
        <v xml:space="preserve">0024110 </v>
      </c>
      <c r="B4896" t="s">
        <v>15973</v>
      </c>
      <c r="C4896" t="s">
        <v>16690</v>
      </c>
      <c r="D4896" t="str">
        <f>"05P512  LPR - Р“Р°Р»СЊРјС–РІРЅС– РєРѕР»РѕРґРєРё РґРѕ РґРёСЃРєС–РІ (R, S)"</f>
        <v>05P512  LPR - Р“Р°Р»СЊРјС–РІРЅС– РєРѕР»РѕРґРєРё РґРѕ РґРёСЃРєС–РІ (R, S)</v>
      </c>
      <c r="E4896">
        <v>1</v>
      </c>
      <c r="F4896" t="s">
        <v>16534</v>
      </c>
      <c r="G4896" t="s">
        <v>15973</v>
      </c>
      <c r="H4896" t="str">
        <f>"05P512"</f>
        <v>05P512</v>
      </c>
      <c r="I4896" t="s">
        <v>16691</v>
      </c>
    </row>
    <row r="4897" spans="1:9">
      <c r="A4897" t="str">
        <f>"0024116 "</f>
        <v xml:space="preserve">0024116 </v>
      </c>
      <c r="B4897" t="s">
        <v>15973</v>
      </c>
      <c r="C4897" t="s">
        <v>16692</v>
      </c>
      <c r="D4897" t="str">
        <f>"05P518  LPR - Р“Р°Р»СЊРјС–РІРЅС– РєРѕР»РѕРґРєРё РґРѕ РґРёСЃРєС–РІ (R)"</f>
        <v>05P518  LPR - Р“Р°Р»СЊРјС–РІРЅС– РєРѕР»РѕРґРєРё РґРѕ РґРёСЃРєС–РІ (R)</v>
      </c>
      <c r="E4897">
        <v>2</v>
      </c>
      <c r="F4897" t="s">
        <v>16568</v>
      </c>
      <c r="G4897" t="s">
        <v>15973</v>
      </c>
      <c r="H4897" t="str">
        <f>"05P518"</f>
        <v>05P518</v>
      </c>
      <c r="I4897" t="s">
        <v>16693</v>
      </c>
    </row>
    <row r="4898" spans="1:9">
      <c r="A4898" t="str">
        <f>"0024121 "</f>
        <v xml:space="preserve">0024121 </v>
      </c>
      <c r="B4898" t="s">
        <v>15973</v>
      </c>
      <c r="C4898" t="s">
        <v>16694</v>
      </c>
      <c r="D4898" t="str">
        <f>"05P524  LPR - Р“Р°Р»СЊРјС–РІРЅС– РєРѕР»РѕРґРєРё РґРѕ РґРёСЃРєС–РІ (R)"</f>
        <v>05P524  LPR - Р“Р°Р»СЊРјС–РІРЅС– РєРѕР»РѕРґРєРё РґРѕ РґРёСЃРєС–РІ (R)</v>
      </c>
      <c r="E4898">
        <v>1</v>
      </c>
      <c r="F4898" t="s">
        <v>6650</v>
      </c>
      <c r="G4898" t="s">
        <v>15973</v>
      </c>
      <c r="H4898" t="str">
        <f>"05P524"</f>
        <v>05P524</v>
      </c>
      <c r="I4898" t="s">
        <v>16695</v>
      </c>
    </row>
    <row r="4899" spans="1:9">
      <c r="A4899" t="str">
        <f>"0024135 "</f>
        <v xml:space="preserve">0024135 </v>
      </c>
      <c r="B4899" t="s">
        <v>15973</v>
      </c>
      <c r="C4899" t="s">
        <v>16696</v>
      </c>
      <c r="D4899" t="str">
        <f>"05P544  LPR - Р“Р°Р»СЊРјС–РІРЅС– РєРѕР»РѕРґРєРё РґРѕ РґРёСЃРєС–РІ"</f>
        <v>05P544  LPR - Р“Р°Р»СЊРјС–РІРЅС– РєРѕР»РѕРґРєРё РґРѕ РґРёСЃРєС–РІ</v>
      </c>
      <c r="E4899">
        <v>1</v>
      </c>
      <c r="F4899" t="s">
        <v>16697</v>
      </c>
      <c r="G4899" t="s">
        <v>15973</v>
      </c>
      <c r="H4899" t="str">
        <f>"05P544"</f>
        <v>05P544</v>
      </c>
      <c r="I4899" t="s">
        <v>16698</v>
      </c>
    </row>
    <row r="4900" spans="1:9">
      <c r="A4900" t="str">
        <f>"0024146 "</f>
        <v xml:space="preserve">0024146 </v>
      </c>
      <c r="B4900" t="s">
        <v>15973</v>
      </c>
      <c r="C4900" t="s">
        <v>16699</v>
      </c>
      <c r="D4900" t="str">
        <f>"05P558  LPR - Р“Р°Р»СЊРјС–РІРЅС– РєРѕР»РѕРґРєРё РґРѕ РґРёСЃРєС–РІ (F, Р· РґР°С‚С‡РёРєРѕРј)"</f>
        <v>05P558  LPR - Р“Р°Р»СЊРјС–РІРЅС– РєРѕР»РѕРґРєРё РґРѕ РґРёСЃРєС–РІ (F, Р· РґР°С‚С‡РёРєРѕРј)</v>
      </c>
      <c r="E4900">
        <v>2</v>
      </c>
      <c r="F4900" t="s">
        <v>6782</v>
      </c>
      <c r="G4900" t="s">
        <v>15973</v>
      </c>
      <c r="H4900" t="str">
        <f>"05P558"</f>
        <v>05P558</v>
      </c>
      <c r="I4900" t="s">
        <v>16700</v>
      </c>
    </row>
    <row r="4901" spans="1:9">
      <c r="A4901" t="str">
        <f>"0024147 "</f>
        <v xml:space="preserve">0024147 </v>
      </c>
      <c r="B4901" t="s">
        <v>15973</v>
      </c>
      <c r="C4901" t="s">
        <v>16701</v>
      </c>
      <c r="D4901" t="str">
        <f>"05P559  LPR - Р“Р°Р»СЊРјС–РІРЅС– РєРѕР»РѕРґРєРё РґРѕ РґРёСЃРєС–РІ (F, V, Р· РґР°С‚С‡РёРєРѕРј)"</f>
        <v>05P559  LPR - Р“Р°Р»СЊРјС–РІРЅС– РєРѕР»РѕРґРєРё РґРѕ РґРёСЃРєС–РІ (F, V, Р· РґР°С‚С‡РёРєРѕРј)</v>
      </c>
      <c r="E4901">
        <v>3</v>
      </c>
      <c r="F4901" t="s">
        <v>16702</v>
      </c>
      <c r="G4901" t="s">
        <v>15973</v>
      </c>
      <c r="H4901" t="str">
        <f>"05P559"</f>
        <v>05P559</v>
      </c>
      <c r="I4901" t="s">
        <v>16703</v>
      </c>
    </row>
    <row r="4902" spans="1:9">
      <c r="A4902" t="str">
        <f>"0024149 "</f>
        <v xml:space="preserve">0024149 </v>
      </c>
      <c r="B4902" t="s">
        <v>15973</v>
      </c>
      <c r="C4902" t="s">
        <v>16704</v>
      </c>
      <c r="D4902" t="str">
        <f>"05P561  LPR - Р“Р°Р»СЊРјС–РІРЅС– РєРѕР»РѕРґРєРё РґРѕ РґРёСЃРєС–РІ (F, V, Р· РґР°С‚С‡РёРєРѕРј)"</f>
        <v>05P561  LPR - Р“Р°Р»СЊРјС–РІРЅС– РєРѕР»РѕРґРєРё РґРѕ РґРёСЃРєС–РІ (F, V, Р· РґР°С‚С‡РёРєРѕРј)</v>
      </c>
      <c r="E4902">
        <v>3</v>
      </c>
      <c r="F4902" t="s">
        <v>4065</v>
      </c>
      <c r="G4902" t="s">
        <v>15973</v>
      </c>
      <c r="H4902" t="str">
        <f>"05P561"</f>
        <v>05P561</v>
      </c>
      <c r="I4902" t="s">
        <v>16705</v>
      </c>
    </row>
    <row r="4903" spans="1:9">
      <c r="A4903" t="str">
        <f>"0024156 "</f>
        <v xml:space="preserve">0024156 </v>
      </c>
      <c r="B4903" t="s">
        <v>15973</v>
      </c>
      <c r="C4903" t="s">
        <v>16706</v>
      </c>
      <c r="D4903" t="str">
        <f>"05P569  LPR - Р“Р°Р»СЊРјС–РІРЅС– РєРѕР»РѕРґРєРё РґРѕ РґРёСЃРєС–РІ (F, Р· РґР°С‚С‡РёРєРѕРј)"</f>
        <v>05P569  LPR - Р“Р°Р»СЊРјС–РІРЅС– РєРѕР»РѕРґРєРё РґРѕ РґРёСЃРєС–РІ (F, Р· РґР°С‚С‡РёРєРѕРј)</v>
      </c>
      <c r="E4903">
        <v>1</v>
      </c>
      <c r="F4903" t="s">
        <v>16707</v>
      </c>
      <c r="G4903" t="s">
        <v>15973</v>
      </c>
      <c r="H4903" t="str">
        <f>"05P569"</f>
        <v>05P569</v>
      </c>
      <c r="I4903" t="s">
        <v>16708</v>
      </c>
    </row>
    <row r="4904" spans="1:9">
      <c r="A4904" t="str">
        <f>"0024160 "</f>
        <v xml:space="preserve">0024160 </v>
      </c>
      <c r="B4904" t="s">
        <v>15973</v>
      </c>
      <c r="C4904" t="s">
        <v>16709</v>
      </c>
      <c r="D4904" t="str">
        <f>"05P573  LPR - Р“Р°Р»СЊРјС–РІРЅС– РєРѕР»РѕРґРєРё РґРѕ РґРёСЃРєС–РІ (F, Р· РґР°С‚С‡РёРєРѕРј)"</f>
        <v>05P573  LPR - Р“Р°Р»СЊРјС–РІРЅС– РєРѕР»РѕРґРєРё РґРѕ РґРёСЃРєС–РІ (F, Р· РґР°С‚С‡РёРєРѕРј)</v>
      </c>
      <c r="E4904">
        <v>2</v>
      </c>
      <c r="F4904" t="s">
        <v>6420</v>
      </c>
      <c r="G4904" t="s">
        <v>15973</v>
      </c>
      <c r="H4904" t="str">
        <f>"05P573"</f>
        <v>05P573</v>
      </c>
      <c r="I4904" t="s">
        <v>16710</v>
      </c>
    </row>
    <row r="4905" spans="1:9">
      <c r="A4905" t="str">
        <f>"0024162 "</f>
        <v xml:space="preserve">0024162 </v>
      </c>
      <c r="B4905" t="s">
        <v>15973</v>
      </c>
      <c r="C4905" t="s">
        <v>16711</v>
      </c>
      <c r="D4905" t="str">
        <f>"05P577  LPR - Р“Р°Р»СЊРјС–РІРЅС– РєРѕР»РѕРґРєРё РґРѕ РґРёСЃРєС–РІ (F, V)"</f>
        <v>05P577  LPR - Р“Р°Р»СЊРјС–РІРЅС– РєРѕР»РѕРґРєРё РґРѕ РґРёСЃРєС–РІ (F, V)</v>
      </c>
      <c r="E4905">
        <v>1</v>
      </c>
      <c r="F4905" t="s">
        <v>16712</v>
      </c>
      <c r="G4905" t="s">
        <v>15973</v>
      </c>
      <c r="H4905" t="str">
        <f>"05P577"</f>
        <v>05P577</v>
      </c>
      <c r="I4905" t="s">
        <v>16713</v>
      </c>
    </row>
    <row r="4906" spans="1:9">
      <c r="A4906" t="str">
        <f>"0024163 "</f>
        <v xml:space="preserve">0024163 </v>
      </c>
      <c r="B4906" t="s">
        <v>15973</v>
      </c>
      <c r="C4906" t="s">
        <v>16714</v>
      </c>
      <c r="D4906" t="str">
        <f>"05P578  LPR - Р“Р°Р»СЊРјС–РІРЅС– РєРѕР»РѕРґРєРё РґРѕ РґРёСЃРєС–РІ (F, Р· РґР°С‚С‡РёРєРѕРј)"</f>
        <v>05P578  LPR - Р“Р°Р»СЊРјС–РІРЅС– РєРѕР»РѕРґРєРё РґРѕ РґРёСЃРєС–РІ (F, Р· РґР°С‚С‡РёРєРѕРј)</v>
      </c>
      <c r="E4906" t="s">
        <v>16</v>
      </c>
      <c r="F4906" t="s">
        <v>16086</v>
      </c>
      <c r="G4906" t="s">
        <v>15973</v>
      </c>
      <c r="H4906" t="str">
        <f>"05P578"</f>
        <v>05P578</v>
      </c>
      <c r="I4906" t="s">
        <v>16715</v>
      </c>
    </row>
    <row r="4907" spans="1:9">
      <c r="A4907" t="str">
        <f>"0024177 "</f>
        <v xml:space="preserve">0024177 </v>
      </c>
      <c r="B4907" t="s">
        <v>15973</v>
      </c>
      <c r="C4907" t="s">
        <v>16716</v>
      </c>
      <c r="D4907" t="str">
        <f>"05P599  LPR - Р“Р°Р»СЊРјС–РІРЅС– РєРѕР»РѕРґРєРё РґРѕ РґРёСЃРєС–РІ (F, V)"</f>
        <v>05P599  LPR - Р“Р°Р»СЊРјС–РІРЅС– РєРѕР»РѕРґРєРё РґРѕ РґРёСЃРєС–РІ (F, V)</v>
      </c>
      <c r="E4907" t="s">
        <v>16</v>
      </c>
      <c r="F4907" t="s">
        <v>16717</v>
      </c>
      <c r="G4907" t="s">
        <v>15973</v>
      </c>
      <c r="H4907" t="str">
        <f>"05P599"</f>
        <v>05P599</v>
      </c>
      <c r="I4907" t="s">
        <v>16718</v>
      </c>
    </row>
    <row r="4908" spans="1:9">
      <c r="A4908" t="str">
        <f>"0024178 "</f>
        <v xml:space="preserve">0024178 </v>
      </c>
      <c r="B4908" t="s">
        <v>15973</v>
      </c>
      <c r="C4908" t="s">
        <v>16719</v>
      </c>
      <c r="D4908" t="str">
        <f>"05P600  LPR - Р“Р°Р»СЊРјС–РІРЅС– РєРѕР»РѕРґРєРё РґРѕ РґРёСЃРєС–РІ (F, S)"</f>
        <v>05P600  LPR - Р“Р°Р»СЊРјС–РІРЅС– РєРѕР»РѕРґРєРё РґРѕ РґРёСЃРєС–РІ (F, S)</v>
      </c>
      <c r="E4908" t="s">
        <v>16</v>
      </c>
      <c r="F4908" t="s">
        <v>16568</v>
      </c>
      <c r="G4908" t="s">
        <v>15973</v>
      </c>
      <c r="H4908" t="str">
        <f>"05P600"</f>
        <v>05P600</v>
      </c>
      <c r="I4908" t="s">
        <v>16720</v>
      </c>
    </row>
    <row r="4909" spans="1:9">
      <c r="A4909" t="str">
        <f>"0024180 "</f>
        <v xml:space="preserve">0024180 </v>
      </c>
      <c r="B4909" t="s">
        <v>15973</v>
      </c>
      <c r="C4909" t="s">
        <v>16721</v>
      </c>
      <c r="D4909" t="str">
        <f>"05P602  LPR - Р“Р°Р»СЊРјС–РІРЅС– РєРѕР»РѕРґРєРё РґРѕ РґРёСЃРєС–РІ (R, S)"</f>
        <v>05P602  LPR - Р“Р°Р»СЊРјС–РІРЅС– РєРѕР»РѕРґРєРё РґРѕ РґРёСЃРєС–РІ (R, S)</v>
      </c>
      <c r="E4909">
        <v>2</v>
      </c>
      <c r="F4909" t="s">
        <v>16129</v>
      </c>
      <c r="G4909" t="s">
        <v>15973</v>
      </c>
      <c r="H4909" t="str">
        <f>"05P602"</f>
        <v>05P602</v>
      </c>
      <c r="I4909" t="s">
        <v>16722</v>
      </c>
    </row>
    <row r="4910" spans="1:9">
      <c r="A4910" t="str">
        <f>"0024181 "</f>
        <v xml:space="preserve">0024181 </v>
      </c>
      <c r="B4910" t="s">
        <v>15973</v>
      </c>
      <c r="C4910" t="s">
        <v>16723</v>
      </c>
      <c r="D4910" t="str">
        <f>"05P605  LPR - Р“Р°Р»СЊРјС–РІРЅС– РєРѕР»РѕРґРєРё РґРѕ РґРёСЃРєС–РІ (F, S)"</f>
        <v>05P605  LPR - Р“Р°Р»СЊРјС–РІРЅС– РєРѕР»РѕРґРєРё РґРѕ РґРёСЃРєС–РІ (F, S)</v>
      </c>
      <c r="E4910">
        <v>4</v>
      </c>
      <c r="F4910" t="s">
        <v>16724</v>
      </c>
      <c r="G4910" t="s">
        <v>15973</v>
      </c>
      <c r="H4910" t="str">
        <f>"05P605"</f>
        <v>05P605</v>
      </c>
      <c r="I4910" t="s">
        <v>16725</v>
      </c>
    </row>
    <row r="4911" spans="1:9">
      <c r="A4911" t="str">
        <f>"0024182 "</f>
        <v xml:space="preserve">0024182 </v>
      </c>
      <c r="B4911" t="s">
        <v>15973</v>
      </c>
      <c r="C4911" t="s">
        <v>16726</v>
      </c>
      <c r="D4911" t="str">
        <f>"05P608  LPR - Р“Р°Р»СЊРјС–РІРЅС– РєРѕР»РѕРґРєРё РґРѕ РґРёСЃРєС–РІ (F, V)"</f>
        <v>05P608  LPR - Р“Р°Р»СЊРјС–РІРЅС– РєРѕР»РѕРґРєРё РґРѕ РґРёСЃРєС–РІ (F, V)</v>
      </c>
      <c r="E4911" t="s">
        <v>16</v>
      </c>
      <c r="F4911" t="s">
        <v>16727</v>
      </c>
      <c r="G4911" t="s">
        <v>15973</v>
      </c>
      <c r="H4911" t="str">
        <f>"05P608"</f>
        <v>05P608</v>
      </c>
      <c r="I4911" t="s">
        <v>16728</v>
      </c>
    </row>
    <row r="4912" spans="1:9">
      <c r="A4912" t="str">
        <f>"0024184 "</f>
        <v xml:space="preserve">0024184 </v>
      </c>
      <c r="B4912" t="s">
        <v>15973</v>
      </c>
      <c r="C4912" t="s">
        <v>16729</v>
      </c>
      <c r="D4912" t="str">
        <f>"05P610  LPR - Р“Р°Р»СЊРјС–РІРЅС– РєРѕР»РѕРґРєРё РґРѕ РґРёСЃРєС–РІ (R, S)"</f>
        <v>05P610  LPR - Р“Р°Р»СЊРјС–РІРЅС– РєРѕР»РѕРґРєРё РґРѕ РґРёСЃРєС–РІ (R, S)</v>
      </c>
      <c r="E4912" t="s">
        <v>16</v>
      </c>
      <c r="F4912" t="s">
        <v>16730</v>
      </c>
      <c r="G4912" t="s">
        <v>15973</v>
      </c>
      <c r="H4912" t="str">
        <f>"05P610"</f>
        <v>05P610</v>
      </c>
      <c r="I4912" t="s">
        <v>16731</v>
      </c>
    </row>
    <row r="4913" spans="1:9">
      <c r="A4913" t="str">
        <f>"0024187 "</f>
        <v xml:space="preserve">0024187 </v>
      </c>
      <c r="B4913" t="s">
        <v>15973</v>
      </c>
      <c r="C4913" t="s">
        <v>16732</v>
      </c>
      <c r="D4913" t="str">
        <f>"05P613  LPR - Р“Р°Р»СЊРјС–РІРЅС– РєРѕР»РѕРґРєРё РґРѕ РґРёСЃРєС–РІ (F, V)"</f>
        <v>05P613  LPR - Р“Р°Р»СЊРјС–РІРЅС– РєРѕР»РѕРґРєРё РґРѕ РґРёСЃРєС–РІ (F, V)</v>
      </c>
      <c r="E4913">
        <v>5</v>
      </c>
      <c r="F4913" t="s">
        <v>16568</v>
      </c>
      <c r="G4913" t="s">
        <v>15973</v>
      </c>
      <c r="H4913" t="str">
        <f>"05P613"</f>
        <v>05P613</v>
      </c>
      <c r="I4913" t="s">
        <v>16733</v>
      </c>
    </row>
    <row r="4914" spans="1:9">
      <c r="A4914" t="str">
        <f>"0024189 "</f>
        <v xml:space="preserve">0024189 </v>
      </c>
      <c r="B4914" t="s">
        <v>15973</v>
      </c>
      <c r="C4914" t="s">
        <v>16734</v>
      </c>
      <c r="D4914" t="str">
        <f>"05P615  LPR - Р“Р°Р»СЊРјС–РІРЅС– РєРѕР»РѕРґРєРё РґРѕ РґРёСЃРєС–РІ (F, V, Р· РґР°С‚С‡РёРєРѕРј)"</f>
        <v>05P615  LPR - Р“Р°Р»СЊРјС–РІРЅС– РєРѕР»РѕРґРєРё РґРѕ РґРёСЃРєС–РІ (F, V, Р· РґР°С‚С‡РёРєРѕРј)</v>
      </c>
      <c r="E4914">
        <v>1</v>
      </c>
      <c r="F4914" t="s">
        <v>16182</v>
      </c>
      <c r="G4914" t="s">
        <v>15973</v>
      </c>
      <c r="H4914" t="str">
        <f>"05P615"</f>
        <v>05P615</v>
      </c>
      <c r="I4914" t="s">
        <v>16735</v>
      </c>
    </row>
    <row r="4915" spans="1:9">
      <c r="A4915" t="str">
        <f>"0024190 "</f>
        <v xml:space="preserve">0024190 </v>
      </c>
      <c r="B4915" t="s">
        <v>15973</v>
      </c>
      <c r="C4915" t="s">
        <v>16736</v>
      </c>
      <c r="D4915" t="str">
        <f>"05P616  LPR - Р“Р°Р»СЊРјС–РІРЅС– РєРѕР»РѕРґРєРё РґРѕ РґРёСЃРєС–РІ (R, S)"</f>
        <v>05P616  LPR - Р“Р°Р»СЊРјС–РІРЅС– РєРѕР»РѕРґРєРё РґРѕ РґРёСЃРєС–РІ (R, S)</v>
      </c>
      <c r="E4915" t="s">
        <v>16</v>
      </c>
      <c r="F4915" t="s">
        <v>16737</v>
      </c>
      <c r="G4915" t="s">
        <v>15973</v>
      </c>
      <c r="H4915" t="str">
        <f>"05P616"</f>
        <v>05P616</v>
      </c>
      <c r="I4915" t="s">
        <v>16738</v>
      </c>
    </row>
    <row r="4916" spans="1:9">
      <c r="A4916" t="str">
        <f>"0024193 "</f>
        <v xml:space="preserve">0024193 </v>
      </c>
      <c r="B4916" t="s">
        <v>15973</v>
      </c>
      <c r="C4916" t="s">
        <v>16739</v>
      </c>
      <c r="D4916" t="str">
        <f>"05P620  LPR - Р“Р°Р»СЊРјС–РІРЅС– РєРѕР»РѕРґРєРё РґРѕ РґРёСЃРєС–РІ (F, V, Р· РґР°С‚С‡РёРєРѕРј)"</f>
        <v>05P620  LPR - Р“Р°Р»СЊРјС–РІРЅС– РєРѕР»РѕРґРєРё РґРѕ РґРёСЃРєС–РІ (F, V, Р· РґР°С‚С‡РёРєРѕРј)</v>
      </c>
      <c r="E4916">
        <v>1</v>
      </c>
      <c r="F4916" t="s">
        <v>2471</v>
      </c>
      <c r="G4916" t="s">
        <v>15973</v>
      </c>
      <c r="H4916" t="str">
        <f>"05P620"</f>
        <v>05P620</v>
      </c>
      <c r="I4916" t="s">
        <v>16740</v>
      </c>
    </row>
    <row r="4917" spans="1:9">
      <c r="A4917" t="str">
        <f>"0024194 "</f>
        <v xml:space="preserve">0024194 </v>
      </c>
      <c r="B4917" t="s">
        <v>15973</v>
      </c>
      <c r="C4917" t="s">
        <v>16741</v>
      </c>
      <c r="D4917" t="str">
        <f>"05P621  LPR - Р“Р°Р»СЊРјС–РІРЅС– РєРѕР»РѕРґРєРё РґРѕ РґРёСЃРєС–РІ (R, S)"</f>
        <v>05P621  LPR - Р“Р°Р»СЊРјС–РІРЅС– РєРѕР»РѕРґРєРё РґРѕ РґРёСЃРєС–РІ (R, S)</v>
      </c>
      <c r="E4917">
        <v>1</v>
      </c>
      <c r="F4917" t="s">
        <v>5037</v>
      </c>
      <c r="G4917" t="s">
        <v>15973</v>
      </c>
      <c r="H4917" t="str">
        <f>"05P621"</f>
        <v>05P621</v>
      </c>
      <c r="I4917" t="s">
        <v>16742</v>
      </c>
    </row>
    <row r="4918" spans="1:9">
      <c r="A4918" t="str">
        <f>"0024196 "</f>
        <v xml:space="preserve">0024196 </v>
      </c>
      <c r="B4918" t="s">
        <v>15973</v>
      </c>
      <c r="C4918" t="s">
        <v>16743</v>
      </c>
      <c r="D4918" t="str">
        <f>"05P623  LPR - Р“Р°Р»СЊРјС–РІРЅС– РєРѕР»РѕРґРєРё РґРѕ РґРёСЃРєС–РІ (R, S)"</f>
        <v>05P623  LPR - Р“Р°Р»СЊРјС–РІРЅС– РєРѕР»РѕРґРєРё РґРѕ РґРёСЃРєС–РІ (R, S)</v>
      </c>
      <c r="E4918">
        <v>1</v>
      </c>
      <c r="F4918" t="s">
        <v>16744</v>
      </c>
      <c r="G4918" t="s">
        <v>15973</v>
      </c>
      <c r="H4918" t="str">
        <f>"05P623"</f>
        <v>05P623</v>
      </c>
      <c r="I4918" t="s">
        <v>16745</v>
      </c>
    </row>
    <row r="4919" spans="1:9">
      <c r="A4919" t="str">
        <f>"0024198 "</f>
        <v xml:space="preserve">0024198 </v>
      </c>
      <c r="B4919" t="s">
        <v>15973</v>
      </c>
      <c r="C4919" t="s">
        <v>16746</v>
      </c>
      <c r="D4919" t="str">
        <f>"05P625  LPR - Р“Р°Р»СЊРјС–РІРЅС– РєРѕР»РѕРґРєРё РґРѕ РґРёСЃРєС–РІ (F, S)"</f>
        <v>05P625  LPR - Р“Р°Р»СЊРјС–РІРЅС– РєРѕР»РѕРґРєРё РґРѕ РґРёСЃРєС–РІ (F, S)</v>
      </c>
      <c r="E4919">
        <v>1</v>
      </c>
      <c r="F4919" t="s">
        <v>16747</v>
      </c>
      <c r="G4919" t="s">
        <v>15973</v>
      </c>
      <c r="H4919" t="str">
        <f>"05P625"</f>
        <v>05P625</v>
      </c>
      <c r="I4919" t="s">
        <v>16748</v>
      </c>
    </row>
    <row r="4920" spans="1:9">
      <c r="A4920" t="str">
        <f>"0024202 "</f>
        <v xml:space="preserve">0024202 </v>
      </c>
      <c r="B4920" t="s">
        <v>15973</v>
      </c>
      <c r="C4920" t="s">
        <v>16749</v>
      </c>
      <c r="D4920" t="str">
        <f>"05P629  LPR - Р“Р°Р»СЊРјС–РІРЅС– РєРѕР»РѕРґРєРё РґРѕ РґРёСЃРєС–РІ (F)"</f>
        <v>05P629  LPR - Р“Р°Р»СЊРјС–РІРЅС– РєРѕР»РѕРґРєРё РґРѕ РґРёСЃРєС–РІ (F)</v>
      </c>
      <c r="E4920">
        <v>2</v>
      </c>
      <c r="F4920" t="s">
        <v>16750</v>
      </c>
      <c r="G4920" t="s">
        <v>15973</v>
      </c>
      <c r="H4920" t="str">
        <f>"05P629"</f>
        <v>05P629</v>
      </c>
      <c r="I4920" t="s">
        <v>16751</v>
      </c>
    </row>
    <row r="4921" spans="1:9">
      <c r="A4921" t="str">
        <f>"0024204 "</f>
        <v xml:space="preserve">0024204 </v>
      </c>
      <c r="B4921" t="s">
        <v>15973</v>
      </c>
      <c r="C4921" t="s">
        <v>16752</v>
      </c>
      <c r="D4921" t="str">
        <f>"05P631  LPR - Р“Р°Р»СЊРјС–РІРЅС– РєРѕР»РѕРґРєРё РґРѕ РґРёСЃРєС–РІ (F, V)"</f>
        <v>05P631  LPR - Р“Р°Р»СЊРјС–РІРЅС– РєРѕР»РѕРґРєРё РґРѕ РґРёСЃРєС–РІ (F, V)</v>
      </c>
      <c r="E4921">
        <v>1</v>
      </c>
      <c r="F4921" t="s">
        <v>16011</v>
      </c>
      <c r="G4921" t="s">
        <v>15973</v>
      </c>
      <c r="H4921" t="str">
        <f>"05P631"</f>
        <v>05P631</v>
      </c>
      <c r="I4921" t="s">
        <v>16753</v>
      </c>
    </row>
    <row r="4922" spans="1:9">
      <c r="A4922" t="str">
        <f>"0024206 "</f>
        <v xml:space="preserve">0024206 </v>
      </c>
      <c r="B4922" t="s">
        <v>15973</v>
      </c>
      <c r="C4922" t="s">
        <v>16754</v>
      </c>
      <c r="D4922" t="str">
        <f>"05P633  LPR - Р“Р°Р»СЊРјС–РІРЅС– РєРѕР»РѕРґРєРё РґРѕ РґРёСЃРєС–РІ (F, V)"</f>
        <v>05P633  LPR - Р“Р°Р»СЊРјС–РІРЅС– РєРѕР»РѕРґРєРё РґРѕ РґРёСЃРєС–РІ (F, V)</v>
      </c>
      <c r="E4922" t="s">
        <v>16</v>
      </c>
      <c r="F4922" t="s">
        <v>16310</v>
      </c>
      <c r="G4922" t="s">
        <v>15973</v>
      </c>
      <c r="H4922" t="str">
        <f>"05P633"</f>
        <v>05P633</v>
      </c>
      <c r="I4922" t="s">
        <v>16755</v>
      </c>
    </row>
    <row r="4923" spans="1:9">
      <c r="A4923" t="str">
        <f>"0024207 "</f>
        <v xml:space="preserve">0024207 </v>
      </c>
      <c r="B4923" t="s">
        <v>15973</v>
      </c>
      <c r="C4923" t="s">
        <v>16756</v>
      </c>
      <c r="D4923" t="str">
        <f>"05P634  LPR - Р“Р°Р»СЊРјС–РІРЅС– РєРѕР»РѕРґРєРё РґРѕ РґРёСЃРєС–РІ (R, S)"</f>
        <v>05P634  LPR - Р“Р°Р»СЊРјС–РІРЅС– РєРѕР»РѕРґРєРё РґРѕ РґРёСЃРєС–РІ (R, S)</v>
      </c>
      <c r="E4923" t="s">
        <v>16</v>
      </c>
      <c r="F4923" t="s">
        <v>3726</v>
      </c>
      <c r="G4923" t="s">
        <v>15973</v>
      </c>
      <c r="H4923" t="str">
        <f>"05P634"</f>
        <v>05P634</v>
      </c>
      <c r="I4923" t="s">
        <v>16757</v>
      </c>
    </row>
    <row r="4924" spans="1:9">
      <c r="A4924" t="str">
        <f>"0024208 "</f>
        <v xml:space="preserve">0024208 </v>
      </c>
      <c r="B4924" t="s">
        <v>15973</v>
      </c>
      <c r="C4924" t="s">
        <v>16758</v>
      </c>
      <c r="D4924" t="str">
        <f>"05P635  LPR - Р“Р°Р»СЊРјС–РІРЅС– РєРѕР»РѕРґРєРё РґРѕ РґРёСЃРєС–РІ (F, V)"</f>
        <v>05P635  LPR - Р“Р°Р»СЊРјС–РІРЅС– РєРѕР»РѕРґРєРё РґРѕ РґРёСЃРєС–РІ (F, V)</v>
      </c>
      <c r="E4924">
        <v>2</v>
      </c>
      <c r="F4924" t="s">
        <v>16759</v>
      </c>
      <c r="G4924" t="s">
        <v>15973</v>
      </c>
      <c r="H4924" t="str">
        <f>"05P635"</f>
        <v>05P635</v>
      </c>
      <c r="I4924" t="s">
        <v>16760</v>
      </c>
    </row>
    <row r="4925" spans="1:9">
      <c r="A4925" t="str">
        <f>"0024210 "</f>
        <v xml:space="preserve">0024210 </v>
      </c>
      <c r="B4925" t="s">
        <v>15973</v>
      </c>
      <c r="C4925" t="s">
        <v>16761</v>
      </c>
      <c r="D4925" t="str">
        <f>"05P638  LPR - Р“Р°Р»СЊРјС–РІРЅС– РєРѕР»РѕРґРєРё РґРѕ РґРёСЃРєС–РІ (F, S)"</f>
        <v>05P638  LPR - Р“Р°Р»СЊРјС–РІРЅС– РєРѕР»РѕРґРєРё РґРѕ РґРёСЃРєС–РІ (F, S)</v>
      </c>
      <c r="E4925">
        <v>1</v>
      </c>
      <c r="F4925" t="s">
        <v>16762</v>
      </c>
      <c r="G4925" t="s">
        <v>15973</v>
      </c>
      <c r="H4925" t="str">
        <f>"05P638"</f>
        <v>05P638</v>
      </c>
      <c r="I4925" t="s">
        <v>16763</v>
      </c>
    </row>
    <row r="4926" spans="1:9">
      <c r="A4926" t="str">
        <f>"0024211 "</f>
        <v xml:space="preserve">0024211 </v>
      </c>
      <c r="B4926" t="s">
        <v>15973</v>
      </c>
      <c r="C4926" t="s">
        <v>16764</v>
      </c>
      <c r="D4926" t="str">
        <f>"05P639  LPR - Р“Р°Р»СЊРјС–РІРЅС– РєРѕР»РѕРґРєРё РґРѕ РґРёСЃРєС–РІ (F, V)"</f>
        <v>05P639  LPR - Р“Р°Р»СЊРјС–РІРЅС– РєРѕР»РѕРґРєРё РґРѕ РґРёСЃРєС–РІ (F, V)</v>
      </c>
      <c r="E4926">
        <v>1</v>
      </c>
      <c r="F4926" t="s">
        <v>16765</v>
      </c>
      <c r="G4926" t="s">
        <v>15973</v>
      </c>
      <c r="H4926" t="str">
        <f>"05P639"</f>
        <v>05P639</v>
      </c>
      <c r="I4926" t="s">
        <v>16766</v>
      </c>
    </row>
    <row r="4927" spans="1:9">
      <c r="A4927" t="str">
        <f>"0024221 "</f>
        <v xml:space="preserve">0024221 </v>
      </c>
      <c r="B4927" t="s">
        <v>15973</v>
      </c>
      <c r="C4927" t="s">
        <v>16767</v>
      </c>
      <c r="D4927" t="str">
        <f>"05P649  LPR - Р“Р°Р»СЊРјС–РІРЅС– РєРѕР»РѕРґРєРё РґРѕ РґРёСЃРєС–РІ (F, V)"</f>
        <v>05P649  LPR - Р“Р°Р»СЊРјС–РІРЅС– РєРѕР»РѕРґРєРё РґРѕ РґРёСЃРєС–РІ (F, V)</v>
      </c>
      <c r="E4927">
        <v>1</v>
      </c>
      <c r="F4927" t="s">
        <v>16768</v>
      </c>
      <c r="G4927" t="s">
        <v>15973</v>
      </c>
      <c r="H4927" t="str">
        <f>"05P649"</f>
        <v>05P649</v>
      </c>
      <c r="I4927" t="s">
        <v>16769</v>
      </c>
    </row>
    <row r="4928" spans="1:9">
      <c r="A4928" t="str">
        <f>"0024222 "</f>
        <v xml:space="preserve">0024222 </v>
      </c>
      <c r="B4928" t="s">
        <v>15973</v>
      </c>
      <c r="C4928" t="s">
        <v>16770</v>
      </c>
      <c r="D4928" t="str">
        <f>"05P650  LPR - Р“Р°Р»СЊРјС–РІРЅС– РєРѕР»РѕРґРєРё РґРѕ РґРёСЃРєС–РІ (R, S)"</f>
        <v>05P650  LPR - Р“Р°Р»СЊРјС–РІРЅС– РєРѕР»РѕРґРєРё РґРѕ РґРёСЃРєС–РІ (R, S)</v>
      </c>
      <c r="E4928">
        <v>2</v>
      </c>
      <c r="F4928" t="s">
        <v>16033</v>
      </c>
      <c r="G4928" t="s">
        <v>15973</v>
      </c>
      <c r="H4928" t="str">
        <f>"05P650"</f>
        <v>05P650</v>
      </c>
      <c r="I4928" t="s">
        <v>16771</v>
      </c>
    </row>
    <row r="4929" spans="1:9">
      <c r="A4929" t="str">
        <f>"0024223 "</f>
        <v xml:space="preserve">0024223 </v>
      </c>
      <c r="B4929" t="s">
        <v>15973</v>
      </c>
      <c r="C4929" t="s">
        <v>16772</v>
      </c>
      <c r="D4929" t="str">
        <f>"05P651  LPR - Р“Р°Р»СЊРјС–РІРЅС– РєРѕР»РѕРґРєРё РґРѕ РґРёСЃРєС–РІ (F, S)"</f>
        <v>05P651  LPR - Р“Р°Р»СЊРјС–РІРЅС– РєРѕР»РѕРґРєРё РґРѕ РґРёСЃРєС–РІ (F, S)</v>
      </c>
      <c r="E4929">
        <v>1</v>
      </c>
      <c r="F4929" t="s">
        <v>16083</v>
      </c>
      <c r="G4929" t="s">
        <v>15973</v>
      </c>
      <c r="H4929" t="str">
        <f>"05P651"</f>
        <v>05P651</v>
      </c>
      <c r="I4929" t="s">
        <v>16773</v>
      </c>
    </row>
    <row r="4930" spans="1:9">
      <c r="A4930" t="str">
        <f>"0024230 "</f>
        <v xml:space="preserve">0024230 </v>
      </c>
      <c r="B4930" t="s">
        <v>15973</v>
      </c>
      <c r="C4930" t="s">
        <v>16774</v>
      </c>
      <c r="D4930" t="str">
        <f>"05P659  LPR - Р“Р°Р»СЊРјС–РІРЅС– РєРѕР»РѕРґРєРё РґРѕ РґРёСЃРєС–РІ (F, S)"</f>
        <v>05P659  LPR - Р“Р°Р»СЊРјС–РІРЅС– РєРѕР»РѕРґРєРё РґРѕ РґРёСЃРєС–РІ (F, S)</v>
      </c>
      <c r="E4930">
        <v>1</v>
      </c>
      <c r="F4930" t="s">
        <v>2525</v>
      </c>
      <c r="G4930" t="s">
        <v>15973</v>
      </c>
      <c r="H4930" t="str">
        <f>"05P659"</f>
        <v>05P659</v>
      </c>
      <c r="I4930" t="s">
        <v>16775</v>
      </c>
    </row>
    <row r="4931" spans="1:9">
      <c r="A4931" t="str">
        <f>"0024232 "</f>
        <v xml:space="preserve">0024232 </v>
      </c>
      <c r="B4931" t="s">
        <v>15973</v>
      </c>
      <c r="C4931" t="s">
        <v>16776</v>
      </c>
      <c r="D4931" t="str">
        <f>"05P661  LPR - Р“Р°Р»СЊРјС–РІРЅС– РєРѕР»РѕРґРєРё РґРѕ РґРёСЃРєС–РІ (F, S)"</f>
        <v>05P661  LPR - Р“Р°Р»СЊРјС–РІРЅС– РєРѕР»РѕРґРєРё РґРѕ РґРёСЃРєС–РІ (F, S)</v>
      </c>
      <c r="E4931" t="s">
        <v>16</v>
      </c>
      <c r="F4931" t="s">
        <v>16777</v>
      </c>
      <c r="G4931" t="s">
        <v>15973</v>
      </c>
      <c r="H4931" t="str">
        <f>"05P661"</f>
        <v>05P661</v>
      </c>
      <c r="I4931" t="s">
        <v>16778</v>
      </c>
    </row>
    <row r="4932" spans="1:9">
      <c r="A4932" t="str">
        <f>"0024233 "</f>
        <v xml:space="preserve">0024233 </v>
      </c>
      <c r="B4932" t="s">
        <v>15973</v>
      </c>
      <c r="C4932" t="s">
        <v>16779</v>
      </c>
      <c r="D4932" t="str">
        <f>"05P662  LPR - Р“Р°Р»СЊРјС–РІРЅС– РєРѕР»РѕРґРєРё РґРѕ РґРёСЃРєС–РІ (F, V)"</f>
        <v>05P662  LPR - Р“Р°Р»СЊРјС–РІРЅС– РєРѕР»РѕРґРєРё РґРѕ РґРёСЃРєС–РІ (F, V)</v>
      </c>
      <c r="E4932">
        <v>3</v>
      </c>
      <c r="F4932" t="s">
        <v>16780</v>
      </c>
      <c r="G4932" t="s">
        <v>15973</v>
      </c>
      <c r="H4932" t="str">
        <f>"05P662"</f>
        <v>05P662</v>
      </c>
      <c r="I4932" t="s">
        <v>16781</v>
      </c>
    </row>
    <row r="4933" spans="1:9">
      <c r="A4933" t="str">
        <f>"0024234 "</f>
        <v xml:space="preserve">0024234 </v>
      </c>
      <c r="B4933" t="s">
        <v>15973</v>
      </c>
      <c r="C4933" t="s">
        <v>16782</v>
      </c>
      <c r="D4933" t="str">
        <f>"05P663  LPR - Р“Р°Р»СЊРјС–РІРЅС– РєРѕР»РѕРґРєРё РґРѕ РґРёСЃРєС–РІ (F, V)"</f>
        <v>05P663  LPR - Р“Р°Р»СЊРјС–РІРЅС– РєРѕР»РѕРґРєРё РґРѕ РґРёСЃРєС–РІ (F, V)</v>
      </c>
      <c r="E4933">
        <v>1</v>
      </c>
      <c r="F4933" t="s">
        <v>16500</v>
      </c>
      <c r="G4933" t="s">
        <v>15973</v>
      </c>
      <c r="H4933" t="str">
        <f>"05P663"</f>
        <v>05P663</v>
      </c>
      <c r="I4933" t="s">
        <v>16783</v>
      </c>
    </row>
    <row r="4934" spans="1:9">
      <c r="A4934" t="str">
        <f>"0024238 "</f>
        <v xml:space="preserve">0024238 </v>
      </c>
      <c r="B4934" t="s">
        <v>15973</v>
      </c>
      <c r="C4934" t="s">
        <v>16784</v>
      </c>
      <c r="D4934" t="str">
        <f>"05P667  LPR - Р“Р°Р»СЊРјС–РІРЅС– РєРѕР»РѕРґРєРё РґРѕ РґРёСЃРєС–РІ (F, V)"</f>
        <v>05P667  LPR - Р“Р°Р»СЊРјС–РІРЅС– РєРѕР»РѕРґРєРё РґРѕ РґРёСЃРєС–РІ (F, V)</v>
      </c>
      <c r="E4934">
        <v>1</v>
      </c>
      <c r="F4934" t="s">
        <v>16641</v>
      </c>
      <c r="G4934" t="s">
        <v>15973</v>
      </c>
      <c r="H4934" t="str">
        <f>"05P667"</f>
        <v>05P667</v>
      </c>
      <c r="I4934" t="s">
        <v>16785</v>
      </c>
    </row>
    <row r="4935" spans="1:9">
      <c r="A4935" t="str">
        <f>"0024239 "</f>
        <v xml:space="preserve">0024239 </v>
      </c>
      <c r="B4935" t="s">
        <v>15973</v>
      </c>
      <c r="C4935" t="s">
        <v>16786</v>
      </c>
      <c r="D4935" t="str">
        <f>"05P668  LPR - Р“Р°Р»СЊРјС–РІРЅС– РєРѕР»РѕРґРєРё РґРѕ РґРёСЃРєС–РІ (F, V)"</f>
        <v>05P668  LPR - Р“Р°Р»СЊРјС–РІРЅС– РєРѕР»РѕРґРєРё РґРѕ РґРёСЃРєС–РІ (F, V)</v>
      </c>
      <c r="E4935">
        <v>2</v>
      </c>
      <c r="F4935" t="s">
        <v>16787</v>
      </c>
      <c r="G4935" t="s">
        <v>15973</v>
      </c>
      <c r="H4935" t="str">
        <f>"05P668"</f>
        <v>05P668</v>
      </c>
      <c r="I4935" t="s">
        <v>16788</v>
      </c>
    </row>
    <row r="4936" spans="1:9">
      <c r="A4936" t="str">
        <f>"0024240 "</f>
        <v xml:space="preserve">0024240 </v>
      </c>
      <c r="B4936" t="s">
        <v>15973</v>
      </c>
      <c r="C4936" t="s">
        <v>16789</v>
      </c>
      <c r="D4936" t="str">
        <f>"05P669  LPR - Р“Р°Р»СЊРјС–РІРЅС– РєРѕР»РѕРґРєРё РґРѕ РґРёСЃРєС–РІ (F, S)"</f>
        <v>05P669  LPR - Р“Р°Р»СЊРјС–РІРЅС– РєРѕР»РѕРґРєРё РґРѕ РґРёСЃРєС–РІ (F, S)</v>
      </c>
      <c r="E4936">
        <v>2</v>
      </c>
      <c r="F4936" t="s">
        <v>16679</v>
      </c>
      <c r="G4936" t="s">
        <v>15973</v>
      </c>
      <c r="H4936" t="str">
        <f>"05P669"</f>
        <v>05P669</v>
      </c>
      <c r="I4936" t="s">
        <v>16790</v>
      </c>
    </row>
    <row r="4937" spans="1:9">
      <c r="A4937" t="str">
        <f>"0024242 "</f>
        <v xml:space="preserve">0024242 </v>
      </c>
      <c r="B4937" t="s">
        <v>15973</v>
      </c>
      <c r="C4937" t="s">
        <v>16791</v>
      </c>
      <c r="D4937" t="str">
        <f>"05P671  LPR - Р“Р°Р»СЊРјС–РІРЅС– РєРѕР»РѕРґРєРё РґРѕ РґРёСЃРєС–РІ (F, S)"</f>
        <v>05P671  LPR - Р“Р°Р»СЊРјС–РІРЅС– РєРѕР»РѕРґРєРё РґРѕ РґРёСЃРєС–РІ (F, S)</v>
      </c>
      <c r="E4937">
        <v>1</v>
      </c>
      <c r="F4937" t="s">
        <v>6377</v>
      </c>
      <c r="G4937" t="s">
        <v>15973</v>
      </c>
      <c r="H4937" t="str">
        <f>"05P671"</f>
        <v>05P671</v>
      </c>
      <c r="I4937" t="s">
        <v>16792</v>
      </c>
    </row>
    <row r="4938" spans="1:9">
      <c r="A4938" t="str">
        <f>"0024247 "</f>
        <v xml:space="preserve">0024247 </v>
      </c>
      <c r="B4938" t="s">
        <v>15973</v>
      </c>
      <c r="C4938" t="s">
        <v>16793</v>
      </c>
      <c r="D4938" t="str">
        <f>"05P677  LPR - Р“Р°Р»СЊРјС–РІРЅС– РєРѕР»РѕРґРєРё РґРѕ РґРёСЃРєС–РІ (R)"</f>
        <v>05P677  LPR - Р“Р°Р»СЊРјС–РІРЅС– РєРѕР»РѕРґРєРё РґРѕ РґРёСЃРєС–РІ (R)</v>
      </c>
      <c r="E4938">
        <v>1</v>
      </c>
      <c r="F4938" t="s">
        <v>3275</v>
      </c>
      <c r="G4938" t="s">
        <v>15973</v>
      </c>
      <c r="H4938" t="str">
        <f>"05P677"</f>
        <v>05P677</v>
      </c>
      <c r="I4938" t="s">
        <v>16794</v>
      </c>
    </row>
    <row r="4939" spans="1:9">
      <c r="A4939" t="str">
        <f>"0024252 "</f>
        <v xml:space="preserve">0024252 </v>
      </c>
      <c r="B4939" t="s">
        <v>15973</v>
      </c>
      <c r="C4939" t="s">
        <v>16795</v>
      </c>
      <c r="D4939" t="str">
        <f>"05P682  LPR - Р“Р°Р»СЊРјС–РІРЅС– РєРѕР»РѕРґРєРё РґРѕ РґРёСЃРєС–РІ (F, Р· РґР°С‚С‡РёРєРѕРј)"</f>
        <v>05P682  LPR - Р“Р°Р»СЊРјС–РІРЅС– РєРѕР»РѕРґРєРё РґРѕ РґРёСЃРєС–РІ (F, Р· РґР°С‚С‡РёРєРѕРј)</v>
      </c>
      <c r="E4939">
        <v>3</v>
      </c>
      <c r="F4939" t="s">
        <v>4205</v>
      </c>
      <c r="G4939" t="s">
        <v>15973</v>
      </c>
      <c r="H4939" t="str">
        <f>"05P682"</f>
        <v>05P682</v>
      </c>
      <c r="I4939" t="s">
        <v>16796</v>
      </c>
    </row>
    <row r="4940" spans="1:9">
      <c r="A4940" t="str">
        <f>"0024253 "</f>
        <v xml:space="preserve">0024253 </v>
      </c>
      <c r="B4940" t="s">
        <v>15973</v>
      </c>
      <c r="C4940" t="s">
        <v>16797</v>
      </c>
      <c r="D4940" t="str">
        <f>"05P683  LPR - Р“Р°Р»СЊРјС–РІРЅС– РєРѕР»РѕРґРєРё РґРѕ РґРёСЃРєС–РІ (F, V, Р· РґР°С‚С‡РёРєРѕРј)"</f>
        <v>05P683  LPR - Р“Р°Р»СЊРјС–РІРЅС– РєРѕР»РѕРґРєРё РґРѕ РґРёСЃРєС–РІ (F, V, Р· РґР°С‚С‡РёРєРѕРј)</v>
      </c>
      <c r="E4940">
        <v>1</v>
      </c>
      <c r="F4940" t="s">
        <v>2483</v>
      </c>
      <c r="G4940" t="s">
        <v>15973</v>
      </c>
      <c r="H4940" t="str">
        <f>"05P683"</f>
        <v>05P683</v>
      </c>
      <c r="I4940" t="s">
        <v>16798</v>
      </c>
    </row>
    <row r="4941" spans="1:9">
      <c r="A4941" t="str">
        <f>"0024254 "</f>
        <v xml:space="preserve">0024254 </v>
      </c>
      <c r="B4941" t="s">
        <v>15973</v>
      </c>
      <c r="C4941" t="s">
        <v>16799</v>
      </c>
      <c r="D4941" t="str">
        <f>"05P684  LPR - Р“Р°Р»СЊРјС–РІРЅС– РєРѕР»РѕРґРєРё РґРѕ РґРёСЃРєС–РІ (F, S)"</f>
        <v>05P684  LPR - Р“Р°Р»СЊРјС–РІРЅС– РєРѕР»РѕРґРєРё РґРѕ РґРёСЃРєС–РІ (F, S)</v>
      </c>
      <c r="E4941">
        <v>1</v>
      </c>
      <c r="F4941" t="s">
        <v>7401</v>
      </c>
      <c r="G4941" t="s">
        <v>15973</v>
      </c>
      <c r="H4941" t="str">
        <f>"05P684"</f>
        <v>05P684</v>
      </c>
      <c r="I4941" t="s">
        <v>16800</v>
      </c>
    </row>
    <row r="4942" spans="1:9">
      <c r="A4942" t="str">
        <f>"0024257 "</f>
        <v xml:space="preserve">0024257 </v>
      </c>
      <c r="B4942" t="s">
        <v>15973</v>
      </c>
      <c r="C4942" t="s">
        <v>16801</v>
      </c>
      <c r="D4942" t="str">
        <f>"05P686  LPR - Р“Р°Р»СЊРјС–РІРЅС– РєРѕР»РѕРґРєРё РґРѕ РґРёСЃРєС–РІ (F, V, Р· РґР°С‚С‡РёРєРѕРј)"</f>
        <v>05P686  LPR - Р“Р°Р»СЊРјС–РІРЅС– РєРѕР»РѕРґРєРё РґРѕ РґРёСЃРєС–РІ (F, V, Р· РґР°С‚С‡РёРєРѕРј)</v>
      </c>
      <c r="E4942">
        <v>1</v>
      </c>
      <c r="F4942" t="s">
        <v>6377</v>
      </c>
      <c r="G4942" t="s">
        <v>15973</v>
      </c>
      <c r="H4942" t="str">
        <f>"05P686"</f>
        <v>05P686</v>
      </c>
      <c r="I4942" t="s">
        <v>16802</v>
      </c>
    </row>
    <row r="4943" spans="1:9">
      <c r="A4943" t="str">
        <f>"0024261 "</f>
        <v xml:space="preserve">0024261 </v>
      </c>
      <c r="B4943" t="s">
        <v>15973</v>
      </c>
      <c r="C4943" t="s">
        <v>16803</v>
      </c>
      <c r="D4943" t="str">
        <f>"05P690  LPR - Р“Р°Р»СЊРјС–РІРЅС– РєРѕР»РѕРґРєРё РґРѕ РґРёСЃРєС–РІ (F, V, Р· РґР°С‚С‡РёРєРѕРј)"</f>
        <v>05P690  LPR - Р“Р°Р»СЊРјС–РІРЅС– РєРѕР»РѕРґРєРё РґРѕ РґРёСЃРєС–РІ (F, V, Р· РґР°С‚С‡РёРєРѕРј)</v>
      </c>
      <c r="E4943">
        <v>1</v>
      </c>
      <c r="F4943" t="s">
        <v>16804</v>
      </c>
      <c r="G4943" t="s">
        <v>15973</v>
      </c>
      <c r="H4943" t="str">
        <f>"05P690"</f>
        <v>05P690</v>
      </c>
      <c r="I4943" t="s">
        <v>16805</v>
      </c>
    </row>
    <row r="4944" spans="1:9">
      <c r="A4944" t="str">
        <f>"0024263 "</f>
        <v xml:space="preserve">0024263 </v>
      </c>
      <c r="B4944" t="s">
        <v>15973</v>
      </c>
      <c r="C4944" t="s">
        <v>16806</v>
      </c>
      <c r="D4944" t="str">
        <f>"05P692  LPR - Р“Р°Р»СЊРјС–РІРЅС– РєРѕР»РѕРґРєРё РґРѕ РґРёСЃРєС–РІ (F, V, Р· РґР°С‚С‡РёРєРѕРј)"</f>
        <v>05P692  LPR - Р“Р°Р»СЊРјС–РІРЅС– РєРѕР»РѕРґРєРё РґРѕ РґРёСЃРєС–РІ (F, V, Р· РґР°С‚С‡РёРєРѕРј)</v>
      </c>
      <c r="E4944" t="s">
        <v>16</v>
      </c>
      <c r="F4944" t="s">
        <v>16351</v>
      </c>
      <c r="G4944" t="s">
        <v>15973</v>
      </c>
      <c r="H4944" t="str">
        <f>"05P692"</f>
        <v>05P692</v>
      </c>
      <c r="I4944" t="s">
        <v>16807</v>
      </c>
    </row>
    <row r="4945" spans="1:9">
      <c r="A4945" t="str">
        <f>"0024264 "</f>
        <v xml:space="preserve">0024264 </v>
      </c>
      <c r="B4945" t="s">
        <v>15973</v>
      </c>
      <c r="C4945" t="s">
        <v>16808</v>
      </c>
      <c r="D4945" t="str">
        <f>"05P693  LPR - Р“Р°Р»СЊРјС–РІРЅС– РєРѕР»РѕРґРєРё РґРѕ РґРёСЃРєС–РІ (F, V)"</f>
        <v>05P693  LPR - Р“Р°Р»СЊРјС–РІРЅС– РєРѕР»РѕРґРєРё РґРѕ РґРёСЃРєС–РІ (F, V)</v>
      </c>
      <c r="E4945" t="s">
        <v>16</v>
      </c>
      <c r="F4945" t="s">
        <v>16611</v>
      </c>
      <c r="G4945" t="s">
        <v>15973</v>
      </c>
      <c r="H4945" t="str">
        <f>"05P693"</f>
        <v>05P693</v>
      </c>
      <c r="I4945" t="s">
        <v>16809</v>
      </c>
    </row>
    <row r="4946" spans="1:9">
      <c r="A4946" t="str">
        <f>"0024267 "</f>
        <v xml:space="preserve">0024267 </v>
      </c>
      <c r="B4946" t="s">
        <v>15973</v>
      </c>
      <c r="C4946" t="s">
        <v>16810</v>
      </c>
      <c r="D4946" t="str">
        <f>"05P696  LPR - Р“Р°Р»СЊРјС–РІРЅС– РєРѕР»РѕРґРєРё РґРѕ РґРёСЃРєС–РІ (F, V)"</f>
        <v>05P696  LPR - Р“Р°Р»СЊРјС–РІРЅС– РєРѕР»РѕРґРєРё РґРѕ РґРёСЃРєС–РІ (F, V)</v>
      </c>
      <c r="E4946">
        <v>1</v>
      </c>
      <c r="F4946" t="s">
        <v>11922</v>
      </c>
      <c r="G4946" t="s">
        <v>15973</v>
      </c>
      <c r="H4946" t="str">
        <f>"05P696"</f>
        <v>05P696</v>
      </c>
      <c r="I4946" t="s">
        <v>16811</v>
      </c>
    </row>
    <row r="4947" spans="1:9">
      <c r="A4947" t="str">
        <f>"0024269 "</f>
        <v xml:space="preserve">0024269 </v>
      </c>
      <c r="B4947" t="s">
        <v>15973</v>
      </c>
      <c r="C4947" t="s">
        <v>16812</v>
      </c>
      <c r="D4947" t="str">
        <f>"05P698  LPR - Р“Р°Р»СЊРјС–РІРЅС– РєРѕР»РѕРґРєРё РґРѕ РґРёСЃРєС–РІ (F, S, Р· РґР°С‚С‡РёРєРѕРј)"</f>
        <v>05P698  LPR - Р“Р°Р»СЊРјС–РІРЅС– РєРѕР»РѕРґРєРё РґРѕ РґРёСЃРєС–РІ (F, S, Р· РґР°С‚С‡РёРєРѕРј)</v>
      </c>
      <c r="E4947" t="s">
        <v>16</v>
      </c>
      <c r="F4947" t="s">
        <v>16625</v>
      </c>
      <c r="G4947" t="s">
        <v>15973</v>
      </c>
      <c r="H4947" t="str">
        <f>"05P698"</f>
        <v>05P698</v>
      </c>
      <c r="I4947" t="s">
        <v>16813</v>
      </c>
    </row>
    <row r="4948" spans="1:9">
      <c r="A4948" t="str">
        <f>"0024270 "</f>
        <v xml:space="preserve">0024270 </v>
      </c>
      <c r="B4948" t="s">
        <v>15973</v>
      </c>
      <c r="C4948" t="s">
        <v>16814</v>
      </c>
      <c r="D4948" t="str">
        <f>"05P699  LPR - Р“Р°Р»СЊРјС–РІРЅС– РєРѕР»РѕРґРєРё РґРѕ РґРёСЃРєС–РІ (R, S)"</f>
        <v>05P699  LPR - Р“Р°Р»СЊРјС–РІРЅС– РєРѕР»РѕРґРєРё РґРѕ РґРёСЃРєС–РІ (R, S)</v>
      </c>
      <c r="E4948">
        <v>3</v>
      </c>
      <c r="F4948" t="s">
        <v>16815</v>
      </c>
      <c r="G4948" t="s">
        <v>15973</v>
      </c>
      <c r="H4948" t="str">
        <f>"05P699"</f>
        <v>05P699</v>
      </c>
      <c r="I4948" t="s">
        <v>16816</v>
      </c>
    </row>
    <row r="4949" spans="1:9">
      <c r="A4949" t="str">
        <f>"0024275 "</f>
        <v xml:space="preserve">0024275 </v>
      </c>
      <c r="B4949" t="s">
        <v>15973</v>
      </c>
      <c r="C4949" t="s">
        <v>16817</v>
      </c>
      <c r="D4949" t="str">
        <f>"05P704  LPR - Р“Р°Р»СЊРјС–РІРЅС– РєРѕР»РѕРґРєРё РґРѕ РґРёСЃРєС–РІ (F, V)"</f>
        <v>05P704  LPR - Р“Р°Р»СЊРјС–РІРЅС– РєРѕР»РѕРґРєРё РґРѕ РґРёСЃРєС–РІ (F, V)</v>
      </c>
      <c r="E4949">
        <v>1</v>
      </c>
      <c r="F4949" t="s">
        <v>5500</v>
      </c>
      <c r="G4949" t="s">
        <v>15973</v>
      </c>
      <c r="H4949" t="str">
        <f>"05P704"</f>
        <v>05P704</v>
      </c>
      <c r="I4949" t="s">
        <v>16818</v>
      </c>
    </row>
    <row r="4950" spans="1:9">
      <c r="A4950" t="str">
        <f>"0024277 "</f>
        <v xml:space="preserve">0024277 </v>
      </c>
      <c r="B4950" t="s">
        <v>15973</v>
      </c>
      <c r="C4950" t="s">
        <v>16819</v>
      </c>
      <c r="D4950" t="str">
        <f>"05P706  LPR - Р“Р°Р»СЊРјС–РІРЅС– РєРѕР»РѕРґРєРё РґРѕ РґРёСЃРєС–РІ (F, V)"</f>
        <v>05P706  LPR - Р“Р°Р»СЊРјС–РІРЅС– РєРѕР»РѕРґРєРё РґРѕ РґРёСЃРєС–РІ (F, V)</v>
      </c>
      <c r="E4950">
        <v>2</v>
      </c>
      <c r="F4950" t="s">
        <v>16192</v>
      </c>
      <c r="G4950" t="s">
        <v>15973</v>
      </c>
      <c r="H4950" t="str">
        <f>"05P706"</f>
        <v>05P706</v>
      </c>
      <c r="I4950" t="s">
        <v>16820</v>
      </c>
    </row>
    <row r="4951" spans="1:9">
      <c r="A4951" t="str">
        <f>"0024279 "</f>
        <v xml:space="preserve">0024279 </v>
      </c>
      <c r="B4951" t="s">
        <v>15973</v>
      </c>
      <c r="C4951" t="s">
        <v>16821</v>
      </c>
      <c r="D4951" t="str">
        <f>"05P708  LPR - Р“Р°Р»СЊРјС–РІРЅС– РєРѕР»РѕРґРєРё РґРѕ РґРёСЃРєС–РІ (F, S)"</f>
        <v>05P708  LPR - Р“Р°Р»СЊРјС–РІРЅС– РєРѕР»РѕРґРєРё РґРѕ РґРёСЃРєС–РІ (F, S)</v>
      </c>
      <c r="E4951">
        <v>2</v>
      </c>
      <c r="F4951" t="s">
        <v>16159</v>
      </c>
      <c r="G4951" t="s">
        <v>15973</v>
      </c>
      <c r="H4951" t="str">
        <f>"05P708"</f>
        <v>05P708</v>
      </c>
      <c r="I4951" t="s">
        <v>16822</v>
      </c>
    </row>
    <row r="4952" spans="1:9">
      <c r="A4952" t="str">
        <f>"0024281 "</f>
        <v xml:space="preserve">0024281 </v>
      </c>
      <c r="B4952" t="s">
        <v>15973</v>
      </c>
      <c r="C4952" t="s">
        <v>16823</v>
      </c>
      <c r="D4952" t="str">
        <f>"05P710  LPR - Р“Р°Р»СЊРјС–РІРЅС– РєРѕР»РѕРґРєРё РґРѕ РґРёСЃРєС–РІ (F, V)"</f>
        <v>05P710  LPR - Р“Р°Р»СЊРјС–РІРЅС– РєРѕР»РѕРґРєРё РґРѕ РґРёСЃРєС–РІ (F, V)</v>
      </c>
      <c r="E4952">
        <v>1</v>
      </c>
      <c r="F4952" t="s">
        <v>16824</v>
      </c>
      <c r="G4952" t="s">
        <v>15973</v>
      </c>
      <c r="H4952" t="str">
        <f>"05P710"</f>
        <v>05P710</v>
      </c>
      <c r="I4952" t="s">
        <v>16825</v>
      </c>
    </row>
    <row r="4953" spans="1:9">
      <c r="A4953" t="str">
        <f>"0024282 "</f>
        <v xml:space="preserve">0024282 </v>
      </c>
      <c r="B4953" t="s">
        <v>15973</v>
      </c>
      <c r="C4953" t="s">
        <v>16826</v>
      </c>
      <c r="D4953" t="str">
        <f>"05P711  LPR - Р“Р°Р»СЊРјС–РІРЅС– РєРѕР»РѕРґРєРё РґРѕ РґРёСЃРєС–РІ (F, Р· РґР°С‚С‡РёРєРѕРј)"</f>
        <v>05P711  LPR - Р“Р°Р»СЊРјС–РІРЅС– РєРѕР»РѕРґРєРё РґРѕ РґРёСЃРєС–РІ (F, Р· РґР°С‚С‡РёРєРѕРј)</v>
      </c>
      <c r="E4953">
        <v>2</v>
      </c>
      <c r="F4953" t="s">
        <v>16827</v>
      </c>
      <c r="G4953" t="s">
        <v>15973</v>
      </c>
      <c r="H4953" t="str">
        <f>"05P711"</f>
        <v>05P711</v>
      </c>
      <c r="I4953" t="s">
        <v>16828</v>
      </c>
    </row>
    <row r="4954" spans="1:9">
      <c r="A4954" t="str">
        <f>"0024284 "</f>
        <v xml:space="preserve">0024284 </v>
      </c>
      <c r="B4954" t="s">
        <v>15973</v>
      </c>
      <c r="C4954" t="s">
        <v>16829</v>
      </c>
      <c r="D4954" t="str">
        <f>"05P713  LPR - Р“Р°Р»СЊРјС–РІРЅС– РєРѕР»РѕРґРєРё РґРѕ РґРёСЃРєС–РІ (F, Р· РґР°С‚С‡РёРєРѕРј)"</f>
        <v>05P713  LPR - Р“Р°Р»СЊРјС–РІРЅС– РєРѕР»РѕРґРєРё РґРѕ РґРёСЃРєС–РІ (F, Р· РґР°С‚С‡РёРєРѕРј)</v>
      </c>
      <c r="E4954">
        <v>1</v>
      </c>
      <c r="F4954" t="s">
        <v>16111</v>
      </c>
      <c r="G4954" t="s">
        <v>15973</v>
      </c>
      <c r="H4954" t="str">
        <f>"05P713"</f>
        <v>05P713</v>
      </c>
      <c r="I4954" t="s">
        <v>16830</v>
      </c>
    </row>
    <row r="4955" spans="1:9">
      <c r="A4955" t="str">
        <f>"0024285 "</f>
        <v xml:space="preserve">0024285 </v>
      </c>
      <c r="B4955" t="s">
        <v>15973</v>
      </c>
      <c r="C4955" t="s">
        <v>16831</v>
      </c>
      <c r="D4955" t="str">
        <f>"05P714  LPR - Р“Р°Р»СЊРјС–РІРЅС– РєРѕР»РѕРґРєРё РґРѕ РґРёСЃРєС–РІ (R, V)"</f>
        <v>05P714  LPR - Р“Р°Р»СЊРјС–РІРЅС– РєРѕР»РѕРґРєРё РґРѕ РґРёСЃРєС–РІ (R, V)</v>
      </c>
      <c r="E4955">
        <v>1</v>
      </c>
      <c r="F4955" t="s">
        <v>16123</v>
      </c>
      <c r="G4955" t="s">
        <v>15973</v>
      </c>
      <c r="H4955" t="str">
        <f>"05P714"</f>
        <v>05P714</v>
      </c>
      <c r="I4955" t="s">
        <v>16832</v>
      </c>
    </row>
    <row r="4956" spans="1:9">
      <c r="A4956" t="str">
        <f>"0024286 "</f>
        <v xml:space="preserve">0024286 </v>
      </c>
      <c r="B4956" t="s">
        <v>15973</v>
      </c>
      <c r="C4956" t="s">
        <v>16833</v>
      </c>
      <c r="D4956" t="str">
        <f>"05P715  LPR - Р“Р°Р»СЊРјС–РІРЅС– РєРѕР»РѕРґРєРё РґРѕ РґРёСЃРєС–РІ (F)"</f>
        <v>05P715  LPR - Р“Р°Р»СЊРјС–РІРЅС– РєРѕР»РѕРґРєРё РґРѕ РґРёСЃРєС–РІ (F)</v>
      </c>
      <c r="E4956">
        <v>2</v>
      </c>
      <c r="F4956" t="s">
        <v>16539</v>
      </c>
      <c r="G4956" t="s">
        <v>15973</v>
      </c>
      <c r="H4956" t="str">
        <f>"05P715"</f>
        <v>05P715</v>
      </c>
      <c r="I4956" t="s">
        <v>16834</v>
      </c>
    </row>
    <row r="4957" spans="1:9">
      <c r="A4957" t="str">
        <f>"0024289 "</f>
        <v xml:space="preserve">0024289 </v>
      </c>
      <c r="B4957" t="s">
        <v>15973</v>
      </c>
      <c r="C4957" t="s">
        <v>16835</v>
      </c>
      <c r="D4957" t="str">
        <f>"05P718  LPR - Р“Р°Р»СЊРјС–РІРЅС– РєРѕР»РѕРґРєРё РґРѕ РґРёСЃРєС–РІ (F, V)"</f>
        <v>05P718  LPR - Р“Р°Р»СЊРјС–РІРЅС– РєРѕР»РѕРґРєРё РґРѕ РґРёСЃРєС–РІ (F, V)</v>
      </c>
      <c r="E4957">
        <v>1</v>
      </c>
      <c r="F4957" t="s">
        <v>16836</v>
      </c>
      <c r="G4957" t="s">
        <v>15973</v>
      </c>
      <c r="H4957" t="str">
        <f>"05P718"</f>
        <v>05P718</v>
      </c>
      <c r="I4957" t="s">
        <v>16837</v>
      </c>
    </row>
    <row r="4958" spans="1:9">
      <c r="A4958" t="str">
        <f>"0024290 "</f>
        <v xml:space="preserve">0024290 </v>
      </c>
      <c r="B4958" t="s">
        <v>15973</v>
      </c>
      <c r="C4958" t="s">
        <v>16838</v>
      </c>
      <c r="D4958" t="str">
        <f>"05P719  LPR - Р“Р°Р»СЊРјС–РІРЅС– РєРѕР»РѕРґРєРё РґРѕ РґРёСЃРєС–РІ (F, V)"</f>
        <v>05P719  LPR - Р“Р°Р»СЊРјС–РІРЅС– РєРѕР»РѕРґРєРё РґРѕ РґРёСЃРєС–РІ (F, V)</v>
      </c>
      <c r="E4958">
        <v>1</v>
      </c>
      <c r="F4958" t="s">
        <v>16398</v>
      </c>
      <c r="G4958" t="s">
        <v>15973</v>
      </c>
      <c r="H4958" t="str">
        <f>"05P719"</f>
        <v>05P719</v>
      </c>
      <c r="I4958" t="s">
        <v>16839</v>
      </c>
    </row>
    <row r="4959" spans="1:9">
      <c r="A4959" t="str">
        <f>"0024301 "</f>
        <v xml:space="preserve">0024301 </v>
      </c>
      <c r="B4959" t="s">
        <v>15973</v>
      </c>
      <c r="C4959" t="s">
        <v>16840</v>
      </c>
      <c r="D4959" t="str">
        <f>"05P730  LPR - Р“Р°Р»СЊРјС–РІРЅС– РєРѕР»РѕРґРєРё РґРѕ РґРёСЃРєС–РІ (F, V)"</f>
        <v>05P730  LPR - Р“Р°Р»СЊРјС–РІРЅС– РєРѕР»РѕРґРєРё РґРѕ РґРёСЃРєС–РІ (F, V)</v>
      </c>
      <c r="E4959" t="s">
        <v>16</v>
      </c>
      <c r="F4959" t="s">
        <v>16777</v>
      </c>
      <c r="G4959" t="s">
        <v>15973</v>
      </c>
      <c r="H4959" t="str">
        <f>"05P730"</f>
        <v>05P730</v>
      </c>
      <c r="I4959" t="s">
        <v>16841</v>
      </c>
    </row>
    <row r="4960" spans="1:9">
      <c r="A4960" t="str">
        <f>"0024302 "</f>
        <v xml:space="preserve">0024302 </v>
      </c>
      <c r="B4960" t="s">
        <v>15973</v>
      </c>
      <c r="C4960" t="s">
        <v>16842</v>
      </c>
      <c r="D4960" t="str">
        <f>"05P731  LPR - Р“Р°Р»СЊРјС–РІРЅС– РєРѕР»РѕРґРєРё РґРѕ РґРёСЃРєС–РІ (F, V, Р· РґР°С‚С‡РёРєРѕРј)"</f>
        <v>05P731  LPR - Р“Р°Р»СЊРјС–РІРЅС– РєРѕР»РѕРґРєРё РґРѕ РґРёСЃРєС–РІ (F, V, Р· РґР°С‚С‡РёРєРѕРј)</v>
      </c>
      <c r="E4960">
        <v>1</v>
      </c>
      <c r="F4960" t="s">
        <v>16636</v>
      </c>
      <c r="G4960" t="s">
        <v>15973</v>
      </c>
      <c r="H4960" t="str">
        <f>"05P731"</f>
        <v>05P731</v>
      </c>
      <c r="I4960" t="s">
        <v>16843</v>
      </c>
    </row>
    <row r="4961" spans="1:9">
      <c r="A4961" t="str">
        <f>"0024320 "</f>
        <v xml:space="preserve">0024320 </v>
      </c>
      <c r="B4961" t="s">
        <v>15973</v>
      </c>
      <c r="C4961" t="s">
        <v>16844</v>
      </c>
      <c r="D4961" t="str">
        <f>"05P749  LPR - Р“Р°Р»СЊРјС–РІРЅС– РєРѕР»РѕРґРєРё РґРѕ РґРёСЃРєС–РІ (R, V)"</f>
        <v>05P749  LPR - Р“Р°Р»СЊРјС–РІРЅС– РєРѕР»РѕРґРєРё РґРѕ РґРёСЃРєС–РІ (R, V)</v>
      </c>
      <c r="E4961">
        <v>4</v>
      </c>
      <c r="F4961" t="s">
        <v>16845</v>
      </c>
      <c r="G4961" t="s">
        <v>15973</v>
      </c>
      <c r="H4961" t="str">
        <f>"05P749"</f>
        <v>05P749</v>
      </c>
      <c r="I4961" t="s">
        <v>16846</v>
      </c>
    </row>
    <row r="4962" spans="1:9">
      <c r="A4962" t="str">
        <f>"0024327 "</f>
        <v xml:space="preserve">0024327 </v>
      </c>
      <c r="B4962" t="s">
        <v>15973</v>
      </c>
      <c r="C4962" t="s">
        <v>16847</v>
      </c>
      <c r="D4962" t="str">
        <f>"05P756  LPR - Р“Р°Р»СЊРјС–РІРЅС– РєРѕР»РѕРґРєРё РґРѕ РґРёСЃРєС–РІ (F)"</f>
        <v>05P756  LPR - Р“Р°Р»СЊРјС–РІРЅС– РєРѕР»РѕРґРєРё РґРѕ РґРёСЃРєС–РІ (F)</v>
      </c>
      <c r="E4962">
        <v>3</v>
      </c>
      <c r="F4962" t="s">
        <v>16848</v>
      </c>
      <c r="G4962" t="s">
        <v>15973</v>
      </c>
      <c r="H4962" t="str">
        <f>"05P756"</f>
        <v>05P756</v>
      </c>
      <c r="I4962" t="s">
        <v>16849</v>
      </c>
    </row>
    <row r="4963" spans="1:9">
      <c r="A4963" t="str">
        <f>"0024332 "</f>
        <v xml:space="preserve">0024332 </v>
      </c>
      <c r="B4963" t="s">
        <v>15973</v>
      </c>
      <c r="C4963" t="s">
        <v>16850</v>
      </c>
      <c r="D4963" t="str">
        <f>"05P761  LPR - Р“Р°Р»СЊРјС–РІРЅС– РєРѕР»РѕРґРєРё РґРѕ РґРёСЃРєС–РІ (F, S, Р· РґР°С‚С‡РёРєРѕРј)"</f>
        <v>05P761  LPR - Р“Р°Р»СЊРјС–РІРЅС– РєРѕР»РѕРґРєРё РґРѕ РґРёСЃРєС–РІ (F, S, Р· РґР°С‚С‡РёРєРѕРј)</v>
      </c>
      <c r="E4963">
        <v>5</v>
      </c>
      <c r="F4963" t="s">
        <v>16851</v>
      </c>
      <c r="G4963" t="s">
        <v>15973</v>
      </c>
      <c r="H4963" t="str">
        <f>"05P761"</f>
        <v>05P761</v>
      </c>
      <c r="I4963" t="s">
        <v>16852</v>
      </c>
    </row>
    <row r="4964" spans="1:9">
      <c r="A4964" t="str">
        <f>"0024334 "</f>
        <v xml:space="preserve">0024334 </v>
      </c>
      <c r="B4964" t="s">
        <v>15973</v>
      </c>
      <c r="C4964" t="s">
        <v>16853</v>
      </c>
      <c r="D4964" t="str">
        <f>"05P763  LPR - Р“Р°Р»СЊРјС–РІРЅС– РєРѕР»РѕРґРєРё РґРѕ РґРёСЃРєС–РІ (F, Р· РґР°С‚С‡РёРєРѕРј)"</f>
        <v>05P763  LPR - Р“Р°Р»СЊРјС–РІРЅС– РєРѕР»РѕРґРєРё РґРѕ РґРёСЃРєС–РІ (F, Р· РґР°С‚С‡РёРєРѕРј)</v>
      </c>
      <c r="E4964" t="s">
        <v>16</v>
      </c>
      <c r="F4964" t="s">
        <v>16117</v>
      </c>
      <c r="G4964" t="s">
        <v>15973</v>
      </c>
      <c r="H4964" t="str">
        <f>"05P763"</f>
        <v>05P763</v>
      </c>
      <c r="I4964" t="s">
        <v>16854</v>
      </c>
    </row>
    <row r="4965" spans="1:9">
      <c r="A4965" t="str">
        <f>"0024335 "</f>
        <v xml:space="preserve">0024335 </v>
      </c>
      <c r="B4965" t="s">
        <v>15973</v>
      </c>
      <c r="C4965" t="s">
        <v>16855</v>
      </c>
      <c r="D4965" t="str">
        <f>"05P764  LPR - Р“Р°Р»СЊРјС–РІРЅС– РєРѕР»РѕРґРєРё РґРѕ РґРёСЃРєС–РІ (F, V, Р· РґР°С‚С‡РёРєРѕРј)"</f>
        <v>05P764  LPR - Р“Р°Р»СЊРјС–РІРЅС– РєРѕР»РѕРґРєРё РґРѕ РґРёСЃРєС–РІ (F, V, Р· РґР°С‚С‡РёРєРѕРј)</v>
      </c>
      <c r="E4965">
        <v>5</v>
      </c>
      <c r="F4965" t="s">
        <v>16856</v>
      </c>
      <c r="G4965" t="s">
        <v>15973</v>
      </c>
      <c r="H4965" t="str">
        <f>"05P764"</f>
        <v>05P764</v>
      </c>
      <c r="I4965" t="s">
        <v>16857</v>
      </c>
    </row>
    <row r="4966" spans="1:9">
      <c r="A4966" t="str">
        <f>"0024338 "</f>
        <v xml:space="preserve">0024338 </v>
      </c>
      <c r="B4966" t="s">
        <v>15973</v>
      </c>
      <c r="C4966" t="s">
        <v>16858</v>
      </c>
      <c r="D4966" t="str">
        <f>"05P767  LPR - Р“Р°Р»СЊРјС–РІРЅС– РєРѕР»РѕРґРєРё РґРѕ РґРёСЃРєС–РІ (F, V)"</f>
        <v>05P767  LPR - Р“Р°Р»СЊРјС–РІРЅС– РєРѕР»РѕРґРєРё РґРѕ РґРёСЃРєС–РІ (F, V)</v>
      </c>
      <c r="E4966">
        <v>2</v>
      </c>
      <c r="F4966" t="s">
        <v>16859</v>
      </c>
      <c r="G4966" t="s">
        <v>15973</v>
      </c>
      <c r="H4966" t="str">
        <f>"05P767"</f>
        <v>05P767</v>
      </c>
      <c r="I4966" t="s">
        <v>16860</v>
      </c>
    </row>
    <row r="4967" spans="1:9">
      <c r="A4967" t="str">
        <f>"0024340 "</f>
        <v xml:space="preserve">0024340 </v>
      </c>
      <c r="B4967" t="s">
        <v>15973</v>
      </c>
      <c r="C4967" t="s">
        <v>16861</v>
      </c>
      <c r="D4967" t="str">
        <f>"05P769  LPR - Р“Р°Р»СЊРјС–РІРЅС– РєРѕР»РѕРґРєРё РґРѕ РґРёСЃРєС–РІ (F, V)"</f>
        <v>05P769  LPR - Р“Р°Р»СЊРјС–РІРЅС– РєРѕР»РѕРґРєРё РґРѕ РґРёСЃРєС–РІ (F, V)</v>
      </c>
      <c r="E4967">
        <v>1</v>
      </c>
      <c r="F4967" t="s">
        <v>16173</v>
      </c>
      <c r="G4967" t="s">
        <v>15973</v>
      </c>
      <c r="H4967" t="str">
        <f>"05P769"</f>
        <v>05P769</v>
      </c>
      <c r="I4967" t="s">
        <v>16862</v>
      </c>
    </row>
    <row r="4968" spans="1:9">
      <c r="A4968" t="str">
        <f>"0024341 "</f>
        <v xml:space="preserve">0024341 </v>
      </c>
      <c r="B4968" t="s">
        <v>15973</v>
      </c>
      <c r="C4968" t="s">
        <v>16863</v>
      </c>
      <c r="D4968" t="str">
        <f>"05P771  LPR - Р“Р°Р»СЊРјС–РІРЅС– РєРѕР»РѕРґРєРё РґРѕ РґРёСЃРєС–РІ (F, V)"</f>
        <v>05P771  LPR - Р“Р°Р»СЊРјС–РІРЅС– РєРѕР»РѕРґРєРё РґРѕ РґРёСЃРєС–РІ (F, V)</v>
      </c>
      <c r="E4968">
        <v>2</v>
      </c>
      <c r="F4968" t="s">
        <v>16142</v>
      </c>
      <c r="G4968" t="s">
        <v>15973</v>
      </c>
      <c r="H4968" t="str">
        <f>"05P771"</f>
        <v>05P771</v>
      </c>
      <c r="I4968" t="s">
        <v>16864</v>
      </c>
    </row>
    <row r="4969" spans="1:9">
      <c r="A4969" t="str">
        <f>"0024343 "</f>
        <v xml:space="preserve">0024343 </v>
      </c>
      <c r="B4969" t="s">
        <v>15973</v>
      </c>
      <c r="C4969" t="s">
        <v>16865</v>
      </c>
      <c r="D4969" t="str">
        <f>"05P773  LPR - Р“Р°Р»СЊРјС–РІРЅС– РєРѕР»РѕРґРєРё РґРѕ РґРёСЃРєС–РІ (F, S, Р· РґР°С‚С‡РёРєРѕРј)"</f>
        <v>05P773  LPR - Р“Р°Р»СЊРјС–РІРЅС– РєРѕР»РѕРґРєРё РґРѕ РґРёСЃРєС–РІ (F, S, Р· РґР°С‚С‡РёРєРѕРј)</v>
      </c>
      <c r="E4969">
        <v>1</v>
      </c>
      <c r="F4969" t="s">
        <v>16866</v>
      </c>
      <c r="G4969" t="s">
        <v>15973</v>
      </c>
      <c r="H4969" t="str">
        <f>"05P773"</f>
        <v>05P773</v>
      </c>
      <c r="I4969" t="s">
        <v>16867</v>
      </c>
    </row>
    <row r="4970" spans="1:9">
      <c r="A4970" t="str">
        <f>"0024345 "</f>
        <v xml:space="preserve">0024345 </v>
      </c>
      <c r="B4970" t="s">
        <v>15973</v>
      </c>
      <c r="C4970" t="s">
        <v>16868</v>
      </c>
      <c r="D4970" t="str">
        <f>"05P775  LPR - Р“Р°Р»СЊРјС–РІРЅС– РєРѕР»РѕРґРєРё РґРѕ РґРёСЃРєС–РІ (F, V, Р· РґР°С‚С‡РёРєРѕРј)"</f>
        <v>05P775  LPR - Р“Р°Р»СЊРјС–РІРЅС– РєРѕР»РѕРґРєРё РґРѕ РґРёСЃРєС–РІ (F, V, Р· РґР°С‚С‡РёРєРѕРј)</v>
      </c>
      <c r="E4970">
        <v>2</v>
      </c>
      <c r="F4970" t="s">
        <v>16869</v>
      </c>
      <c r="G4970" t="s">
        <v>15973</v>
      </c>
      <c r="H4970" t="str">
        <f>"05P775"</f>
        <v>05P775</v>
      </c>
      <c r="I4970" t="s">
        <v>16870</v>
      </c>
    </row>
    <row r="4971" spans="1:9">
      <c r="A4971" t="str">
        <f>"0024349 "</f>
        <v xml:space="preserve">0024349 </v>
      </c>
      <c r="B4971" t="s">
        <v>15973</v>
      </c>
      <c r="C4971" t="s">
        <v>16871</v>
      </c>
      <c r="D4971" t="str">
        <f>"05P780  LPR - Р“Р°Р»СЊРјС–РІРЅС– РєРѕР»РѕРґРєРё РґРѕ РґРёСЃРєС–РІ (R, S)"</f>
        <v>05P780  LPR - Р“Р°Р»СЊРјС–РІРЅС– РєРѕР»РѕРґРєРё РґРѕ РґРёСЃРєС–РІ (R, S)</v>
      </c>
      <c r="E4971">
        <v>1</v>
      </c>
      <c r="F4971" t="s">
        <v>4635</v>
      </c>
      <c r="G4971" t="s">
        <v>15973</v>
      </c>
      <c r="H4971" t="str">
        <f>"05P780"</f>
        <v>05P780</v>
      </c>
      <c r="I4971" t="s">
        <v>16872</v>
      </c>
    </row>
    <row r="4972" spans="1:9">
      <c r="A4972" t="str">
        <f>"0024350 "</f>
        <v xml:space="preserve">0024350 </v>
      </c>
      <c r="B4972" t="s">
        <v>15973</v>
      </c>
      <c r="C4972" t="s">
        <v>16873</v>
      </c>
      <c r="D4972" t="str">
        <f>"05P785  LPR - Р“Р°Р»СЊРјС–РІРЅС– РєРѕР»РѕРґРєРё РґРѕ РґРёСЃРєС–РІ (F, V)"</f>
        <v>05P785  LPR - Р“Р°Р»СЊРјС–РІРЅС– РєРѕР»РѕРґРєРё РґРѕ РґРёСЃРєС–РІ (F, V)</v>
      </c>
      <c r="E4972">
        <v>1</v>
      </c>
      <c r="F4972" t="s">
        <v>16874</v>
      </c>
      <c r="G4972" t="s">
        <v>15973</v>
      </c>
      <c r="H4972" t="str">
        <f>"05P785"</f>
        <v>05P785</v>
      </c>
      <c r="I4972" t="s">
        <v>16875</v>
      </c>
    </row>
    <row r="4973" spans="1:9">
      <c r="A4973" t="str">
        <f>"0024352 "</f>
        <v xml:space="preserve">0024352 </v>
      </c>
      <c r="B4973" t="s">
        <v>15973</v>
      </c>
      <c r="C4973" t="s">
        <v>16876</v>
      </c>
      <c r="D4973" t="str">
        <f>"05P787  LPR - Р“Р°Р»СЊРјС–РІРЅС– РєРѕР»РѕРґРєРё РґРѕ РґРёСЃРєС–РІ (F, V, Р· РґР°С‚С‡РёРєРѕРј)"</f>
        <v>05P787  LPR - Р“Р°Р»СЊРјС–РІРЅС– РєРѕР»РѕРґРєРё РґРѕ РґРёСЃРєС–РІ (F, V, Р· РґР°С‚С‡РёРєРѕРј)</v>
      </c>
      <c r="E4973" t="s">
        <v>16</v>
      </c>
      <c r="F4973" t="s">
        <v>16877</v>
      </c>
      <c r="G4973" t="s">
        <v>15973</v>
      </c>
      <c r="H4973" t="str">
        <f>"05P787"</f>
        <v>05P787</v>
      </c>
      <c r="I4973" t="s">
        <v>16878</v>
      </c>
    </row>
    <row r="4974" spans="1:9">
      <c r="A4974" t="str">
        <f>"0024353 "</f>
        <v xml:space="preserve">0024353 </v>
      </c>
      <c r="B4974" t="s">
        <v>15973</v>
      </c>
      <c r="C4974" t="s">
        <v>16879</v>
      </c>
      <c r="D4974" t="str">
        <f>"05P789  LPR - Р“Р°Р»СЊРјС–РІРЅС– РєРѕР»РѕРґРєРё РґРѕ РґРёСЃРєС–РІ (F, V)"</f>
        <v>05P789  LPR - Р“Р°Р»СЊРјС–РІРЅС– РєРѕР»РѕРґРєРё РґРѕ РґРёСЃРєС–РІ (F, V)</v>
      </c>
      <c r="E4974">
        <v>1</v>
      </c>
      <c r="F4974" t="s">
        <v>16880</v>
      </c>
      <c r="G4974" t="s">
        <v>15973</v>
      </c>
      <c r="H4974" t="str">
        <f>"05P789"</f>
        <v>05P789</v>
      </c>
      <c r="I4974" t="s">
        <v>16881</v>
      </c>
    </row>
    <row r="4975" spans="1:9">
      <c r="A4975" t="str">
        <f>"0024354 "</f>
        <v xml:space="preserve">0024354 </v>
      </c>
      <c r="B4975" t="s">
        <v>15973</v>
      </c>
      <c r="C4975" t="s">
        <v>16882</v>
      </c>
      <c r="D4975" t="str">
        <f>"05P790  LPR - Р“Р°Р»СЊРјС–РІРЅС– РєРѕР»РѕРґРєРё РґРѕ РґРёСЃРєС–РІ (F, Р· РґР°С‚С‡РёРєРѕРј)"</f>
        <v>05P790  LPR - Р“Р°Р»СЊРјС–РІРЅС– РєРѕР»РѕРґРєРё РґРѕ РґРёСЃРєС–РІ (F, Р· РґР°С‚С‡РёРєРѕРј)</v>
      </c>
      <c r="E4975">
        <v>5</v>
      </c>
      <c r="F4975" t="s">
        <v>16883</v>
      </c>
      <c r="G4975" t="s">
        <v>15973</v>
      </c>
      <c r="H4975" t="str">
        <f>"05P790"</f>
        <v>05P790</v>
      </c>
      <c r="I4975" t="s">
        <v>16884</v>
      </c>
    </row>
    <row r="4976" spans="1:9">
      <c r="A4976" t="str">
        <f>"0024362 "</f>
        <v xml:space="preserve">0024362 </v>
      </c>
      <c r="B4976" t="s">
        <v>15973</v>
      </c>
      <c r="C4976" t="s">
        <v>16885</v>
      </c>
      <c r="D4976" t="str">
        <f>"05P798  LPR - Р“Р°Р»СЊРјС–РІРЅС– РєРѕР»РѕРґРєРё РґРѕ РґРёСЃРєС–РІ (F, V, Р· РґР°С‚С‡РёРєРѕРј)"</f>
        <v>05P798  LPR - Р“Р°Р»СЊРјС–РІРЅС– РєРѕР»РѕРґРєРё РґРѕ РґРёСЃРєС–РІ (F, V, Р· РґР°С‚С‡РёРєРѕРј)</v>
      </c>
      <c r="E4976">
        <v>1</v>
      </c>
      <c r="F4976" t="s">
        <v>16886</v>
      </c>
      <c r="G4976" t="s">
        <v>15973</v>
      </c>
      <c r="H4976" t="str">
        <f>"05P798"</f>
        <v>05P798</v>
      </c>
      <c r="I4976" t="s">
        <v>16887</v>
      </c>
    </row>
    <row r="4977" spans="1:9">
      <c r="A4977" t="str">
        <f>"0024364 "</f>
        <v xml:space="preserve">0024364 </v>
      </c>
      <c r="B4977" t="s">
        <v>15973</v>
      </c>
      <c r="C4977" t="s">
        <v>16888</v>
      </c>
      <c r="D4977" t="str">
        <f>"05P800  LPR - Р“Р°Р»СЊРјС–РІРЅС– РєРѕР»РѕРґРєРё РґРѕ РґРёСЃРєС–РІ (R, S)"</f>
        <v>05P800  LPR - Р“Р°Р»СЊРјС–РІРЅС– РєРѕР»РѕРґРєРё РґРѕ РґРёСЃРєС–РІ (R, S)</v>
      </c>
      <c r="E4977">
        <v>1</v>
      </c>
      <c r="F4977" t="s">
        <v>16886</v>
      </c>
      <c r="G4977" t="s">
        <v>15973</v>
      </c>
      <c r="H4977" t="str">
        <f>"05P800"</f>
        <v>05P800</v>
      </c>
      <c r="I4977" t="s">
        <v>16889</v>
      </c>
    </row>
    <row r="4978" spans="1:9">
      <c r="A4978" t="str">
        <f>"0024366 "</f>
        <v xml:space="preserve">0024366 </v>
      </c>
      <c r="B4978" t="s">
        <v>15973</v>
      </c>
      <c r="C4978" t="s">
        <v>16890</v>
      </c>
      <c r="D4978" t="str">
        <f>"05P802  LPR - Р“Р°Р»СЊРјС–РІРЅС– РєРѕР»РѕРґРєРё РґРѕ РґРёСЃРєС–РІ (F)"</f>
        <v>05P802  LPR - Р“Р°Р»СЊРјС–РІРЅС– РєРѕР»РѕРґРєРё РґРѕ РґРёСЃРєС–РІ (F)</v>
      </c>
      <c r="E4978">
        <v>5</v>
      </c>
      <c r="F4978" t="s">
        <v>16891</v>
      </c>
      <c r="G4978" t="s">
        <v>15973</v>
      </c>
      <c r="H4978" t="str">
        <f>"05P802"</f>
        <v>05P802</v>
      </c>
      <c r="I4978" t="s">
        <v>16892</v>
      </c>
    </row>
    <row r="4979" spans="1:9">
      <c r="A4979" t="str">
        <f>"0024369 "</f>
        <v xml:space="preserve">0024369 </v>
      </c>
      <c r="B4979" t="s">
        <v>15973</v>
      </c>
      <c r="C4979" t="s">
        <v>16893</v>
      </c>
      <c r="D4979" t="str">
        <f>"05P806  LPR - Р“Р°Р»СЊРјС–РІРЅС– РєРѕР»РѕРґРєРё РґРѕ РґРёСЃРєС–РІ (F, V)"</f>
        <v>05P806  LPR - Р“Р°Р»СЊРјС–РІРЅС– РєРѕР»РѕРґРєРё РґРѕ РґРёСЃРєС–РІ (F, V)</v>
      </c>
      <c r="E4979">
        <v>1</v>
      </c>
      <c r="F4979" t="s">
        <v>16111</v>
      </c>
      <c r="G4979" t="s">
        <v>15973</v>
      </c>
      <c r="H4979" t="str">
        <f>"05P806"</f>
        <v>05P806</v>
      </c>
      <c r="I4979" t="s">
        <v>16894</v>
      </c>
    </row>
    <row r="4980" spans="1:9">
      <c r="A4980" t="str">
        <f>"0024370 "</f>
        <v xml:space="preserve">0024370 </v>
      </c>
      <c r="B4980" t="s">
        <v>15973</v>
      </c>
      <c r="C4980" t="s">
        <v>16895</v>
      </c>
      <c r="D4980" t="str">
        <f>"05P807  LPR - Р“Р°Р»СЊРјС–РІРЅС– РєРѕР»РѕРґРєРё РґРѕ РґРёСЃРєС–РІ (F, V)"</f>
        <v>05P807  LPR - Р“Р°Р»СЊРјС–РІРЅС– РєРѕР»РѕРґРєРё РґРѕ РґРёСЃРєС–РІ (F, V)</v>
      </c>
      <c r="E4980">
        <v>2</v>
      </c>
      <c r="F4980" t="s">
        <v>16365</v>
      </c>
      <c r="G4980" t="s">
        <v>15973</v>
      </c>
      <c r="H4980" t="str">
        <f>"05P807"</f>
        <v>05P807</v>
      </c>
      <c r="I4980" t="s">
        <v>16896</v>
      </c>
    </row>
    <row r="4981" spans="1:9">
      <c r="A4981" t="str">
        <f>"0024374 "</f>
        <v xml:space="preserve">0024374 </v>
      </c>
      <c r="B4981" t="s">
        <v>15973</v>
      </c>
      <c r="C4981" t="s">
        <v>16897</v>
      </c>
      <c r="D4981" t="str">
        <f>"05P811  LPR - Р“Р°Р»СЊРјС–РІРЅС– РєРѕР»РѕРґРєРё РґРѕ РґРёСЃРєС–РІ (R, S)"</f>
        <v>05P811  LPR - Р“Р°Р»СЊРјС–РІРЅС– РєРѕР»РѕРґРєРё РґРѕ РґРёСЃРєС–РІ (R, S)</v>
      </c>
      <c r="E4981">
        <v>3</v>
      </c>
      <c r="F4981" t="s">
        <v>4148</v>
      </c>
      <c r="G4981" t="s">
        <v>15973</v>
      </c>
      <c r="H4981" t="str">
        <f>"05P811"</f>
        <v>05P811</v>
      </c>
      <c r="I4981" t="s">
        <v>16898</v>
      </c>
    </row>
    <row r="4982" spans="1:9">
      <c r="A4982" t="str">
        <f>"0024375 "</f>
        <v xml:space="preserve">0024375 </v>
      </c>
      <c r="B4982" t="s">
        <v>15973</v>
      </c>
      <c r="C4982" t="s">
        <v>16899</v>
      </c>
      <c r="D4982" t="str">
        <f>"05P812  LPR - Р“Р°Р»СЊРјС–РІРЅС– РєРѕР»РѕРґРєРё РґРѕ РґРёСЃРєС–РІ (F, V, Р· РґР°С‚С‡РёРєРѕРј)"</f>
        <v>05P812  LPR - Р“Р°Р»СЊРјС–РІРЅС– РєРѕР»РѕРґРєРё РґРѕ РґРёСЃРєС–РІ (F, V, Р· РґР°С‚С‡РёРєРѕРј)</v>
      </c>
      <c r="E4982">
        <v>1</v>
      </c>
      <c r="F4982" t="s">
        <v>16425</v>
      </c>
      <c r="G4982" t="s">
        <v>15973</v>
      </c>
      <c r="H4982" t="str">
        <f>"05P812"</f>
        <v>05P812</v>
      </c>
      <c r="I4982" t="s">
        <v>16900</v>
      </c>
    </row>
    <row r="4983" spans="1:9">
      <c r="A4983" t="str">
        <f>"0024377 "</f>
        <v xml:space="preserve">0024377 </v>
      </c>
      <c r="B4983" t="s">
        <v>15973</v>
      </c>
      <c r="C4983" t="s">
        <v>16901</v>
      </c>
      <c r="D4983" t="str">
        <f>"05P814  LPR - Р“Р°Р»СЊРјС–РІРЅС– РєРѕР»РѕРґРєРё РґРѕ РґРёСЃРєС–РІ (F, V)"</f>
        <v>05P814  LPR - Р“Р°Р»СЊРјС–РІРЅС– РєРѕР»РѕРґРєРё РґРѕ РґРёСЃРєС–РІ (F, V)</v>
      </c>
      <c r="E4983">
        <v>2</v>
      </c>
      <c r="F4983" t="s">
        <v>16310</v>
      </c>
      <c r="G4983" t="s">
        <v>15973</v>
      </c>
      <c r="H4983" t="str">
        <f>"05P814"</f>
        <v>05P814</v>
      </c>
      <c r="I4983" t="s">
        <v>16902</v>
      </c>
    </row>
    <row r="4984" spans="1:9">
      <c r="A4984" t="str">
        <f>"0024378 "</f>
        <v xml:space="preserve">0024378 </v>
      </c>
      <c r="B4984" t="s">
        <v>15973</v>
      </c>
      <c r="C4984" t="s">
        <v>16903</v>
      </c>
      <c r="D4984" t="str">
        <f>"05P815  LPR - Р“Р°Р»СЊРјС–РІРЅС– РєРѕР»РѕРґРєРё РґРѕ РґРёСЃРєС–РІ (R, S)"</f>
        <v>05P815  LPR - Р“Р°Р»СЊРјС–РІРЅС– РєРѕР»РѕРґРєРё РґРѕ РґРёСЃРєС–РІ (R, S)</v>
      </c>
      <c r="E4984">
        <v>2</v>
      </c>
      <c r="F4984" t="s">
        <v>16904</v>
      </c>
      <c r="G4984" t="s">
        <v>15973</v>
      </c>
      <c r="H4984" t="str">
        <f>"05P815"</f>
        <v>05P815</v>
      </c>
      <c r="I4984" t="s">
        <v>16905</v>
      </c>
    </row>
    <row r="4985" spans="1:9">
      <c r="A4985" t="str">
        <f>"0024379 "</f>
        <v xml:space="preserve">0024379 </v>
      </c>
      <c r="B4985" t="s">
        <v>15973</v>
      </c>
      <c r="C4985" t="s">
        <v>16906</v>
      </c>
      <c r="D4985" t="str">
        <f>"05P816  LPR - Р“Р°Р»СЊРјС–РІРЅС– РєРѕР»РѕРґРєРё РґРѕ РґРёСЃРєС–РІ (F, V)"</f>
        <v>05P816  LPR - Р“Р°Р»СЊРјС–РІРЅС– РєРѕР»РѕРґРєРё РґРѕ РґРёСЃРєС–РІ (F, V)</v>
      </c>
      <c r="E4985">
        <v>2</v>
      </c>
      <c r="F4985" t="s">
        <v>16633</v>
      </c>
      <c r="G4985" t="s">
        <v>15973</v>
      </c>
      <c r="H4985" t="str">
        <f>"05P816"</f>
        <v>05P816</v>
      </c>
      <c r="I4985" t="s">
        <v>16907</v>
      </c>
    </row>
    <row r="4986" spans="1:9">
      <c r="A4986" t="str">
        <f>"0024380 "</f>
        <v xml:space="preserve">0024380 </v>
      </c>
      <c r="B4986" t="s">
        <v>15973</v>
      </c>
      <c r="C4986" t="s">
        <v>16908</v>
      </c>
      <c r="D4986" t="str">
        <f>"05P817  LPR - Р“Р°Р»СЊРјС–РІРЅС– РєРѕР»РѕРґРєРё РґРѕ РґРёСЃРєС–РІ (F, V)"</f>
        <v>05P817  LPR - Р“Р°Р»СЊРјС–РІРЅС– РєРѕР»РѕРґРєРё РґРѕ РґРёСЃРєС–РІ (F, V)</v>
      </c>
      <c r="E4986">
        <v>2</v>
      </c>
      <c r="F4986" t="s">
        <v>16386</v>
      </c>
      <c r="G4986" t="s">
        <v>15973</v>
      </c>
      <c r="H4986" t="str">
        <f>"05P817"</f>
        <v>05P817</v>
      </c>
      <c r="I4986" t="s">
        <v>16909</v>
      </c>
    </row>
    <row r="4987" spans="1:9">
      <c r="A4987" t="str">
        <f>"0024390 "</f>
        <v xml:space="preserve">0024390 </v>
      </c>
      <c r="B4987" t="s">
        <v>15973</v>
      </c>
      <c r="C4987" t="s">
        <v>16910</v>
      </c>
      <c r="D4987" t="str">
        <f>"05P830  LPR - Р“Р°Р»СЊРјС–РІРЅС– РєРѕР»РѕРґРєРё РґРѕ РґРёСЃРєС–РІ (R, S)"</f>
        <v>05P830  LPR - Р“Р°Р»СЊРјС–РІРЅС– РєРѕР»РѕРґРєРё РґРѕ РґРёСЃРєС–РІ (R, S)</v>
      </c>
      <c r="E4987">
        <v>1</v>
      </c>
      <c r="F4987" t="s">
        <v>16173</v>
      </c>
      <c r="G4987" t="s">
        <v>15973</v>
      </c>
      <c r="H4987" t="str">
        <f>"05P830"</f>
        <v>05P830</v>
      </c>
      <c r="I4987" t="s">
        <v>16911</v>
      </c>
    </row>
    <row r="4988" spans="1:9">
      <c r="A4988" t="str">
        <f>"0024391 "</f>
        <v xml:space="preserve">0024391 </v>
      </c>
      <c r="B4988" t="s">
        <v>15973</v>
      </c>
      <c r="C4988" t="s">
        <v>16912</v>
      </c>
      <c r="D4988" t="str">
        <f>"05P831  LPR - Р“Р°Р»СЊРјС–РІРЅС– РєРѕР»РѕРґРєРё РґРѕ РґРёСЃРєС–РІ (F, Р· РґР°С‚С‡РёРєРѕРј)"</f>
        <v>05P831  LPR - Р“Р°Р»СЊРјС–РІРЅС– РєРѕР»РѕРґРєРё РґРѕ РґРёСЃРєС–РІ (F, Р· РґР°С‚С‡РёРєРѕРј)</v>
      </c>
      <c r="E4988">
        <v>1</v>
      </c>
      <c r="F4988" t="s">
        <v>8058</v>
      </c>
      <c r="G4988" t="s">
        <v>15973</v>
      </c>
      <c r="H4988" t="str">
        <f>"05P831"</f>
        <v>05P831</v>
      </c>
      <c r="I4988" t="s">
        <v>16913</v>
      </c>
    </row>
    <row r="4989" spans="1:9">
      <c r="A4989" t="str">
        <f>"0024394 "</f>
        <v xml:space="preserve">0024394 </v>
      </c>
      <c r="B4989" t="s">
        <v>15973</v>
      </c>
      <c r="C4989" t="s">
        <v>16914</v>
      </c>
      <c r="D4989" t="str">
        <f>"05P835  LPR - Р“Р°Р»СЊРјС–РІРЅС– РєРѕР»РѕРґРєРё РґРѕ РґРёСЃРєС–РІ (R, V)"</f>
        <v>05P835  LPR - Р“Р°Р»СЊРјС–РІРЅС– РєРѕР»РѕРґРєРё РґРѕ РґРёСЃРєС–РІ (R, V)</v>
      </c>
      <c r="E4989">
        <v>1</v>
      </c>
      <c r="F4989" t="s">
        <v>16111</v>
      </c>
      <c r="G4989" t="s">
        <v>15973</v>
      </c>
      <c r="H4989" t="str">
        <f>"05P835"</f>
        <v>05P835</v>
      </c>
      <c r="I4989" t="s">
        <v>16915</v>
      </c>
    </row>
    <row r="4990" spans="1:9">
      <c r="A4990" t="str">
        <f>"0024395 "</f>
        <v xml:space="preserve">0024395 </v>
      </c>
      <c r="B4990" t="s">
        <v>15973</v>
      </c>
      <c r="C4990" t="s">
        <v>16916</v>
      </c>
      <c r="D4990" t="str">
        <f>"05P836  LPR - Р“Р°Р»СЊРјС–РІРЅС– РєРѕР»РѕРґРєРё РґРѕ РґРёСЃРєС–РІ (R)"</f>
        <v>05P836  LPR - Р“Р°Р»СЊРјС–РІРЅС– РєРѕР»РѕРґРєРё РґРѕ РґРёСЃРєС–РІ (R)</v>
      </c>
      <c r="E4990">
        <v>1</v>
      </c>
      <c r="F4990" t="s">
        <v>16917</v>
      </c>
      <c r="G4990" t="s">
        <v>15973</v>
      </c>
      <c r="H4990" t="str">
        <f>"05P836"</f>
        <v>05P836</v>
      </c>
      <c r="I4990" t="s">
        <v>16918</v>
      </c>
    </row>
    <row r="4991" spans="1:9">
      <c r="A4991" t="str">
        <f>"0024397 "</f>
        <v xml:space="preserve">0024397 </v>
      </c>
      <c r="B4991" t="s">
        <v>15973</v>
      </c>
      <c r="C4991" t="s">
        <v>16919</v>
      </c>
      <c r="D4991" t="str">
        <f>"05P838  LPR - Р“Р°Р»СЊРјС–РІРЅС– РєРѕР»РѕРґРєРё РґРѕ РґРёСЃРєС–РІ (R, S)"</f>
        <v>05P838  LPR - Р“Р°Р»СЊРјС–РІРЅС– РєРѕР»РѕРґРєРё РґРѕ РґРёСЃРєС–РІ (R, S)</v>
      </c>
      <c r="E4991">
        <v>1</v>
      </c>
      <c r="F4991" t="s">
        <v>16920</v>
      </c>
      <c r="G4991" t="s">
        <v>15973</v>
      </c>
      <c r="H4991" t="str">
        <f>"05P838"</f>
        <v>05P838</v>
      </c>
      <c r="I4991" t="s">
        <v>16921</v>
      </c>
    </row>
    <row r="4992" spans="1:9">
      <c r="A4992" t="str">
        <f>"0024406 "</f>
        <v xml:space="preserve">0024406 </v>
      </c>
      <c r="B4992" t="s">
        <v>15973</v>
      </c>
      <c r="C4992" t="s">
        <v>16922</v>
      </c>
      <c r="D4992" t="str">
        <f>"05P848  LPR - Р“Р°Р»СЊРјС–РІРЅС– РєРѕР»РѕРґРєРё РґРѕ РґРёСЃРєС–РІ (R)"</f>
        <v>05P848  LPR - Р“Р°Р»СЊРјС–РІРЅС– РєРѕР»РѕРґРєРё РґРѕ РґРёСЃРєС–РІ (R)</v>
      </c>
      <c r="E4992">
        <v>1</v>
      </c>
      <c r="F4992" t="s">
        <v>16737</v>
      </c>
      <c r="G4992" t="s">
        <v>15973</v>
      </c>
      <c r="H4992" t="str">
        <f>"05P848"</f>
        <v>05P848</v>
      </c>
      <c r="I4992" t="s">
        <v>16923</v>
      </c>
    </row>
    <row r="4993" spans="1:9">
      <c r="A4993" t="str">
        <f>"0024407 "</f>
        <v xml:space="preserve">0024407 </v>
      </c>
      <c r="B4993" t="s">
        <v>15973</v>
      </c>
      <c r="C4993" t="s">
        <v>16924</v>
      </c>
      <c r="D4993" t="str">
        <f>"05P849  LPR - Р“Р°Р»СЊРјС–РІРЅС– РєРѕР»РѕРґРєРё РґРѕ РґРёСЃРєС–РІ (F, V)"</f>
        <v>05P849  LPR - Р“Р°Р»СЊРјС–РІРЅС– РєРѕР»РѕРґРєРё РґРѕ РґРёСЃРєС–РІ (F, V)</v>
      </c>
      <c r="E4993">
        <v>1</v>
      </c>
      <c r="F4993" t="s">
        <v>16925</v>
      </c>
      <c r="G4993" t="s">
        <v>15973</v>
      </c>
      <c r="H4993" t="str">
        <f>"05P849"</f>
        <v>05P849</v>
      </c>
      <c r="I4993" t="s">
        <v>16926</v>
      </c>
    </row>
    <row r="4994" spans="1:9">
      <c r="A4994" t="str">
        <f>"0024415 "</f>
        <v xml:space="preserve">0024415 </v>
      </c>
      <c r="B4994" t="s">
        <v>15973</v>
      </c>
      <c r="C4994" t="s">
        <v>16927</v>
      </c>
      <c r="D4994" t="str">
        <f>"05P857  LPR - Р“Р°Р»СЊРјС–РІРЅС– РєРѕР»РѕРґРєРё РґРѕ РґРёСЃРєС–РІ (R)"</f>
        <v>05P857  LPR - Р“Р°Р»СЊРјС–РІРЅС– РєРѕР»РѕРґРєРё РґРѕ РґРёСЃРєС–РІ (R)</v>
      </c>
      <c r="E4994" t="s">
        <v>16</v>
      </c>
      <c r="F4994" t="s">
        <v>16033</v>
      </c>
      <c r="G4994" t="s">
        <v>15973</v>
      </c>
      <c r="H4994" t="str">
        <f>"05P857"</f>
        <v>05P857</v>
      </c>
      <c r="I4994" t="s">
        <v>16928</v>
      </c>
    </row>
    <row r="4995" spans="1:9">
      <c r="A4995" t="str">
        <f>"0024416 "</f>
        <v xml:space="preserve">0024416 </v>
      </c>
      <c r="B4995" t="s">
        <v>15973</v>
      </c>
      <c r="C4995" t="s">
        <v>16929</v>
      </c>
      <c r="D4995" t="str">
        <f>"05P858  LPR - Р“Р°Р»СЊРјС–РІРЅС– РєРѕР»РѕРґРєРё РґРѕ РґРёСЃРєС–РІ (F, V, Р· РґР°С‚С‡РёРєРѕРј)"</f>
        <v>05P858  LPR - Р“Р°Р»СЊРјС–РІРЅС– РєРѕР»РѕРґРєРё РґРѕ РґРёСЃРєС–РІ (F, V, Р· РґР°С‚С‡РёРєРѕРј)</v>
      </c>
      <c r="E4995">
        <v>1</v>
      </c>
      <c r="F4995" t="s">
        <v>16930</v>
      </c>
      <c r="G4995" t="s">
        <v>15973</v>
      </c>
      <c r="H4995" t="str">
        <f>"05P858"</f>
        <v>05P858</v>
      </c>
      <c r="I4995" t="s">
        <v>16931</v>
      </c>
    </row>
    <row r="4996" spans="1:9">
      <c r="A4996" t="str">
        <f>"0024420 "</f>
        <v xml:space="preserve">0024420 </v>
      </c>
      <c r="B4996" t="s">
        <v>15973</v>
      </c>
      <c r="C4996" t="s">
        <v>16932</v>
      </c>
      <c r="D4996" t="str">
        <f>"05P863  LPR - Р“Р°Р»СЊРјС–РІРЅС– РєРѕР»РѕРґРєРё РґРѕ РґРёСЃРєС–РІ (F, V, Р· РґР°С‚С‡РёРєРѕРј)"</f>
        <v>05P863  LPR - Р“Р°Р»СЊРјС–РІРЅС– РєРѕР»РѕРґРєРё РґРѕ РґРёСЃРєС–РІ (F, V, Р· РґР°С‚С‡РёРєРѕРј)</v>
      </c>
      <c r="E4996">
        <v>1</v>
      </c>
      <c r="F4996" t="s">
        <v>16933</v>
      </c>
      <c r="G4996" t="s">
        <v>15973</v>
      </c>
      <c r="H4996" t="str">
        <f>"05P863"</f>
        <v>05P863</v>
      </c>
      <c r="I4996" t="s">
        <v>16934</v>
      </c>
    </row>
    <row r="4997" spans="1:9">
      <c r="A4997" t="str">
        <f>"0024421 "</f>
        <v xml:space="preserve">0024421 </v>
      </c>
      <c r="B4997" t="s">
        <v>15973</v>
      </c>
      <c r="C4997" t="s">
        <v>16935</v>
      </c>
      <c r="D4997" t="str">
        <f>"05P864  LPR - Р“Р°Р»СЊРјС–РІРЅС– РєРѕР»РѕРґРєРё РґРѕ РґРёСЃРєС–РІ (F, V)"</f>
        <v>05P864  LPR - Р“Р°Р»СЊРјС–РІРЅС– РєРѕР»РѕРґРєРё РґРѕ РґРёСЃРєС–РІ (F, V)</v>
      </c>
      <c r="E4997">
        <v>2</v>
      </c>
      <c r="F4997" t="s">
        <v>16845</v>
      </c>
      <c r="G4997" t="s">
        <v>15973</v>
      </c>
      <c r="H4997" t="str">
        <f>"05P864"</f>
        <v>05P864</v>
      </c>
      <c r="I4997" t="s">
        <v>16936</v>
      </c>
    </row>
    <row r="4998" spans="1:9">
      <c r="A4998" t="str">
        <f>"0024422 "</f>
        <v xml:space="preserve">0024422 </v>
      </c>
      <c r="B4998" t="s">
        <v>15973</v>
      </c>
      <c r="C4998" t="s">
        <v>16937</v>
      </c>
      <c r="D4998" t="str">
        <f>"05P865  LPR - Р“Р°Р»СЊРјС–РІРЅС– РєРѕР»РѕРґРєРё РґРѕ РґРёСЃРєС–РІ (F, V)"</f>
        <v>05P865  LPR - Р“Р°Р»СЊРјС–РІРЅС– РєРѕР»РѕРґРєРё РґРѕ РґРёСЃРєС–РІ (F, V)</v>
      </c>
      <c r="E4998">
        <v>2</v>
      </c>
      <c r="F4998" t="s">
        <v>16938</v>
      </c>
      <c r="G4998" t="s">
        <v>15973</v>
      </c>
      <c r="H4998" t="str">
        <f>"05P865"</f>
        <v>05P865</v>
      </c>
      <c r="I4998" t="s">
        <v>16939</v>
      </c>
    </row>
    <row r="4999" spans="1:9">
      <c r="A4999" t="str">
        <f>"0024423 "</f>
        <v xml:space="preserve">0024423 </v>
      </c>
      <c r="B4999" t="s">
        <v>15973</v>
      </c>
      <c r="C4999" t="s">
        <v>16940</v>
      </c>
      <c r="D4999" t="str">
        <f>"05P866  LPR - Р“Р°Р»СЊРјС–РІРЅС– РєРѕР»РѕРґРєРё РґРѕ РґРёСЃРєС–РІ (F, V, Р· РґР°С‚С‡РёРєРѕРј)"</f>
        <v>05P866  LPR - Р“Р°Р»СЊРјС–РІРЅС– РєРѕР»РѕРґРєРё РґРѕ РґРёСЃРєС–РІ (F, V, Р· РґР°С‚С‡РёРєРѕРј)</v>
      </c>
      <c r="E4999" t="s">
        <v>16</v>
      </c>
      <c r="F4999" t="s">
        <v>16484</v>
      </c>
      <c r="G4999" t="s">
        <v>15973</v>
      </c>
      <c r="H4999" t="str">
        <f>"05P866"</f>
        <v>05P866</v>
      </c>
      <c r="I4999" t="s">
        <v>16941</v>
      </c>
    </row>
    <row r="5000" spans="1:9">
      <c r="A5000" t="str">
        <f>"0024424 "</f>
        <v xml:space="preserve">0024424 </v>
      </c>
      <c r="B5000" t="s">
        <v>15973</v>
      </c>
      <c r="C5000" t="s">
        <v>16942</v>
      </c>
      <c r="D5000" t="str">
        <f>"05P867  LPR - Р“Р°Р»СЊРјС–РІРЅС– РєРѕР»РѕРґРєРё РґРѕ РґРёСЃРєС–РІ (F, V)"</f>
        <v>05P867  LPR - Р“Р°Р»СЊРјС–РІРЅС– РєРѕР»РѕРґРєРё РґРѕ РґРёСЃРєС–РІ (F, V)</v>
      </c>
      <c r="E5000" t="s">
        <v>16</v>
      </c>
      <c r="F5000" t="s">
        <v>10723</v>
      </c>
      <c r="G5000" t="s">
        <v>15973</v>
      </c>
      <c r="H5000" t="str">
        <f>"05P867"</f>
        <v>05P867</v>
      </c>
      <c r="I5000" t="s">
        <v>16943</v>
      </c>
    </row>
    <row r="5001" spans="1:9">
      <c r="A5001" t="str">
        <f>"0024425 "</f>
        <v xml:space="preserve">0024425 </v>
      </c>
      <c r="B5001" t="s">
        <v>15973</v>
      </c>
      <c r="C5001" t="s">
        <v>16944</v>
      </c>
      <c r="D5001" t="str">
        <f>"05P868  LPR - Р“Р°Р»СЊРјС–РІРЅС– РєРѕР»РѕРґРєРё РґРѕ РґРёСЃРєС–РІ (R, S)"</f>
        <v>05P868  LPR - Р“Р°Р»СЊРјС–РІРЅС– РєРѕР»РѕРґРєРё РґРѕ РґРёСЃРєС–РІ (R, S)</v>
      </c>
      <c r="E5001" t="s">
        <v>16</v>
      </c>
      <c r="F5001" t="s">
        <v>3726</v>
      </c>
      <c r="G5001" t="s">
        <v>15973</v>
      </c>
      <c r="H5001" t="str">
        <f>"05P868"</f>
        <v>05P868</v>
      </c>
      <c r="I5001" t="s">
        <v>16945</v>
      </c>
    </row>
    <row r="5002" spans="1:9">
      <c r="A5002" t="str">
        <f>"0024426 "</f>
        <v xml:space="preserve">0024426 </v>
      </c>
      <c r="B5002" t="s">
        <v>15973</v>
      </c>
      <c r="C5002" t="s">
        <v>16946</v>
      </c>
      <c r="D5002" t="str">
        <f>"05P869  LPR - Р“Р°Р»СЊРјС–РІРЅС– РєРѕР»РѕРґРєРё РґРѕ РґРёСЃРєС–РІ (F, V)"</f>
        <v>05P869  LPR - Р“Р°Р»СЊРјС–РІРЅС– РєРѕР»РѕРґРєРё РґРѕ РґРёСЃРєС–РІ (F, V)</v>
      </c>
      <c r="E5002" t="s">
        <v>16</v>
      </c>
      <c r="F5002" t="s">
        <v>16947</v>
      </c>
      <c r="G5002" t="s">
        <v>15973</v>
      </c>
      <c r="H5002" t="str">
        <f>"05P869"</f>
        <v>05P869</v>
      </c>
      <c r="I5002" t="s">
        <v>16948</v>
      </c>
    </row>
    <row r="5003" spans="1:9">
      <c r="A5003" t="str">
        <f>"0024433 "</f>
        <v xml:space="preserve">0024433 </v>
      </c>
      <c r="B5003" t="s">
        <v>15973</v>
      </c>
      <c r="C5003" t="s">
        <v>16949</v>
      </c>
      <c r="D5003" t="str">
        <f>"05P878  LPR - Р“Р°Р»СЊРјС–РІРЅС– РєРѕР»РѕРґРєРё РґРѕ РґРёСЃРєС–РІ (F, V, Р· РґР°С‚С‡РёРєРѕРј)"</f>
        <v>05P878  LPR - Р“Р°Р»СЊРјС–РІРЅС– РєРѕР»РѕРґРєРё РґРѕ РґРёСЃРєС–РІ (F, V, Р· РґР°С‚С‡РёРєРѕРј)</v>
      </c>
      <c r="E5003">
        <v>1</v>
      </c>
      <c r="F5003" t="s">
        <v>16787</v>
      </c>
      <c r="G5003" t="s">
        <v>15973</v>
      </c>
      <c r="H5003" t="str">
        <f>"05P878"</f>
        <v>05P878</v>
      </c>
      <c r="I5003" t="s">
        <v>16950</v>
      </c>
    </row>
    <row r="5004" spans="1:9">
      <c r="A5004" t="str">
        <f>"0024436 "</f>
        <v xml:space="preserve">0024436 </v>
      </c>
      <c r="B5004" t="s">
        <v>15973</v>
      </c>
      <c r="C5004" t="s">
        <v>16951</v>
      </c>
      <c r="D5004" t="str">
        <f>"05P881  LPR - Р“Р°Р»СЊРјС–РІРЅС– РєРѕР»РѕРґРєРё РґРѕ РґРёСЃРєС–РІ (F)"</f>
        <v>05P881  LPR - Р“Р°Р»СЊРјС–РІРЅС– РєРѕР»РѕРґРєРё РґРѕ РґРёСЃРєС–РІ (F)</v>
      </c>
      <c r="E5004">
        <v>1</v>
      </c>
      <c r="F5004" t="s">
        <v>16952</v>
      </c>
      <c r="G5004" t="s">
        <v>15973</v>
      </c>
      <c r="H5004" t="str">
        <f>"05P881"</f>
        <v>05P881</v>
      </c>
      <c r="I5004" t="s">
        <v>16953</v>
      </c>
    </row>
    <row r="5005" spans="1:9">
      <c r="A5005" t="str">
        <f>"0024437 "</f>
        <v xml:space="preserve">0024437 </v>
      </c>
      <c r="B5005" t="s">
        <v>15973</v>
      </c>
      <c r="C5005" t="s">
        <v>16954</v>
      </c>
      <c r="D5005" t="str">
        <f>"05P883  LPR - Р“Р°Р»СЊРјС–РІРЅС– РєРѕР»РѕРґРєРё РґРѕ РґРёСЃРєС–РІ (R, S)"</f>
        <v>05P883  LPR - Р“Р°Р»СЊРјС–РІРЅС– РєРѕР»РѕРґРєРё РґРѕ РґРёСЃРєС–РІ (R, S)</v>
      </c>
      <c r="E5005">
        <v>1</v>
      </c>
      <c r="F5005" t="s">
        <v>5688</v>
      </c>
      <c r="G5005" t="s">
        <v>15973</v>
      </c>
      <c r="H5005" t="str">
        <f>"05P883"</f>
        <v>05P883</v>
      </c>
      <c r="I5005" t="s">
        <v>16955</v>
      </c>
    </row>
    <row r="5006" spans="1:9">
      <c r="A5006" t="str">
        <f>"0024438 "</f>
        <v xml:space="preserve">0024438 </v>
      </c>
      <c r="B5006" t="s">
        <v>15973</v>
      </c>
      <c r="C5006" t="s">
        <v>16956</v>
      </c>
      <c r="D5006" t="str">
        <f>"05P884  LPR - Р“Р°Р»СЊРјС–РІРЅС– РєРѕР»РѕРґРєРё РґРѕ РґРёСЃРєС–РІ (F, V)"</f>
        <v>05P884  LPR - Р“Р°Р»СЊРјС–РІРЅС– РєРѕР»РѕРґРєРё РґРѕ РґРёСЃРєС–РІ (F, V)</v>
      </c>
      <c r="E5006">
        <v>3</v>
      </c>
      <c r="F5006" t="s">
        <v>16445</v>
      </c>
      <c r="G5006" t="s">
        <v>15973</v>
      </c>
      <c r="H5006" t="str">
        <f>"05P884"</f>
        <v>05P884</v>
      </c>
      <c r="I5006" t="s">
        <v>16957</v>
      </c>
    </row>
    <row r="5007" spans="1:9">
      <c r="A5007" t="str">
        <f>"0024439 "</f>
        <v xml:space="preserve">0024439 </v>
      </c>
      <c r="B5007" t="s">
        <v>15973</v>
      </c>
      <c r="C5007" t="s">
        <v>16958</v>
      </c>
      <c r="D5007" t="str">
        <f>"05P885  LPR - Р“Р°Р»СЊРјС–РІРЅС– РєРѕР»РѕРґРєРё РґРѕ РґРёСЃРєС–РІ (R, S)"</f>
        <v>05P885  LPR - Р“Р°Р»СЊРјС–РІРЅС– РєРѕР»РѕРґРєРё РґРѕ РґРёСЃРєС–РІ (R, S)</v>
      </c>
      <c r="E5007">
        <v>1</v>
      </c>
      <c r="F5007" t="s">
        <v>16959</v>
      </c>
      <c r="G5007" t="s">
        <v>15973</v>
      </c>
      <c r="H5007" t="str">
        <f>"05P885"</f>
        <v>05P885</v>
      </c>
      <c r="I5007" t="s">
        <v>16960</v>
      </c>
    </row>
    <row r="5008" spans="1:9">
      <c r="A5008" t="str">
        <f>"0024451 "</f>
        <v xml:space="preserve">0024451 </v>
      </c>
      <c r="B5008" t="s">
        <v>15973</v>
      </c>
      <c r="C5008" t="s">
        <v>16961</v>
      </c>
      <c r="D5008" t="str">
        <f>"05P900  LPR - Р“Р°Р»СЊРјС–РІРЅС– РєРѕР»РѕРґРєРё РґРѕ РґРёСЃРєС–РІ (R, V)"</f>
        <v>05P900  LPR - Р“Р°Р»СЊРјС–РІРЅС– РєРѕР»РѕРґРєРё РґРѕ РґРёСЃРєС–РІ (R, V)</v>
      </c>
      <c r="E5008">
        <v>1</v>
      </c>
      <c r="F5008" t="s">
        <v>16962</v>
      </c>
      <c r="G5008" t="s">
        <v>15973</v>
      </c>
      <c r="H5008" t="str">
        <f>"05P900"</f>
        <v>05P900</v>
      </c>
      <c r="I5008" t="s">
        <v>16963</v>
      </c>
    </row>
    <row r="5009" spans="1:9">
      <c r="A5009" t="str">
        <f>"0024453 "</f>
        <v xml:space="preserve">0024453 </v>
      </c>
      <c r="B5009" t="s">
        <v>15973</v>
      </c>
      <c r="C5009" t="s">
        <v>16964</v>
      </c>
      <c r="D5009" t="str">
        <f>"05P903  LPR - Р“Р°Р»СЊРјС–РІРЅС– РєРѕР»РѕРґРєРё РґРѕ РґРёСЃРєС–РІ (F, S)"</f>
        <v>05P903  LPR - Р“Р°Р»СЊРјС–РІРЅС– РєРѕР»РѕРґРєРё РґРѕ РґРёСЃРєС–РІ (F, S)</v>
      </c>
      <c r="E5009">
        <v>1</v>
      </c>
      <c r="F5009" t="s">
        <v>16097</v>
      </c>
      <c r="G5009" t="s">
        <v>15973</v>
      </c>
      <c r="H5009" t="str">
        <f>"05P903"</f>
        <v>05P903</v>
      </c>
      <c r="I5009" t="s">
        <v>16965</v>
      </c>
    </row>
    <row r="5010" spans="1:9">
      <c r="A5010" t="str">
        <f>"0024455 "</f>
        <v xml:space="preserve">0024455 </v>
      </c>
      <c r="B5010" t="s">
        <v>15973</v>
      </c>
      <c r="C5010" t="s">
        <v>16966</v>
      </c>
      <c r="D5010" t="str">
        <f>"05P905  LPR - Р“Р°Р»СЊРјС–РІРЅС– РєРѕР»РѕРґРєРё РґРѕ РґРёСЃРєС–РІ (R)"</f>
        <v>05P905  LPR - Р“Р°Р»СЊРјС–РІРЅС– РєРѕР»РѕРґРєРё РґРѕ РґРёСЃРєС–РІ (R)</v>
      </c>
      <c r="E5010">
        <v>1</v>
      </c>
      <c r="F5010" t="s">
        <v>16105</v>
      </c>
      <c r="G5010" t="s">
        <v>15973</v>
      </c>
      <c r="H5010" t="str">
        <f>"05P905"</f>
        <v>05P905</v>
      </c>
      <c r="I5010" t="s">
        <v>16967</v>
      </c>
    </row>
    <row r="5011" spans="1:9">
      <c r="A5011" t="str">
        <f>"0024456 "</f>
        <v xml:space="preserve">0024456 </v>
      </c>
      <c r="B5011" t="s">
        <v>15973</v>
      </c>
      <c r="C5011" t="s">
        <v>16968</v>
      </c>
      <c r="D5011" t="str">
        <f>"05P906  LPR - Р“Р°Р»СЊРјС–РІРЅС– РєРѕР»РѕРґРєРё РґРѕ РґРёСЃРєС–РІ (F)"</f>
        <v>05P906  LPR - Р“Р°Р»СЊРјС–РІРЅС– РєРѕР»РѕРґРєРё РґРѕ РґРёСЃРєС–РІ (F)</v>
      </c>
      <c r="E5011">
        <v>1</v>
      </c>
      <c r="F5011" t="s">
        <v>16969</v>
      </c>
      <c r="G5011" t="s">
        <v>15973</v>
      </c>
      <c r="H5011" t="str">
        <f>"05P906"</f>
        <v>05P906</v>
      </c>
      <c r="I5011" t="s">
        <v>16970</v>
      </c>
    </row>
    <row r="5012" spans="1:9">
      <c r="A5012" t="str">
        <f>"0024460 "</f>
        <v xml:space="preserve">0024460 </v>
      </c>
      <c r="B5012" t="s">
        <v>15973</v>
      </c>
      <c r="C5012" t="s">
        <v>16971</v>
      </c>
      <c r="D5012" t="str">
        <f>"05P910  LPR - Р“Р°Р»СЊРјС–РІРЅС– РєРѕР»РѕРґРєРё РґРѕ РґРёСЃРєС–РІ (F, V)"</f>
        <v>05P910  LPR - Р“Р°Р»СЊРјС–РІРЅС– РєРѕР»РѕРґРєРё РґРѕ РґРёСЃРєС–РІ (F, V)</v>
      </c>
      <c r="E5012">
        <v>2</v>
      </c>
      <c r="F5012" t="s">
        <v>16117</v>
      </c>
      <c r="G5012" t="s">
        <v>15973</v>
      </c>
      <c r="H5012" t="str">
        <f>"05P910"</f>
        <v>05P910</v>
      </c>
      <c r="I5012" t="s">
        <v>16972</v>
      </c>
    </row>
    <row r="5013" spans="1:9">
      <c r="A5013" t="str">
        <f>"0024461 "</f>
        <v xml:space="preserve">0024461 </v>
      </c>
      <c r="B5013" t="s">
        <v>15973</v>
      </c>
      <c r="C5013" t="s">
        <v>16973</v>
      </c>
      <c r="D5013" t="str">
        <f>"05P911  LPR - Р“Р°Р»СЊРјС–РІРЅС– РєРѕР»РѕРґРєРё РґРѕ РґРёСЃРєС–РІ (F, V)"</f>
        <v>05P911  LPR - Р“Р°Р»СЊРјС–РІРЅС– РєРѕР»РѕРґРєРё РґРѕ РґРёСЃРєС–РІ (F, V)</v>
      </c>
      <c r="E5013">
        <v>3</v>
      </c>
      <c r="F5013" t="s">
        <v>16182</v>
      </c>
      <c r="G5013" t="s">
        <v>15973</v>
      </c>
      <c r="H5013" t="str">
        <f>"05P911"</f>
        <v>05P911</v>
      </c>
      <c r="I5013" t="s">
        <v>16974</v>
      </c>
    </row>
    <row r="5014" spans="1:9">
      <c r="A5014" t="str">
        <f>"0024463 "</f>
        <v xml:space="preserve">0024463 </v>
      </c>
      <c r="B5014" t="s">
        <v>15973</v>
      </c>
      <c r="C5014" t="s">
        <v>16975</v>
      </c>
      <c r="D5014" t="str">
        <f>"05P913  LPR - Р“Р°Р»СЊРјС–РІРЅС– РєРѕР»РѕРґРєРё РґРѕ РґРёСЃРєС–РІ (F)"</f>
        <v>05P913  LPR - Р“Р°Р»СЊРјС–РІРЅС– РєРѕР»РѕРґРєРё РґРѕ РґРёСЃРєС–РІ (F)</v>
      </c>
      <c r="E5014">
        <v>2</v>
      </c>
      <c r="F5014" t="s">
        <v>16515</v>
      </c>
      <c r="G5014" t="s">
        <v>15973</v>
      </c>
      <c r="H5014" t="str">
        <f>"05P913"</f>
        <v>05P913</v>
      </c>
      <c r="I5014" t="s">
        <v>16976</v>
      </c>
    </row>
    <row r="5015" spans="1:9">
      <c r="A5015" t="str">
        <f>"0024488 "</f>
        <v xml:space="preserve">0024488 </v>
      </c>
      <c r="B5015" t="s">
        <v>15973</v>
      </c>
      <c r="C5015" t="s">
        <v>16977</v>
      </c>
      <c r="D5015" t="str">
        <f>"05P940  LPR - Р“Р°Р»СЊРјС–РІРЅС– РєРѕР»РѕРґРєРё РґРѕ РґРёСЃРєС–РІ (F, V)"</f>
        <v>05P940  LPR - Р“Р°Р»СЊРјС–РІРЅС– РєРѕР»РѕРґРєРё РґРѕ РґРёСЃРєС–РІ (F, V)</v>
      </c>
      <c r="E5015">
        <v>2</v>
      </c>
      <c r="F5015" t="s">
        <v>6782</v>
      </c>
      <c r="G5015" t="s">
        <v>15973</v>
      </c>
      <c r="H5015" t="str">
        <f>"05P940"</f>
        <v>05P940</v>
      </c>
      <c r="I5015" t="s">
        <v>16978</v>
      </c>
    </row>
    <row r="5016" spans="1:9">
      <c r="A5016" t="str">
        <f>"0024493 "</f>
        <v xml:space="preserve">0024493 </v>
      </c>
      <c r="B5016" t="s">
        <v>15973</v>
      </c>
      <c r="C5016" t="s">
        <v>16979</v>
      </c>
      <c r="D5016" t="str">
        <f>"05P946  LPR - Р“Р°Р»СЊРјС–РІРЅС– РєРѕР»РѕРґРєРё РґРѕ РґРёСЃРєС–РІ (R, S)"</f>
        <v>05P946  LPR - Р“Р°Р»СЊРјС–РІРЅС– РєРѕР»РѕРґРєРё РґРѕ РґРёСЃРєС–РІ (R, S)</v>
      </c>
      <c r="E5016" t="s">
        <v>16</v>
      </c>
      <c r="F5016" t="s">
        <v>16780</v>
      </c>
      <c r="G5016" t="s">
        <v>15973</v>
      </c>
      <c r="H5016" t="str">
        <f>"05P946"</f>
        <v>05P946</v>
      </c>
      <c r="I5016" t="s">
        <v>16980</v>
      </c>
    </row>
    <row r="5017" spans="1:9">
      <c r="A5017" t="str">
        <f>"0024495 "</f>
        <v xml:space="preserve">0024495 </v>
      </c>
      <c r="B5017" t="s">
        <v>15973</v>
      </c>
      <c r="C5017" t="s">
        <v>16981</v>
      </c>
      <c r="D5017" t="str">
        <f>"05P948  LPR - Р“Р°Р»СЊРјС–РІРЅС– РєРѕР»РѕРґРєРё РґРѕ РґРёСЃРєС–РІ (R, S)"</f>
        <v>05P948  LPR - Р“Р°Р»СЊРјС–РІРЅС– РєРѕР»РѕРґРєРё РґРѕ РґРёСЃРєС–РІ (R, S)</v>
      </c>
      <c r="E5017">
        <v>5</v>
      </c>
      <c r="F5017" t="s">
        <v>5421</v>
      </c>
      <c r="G5017" t="s">
        <v>15973</v>
      </c>
      <c r="H5017" t="str">
        <f>"05P948"</f>
        <v>05P948</v>
      </c>
      <c r="I5017" t="s">
        <v>16982</v>
      </c>
    </row>
    <row r="5018" spans="1:9">
      <c r="A5018" t="str">
        <f>"0024496 "</f>
        <v xml:space="preserve">0024496 </v>
      </c>
      <c r="B5018" t="s">
        <v>15973</v>
      </c>
      <c r="C5018" t="s">
        <v>16983</v>
      </c>
      <c r="D5018" t="str">
        <f>"05P949  LPR - Р“Р°Р»СЊРјС–РІРЅС– РєРѕР»РѕРґРєРё РґРѕ РґРёСЃРєС–РІ (F, V)"</f>
        <v>05P949  LPR - Р“Р°Р»СЊРјС–РІРЅС– РєРѕР»РѕРґРєРё РґРѕ РґРёСЃРєС–РІ (F, V)</v>
      </c>
      <c r="E5018">
        <v>3</v>
      </c>
      <c r="F5018" t="s">
        <v>11922</v>
      </c>
      <c r="G5018" t="s">
        <v>15973</v>
      </c>
      <c r="H5018" t="str">
        <f>"05P949"</f>
        <v>05P949</v>
      </c>
      <c r="I5018" t="s">
        <v>16984</v>
      </c>
    </row>
    <row r="5019" spans="1:9">
      <c r="A5019" t="str">
        <f>"0024497 "</f>
        <v xml:space="preserve">0024497 </v>
      </c>
      <c r="B5019" t="s">
        <v>15973</v>
      </c>
      <c r="C5019" t="s">
        <v>16985</v>
      </c>
      <c r="D5019" t="str">
        <f>"05P950  LPR - Р“Р°Р»СЊРјС–РІРЅС– РєРѕР»РѕРґРєРё РґРѕ РґРёСЃРєС–РІ (F, V)"</f>
        <v>05P950  LPR - Р“Р°Р»СЊРјС–РІРЅС– РєРѕР»РѕРґРєРё РґРѕ РґРёСЃРєС–РІ (F, V)</v>
      </c>
      <c r="E5019">
        <v>1</v>
      </c>
      <c r="F5019" t="s">
        <v>16986</v>
      </c>
      <c r="G5019" t="s">
        <v>15973</v>
      </c>
      <c r="H5019" t="str">
        <f>"05P950"</f>
        <v>05P950</v>
      </c>
      <c r="I5019" t="s">
        <v>16987</v>
      </c>
    </row>
    <row r="5020" spans="1:9">
      <c r="A5020" t="str">
        <f>"0024501 "</f>
        <v xml:space="preserve">0024501 </v>
      </c>
      <c r="B5020" t="s">
        <v>15973</v>
      </c>
      <c r="C5020" t="s">
        <v>16988</v>
      </c>
      <c r="D5020" t="str">
        <f>"05P954  LPR - Р“Р°Р»СЊРјС–РІРЅС– РєРѕР»РѕРґРєРё РґРѕ РґРёСЃРєС–РІ (R)"</f>
        <v>05P954  LPR - Р“Р°Р»СЊРјС–РІРЅС– РєРѕР»РѕРґРєРё РґРѕ РґРёСЃРєС–РІ (R)</v>
      </c>
      <c r="E5020">
        <v>1</v>
      </c>
      <c r="F5020" t="s">
        <v>16989</v>
      </c>
      <c r="G5020" t="s">
        <v>15973</v>
      </c>
      <c r="H5020" t="str">
        <f>"05P954"</f>
        <v>05P954</v>
      </c>
      <c r="I5020" t="s">
        <v>16990</v>
      </c>
    </row>
    <row r="5021" spans="1:9">
      <c r="A5021" t="str">
        <f>"0024503 "</f>
        <v xml:space="preserve">0024503 </v>
      </c>
      <c r="B5021" t="s">
        <v>15973</v>
      </c>
      <c r="C5021" t="s">
        <v>16991</v>
      </c>
      <c r="D5021" t="str">
        <f>"05P956  LPR - Р“Р°Р»СЊРјС–РІРЅС– РєРѕР»РѕРґРєРё РґРѕ РґРёСЃРєС–РІ (R)"</f>
        <v>05P956  LPR - Р“Р°Р»СЊРјС–РІРЅС– РєРѕР»РѕРґРєРё РґРѕ РґРёСЃРєС–РІ (R)</v>
      </c>
      <c r="E5021">
        <v>1</v>
      </c>
      <c r="F5021" t="s">
        <v>16365</v>
      </c>
      <c r="G5021" t="s">
        <v>15973</v>
      </c>
      <c r="H5021" t="str">
        <f>"05P956"</f>
        <v>05P956</v>
      </c>
      <c r="I5021" t="s">
        <v>16992</v>
      </c>
    </row>
    <row r="5022" spans="1:9">
      <c r="A5022" t="str">
        <f>"0024504 "</f>
        <v xml:space="preserve">0024504 </v>
      </c>
      <c r="B5022" t="s">
        <v>15973</v>
      </c>
      <c r="C5022" t="s">
        <v>16993</v>
      </c>
      <c r="D5022" t="str">
        <f>"05P957  LPR - Р“Р°Р»СЊРјС–РІРЅС– РєРѕР»РѕРґРєРё РґРѕ РґРёСЃРєС–РІ (R, S)"</f>
        <v>05P957  LPR - Р“Р°Р»СЊРјС–РІРЅС– РєРѕР»РѕРґРєРё РґРѕ РґРёСЃРєС–РІ (R, S)</v>
      </c>
      <c r="E5022">
        <v>2</v>
      </c>
      <c r="F5022" t="s">
        <v>16994</v>
      </c>
      <c r="G5022" t="s">
        <v>15973</v>
      </c>
      <c r="H5022" t="str">
        <f>"05P957"</f>
        <v>05P957</v>
      </c>
      <c r="I5022" t="s">
        <v>16995</v>
      </c>
    </row>
    <row r="5023" spans="1:9">
      <c r="A5023" t="str">
        <f>"0024513 "</f>
        <v xml:space="preserve">0024513 </v>
      </c>
      <c r="B5023" t="s">
        <v>15973</v>
      </c>
      <c r="C5023" t="s">
        <v>16996</v>
      </c>
      <c r="D5023" t="str">
        <f>"05P966  LPR - Р“Р°Р»СЊРјС–РІРЅС– РєРѕР»РѕРґРєРё РґРѕ РґРёСЃРєС–РІ (F, V, Р· РґР°С‚С‡РёРєРѕРј)"</f>
        <v>05P966  LPR - Р“Р°Р»СЊРјС–РІРЅС– РєРѕР»РѕРґРєРё РґРѕ РґРёСЃРєС–РІ (F, V, Р· РґР°С‚С‡РёРєРѕРј)</v>
      </c>
      <c r="E5023">
        <v>1</v>
      </c>
      <c r="F5023" t="s">
        <v>6580</v>
      </c>
      <c r="G5023" t="s">
        <v>15973</v>
      </c>
      <c r="H5023" t="str">
        <f>"05P966"</f>
        <v>05P966</v>
      </c>
      <c r="I5023" t="s">
        <v>16997</v>
      </c>
    </row>
    <row r="5024" spans="1:9">
      <c r="A5024" t="str">
        <f>"0024514 "</f>
        <v xml:space="preserve">0024514 </v>
      </c>
      <c r="B5024" t="s">
        <v>15973</v>
      </c>
      <c r="C5024" t="s">
        <v>16998</v>
      </c>
      <c r="D5024" t="str">
        <f>"05P967  LPR - Р“Р°Р»СЊРјС–РІРЅС– РєРѕР»РѕРґРєРё РґРѕ РґРёСЃРєС–РІ (F, V, Р· РґР°С‚С‡РёРєРѕРј)"</f>
        <v>05P967  LPR - Р“Р°Р»СЊРјС–РІРЅС– РєРѕР»РѕРґРєРё РґРѕ РґРёСЃРєС–РІ (F, V, Р· РґР°С‚С‡РёРєРѕРј)</v>
      </c>
      <c r="E5024">
        <v>1</v>
      </c>
      <c r="F5024" t="s">
        <v>2522</v>
      </c>
      <c r="G5024" t="s">
        <v>15973</v>
      </c>
      <c r="H5024" t="str">
        <f>"05P967"</f>
        <v>05P967</v>
      </c>
      <c r="I5024" t="s">
        <v>16999</v>
      </c>
    </row>
    <row r="5025" spans="1:9">
      <c r="A5025" t="str">
        <f>"0024516 "</f>
        <v xml:space="preserve">0024516 </v>
      </c>
      <c r="B5025" t="s">
        <v>15973</v>
      </c>
      <c r="C5025" t="s">
        <v>17000</v>
      </c>
      <c r="D5025" t="str">
        <f>"05P969  LPR - Р“Р°Р»СЊРјС–РІРЅС– РєРѕР»РѕРґРєРё РґРѕ РґРёСЃРєС–РІ (F, V, Р· РґР°С‚С‡РёРєРѕРј)"</f>
        <v>05P969  LPR - Р“Р°Р»СЊРјС–РІРЅС– РєРѕР»РѕРґРєРё РґРѕ РґРёСЃРєС–РІ (F, V, Р· РґР°С‚С‡РёРєРѕРј)</v>
      </c>
      <c r="E5025">
        <v>2</v>
      </c>
      <c r="F5025" t="s">
        <v>15993</v>
      </c>
      <c r="G5025" t="s">
        <v>15973</v>
      </c>
      <c r="H5025" t="str">
        <f>"05P969"</f>
        <v>05P969</v>
      </c>
      <c r="I5025" t="s">
        <v>17001</v>
      </c>
    </row>
    <row r="5026" spans="1:9">
      <c r="A5026" t="str">
        <f>"0024518 "</f>
        <v xml:space="preserve">0024518 </v>
      </c>
      <c r="B5026" t="s">
        <v>15973</v>
      </c>
      <c r="C5026" t="s">
        <v>17002</v>
      </c>
      <c r="D5026" t="str">
        <f>"05P971  LPR - Р“Р°Р»СЊРјС–РІРЅС– РєРѕР»РѕРґРєРё РґРѕ РґРёСЃРєС–РІ (F, V, Р· РґР°С‚С‡РёРєРѕРј)"</f>
        <v>05P971  LPR - Р“Р°Р»СЊРјС–РІРЅС– РєРѕР»РѕРґРєРё РґРѕ РґРёСЃРєС–РІ (F, V, Р· РґР°С‚С‡РёРєРѕРј)</v>
      </c>
      <c r="E5026">
        <v>2</v>
      </c>
      <c r="F5026" t="s">
        <v>16765</v>
      </c>
      <c r="G5026" t="s">
        <v>15973</v>
      </c>
      <c r="H5026" t="str">
        <f>"05P971"</f>
        <v>05P971</v>
      </c>
      <c r="I5026" t="s">
        <v>17003</v>
      </c>
    </row>
    <row r="5027" spans="1:9">
      <c r="A5027" t="str">
        <f>"0024521 "</f>
        <v xml:space="preserve">0024521 </v>
      </c>
      <c r="B5027" t="s">
        <v>15973</v>
      </c>
      <c r="C5027" t="s">
        <v>17004</v>
      </c>
      <c r="D5027" t="str">
        <f>"05P974  LPR - Р“Р°Р»СЊРјС–РІРЅС– РєРѕР»РѕРґРєРё РґРѕ РґРёСЃРєС–РІ (R, S, Р· РґР°С‚С‡РёРєРѕРј)"</f>
        <v>05P974  LPR - Р“Р°Р»СЊРјС–РІРЅС– РєРѕР»РѕРґРєРё РґРѕ РґРёСЃРєС–РІ (R, S, Р· РґР°С‚С‡РёРєРѕРј)</v>
      </c>
      <c r="E5027">
        <v>4</v>
      </c>
      <c r="F5027" t="s">
        <v>5144</v>
      </c>
      <c r="G5027" t="s">
        <v>15973</v>
      </c>
      <c r="H5027" t="str">
        <f>"05P974"</f>
        <v>05P974</v>
      </c>
      <c r="I5027" t="s">
        <v>17005</v>
      </c>
    </row>
    <row r="5028" spans="1:9">
      <c r="A5028" t="str">
        <f>"0024522 "</f>
        <v xml:space="preserve">0024522 </v>
      </c>
      <c r="B5028" t="s">
        <v>15973</v>
      </c>
      <c r="C5028" t="s">
        <v>17006</v>
      </c>
      <c r="D5028" t="str">
        <f>"05P975  LPR - Р“Р°Р»СЊРјС–РІРЅС– РєРѕР»РѕРґРєРё РґРѕ РґРёСЃРєС–РІ (F, V, Р· РґР°С‚С‡РёРєРѕРј)"</f>
        <v>05P975  LPR - Р“Р°Р»СЊРјС–РІРЅС– РєРѕР»РѕРґРєРё РґРѕ РґРёСЃРєС–РІ (F, V, Р· РґР°С‚С‡РёРєРѕРј)</v>
      </c>
      <c r="E5028">
        <v>1</v>
      </c>
      <c r="F5028" t="s">
        <v>17007</v>
      </c>
      <c r="G5028" t="s">
        <v>15973</v>
      </c>
      <c r="H5028" t="str">
        <f>"05P975"</f>
        <v>05P975</v>
      </c>
      <c r="I5028" t="s">
        <v>17008</v>
      </c>
    </row>
    <row r="5029" spans="1:9">
      <c r="A5029" t="str">
        <f>"0024523 "</f>
        <v xml:space="preserve">0024523 </v>
      </c>
      <c r="B5029" t="s">
        <v>15973</v>
      </c>
      <c r="C5029" t="s">
        <v>17009</v>
      </c>
      <c r="D5029" t="str">
        <f>"05P976  LPR - Р“Р°Р»СЊРјС–РІРЅС– РєРѕР»РѕРґРєРё РґРѕ РґРёСЃРєС–РІ (F, S, Р· РґР°С‚С‡РёРєРѕРј)"</f>
        <v>05P976  LPR - Р“Р°Р»СЊРјС–РІРЅС– РєРѕР»РѕРґРєРё РґРѕ РґРёСЃРєС–РІ (F, S, Р· РґР°С‚С‡РёРєРѕРј)</v>
      </c>
      <c r="E5029">
        <v>1</v>
      </c>
      <c r="F5029" t="s">
        <v>17010</v>
      </c>
      <c r="G5029" t="s">
        <v>15973</v>
      </c>
      <c r="H5029" t="str">
        <f>"05P976"</f>
        <v>05P976</v>
      </c>
      <c r="I5029" t="s">
        <v>17011</v>
      </c>
    </row>
    <row r="5030" spans="1:9">
      <c r="A5030" t="str">
        <f>"0024524 "</f>
        <v xml:space="preserve">0024524 </v>
      </c>
      <c r="B5030" t="s">
        <v>15973</v>
      </c>
      <c r="C5030" t="s">
        <v>17012</v>
      </c>
      <c r="D5030" t="str">
        <f>"05P977  LPR - Р“Р°Р»СЊРјС–РІРЅС– РєРѕР»РѕРґРєРё РґРѕ РґРёСЃРєС–РІ (F, S, Р· РґР°С‚С‡РёРєРѕРј)"</f>
        <v>05P977  LPR - Р“Р°Р»СЊРјС–РІРЅС– РєРѕР»РѕРґРєРё РґРѕ РґРёСЃРєС–РІ (F, S, Р· РґР°С‚С‡РёРєРѕРј)</v>
      </c>
      <c r="E5030">
        <v>2</v>
      </c>
      <c r="F5030" t="s">
        <v>15988</v>
      </c>
      <c r="G5030" t="s">
        <v>15973</v>
      </c>
      <c r="H5030" t="str">
        <f>"05P977"</f>
        <v>05P977</v>
      </c>
      <c r="I5030" t="s">
        <v>17013</v>
      </c>
    </row>
    <row r="5031" spans="1:9">
      <c r="A5031" t="str">
        <f>"0024527 "</f>
        <v xml:space="preserve">0024527 </v>
      </c>
      <c r="B5031" t="s">
        <v>15973</v>
      </c>
      <c r="C5031" t="s">
        <v>17014</v>
      </c>
      <c r="D5031" t="str">
        <f>"05P980  LPR - Р“Р°Р»СЊРјС–РІРЅС– РєРѕР»РѕРґРєРё РґРѕ РґРёСЃРєС–РІ (R)"</f>
        <v>05P980  LPR - Р“Р°Р»СЊРјС–РІРЅС– РєРѕР»РѕРґРєРё РґРѕ РґРёСЃРєС–РІ (R)</v>
      </c>
      <c r="E5031">
        <v>1</v>
      </c>
      <c r="F5031" t="s">
        <v>16072</v>
      </c>
      <c r="G5031" t="s">
        <v>15973</v>
      </c>
      <c r="H5031" t="str">
        <f>"05P980"</f>
        <v>05P980</v>
      </c>
      <c r="I5031" t="s">
        <v>17015</v>
      </c>
    </row>
    <row r="5032" spans="1:9">
      <c r="A5032" t="str">
        <f>"0024528 "</f>
        <v xml:space="preserve">0024528 </v>
      </c>
      <c r="B5032" t="s">
        <v>15973</v>
      </c>
      <c r="C5032" t="s">
        <v>17016</v>
      </c>
      <c r="D5032" t="str">
        <f>"05P981  LPR - Р“Р°Р»СЊРјС–РІРЅС– РєРѕР»РѕРґРєРё РґРѕ РґРёСЃРєС–РІ (F, Р· РґР°С‚С‡РёРєРѕРј)"</f>
        <v>05P981  LPR - Р“Р°Р»СЊРјС–РІРЅС– РєРѕР»РѕРґРєРё РґРѕ РґРёСЃРєС–РІ (F, Р· РґР°С‚С‡РёРєРѕРј)</v>
      </c>
      <c r="E5032">
        <v>1</v>
      </c>
      <c r="F5032" t="s">
        <v>17017</v>
      </c>
      <c r="G5032" t="s">
        <v>15973</v>
      </c>
      <c r="H5032" t="str">
        <f>"05P981"</f>
        <v>05P981</v>
      </c>
      <c r="I5032" t="s">
        <v>17018</v>
      </c>
    </row>
    <row r="5033" spans="1:9">
      <c r="A5033" t="str">
        <f>"0024529 "</f>
        <v xml:space="preserve">0024529 </v>
      </c>
      <c r="B5033" t="s">
        <v>15973</v>
      </c>
      <c r="C5033" t="s">
        <v>17019</v>
      </c>
      <c r="D5033" t="str">
        <f>"05P982  LPR - Р“Р°Р»СЊРјС–РІРЅС– РєРѕР»РѕРґРєРё РґРѕ РґРёСЃРєС–РІ (F, V, Р· РґР°С‚С‡РёРєРѕРј)"</f>
        <v>05P982  LPR - Р“Р°Р»СЊРјС–РІРЅС– РєРѕР»РѕРґРєРё РґРѕ РґРёСЃРєС–РІ (F, V, Р· РґР°С‚С‡РёРєРѕРј)</v>
      </c>
      <c r="E5033">
        <v>1</v>
      </c>
      <c r="F5033" t="s">
        <v>6154</v>
      </c>
      <c r="G5033" t="s">
        <v>15973</v>
      </c>
      <c r="H5033" t="str">
        <f>"05P982"</f>
        <v>05P982</v>
      </c>
      <c r="I5033" t="s">
        <v>17020</v>
      </c>
    </row>
    <row r="5034" spans="1:9">
      <c r="A5034" t="str">
        <f>"0024531 "</f>
        <v xml:space="preserve">0024531 </v>
      </c>
      <c r="B5034" t="s">
        <v>15973</v>
      </c>
      <c r="C5034" t="s">
        <v>17021</v>
      </c>
      <c r="D5034" t="str">
        <f>"05P984  LPR - Р“Р°Р»СЊРјС–РІРЅС– РєРѕР»РѕРґРєРё РґРѕ РґРёСЃРєС–РІ (F, V, Р· РґР°С‚С‡РёРєРѕРј)"</f>
        <v>05P984  LPR - Р“Р°Р»СЊРјС–РІРЅС– РєРѕР»РѕРґРєРё РґРѕ РґРёСЃРєС–РІ (F, V, Р· РґР°С‚С‡РёРєРѕРј)</v>
      </c>
      <c r="E5034">
        <v>1</v>
      </c>
      <c r="F5034" t="s">
        <v>17022</v>
      </c>
      <c r="G5034" t="s">
        <v>15973</v>
      </c>
      <c r="H5034" t="str">
        <f>"05P984"</f>
        <v>05P984</v>
      </c>
      <c r="I5034" t="s">
        <v>17023</v>
      </c>
    </row>
    <row r="5035" spans="1:9">
      <c r="A5035" t="str">
        <f>"0024533 "</f>
        <v xml:space="preserve">0024533 </v>
      </c>
      <c r="B5035" t="s">
        <v>15973</v>
      </c>
      <c r="C5035" t="s">
        <v>17024</v>
      </c>
      <c r="D5035" t="str">
        <f>"05P986  LPR - Р“Р°Р»СЊРјС–РІРЅС– РєРѕР»РѕРґРєРё РґРѕ РґРёСЃРєС–РІ (F, S, Р· РґР°С‚С‡РёРєРѕРј)"</f>
        <v>05P986  LPR - Р“Р°Р»СЊРјС–РІРЅС– РєРѕР»РѕРґРєРё РґРѕ РґРёСЃРєС–РІ (F, S, Р· РґР°С‚С‡РёРєРѕРј)</v>
      </c>
      <c r="E5035">
        <v>2</v>
      </c>
      <c r="F5035" t="s">
        <v>16089</v>
      </c>
      <c r="G5035" t="s">
        <v>15973</v>
      </c>
      <c r="H5035" t="str">
        <f>"05P986"</f>
        <v>05P986</v>
      </c>
      <c r="I5035" t="s">
        <v>17025</v>
      </c>
    </row>
    <row r="5036" spans="1:9">
      <c r="A5036" t="str">
        <f>"0024534 "</f>
        <v xml:space="preserve">0024534 </v>
      </c>
      <c r="B5036" t="s">
        <v>15973</v>
      </c>
      <c r="C5036" t="s">
        <v>17026</v>
      </c>
      <c r="D5036" t="str">
        <f>"05P987  LPR - Р“Р°Р»СЊРјС–РІРЅС– РєРѕР»РѕРґРєРё РґРѕ РґРёСЃРєС–РІ (R, S)"</f>
        <v>05P987  LPR - Р“Р°Р»СЊРјС–РІРЅС– РєРѕР»РѕРґРєРё РґРѕ РґРёСЃРєС–РІ (R, S)</v>
      </c>
      <c r="E5036">
        <v>2</v>
      </c>
      <c r="F5036" t="s">
        <v>17027</v>
      </c>
      <c r="G5036" t="s">
        <v>15973</v>
      </c>
      <c r="H5036" t="str">
        <f>"05P987"</f>
        <v>05P987</v>
      </c>
      <c r="I5036" t="s">
        <v>17028</v>
      </c>
    </row>
    <row r="5037" spans="1:9">
      <c r="A5037" t="str">
        <f>"0024535 "</f>
        <v xml:space="preserve">0024535 </v>
      </c>
      <c r="B5037" t="s">
        <v>15973</v>
      </c>
      <c r="C5037" t="s">
        <v>17029</v>
      </c>
      <c r="D5037" t="str">
        <f>"05P988  LPR - Р“Р°Р»СЊРјС–РІРЅС– РєРѕР»РѕРґРєРё РґРѕ РґРёСЃРєС–РІ (F, S, Р· РґР°С‚С‡РёРєРѕРј)"</f>
        <v>05P988  LPR - Р“Р°Р»СЊРјС–РІРЅС– РєРѕР»РѕРґРєРё РґРѕ РґРёСЃРєС–РІ (F, S, Р· РґР°С‚С‡РёРєРѕРј)</v>
      </c>
      <c r="E5037">
        <v>1</v>
      </c>
      <c r="F5037" t="s">
        <v>16111</v>
      </c>
      <c r="G5037" t="s">
        <v>15973</v>
      </c>
      <c r="H5037" t="str">
        <f>"05P988"</f>
        <v>05P988</v>
      </c>
      <c r="I5037" t="s">
        <v>17030</v>
      </c>
    </row>
    <row r="5038" spans="1:9">
      <c r="A5038" t="str">
        <f>"0024541 "</f>
        <v xml:space="preserve">0024541 </v>
      </c>
      <c r="B5038" t="s">
        <v>15973</v>
      </c>
      <c r="C5038" t="s">
        <v>17031</v>
      </c>
      <c r="D5038" t="str">
        <f>"05P994  LPR - Р“Р°Р»СЊРјС–РІРЅС– РєРѕР»РѕРґРєРё РґРѕ РґРёСЃРєС–РІ (F, V, Р· РґР°С‚С‡РёРєРѕРј)"</f>
        <v>05P994  LPR - Р“Р°Р»СЊРјС–РІРЅС– РєРѕР»РѕРґРєРё РґРѕ РґРёСЃРєС–РІ (F, V, Р· РґР°С‚С‡РёРєРѕРј)</v>
      </c>
      <c r="E5038" t="s">
        <v>16</v>
      </c>
      <c r="F5038" t="s">
        <v>16156</v>
      </c>
      <c r="G5038" t="s">
        <v>15973</v>
      </c>
      <c r="H5038" t="str">
        <f>"05P994"</f>
        <v>05P994</v>
      </c>
      <c r="I5038" t="s">
        <v>17032</v>
      </c>
    </row>
    <row r="5039" spans="1:9">
      <c r="A5039" t="str">
        <f>"0024543 "</f>
        <v xml:space="preserve">0024543 </v>
      </c>
      <c r="B5039" t="s">
        <v>15973</v>
      </c>
      <c r="C5039" t="s">
        <v>17033</v>
      </c>
      <c r="D5039" t="str">
        <f>"05P997  LPR - Р“Р°Р»СЊРјС–РІРЅС– РєРѕР»РѕРґРєРё РґРѕ РґРёСЃРєС–РІ (R)"</f>
        <v>05P997  LPR - Р“Р°Р»СЊРјС–РІРЅС– РєРѕР»РѕРґРєРё РґРѕ РґРёСЃРєС–РІ (R)</v>
      </c>
      <c r="E5039">
        <v>1</v>
      </c>
      <c r="F5039" t="s">
        <v>16886</v>
      </c>
      <c r="G5039" t="s">
        <v>15973</v>
      </c>
      <c r="H5039" t="str">
        <f>"05P997"</f>
        <v>05P997</v>
      </c>
      <c r="I5039" t="s">
        <v>17034</v>
      </c>
    </row>
    <row r="5040" spans="1:9">
      <c r="A5040" t="str">
        <f>"0024651 "</f>
        <v xml:space="preserve">0024651 </v>
      </c>
      <c r="B5040" t="s">
        <v>15973</v>
      </c>
      <c r="C5040" t="s">
        <v>17035</v>
      </c>
      <c r="D5040" t="str">
        <f>"06040  LPR - Р“Р°Р»СЊРјС–РІРЅС– РєРѕР»РѕРґРєРё РґРѕ Р±Р°СЂР°Р±Р°РЅС–РІ"</f>
        <v>06040  LPR - Р“Р°Р»СЊРјС–РІРЅС– РєРѕР»РѕРґРєРё РґРѕ Р±Р°СЂР°Р±Р°РЅС–РІ</v>
      </c>
      <c r="E5040">
        <v>1</v>
      </c>
      <c r="F5040" t="s">
        <v>17036</v>
      </c>
      <c r="G5040" t="s">
        <v>15973</v>
      </c>
      <c r="H5040" t="str">
        <f>"06040"</f>
        <v>06040</v>
      </c>
      <c r="I5040" t="s">
        <v>17037</v>
      </c>
    </row>
    <row r="5041" spans="1:9">
      <c r="A5041" t="str">
        <f>"0024661 "</f>
        <v xml:space="preserve">0024661 </v>
      </c>
      <c r="B5041" t="s">
        <v>15973</v>
      </c>
      <c r="C5041" t="s">
        <v>17038</v>
      </c>
      <c r="D5041" t="str">
        <f>"06230  LPR - Р“Р°Р»СЊРјС–РІРЅС– РєРѕР»РѕРґРєРё РґРѕ Р±Р°СЂР°Р±Р°РЅС–РІ"</f>
        <v>06230  LPR - Р“Р°Р»СЊРјС–РІРЅС– РєРѕР»РѕРґРєРё РґРѕ Р±Р°СЂР°Р±Р°РЅС–РІ</v>
      </c>
      <c r="E5041">
        <v>2</v>
      </c>
      <c r="F5041" t="s">
        <v>16561</v>
      </c>
      <c r="G5041" t="s">
        <v>15973</v>
      </c>
      <c r="H5041" t="str">
        <f>"06230"</f>
        <v>06230</v>
      </c>
      <c r="I5041" t="s">
        <v>17039</v>
      </c>
    </row>
    <row r="5042" spans="1:9">
      <c r="A5042" t="str">
        <f>"0024668 "</f>
        <v xml:space="preserve">0024668 </v>
      </c>
      <c r="B5042" t="s">
        <v>15973</v>
      </c>
      <c r="C5042" t="s">
        <v>17040</v>
      </c>
      <c r="D5042" t="str">
        <f>"06340  LPR - Р“Р°Р»СЊРјС–РІРЅС– РєРѕР»РѕРґРєРё РґРѕ Р±Р°СЂР°Р±Р°РЅС–РІ"</f>
        <v>06340  LPR - Р“Р°Р»СЊРјС–РІРЅС– РєРѕР»РѕРґРєРё РґРѕ Р±Р°СЂР°Р±Р°РЅС–РІ</v>
      </c>
      <c r="E5042">
        <v>1</v>
      </c>
      <c r="F5042" t="s">
        <v>15993</v>
      </c>
      <c r="G5042" t="s">
        <v>15973</v>
      </c>
      <c r="H5042" t="str">
        <f>"06340"</f>
        <v>06340</v>
      </c>
      <c r="I5042" t="s">
        <v>17041</v>
      </c>
    </row>
    <row r="5043" spans="1:9">
      <c r="A5043" t="str">
        <f>"0024671 "</f>
        <v xml:space="preserve">0024671 </v>
      </c>
      <c r="B5043" t="s">
        <v>15973</v>
      </c>
      <c r="C5043" t="s">
        <v>17042</v>
      </c>
      <c r="D5043" t="str">
        <f>"06400  LPR - Р“Р°Р»СЊРјС–РІРЅС– РєРѕР»РѕРґРєРё РґРѕ Р±Р°СЂР°Р±Р°РЅС–РІ (HB)"</f>
        <v>06400  LPR - Р“Р°Р»СЊРјС–РІРЅС– РєРѕР»РѕРґРєРё РґРѕ Р±Р°СЂР°Р±Р°РЅС–РІ (HB)</v>
      </c>
      <c r="E5043">
        <v>2</v>
      </c>
      <c r="F5043" t="s">
        <v>17043</v>
      </c>
      <c r="G5043" t="s">
        <v>15973</v>
      </c>
      <c r="H5043" t="str">
        <f>"06400"</f>
        <v>06400</v>
      </c>
      <c r="I5043" t="s">
        <v>17044</v>
      </c>
    </row>
    <row r="5044" spans="1:9">
      <c r="A5044" t="str">
        <f>"0024674 "</f>
        <v xml:space="preserve">0024674 </v>
      </c>
      <c r="B5044" t="s">
        <v>15973</v>
      </c>
      <c r="C5044" t="s">
        <v>17045</v>
      </c>
      <c r="D5044" t="str">
        <f>"06430  LPR - Р“Р°Р»СЊРјС–РІРЅС– РєРѕР»РѕРґРєРё РґРѕ Р±Р°СЂР°Р±Р°РЅС–РІ"</f>
        <v>06430  LPR - Р“Р°Р»СЊРјС–РІРЅС– РєРѕР»РѕРґРєРё РґРѕ Р±Р°СЂР°Р±Р°РЅС–РІ</v>
      </c>
      <c r="E5044">
        <v>1</v>
      </c>
      <c r="F5044" t="s">
        <v>17046</v>
      </c>
      <c r="G5044" t="s">
        <v>15973</v>
      </c>
      <c r="H5044" t="str">
        <f>"06430"</f>
        <v>06430</v>
      </c>
      <c r="I5044" t="s">
        <v>17047</v>
      </c>
    </row>
    <row r="5045" spans="1:9">
      <c r="A5045" t="str">
        <f>"0024685 "</f>
        <v xml:space="preserve">0024685 </v>
      </c>
      <c r="B5045" t="s">
        <v>15973</v>
      </c>
      <c r="C5045" t="s">
        <v>17048</v>
      </c>
      <c r="D5045" t="str">
        <f>"06680  LPR - Р“Р°Р»СЊРјС–РІРЅС– РєРѕР»РѕРґРєРё РґРѕ Р±Р°СЂР°Р±Р°РЅС–РІ"</f>
        <v>06680  LPR - Р“Р°Р»СЊРјС–РІРЅС– РєРѕР»РѕРґРєРё РґРѕ Р±Р°СЂР°Р±Р°РЅС–РІ</v>
      </c>
      <c r="E5045">
        <v>2</v>
      </c>
      <c r="F5045" t="s">
        <v>17049</v>
      </c>
      <c r="G5045" t="s">
        <v>15973</v>
      </c>
      <c r="H5045" t="str">
        <f>"06680"</f>
        <v>06680</v>
      </c>
      <c r="I5045" t="s">
        <v>17050</v>
      </c>
    </row>
    <row r="5046" spans="1:9">
      <c r="A5046" t="str">
        <f>"0024689 "</f>
        <v xml:space="preserve">0024689 </v>
      </c>
      <c r="B5046" t="s">
        <v>15973</v>
      </c>
      <c r="C5046" t="s">
        <v>17051</v>
      </c>
      <c r="D5046" t="str">
        <f>"06720  LPR - Р“Р°Р»СЊРјС–РІРЅС– РєРѕР»РѕРґРєРё РґРѕ Р±Р°СЂР°Р±Р°РЅС–РІ"</f>
        <v>06720  LPR - Р“Р°Р»СЊРјС–РІРЅС– РєРѕР»РѕРґРєРё РґРѕ Р±Р°СЂР°Р±Р°РЅС–РІ</v>
      </c>
      <c r="E5046">
        <v>1</v>
      </c>
      <c r="F5046" t="s">
        <v>6853</v>
      </c>
      <c r="G5046" t="s">
        <v>15973</v>
      </c>
      <c r="H5046" t="str">
        <f>"06720"</f>
        <v>06720</v>
      </c>
      <c r="I5046" t="s">
        <v>17052</v>
      </c>
    </row>
    <row r="5047" spans="1:9">
      <c r="A5047" t="str">
        <f>"0024694 "</f>
        <v xml:space="preserve">0024694 </v>
      </c>
      <c r="B5047" t="s">
        <v>15973</v>
      </c>
      <c r="C5047" t="s">
        <v>17053</v>
      </c>
      <c r="D5047" t="str">
        <f>"06760  LPR - Р“Р°Р»СЊРјС–РІРЅС– РєРѕР»РѕРґРєРё РґРѕ Р±Р°СЂР°Р±Р°РЅС–РІ"</f>
        <v>06760  LPR - Р“Р°Р»СЊРјС–РІРЅС– РєРѕР»РѕРґРєРё РґРѕ Р±Р°СЂР°Р±Р°РЅС–РІ</v>
      </c>
      <c r="E5047">
        <v>1</v>
      </c>
      <c r="F5047" t="s">
        <v>5624</v>
      </c>
      <c r="G5047" t="s">
        <v>15973</v>
      </c>
      <c r="H5047" t="str">
        <f>"06760"</f>
        <v>06760</v>
      </c>
      <c r="I5047" t="s">
        <v>17054</v>
      </c>
    </row>
    <row r="5048" spans="1:9">
      <c r="A5048" t="str">
        <f>"0024696 "</f>
        <v xml:space="preserve">0024696 </v>
      </c>
      <c r="B5048" t="s">
        <v>15973</v>
      </c>
      <c r="C5048" t="s">
        <v>17055</v>
      </c>
      <c r="D5048" t="str">
        <f>"06770  LPR - Р“Р°Р»СЊРјС–РІРЅС– РєРѕР»РѕРґРєРё РґРѕ Р±Р°СЂР°Р±Р°РЅС–РІ"</f>
        <v>06770  LPR - Р“Р°Р»СЊРјС–РІРЅС– РєРѕР»РѕРґРєРё РґРѕ Р±Р°СЂР°Р±Р°РЅС–РІ</v>
      </c>
      <c r="E5048">
        <v>1</v>
      </c>
      <c r="F5048" t="s">
        <v>17056</v>
      </c>
      <c r="G5048" t="s">
        <v>15973</v>
      </c>
      <c r="H5048" t="str">
        <f>"06770"</f>
        <v>06770</v>
      </c>
      <c r="I5048" t="s">
        <v>17057</v>
      </c>
    </row>
    <row r="5049" spans="1:9">
      <c r="A5049" t="str">
        <f>"0024699 "</f>
        <v xml:space="preserve">0024699 </v>
      </c>
      <c r="B5049" t="s">
        <v>15973</v>
      </c>
      <c r="C5049" t="s">
        <v>17058</v>
      </c>
      <c r="D5049" t="str">
        <f>"06790  LPR - Р“Р°Р»СЊРјС–РІРЅС– РєРѕР»РѕРґРєРё РґРѕ Р±Р°СЂР°Р±Р°РЅС–РІ"</f>
        <v>06790  LPR - Р“Р°Р»СЊРјС–РІРЅС– РєРѕР»РѕРґРєРё РґРѕ Р±Р°СЂР°Р±Р°РЅС–РІ</v>
      </c>
      <c r="E5049">
        <v>1</v>
      </c>
      <c r="F5049" t="s">
        <v>6748</v>
      </c>
      <c r="G5049" t="s">
        <v>15973</v>
      </c>
      <c r="H5049" t="str">
        <f>"06790"</f>
        <v>06790</v>
      </c>
      <c r="I5049" t="s">
        <v>17059</v>
      </c>
    </row>
    <row r="5050" spans="1:9">
      <c r="A5050" t="str">
        <f>"0024701 "</f>
        <v xml:space="preserve">0024701 </v>
      </c>
      <c r="B5050" t="s">
        <v>15973</v>
      </c>
      <c r="C5050" t="s">
        <v>17060</v>
      </c>
      <c r="D5050" t="str">
        <f>"06800  LPR - Р“Р°Р»СЊРјС–РІРЅС– РєРѕР»РѕРґРєРё РґРѕ Р±Р°СЂР°Р±Р°РЅС–РІ"</f>
        <v>06800  LPR - Р“Р°Р»СЊРјС–РІРЅС– РєРѕР»РѕРґРєРё РґРѕ Р±Р°СЂР°Р±Р°РЅС–РІ</v>
      </c>
      <c r="E5050" t="s">
        <v>16</v>
      </c>
      <c r="F5050" t="s">
        <v>17061</v>
      </c>
      <c r="G5050" t="s">
        <v>15973</v>
      </c>
      <c r="H5050" t="str">
        <f>"06800"</f>
        <v>06800</v>
      </c>
      <c r="I5050" t="s">
        <v>17062</v>
      </c>
    </row>
    <row r="5051" spans="1:9">
      <c r="A5051" t="str">
        <f>"0024702 "</f>
        <v xml:space="preserve">0024702 </v>
      </c>
      <c r="B5051" t="s">
        <v>15973</v>
      </c>
      <c r="C5051" t="s">
        <v>17063</v>
      </c>
      <c r="D5051" t="str">
        <f>"06830  LPR - Р“Р°Р»СЊРјС–РІРЅС– РєРѕР»РѕРґРєРё РґРѕ Р±Р°СЂР°Р±Р°РЅС–РІ"</f>
        <v>06830  LPR - Р“Р°Р»СЊРјС–РІРЅС– РєРѕР»РѕРґРєРё РґРѕ Р±Р°СЂР°Р±Р°РЅС–РІ</v>
      </c>
      <c r="E5051" t="s">
        <v>16</v>
      </c>
      <c r="F5051" t="s">
        <v>3771</v>
      </c>
      <c r="G5051" t="s">
        <v>15973</v>
      </c>
      <c r="H5051" t="str">
        <f>"06830"</f>
        <v>06830</v>
      </c>
      <c r="I5051" t="s">
        <v>17064</v>
      </c>
    </row>
    <row r="5052" spans="1:9">
      <c r="A5052" t="str">
        <f>"0024703 "</f>
        <v xml:space="preserve">0024703 </v>
      </c>
      <c r="B5052" t="s">
        <v>15973</v>
      </c>
      <c r="C5052" t="s">
        <v>17065</v>
      </c>
      <c r="D5052" t="str">
        <f>"06850  LPR - Р“Р°Р»СЊРјС–РІРЅС– РєРѕР»РѕРґРєРё РґРѕ Р±Р°СЂР°Р±Р°РЅС–РІ"</f>
        <v>06850  LPR - Р“Р°Р»СЊРјС–РІРЅС– РєРѕР»РѕРґРєРё РґРѕ Р±Р°СЂР°Р±Р°РЅС–РІ</v>
      </c>
      <c r="E5052">
        <v>1</v>
      </c>
      <c r="F5052" t="s">
        <v>17066</v>
      </c>
      <c r="G5052" t="s">
        <v>15973</v>
      </c>
      <c r="H5052" t="str">
        <f>"06850"</f>
        <v>06850</v>
      </c>
      <c r="I5052" t="s">
        <v>17067</v>
      </c>
    </row>
    <row r="5053" spans="1:9">
      <c r="A5053" t="str">
        <f>"0024704 "</f>
        <v xml:space="preserve">0024704 </v>
      </c>
      <c r="B5053" t="s">
        <v>15973</v>
      </c>
      <c r="C5053" t="s">
        <v>17068</v>
      </c>
      <c r="D5053" t="str">
        <f>"06860  LPR - Р“Р°Р»СЊРјС–РІРЅС– РєРѕР»РѕРґРєРё РґРѕ Р±Р°СЂР°Р±Р°РЅС–РІ"</f>
        <v>06860  LPR - Р“Р°Р»СЊРјС–РІРЅС– РєРѕР»РѕРґРєРё РґРѕ Р±Р°СЂР°Р±Р°РЅС–РІ</v>
      </c>
      <c r="E5053">
        <v>1</v>
      </c>
      <c r="F5053" t="s">
        <v>17069</v>
      </c>
      <c r="G5053" t="s">
        <v>15973</v>
      </c>
      <c r="H5053" t="str">
        <f>"06860"</f>
        <v>06860</v>
      </c>
      <c r="I5053" t="s">
        <v>17070</v>
      </c>
    </row>
    <row r="5054" spans="1:9">
      <c r="A5054" t="str">
        <f>"0024706 "</f>
        <v xml:space="preserve">0024706 </v>
      </c>
      <c r="B5054" t="s">
        <v>15973</v>
      </c>
      <c r="C5054" t="s">
        <v>17071</v>
      </c>
      <c r="D5054" t="str">
        <f>"06870  LPR - Р“Р°Р»СЊРјС–РІРЅС– РєРѕР»РѕРґРєРё РґРѕ Р±Р°СЂР°Р±Р°РЅС–РІ (HB)"</f>
        <v>06870  LPR - Р“Р°Р»СЊРјС–РІРЅС– РєРѕР»РѕРґРєРё РґРѕ Р±Р°СЂР°Р±Р°РЅС–РІ (HB)</v>
      </c>
      <c r="E5054">
        <v>1</v>
      </c>
      <c r="F5054" t="s">
        <v>17072</v>
      </c>
      <c r="G5054" t="s">
        <v>15973</v>
      </c>
      <c r="H5054" t="str">
        <f>"06870"</f>
        <v>06870</v>
      </c>
      <c r="I5054" t="s">
        <v>17073</v>
      </c>
    </row>
    <row r="5055" spans="1:9">
      <c r="A5055" t="str">
        <f>"0024711 "</f>
        <v xml:space="preserve">0024711 </v>
      </c>
      <c r="B5055" t="s">
        <v>15973</v>
      </c>
      <c r="C5055" t="s">
        <v>17074</v>
      </c>
      <c r="D5055" t="str">
        <f>"06910  LPR - Р“Р°Р»СЊРјС–РІРЅС– РєРѕР»РѕРґРєРё РґРѕ Р±Р°СЂР°Р±Р°РЅС–РІ"</f>
        <v>06910  LPR - Р“Р°Р»СЊРјС–РІРЅС– РєРѕР»РѕРґРєРё РґРѕ Р±Р°СЂР°Р±Р°РЅС–РІ</v>
      </c>
      <c r="E5055">
        <v>1</v>
      </c>
      <c r="F5055" t="s">
        <v>17075</v>
      </c>
      <c r="G5055" t="s">
        <v>15973</v>
      </c>
      <c r="H5055" t="str">
        <f>"06910"</f>
        <v>06910</v>
      </c>
      <c r="I5055" t="s">
        <v>17076</v>
      </c>
    </row>
    <row r="5056" spans="1:9">
      <c r="A5056" t="str">
        <f>"0024726 "</f>
        <v xml:space="preserve">0024726 </v>
      </c>
      <c r="B5056" t="s">
        <v>15973</v>
      </c>
      <c r="C5056" t="s">
        <v>17077</v>
      </c>
      <c r="D5056" t="str">
        <f>"07050  LPR - Р“Р°Р»СЊРјС–РІРЅС– РєРѕР»РѕРґРєРё РґРѕ Р±Р°СЂР°Р±Р°РЅС–РІ"</f>
        <v>07050  LPR - Р“Р°Р»СЊРјС–РІРЅС– РєРѕР»РѕРґРєРё РґРѕ Р±Р°СЂР°Р±Р°РЅС–РІ</v>
      </c>
      <c r="E5056">
        <v>2</v>
      </c>
      <c r="F5056" t="s">
        <v>17078</v>
      </c>
      <c r="G5056" t="s">
        <v>15973</v>
      </c>
      <c r="H5056" t="str">
        <f>"07050"</f>
        <v>07050</v>
      </c>
      <c r="I5056" t="s">
        <v>17079</v>
      </c>
    </row>
    <row r="5057" spans="1:9">
      <c r="A5057" t="str">
        <f>"0024735 "</f>
        <v xml:space="preserve">0024735 </v>
      </c>
      <c r="B5057" t="s">
        <v>15973</v>
      </c>
      <c r="C5057" t="s">
        <v>17080</v>
      </c>
      <c r="D5057" t="str">
        <f>"07110  LPR - Р“Р°Р»СЊРјС–РІРЅС– РєРѕР»РѕРґРєРё РґРѕ Р±Р°СЂР°Р±Р°РЅС–РІ"</f>
        <v>07110  LPR - Р“Р°Р»СЊРјС–РІРЅС– РєРѕР»РѕРґРєРё РґРѕ Р±Р°СЂР°Р±Р°РЅС–РІ</v>
      </c>
      <c r="E5057">
        <v>2</v>
      </c>
      <c r="F5057" t="s">
        <v>17081</v>
      </c>
      <c r="G5057" t="s">
        <v>15973</v>
      </c>
      <c r="H5057" t="str">
        <f>"07110"</f>
        <v>07110</v>
      </c>
      <c r="I5057" t="s">
        <v>17082</v>
      </c>
    </row>
    <row r="5058" spans="1:9">
      <c r="A5058" t="str">
        <f>"0024737 "</f>
        <v xml:space="preserve">0024737 </v>
      </c>
      <c r="B5058" t="s">
        <v>15973</v>
      </c>
      <c r="C5058" t="s">
        <v>17083</v>
      </c>
      <c r="D5058" t="str">
        <f>"07130  LPR - Р“Р°Р»СЊРјС–РІРЅС– РєРѕР»РѕРґРєРё РґРѕ Р±Р°СЂР°Р±Р°РЅС–РІ"</f>
        <v>07130  LPR - Р“Р°Р»СЊРјС–РІРЅС– РєРѕР»РѕРґРєРё РґРѕ Р±Р°СЂР°Р±Р°РЅС–РІ</v>
      </c>
      <c r="E5058" t="s">
        <v>16</v>
      </c>
      <c r="F5058" t="s">
        <v>17084</v>
      </c>
      <c r="G5058" t="s">
        <v>15973</v>
      </c>
      <c r="H5058" t="str">
        <f>"07130"</f>
        <v>07130</v>
      </c>
      <c r="I5058" t="s">
        <v>17085</v>
      </c>
    </row>
    <row r="5059" spans="1:9">
      <c r="A5059" t="str">
        <f>"0024738 "</f>
        <v xml:space="preserve">0024738 </v>
      </c>
      <c r="B5059" t="s">
        <v>15973</v>
      </c>
      <c r="C5059" t="s">
        <v>17086</v>
      </c>
      <c r="D5059" t="str">
        <f>"07135  LPR - Р“Р°Р»СЊРјС–РІРЅС– РєРѕР»РѕРґРєРё РґРѕ Р±Р°СЂР°Р±Р°РЅС–РІ"</f>
        <v>07135  LPR - Р“Р°Р»СЊРјС–РІРЅС– РєРѕР»РѕРґРєРё РґРѕ Р±Р°СЂР°Р±Р°РЅС–РІ</v>
      </c>
      <c r="E5059">
        <v>1</v>
      </c>
      <c r="F5059" t="s">
        <v>16292</v>
      </c>
      <c r="G5059" t="s">
        <v>15973</v>
      </c>
      <c r="H5059" t="str">
        <f>"07135"</f>
        <v>07135</v>
      </c>
      <c r="I5059" t="s">
        <v>17087</v>
      </c>
    </row>
    <row r="5060" spans="1:9">
      <c r="A5060" t="str">
        <f>"0024740 "</f>
        <v xml:space="preserve">0024740 </v>
      </c>
      <c r="B5060" t="s">
        <v>15973</v>
      </c>
      <c r="C5060" t="s">
        <v>17088</v>
      </c>
      <c r="D5060" t="str">
        <f>"07150  LPR - Р“Р°Р»СЊРјС–РІРЅС– РєРѕР»РѕРґРєРё РґРѕ Р±Р°СЂР°Р±Р°РЅС–РІ"</f>
        <v>07150  LPR - Р“Р°Р»СЊРјС–РІРЅС– РєРѕР»РѕРґРєРё РґРѕ Р±Р°СЂР°Р±Р°РЅС–РІ</v>
      </c>
      <c r="E5060">
        <v>2</v>
      </c>
      <c r="F5060" t="s">
        <v>17089</v>
      </c>
      <c r="G5060" t="s">
        <v>15973</v>
      </c>
      <c r="H5060" t="str">
        <f>"07150"</f>
        <v>07150</v>
      </c>
      <c r="I5060" t="s">
        <v>17090</v>
      </c>
    </row>
    <row r="5061" spans="1:9">
      <c r="A5061" t="str">
        <f>"0024743 "</f>
        <v xml:space="preserve">0024743 </v>
      </c>
      <c r="B5061" t="s">
        <v>15973</v>
      </c>
      <c r="C5061" t="s">
        <v>17091</v>
      </c>
      <c r="D5061" t="str">
        <f>"07165  LPR - Р“Р°Р»СЊРјС–РІРЅС– РєРѕР»РѕРґРєРё РґРѕ Р±Р°СЂР°Р±Р°РЅС–РІ"</f>
        <v>07165  LPR - Р“Р°Р»СЊРјС–РІРЅС– РєРѕР»РѕРґРєРё РґРѕ Р±Р°СЂР°Р±Р°РЅС–РІ</v>
      </c>
      <c r="E5061">
        <v>1</v>
      </c>
      <c r="F5061" t="s">
        <v>17092</v>
      </c>
      <c r="G5061" t="s">
        <v>15973</v>
      </c>
      <c r="H5061" t="str">
        <f>"07165"</f>
        <v>07165</v>
      </c>
      <c r="I5061" t="s">
        <v>17093</v>
      </c>
    </row>
    <row r="5062" spans="1:9">
      <c r="A5062" t="str">
        <f>"0024744 "</f>
        <v xml:space="preserve">0024744 </v>
      </c>
      <c r="B5062" t="s">
        <v>15973</v>
      </c>
      <c r="C5062" t="s">
        <v>17094</v>
      </c>
      <c r="D5062" t="str">
        <f>"07170  LPR - Р“Р°Р»СЊРјС–РІРЅС– РєРѕР»РѕРґРєРё РґРѕ Р±Р°СЂР°Р±Р°РЅС–РІ"</f>
        <v>07170  LPR - Р“Р°Р»СЊРјС–РІРЅС– РєРѕР»РѕРґРєРё РґРѕ Р±Р°СЂР°Р±Р°РЅС–РІ</v>
      </c>
      <c r="E5062">
        <v>1</v>
      </c>
      <c r="F5062" t="s">
        <v>5402</v>
      </c>
      <c r="G5062" t="s">
        <v>15973</v>
      </c>
      <c r="H5062" t="str">
        <f>"07170"</f>
        <v>07170</v>
      </c>
      <c r="I5062" t="s">
        <v>17095</v>
      </c>
    </row>
    <row r="5063" spans="1:9">
      <c r="A5063" t="str">
        <f>"0024746 "</f>
        <v xml:space="preserve">0024746 </v>
      </c>
      <c r="B5063" t="s">
        <v>15973</v>
      </c>
      <c r="C5063" t="s">
        <v>17096</v>
      </c>
      <c r="D5063" t="str">
        <f>"07180  LPR - Р“Р°Р»СЊРјС–РІРЅС– РєРѕР»РѕРґРєРё РґРѕ Р±Р°СЂР°Р±Р°РЅС–РІ"</f>
        <v>07180  LPR - Р“Р°Р»СЊРјС–РІРЅС– РєРѕР»РѕРґРєРё РґРѕ Р±Р°СЂР°Р±Р°РЅС–РІ</v>
      </c>
      <c r="E5063">
        <v>1</v>
      </c>
      <c r="F5063" t="s">
        <v>17097</v>
      </c>
      <c r="G5063" t="s">
        <v>15973</v>
      </c>
      <c r="H5063" t="str">
        <f>"07180"</f>
        <v>07180</v>
      </c>
      <c r="I5063" t="s">
        <v>17098</v>
      </c>
    </row>
    <row r="5064" spans="1:9">
      <c r="A5064" t="str">
        <f>"0024749 "</f>
        <v xml:space="preserve">0024749 </v>
      </c>
      <c r="B5064" t="s">
        <v>15973</v>
      </c>
      <c r="C5064" t="s">
        <v>17099</v>
      </c>
      <c r="D5064" t="str">
        <f>"07200  LPR - Р“Р°Р»СЊРјС–РІРЅС– РєРѕР»РѕРґРєРё РґРѕ Р±Р°СЂР°Р±Р°РЅС–РІ"</f>
        <v>07200  LPR - Р“Р°Р»СЊРјС–РІРЅС– РєРѕР»РѕРґРєРё РґРѕ Р±Р°СЂР°Р±Р°РЅС–РІ</v>
      </c>
      <c r="E5064">
        <v>1</v>
      </c>
      <c r="F5064" t="s">
        <v>17100</v>
      </c>
      <c r="G5064" t="s">
        <v>15973</v>
      </c>
      <c r="H5064" t="str">
        <f>"07200"</f>
        <v>07200</v>
      </c>
      <c r="I5064" t="s">
        <v>17101</v>
      </c>
    </row>
    <row r="5065" spans="1:9">
      <c r="A5065" t="str">
        <f>"0024761 "</f>
        <v xml:space="preserve">0024761 </v>
      </c>
      <c r="B5065" t="s">
        <v>15973</v>
      </c>
      <c r="C5065" t="s">
        <v>17102</v>
      </c>
      <c r="D5065" t="str">
        <f>"07300  LPR - Р“Р°Р»СЊРјС–РІРЅС– РєРѕР»РѕРґРєРё РґРѕ Р±Р°СЂР°Р±Р°РЅС–РІ"</f>
        <v>07300  LPR - Р“Р°Р»СЊРјС–РІРЅС– РєРѕР»РѕРґРєРё РґРѕ Р±Р°СЂР°Р±Р°РЅС–РІ</v>
      </c>
      <c r="E5065" t="s">
        <v>16</v>
      </c>
      <c r="F5065" t="s">
        <v>6402</v>
      </c>
      <c r="G5065" t="s">
        <v>15973</v>
      </c>
      <c r="H5065" t="str">
        <f>"07300"</f>
        <v>07300</v>
      </c>
      <c r="I5065" t="s">
        <v>17103</v>
      </c>
    </row>
    <row r="5066" spans="1:9">
      <c r="A5066" t="str">
        <f>"0024762 "</f>
        <v xml:space="preserve">0024762 </v>
      </c>
      <c r="B5066" t="s">
        <v>15973</v>
      </c>
      <c r="C5066" t="s">
        <v>17104</v>
      </c>
      <c r="D5066" t="str">
        <f>"07310  LPR - Р“Р°Р»СЊРјС–РІРЅС– РєРѕР»РѕРґРєРё РґРѕ Р±Р°СЂР°Р±Р°РЅС–РІ"</f>
        <v>07310  LPR - Р“Р°Р»СЊРјС–РІРЅС– РєРѕР»РѕРґРєРё РґРѕ Р±Р°СЂР°Р±Р°РЅС–РІ</v>
      </c>
      <c r="E5066">
        <v>2</v>
      </c>
      <c r="F5066" t="s">
        <v>6650</v>
      </c>
      <c r="G5066" t="s">
        <v>15973</v>
      </c>
      <c r="H5066" t="str">
        <f>"07310"</f>
        <v>07310</v>
      </c>
      <c r="I5066" t="s">
        <v>17105</v>
      </c>
    </row>
    <row r="5067" spans="1:9">
      <c r="A5067" t="str">
        <f>"0024763 "</f>
        <v xml:space="preserve">0024763 </v>
      </c>
      <c r="B5067" t="s">
        <v>15973</v>
      </c>
      <c r="C5067" t="s">
        <v>17106</v>
      </c>
      <c r="D5067" t="str">
        <f>"07320  LPR - Р“Р°Р»СЊРјС–РІРЅС– РєРѕР»РѕРґРєРё РґРѕ Р±Р°СЂР°Р±Р°РЅС–РІ (HB)"</f>
        <v>07320  LPR - Р“Р°Р»СЊРјС–РІРЅС– РєРѕР»РѕРґРєРё РґРѕ Р±Р°СЂР°Р±Р°РЅС–РІ (HB)</v>
      </c>
      <c r="E5067">
        <v>1</v>
      </c>
      <c r="F5067" t="s">
        <v>16848</v>
      </c>
      <c r="G5067" t="s">
        <v>15973</v>
      </c>
      <c r="H5067" t="str">
        <f>"07320"</f>
        <v>07320</v>
      </c>
      <c r="I5067" t="s">
        <v>17107</v>
      </c>
    </row>
    <row r="5068" spans="1:9">
      <c r="A5068" t="str">
        <f>"0024764 "</f>
        <v xml:space="preserve">0024764 </v>
      </c>
      <c r="B5068" t="s">
        <v>15973</v>
      </c>
      <c r="C5068" t="s">
        <v>17108</v>
      </c>
      <c r="D5068" t="str">
        <f>"07330  LPR - Р“Р°Р»СЊРјС–РІРЅС– РєРѕР»РѕРґРєРё РґРѕ Р±Р°СЂР°Р±Р°РЅС–РІ"</f>
        <v>07330  LPR - Р“Р°Р»СЊРјС–РІРЅС– РєРѕР»РѕРґРєРё РґРѕ Р±Р°СЂР°Р±Р°РЅС–РІ</v>
      </c>
      <c r="E5068" t="s">
        <v>16</v>
      </c>
      <c r="F5068" t="s">
        <v>17109</v>
      </c>
      <c r="G5068" t="s">
        <v>15973</v>
      </c>
      <c r="H5068" t="str">
        <f>"07330"</f>
        <v>07330</v>
      </c>
      <c r="I5068" t="s">
        <v>17110</v>
      </c>
    </row>
    <row r="5069" spans="1:9">
      <c r="A5069" t="str">
        <f>"0024765 "</f>
        <v xml:space="preserve">0024765 </v>
      </c>
      <c r="B5069" t="s">
        <v>15973</v>
      </c>
      <c r="C5069" t="s">
        <v>17111</v>
      </c>
      <c r="D5069" t="str">
        <f>"07340  LPR - Р“Р°Р»СЊРјС–РІРЅС– РєРѕР»РѕРґРєРё РґРѕ Р±Р°СЂР°Р±Р°РЅС–РІ"</f>
        <v>07340  LPR - Р“Р°Р»СЊРјС–РІРЅС– РєРѕР»РѕРґРєРё РґРѕ Р±Р°СЂР°Р±Р°РЅС–РІ</v>
      </c>
      <c r="E5069">
        <v>5</v>
      </c>
      <c r="F5069" t="s">
        <v>4112</v>
      </c>
      <c r="G5069" t="s">
        <v>15973</v>
      </c>
      <c r="H5069" t="str">
        <f>"07340"</f>
        <v>07340</v>
      </c>
      <c r="I5069" t="s">
        <v>17112</v>
      </c>
    </row>
    <row r="5070" spans="1:9">
      <c r="A5070" t="str">
        <f>"0024767 "</f>
        <v xml:space="preserve">0024767 </v>
      </c>
      <c r="B5070" t="s">
        <v>15973</v>
      </c>
      <c r="C5070" t="s">
        <v>17113</v>
      </c>
      <c r="D5070" t="str">
        <f>"07380  LPR - Р“Р°Р»СЊРјС–РІРЅС– РєРѕР»РѕРґРєРё РґРѕ Р±Р°СЂР°Р±Р°РЅС–РІ"</f>
        <v>07380  LPR - Р“Р°Р»СЊРјС–РІРЅС– РєРѕР»РѕРґРєРё РґРѕ Р±Р°СЂР°Р±Р°РЅС–РІ</v>
      </c>
      <c r="E5070">
        <v>2</v>
      </c>
      <c r="F5070" t="s">
        <v>8771</v>
      </c>
      <c r="G5070" t="s">
        <v>15973</v>
      </c>
      <c r="H5070" t="str">
        <f>"07380"</f>
        <v>07380</v>
      </c>
      <c r="I5070" t="s">
        <v>17114</v>
      </c>
    </row>
    <row r="5071" spans="1:9">
      <c r="A5071" t="str">
        <f>"0024768 "</f>
        <v xml:space="preserve">0024768 </v>
      </c>
      <c r="B5071" t="s">
        <v>15973</v>
      </c>
      <c r="C5071" t="s">
        <v>17115</v>
      </c>
      <c r="D5071" t="str">
        <f>"07390  LPR - Р“Р°Р»СЊРјС–РІРЅС– РєРѕР»РѕРґРєРё РґРѕ Р±Р°СЂР°Р±Р°РЅС–РІ"</f>
        <v>07390  LPR - Р“Р°Р»СЊРјС–РІРЅС– РєРѕР»РѕРґРєРё РґРѕ Р±Р°СЂР°Р±Р°РЅС–РІ</v>
      </c>
      <c r="E5071">
        <v>3</v>
      </c>
      <c r="F5071" t="s">
        <v>6994</v>
      </c>
      <c r="G5071" t="s">
        <v>15973</v>
      </c>
      <c r="H5071" t="str">
        <f>"07390"</f>
        <v>07390</v>
      </c>
      <c r="I5071" t="s">
        <v>17116</v>
      </c>
    </row>
    <row r="5072" spans="1:9">
      <c r="A5072" t="str">
        <f>"0024770 "</f>
        <v xml:space="preserve">0024770 </v>
      </c>
      <c r="B5072" t="s">
        <v>15973</v>
      </c>
      <c r="C5072" t="s">
        <v>17117</v>
      </c>
      <c r="D5072" t="str">
        <f>"07410  LPR - Р“Р°Р»СЊРјС–РІРЅС– РєРѕР»РѕРґРєРё РґРѕ Р±Р°СЂР°Р±Р°РЅС–РІ"</f>
        <v>07410  LPR - Р“Р°Р»СЊРјС–РІРЅС– РєРѕР»РѕРґРєРё РґРѕ Р±Р°СЂР°Р±Р°РЅС–РІ</v>
      </c>
      <c r="E5072">
        <v>2</v>
      </c>
      <c r="F5072" t="s">
        <v>17118</v>
      </c>
      <c r="G5072" t="s">
        <v>15973</v>
      </c>
      <c r="H5072" t="str">
        <f>"07410"</f>
        <v>07410</v>
      </c>
      <c r="I5072" t="s">
        <v>17119</v>
      </c>
    </row>
    <row r="5073" spans="1:9">
      <c r="A5073" t="str">
        <f>"0024771 "</f>
        <v xml:space="preserve">0024771 </v>
      </c>
      <c r="B5073" t="s">
        <v>15973</v>
      </c>
      <c r="C5073" t="s">
        <v>17120</v>
      </c>
      <c r="D5073" t="str">
        <f>"07420  LPR - Р“Р°Р»СЊРјС–РІРЅС– РєРѕР»РѕРґРєРё РґРѕ Р±Р°СЂР°Р±Р°РЅС–РІ"</f>
        <v>07420  LPR - Р“Р°Р»СЊРјС–РІРЅС– РєРѕР»РѕРґРєРё РґРѕ Р±Р°СЂР°Р±Р°РЅС–РІ</v>
      </c>
      <c r="E5073" t="s">
        <v>16</v>
      </c>
      <c r="F5073" t="s">
        <v>17121</v>
      </c>
      <c r="G5073" t="s">
        <v>15973</v>
      </c>
      <c r="H5073" t="str">
        <f>"07420"</f>
        <v>07420</v>
      </c>
      <c r="I5073" t="s">
        <v>17122</v>
      </c>
    </row>
    <row r="5074" spans="1:9">
      <c r="A5074" t="str">
        <f>"0024772 "</f>
        <v xml:space="preserve">0024772 </v>
      </c>
      <c r="B5074" t="s">
        <v>15973</v>
      </c>
      <c r="C5074" t="s">
        <v>17123</v>
      </c>
      <c r="D5074" t="str">
        <f>"07430  LPR - Р“Р°Р»СЊРјС–РІРЅС– РєРѕР»РѕРґРєРё РґРѕ Р±Р°СЂР°Р±Р°РЅС–РІ"</f>
        <v>07430  LPR - Р“Р°Р»СЊРјС–РІРЅС– РєРѕР»РѕРґРєРё РґРѕ Р±Р°СЂР°Р±Р°РЅС–РІ</v>
      </c>
      <c r="E5074">
        <v>2</v>
      </c>
      <c r="F5074" t="s">
        <v>17124</v>
      </c>
      <c r="G5074" t="s">
        <v>15973</v>
      </c>
      <c r="H5074" t="str">
        <f>"07430"</f>
        <v>07430</v>
      </c>
      <c r="I5074" t="s">
        <v>17125</v>
      </c>
    </row>
    <row r="5075" spans="1:9">
      <c r="A5075" t="str">
        <f>"0024776 "</f>
        <v xml:space="preserve">0024776 </v>
      </c>
      <c r="B5075" t="s">
        <v>15973</v>
      </c>
      <c r="C5075" t="s">
        <v>17126</v>
      </c>
      <c r="D5075" t="str">
        <f>"07470  LPR - Р“Р°Р»СЊРјС–РІРЅС– РєРѕР»РѕРґРєРё РґРѕ Р±Р°СЂР°Р±Р°РЅС–РІ"</f>
        <v>07470  LPR - Р“Р°Р»СЊРјС–РІРЅС– РєРѕР»РѕРґРєРё РґРѕ Р±Р°СЂР°Р±Р°РЅС–РІ</v>
      </c>
      <c r="E5075">
        <v>2</v>
      </c>
      <c r="F5075" t="s">
        <v>17127</v>
      </c>
      <c r="G5075" t="s">
        <v>15973</v>
      </c>
      <c r="H5075" t="str">
        <f>"07470"</f>
        <v>07470</v>
      </c>
      <c r="I5075" t="s">
        <v>17128</v>
      </c>
    </row>
    <row r="5076" spans="1:9">
      <c r="A5076" t="str">
        <f>"0024778 "</f>
        <v xml:space="preserve">0024778 </v>
      </c>
      <c r="B5076" t="s">
        <v>15973</v>
      </c>
      <c r="C5076" t="s">
        <v>17129</v>
      </c>
      <c r="D5076" t="str">
        <f>"07490  LPR - Р“Р°Р»СЊРјС–РІРЅС– РєРѕР»РѕРґРєРё РґРѕ Р±Р°СЂР°Р±Р°РЅС–РІ"</f>
        <v>07490  LPR - Р“Р°Р»СЊРјС–РІРЅС– РєРѕР»РѕРґРєРё РґРѕ Р±Р°СЂР°Р±Р°РЅС–РІ</v>
      </c>
      <c r="E5076">
        <v>3</v>
      </c>
      <c r="F5076" t="s">
        <v>16515</v>
      </c>
      <c r="G5076" t="s">
        <v>15973</v>
      </c>
      <c r="H5076" t="str">
        <f>"07490"</f>
        <v>07490</v>
      </c>
      <c r="I5076" t="s">
        <v>17130</v>
      </c>
    </row>
    <row r="5077" spans="1:9">
      <c r="A5077" t="str">
        <f>"0024800 "</f>
        <v xml:space="preserve">0024800 </v>
      </c>
      <c r="B5077" t="s">
        <v>15973</v>
      </c>
      <c r="C5077" t="s">
        <v>17131</v>
      </c>
      <c r="D5077" t="str">
        <f>"07730  LPR - Р“Р°Р»СЊРјС–РІРЅС– РєРѕР»РѕРґРєРё РґРѕ Р±Р°СЂР°Р±Р°РЅС–РІ"</f>
        <v>07730  LPR - Р“Р°Р»СЊРјС–РІРЅС– РєРѕР»РѕРґРєРё РґРѕ Р±Р°СЂР°Р±Р°РЅС–РІ</v>
      </c>
      <c r="E5077">
        <v>2</v>
      </c>
      <c r="F5077" t="s">
        <v>17132</v>
      </c>
      <c r="G5077" t="s">
        <v>15973</v>
      </c>
      <c r="H5077" t="str">
        <f>"07730"</f>
        <v>07730</v>
      </c>
      <c r="I5077" t="s">
        <v>17133</v>
      </c>
    </row>
    <row r="5078" spans="1:9">
      <c r="A5078" t="str">
        <f>"0024802 "</f>
        <v xml:space="preserve">0024802 </v>
      </c>
      <c r="B5078" t="s">
        <v>15973</v>
      </c>
      <c r="C5078" t="s">
        <v>17134</v>
      </c>
      <c r="D5078" t="str">
        <f>"07750  LPR - Р“Р°Р»СЊРјС–РІРЅС– РєРѕР»РѕРґРєРё РґРѕ Р±Р°СЂР°Р±Р°РЅС–РІ"</f>
        <v>07750  LPR - Р“Р°Р»СЊРјС–РІРЅС– РєРѕР»РѕРґРєРё РґРѕ Р±Р°СЂР°Р±Р°РЅС–РІ</v>
      </c>
      <c r="E5078">
        <v>2</v>
      </c>
      <c r="F5078" t="s">
        <v>16292</v>
      </c>
      <c r="G5078" t="s">
        <v>15973</v>
      </c>
      <c r="H5078" t="str">
        <f>"07750"</f>
        <v>07750</v>
      </c>
      <c r="I5078" t="s">
        <v>17135</v>
      </c>
    </row>
    <row r="5079" spans="1:9">
      <c r="A5079" t="str">
        <f>"0024806 "</f>
        <v xml:space="preserve">0024806 </v>
      </c>
      <c r="B5079" t="s">
        <v>15973</v>
      </c>
      <c r="C5079" t="s">
        <v>17136</v>
      </c>
      <c r="D5079" t="str">
        <f>"07790  LPR - Р“Р°Р»СЊРјС–РІРЅС– РєРѕР»РѕРґРєРё РґРѕ Р±Р°СЂР°Р±Р°РЅС–РІ"</f>
        <v>07790  LPR - Р“Р°Р»СЊРјС–РІРЅС– РєРѕР»РѕРґРєРё РґРѕ Р±Р°СЂР°Р±Р°РЅС–РІ</v>
      </c>
      <c r="E5079">
        <v>2</v>
      </c>
      <c r="F5079" t="s">
        <v>16461</v>
      </c>
      <c r="G5079" t="s">
        <v>15973</v>
      </c>
      <c r="H5079" t="str">
        <f>"07790"</f>
        <v>07790</v>
      </c>
      <c r="I5079" t="s">
        <v>17137</v>
      </c>
    </row>
    <row r="5080" spans="1:9">
      <c r="A5080" t="str">
        <f>"0024823 "</f>
        <v xml:space="preserve">0024823 </v>
      </c>
      <c r="B5080" t="s">
        <v>15973</v>
      </c>
      <c r="C5080" t="s">
        <v>17138</v>
      </c>
      <c r="D5080" t="str">
        <f>"07960  LPR - Р“Р°Р»СЊРјС–РІРЅС– РєРѕР»РѕРґРєРё РґРѕ Р±Р°СЂР°Р±Р°РЅС–РІ (HB)"</f>
        <v>07960  LPR - Р“Р°Р»СЊРјС–РІРЅС– РєРѕР»РѕРґРєРё РґРѕ Р±Р°СЂР°Р±Р°РЅС–РІ (HB)</v>
      </c>
      <c r="E5080">
        <v>2</v>
      </c>
      <c r="F5080" t="s">
        <v>17139</v>
      </c>
      <c r="G5080" t="s">
        <v>15973</v>
      </c>
      <c r="H5080" t="str">
        <f>"07960"</f>
        <v>07960</v>
      </c>
      <c r="I5080" t="s">
        <v>17140</v>
      </c>
    </row>
    <row r="5081" spans="1:9">
      <c r="A5081" t="str">
        <f>"0024841 "</f>
        <v xml:space="preserve">0024841 </v>
      </c>
      <c r="B5081" t="s">
        <v>15973</v>
      </c>
      <c r="C5081" t="s">
        <v>17141</v>
      </c>
      <c r="D5081" t="str">
        <f>"08170  LPR - Р“Р°Р»СЊРјС–РІРЅС– РєРѕР»РѕРґРєРё РґРѕ Р±Р°СЂР°Р±Р°РЅС–РІ"</f>
        <v>08170  LPR - Р“Р°Р»СЊРјС–РІРЅС– РєРѕР»РѕРґРєРё РґРѕ Р±Р°СЂР°Р±Р°РЅС–РІ</v>
      </c>
      <c r="E5081">
        <v>2</v>
      </c>
      <c r="F5081" t="s">
        <v>17036</v>
      </c>
      <c r="G5081" t="s">
        <v>15973</v>
      </c>
      <c r="H5081" t="str">
        <f>"08170"</f>
        <v>08170</v>
      </c>
      <c r="I5081" t="s">
        <v>17142</v>
      </c>
    </row>
    <row r="5082" spans="1:9">
      <c r="A5082" t="str">
        <f>"0024842 "</f>
        <v xml:space="preserve">0024842 </v>
      </c>
      <c r="B5082" t="s">
        <v>15973</v>
      </c>
      <c r="C5082" t="s">
        <v>17143</v>
      </c>
      <c r="D5082" t="str">
        <f>"08180  LPR - Р“Р°Р»СЊРјС–РІРЅС– РєРѕР»РѕРґРєРё РґРѕ Р±Р°СЂР°Р±Р°РЅС–РІ"</f>
        <v>08180  LPR - Р“Р°Р»СЊРјС–РІРЅС– РєРѕР»РѕРґРєРё РґРѕ Р±Р°СЂР°Р±Р°РЅС–РІ</v>
      </c>
      <c r="E5082">
        <v>1</v>
      </c>
      <c r="F5082" t="s">
        <v>17144</v>
      </c>
      <c r="G5082" t="s">
        <v>15973</v>
      </c>
      <c r="H5082" t="str">
        <f>"08180"</f>
        <v>08180</v>
      </c>
      <c r="I5082" t="s">
        <v>17145</v>
      </c>
    </row>
    <row r="5083" spans="1:9">
      <c r="A5083" t="str">
        <f>"0024844 "</f>
        <v xml:space="preserve">0024844 </v>
      </c>
      <c r="B5083" t="s">
        <v>15973</v>
      </c>
      <c r="C5083" t="s">
        <v>17146</v>
      </c>
      <c r="D5083" t="str">
        <f>"08200  LPR - Р“Р°Р»СЊРјС–РІРЅС– РєРѕР»РѕРґРєРё РґРѕ Р±Р°СЂР°Р±Р°РЅС–РІ"</f>
        <v>08200  LPR - Р“Р°Р»СЊРјС–РІРЅС– РєРѕР»РѕРґРєРё РґРѕ Р±Р°СЂР°Р±Р°РЅС–РІ</v>
      </c>
      <c r="E5083">
        <v>3</v>
      </c>
      <c r="F5083" t="s">
        <v>16518</v>
      </c>
      <c r="G5083" t="s">
        <v>15973</v>
      </c>
      <c r="H5083" t="str">
        <f>"08200"</f>
        <v>08200</v>
      </c>
      <c r="I5083" t="s">
        <v>17147</v>
      </c>
    </row>
    <row r="5084" spans="1:9">
      <c r="A5084" t="str">
        <f>"0024845 "</f>
        <v xml:space="preserve">0024845 </v>
      </c>
      <c r="B5084" t="s">
        <v>15973</v>
      </c>
      <c r="C5084" t="s">
        <v>17148</v>
      </c>
      <c r="D5084" t="str">
        <f>"08210  LPR - Р“Р°Р»СЊРјС–РІРЅС– РєРѕР»РѕРґРєРё РґРѕ Р±Р°СЂР°Р±Р°РЅС–РІ"</f>
        <v>08210  LPR - Р“Р°Р»СЊРјС–РІРЅС– РєРѕР»РѕРґРєРё РґРѕ Р±Р°СЂР°Р±Р°РЅС–РІ</v>
      </c>
      <c r="E5084">
        <v>2</v>
      </c>
      <c r="F5084" t="s">
        <v>17149</v>
      </c>
      <c r="G5084" t="s">
        <v>15973</v>
      </c>
      <c r="H5084" t="str">
        <f>"08210"</f>
        <v>08210</v>
      </c>
      <c r="I5084" t="s">
        <v>17150</v>
      </c>
    </row>
    <row r="5085" spans="1:9">
      <c r="A5085" t="str">
        <f>"0024848 "</f>
        <v xml:space="preserve">0024848 </v>
      </c>
      <c r="B5085" t="s">
        <v>15973</v>
      </c>
      <c r="C5085" t="s">
        <v>17151</v>
      </c>
      <c r="D5085" t="str">
        <f>"08240  LPR - Р“Р°Р»СЊРјС–РІРЅС– РєРѕР»РѕРґРєРё РґРѕ Р±Р°СЂР°Р±Р°РЅС–РІ"</f>
        <v>08240  LPR - Р“Р°Р»СЊРјС–РІРЅС– РєРѕР»РѕРґРєРё РґРѕ Р±Р°СЂР°Р±Р°РЅС–РІ</v>
      </c>
      <c r="E5085">
        <v>1</v>
      </c>
      <c r="F5085" t="s">
        <v>17152</v>
      </c>
      <c r="G5085" t="s">
        <v>15973</v>
      </c>
      <c r="H5085" t="str">
        <f>"08240"</f>
        <v>08240</v>
      </c>
      <c r="I5085" t="s">
        <v>17153</v>
      </c>
    </row>
    <row r="5086" spans="1:9">
      <c r="A5086" t="str">
        <f>"0024860 "</f>
        <v xml:space="preserve">0024860 </v>
      </c>
      <c r="B5086" t="s">
        <v>15973</v>
      </c>
      <c r="C5086" t="s">
        <v>17154</v>
      </c>
      <c r="D5086" t="str">
        <f>"08440  LPR - Р“Р°Р»СЊРјС–РІРЅС– РєРѕР»РѕРґРєРё РґРѕ Р±Р°СЂР°Р±Р°РЅС–РІ"</f>
        <v>08440  LPR - Р“Р°Р»СЊРјС–РІРЅС– РєРѕР»РѕРґРєРё РґРѕ Р±Р°СЂР°Р±Р°РЅС–РІ</v>
      </c>
      <c r="E5086">
        <v>1</v>
      </c>
      <c r="F5086" t="s">
        <v>17155</v>
      </c>
      <c r="G5086" t="s">
        <v>15973</v>
      </c>
      <c r="H5086" t="str">
        <f>"08440"</f>
        <v>08440</v>
      </c>
      <c r="I5086" t="s">
        <v>17156</v>
      </c>
    </row>
    <row r="5087" spans="1:9">
      <c r="A5087" t="str">
        <f>"0024868 "</f>
        <v xml:space="preserve">0024868 </v>
      </c>
      <c r="B5087" t="s">
        <v>15973</v>
      </c>
      <c r="C5087" t="s">
        <v>17157</v>
      </c>
      <c r="D5087" t="str">
        <f>"08540  LPR - Р“Р°Р»СЊРјС–РІРЅС– РєРѕР»РѕРґРєРё РґРѕ Р±Р°СЂР°Р±Р°РЅС–РІ"</f>
        <v>08540  LPR - Р“Р°Р»СЊРјС–РІРЅС– РєРѕР»РѕРґРєРё РґРѕ Р±Р°СЂР°Р±Р°РЅС–РІ</v>
      </c>
      <c r="E5087">
        <v>1</v>
      </c>
      <c r="F5087" t="s">
        <v>16438</v>
      </c>
      <c r="G5087" t="s">
        <v>15973</v>
      </c>
      <c r="H5087" t="str">
        <f>"08540"</f>
        <v>08540</v>
      </c>
      <c r="I5087" t="s">
        <v>17158</v>
      </c>
    </row>
    <row r="5088" spans="1:9">
      <c r="A5088" t="str">
        <f>"0024869 "</f>
        <v xml:space="preserve">0024869 </v>
      </c>
      <c r="B5088" t="s">
        <v>15973</v>
      </c>
      <c r="C5088" t="s">
        <v>17159</v>
      </c>
      <c r="D5088" t="str">
        <f>"08550  LPR - Р“Р°Р»СЊРјС–РІРЅС– РєРѕР»РѕРґРєРё РґРѕ Р±Р°СЂР°Р±Р°РЅС–РІ"</f>
        <v>08550  LPR - Р“Р°Р»СЊРјС–РІРЅС– РєРѕР»РѕРґРєРё РґРѕ Р±Р°СЂР°Р±Р°РЅС–РІ</v>
      </c>
      <c r="E5088">
        <v>3</v>
      </c>
      <c r="F5088" t="s">
        <v>17160</v>
      </c>
      <c r="G5088" t="s">
        <v>15973</v>
      </c>
      <c r="H5088" t="str">
        <f>"08550"</f>
        <v>08550</v>
      </c>
      <c r="I5088" t="s">
        <v>17161</v>
      </c>
    </row>
    <row r="5089" spans="1:9">
      <c r="A5089" t="str">
        <f>"0024870 "</f>
        <v xml:space="preserve">0024870 </v>
      </c>
      <c r="B5089" t="s">
        <v>15973</v>
      </c>
      <c r="C5089" t="s">
        <v>17162</v>
      </c>
      <c r="D5089" t="str">
        <f>"08580  LPR - Р“Р°Р»СЊРјС–РІРЅС– РєРѕР»РѕРґРєРё РґРѕ Р±Р°СЂР°Р±Р°РЅС–РІ"</f>
        <v>08580  LPR - Р“Р°Р»СЊРјС–РІРЅС– РєРѕР»РѕРґРєРё РґРѕ Р±Р°СЂР°Р±Р°РЅС–РІ</v>
      </c>
      <c r="E5089">
        <v>3</v>
      </c>
      <c r="F5089" t="s">
        <v>17163</v>
      </c>
      <c r="G5089" t="s">
        <v>15973</v>
      </c>
      <c r="H5089" t="str">
        <f>"08580"</f>
        <v>08580</v>
      </c>
      <c r="I5089" t="s">
        <v>17164</v>
      </c>
    </row>
    <row r="5090" spans="1:9">
      <c r="A5090" t="str">
        <f>"0024873 "</f>
        <v xml:space="preserve">0024873 </v>
      </c>
      <c r="B5090" t="s">
        <v>15973</v>
      </c>
      <c r="C5090" t="s">
        <v>17165</v>
      </c>
      <c r="D5090" t="str">
        <f>"08630  LPR - Р“Р°Р»СЊРјС–РІРЅС– РєРѕР»РѕРґРєРё РґРѕ Р±Р°СЂР°Р±Р°РЅС–РІ"</f>
        <v>08630  LPR - Р“Р°Р»СЊРјС–РІРЅС– РєРѕР»РѕРґРєРё РґРѕ Р±Р°СЂР°Р±Р°РЅС–РІ</v>
      </c>
      <c r="E5090" t="s">
        <v>16</v>
      </c>
      <c r="F5090" t="s">
        <v>17166</v>
      </c>
      <c r="G5090" t="s">
        <v>15973</v>
      </c>
      <c r="H5090" t="str">
        <f>"08630"</f>
        <v>08630</v>
      </c>
      <c r="I5090" t="s">
        <v>17167</v>
      </c>
    </row>
    <row r="5091" spans="1:9">
      <c r="A5091" t="str">
        <f>"0024874 "</f>
        <v xml:space="preserve">0024874 </v>
      </c>
      <c r="B5091" t="s">
        <v>15973</v>
      </c>
      <c r="C5091" t="s">
        <v>17168</v>
      </c>
      <c r="D5091" t="str">
        <f>"08640  LPR - Р“Р°Р»СЊРјС–РІРЅС– РєРѕР»РѕРґРєРё РґРѕ Р±Р°СЂР°Р±Р°РЅС–РІ"</f>
        <v>08640  LPR - Р“Р°Р»СЊРјС–РІРЅС– РєРѕР»РѕРґРєРё РґРѕ Р±Р°СЂР°Р±Р°РЅС–РІ</v>
      </c>
      <c r="E5091">
        <v>2</v>
      </c>
      <c r="F5091" t="s">
        <v>16866</v>
      </c>
      <c r="G5091" t="s">
        <v>15973</v>
      </c>
      <c r="H5091" t="str">
        <f>"08640"</f>
        <v>08640</v>
      </c>
      <c r="I5091" t="s">
        <v>17169</v>
      </c>
    </row>
    <row r="5092" spans="1:9">
      <c r="A5092" t="str">
        <f>"0024897 "</f>
        <v xml:space="preserve">0024897 </v>
      </c>
      <c r="B5092" t="s">
        <v>15973</v>
      </c>
      <c r="C5092" t="s">
        <v>17170</v>
      </c>
      <c r="D5092" t="str">
        <f>"08870  LPR - Р“Р°Р»СЊРјС–РІРЅС– РєРѕР»РѕРґРєРё РґРѕ Р±Р°СЂР°Р±Р°РЅС–РІ"</f>
        <v>08870  LPR - Р“Р°Р»СЊРјС–РІРЅС– РєРѕР»РѕРґРєРё РґРѕ Р±Р°СЂР°Р±Р°РЅС–РІ</v>
      </c>
      <c r="E5092">
        <v>2</v>
      </c>
      <c r="F5092" t="s">
        <v>17171</v>
      </c>
      <c r="G5092" t="s">
        <v>15973</v>
      </c>
      <c r="H5092" t="str">
        <f>"08870"</f>
        <v>08870</v>
      </c>
      <c r="I5092" t="s">
        <v>17172</v>
      </c>
    </row>
    <row r="5093" spans="1:9">
      <c r="A5093" t="str">
        <f>"0024910 "</f>
        <v xml:space="preserve">0024910 </v>
      </c>
      <c r="B5093" t="s">
        <v>15973</v>
      </c>
      <c r="C5093" t="s">
        <v>17173</v>
      </c>
      <c r="D5093" t="str">
        <f>"09020  LPR - Р“Р°Р»СЊРјС–РІРЅС– РєРѕР»РѕРґРєРё РґРѕ Р±Р°СЂР°Р±Р°РЅС–РІ (HB)"</f>
        <v>09020  LPR - Р“Р°Р»СЊРјС–РІРЅС– РєРѕР»РѕРґРєРё РґРѕ Р±Р°СЂР°Р±Р°РЅС–РІ (HB)</v>
      </c>
      <c r="E5093">
        <v>1</v>
      </c>
      <c r="F5093" t="s">
        <v>17174</v>
      </c>
      <c r="G5093" t="s">
        <v>15973</v>
      </c>
      <c r="H5093" t="str">
        <f>"09020"</f>
        <v>09020</v>
      </c>
      <c r="I5093" t="s">
        <v>17175</v>
      </c>
    </row>
    <row r="5094" spans="1:9">
      <c r="A5094" t="str">
        <f>"0024929 "</f>
        <v xml:space="preserve">0024929 </v>
      </c>
      <c r="B5094" t="s">
        <v>15973</v>
      </c>
      <c r="C5094" t="s">
        <v>17176</v>
      </c>
      <c r="D5094" t="str">
        <f>"09290  LPR - Р“Р°Р»СЊРјС–РІРЅС– РєРѕР»РѕРґРєРё РґРѕ Р±Р°СЂР°Р±Р°РЅС–РІ"</f>
        <v>09290  LPR - Р“Р°Р»СЊРјС–РІРЅС– РєРѕР»РѕРґРєРё РґРѕ Р±Р°СЂР°Р±Р°РЅС–РІ</v>
      </c>
      <c r="E5094">
        <v>2</v>
      </c>
      <c r="F5094" t="s">
        <v>17177</v>
      </c>
      <c r="G5094" t="s">
        <v>15973</v>
      </c>
      <c r="H5094" t="str">
        <f>"09290"</f>
        <v>09290</v>
      </c>
      <c r="I5094" t="s">
        <v>17178</v>
      </c>
    </row>
    <row r="5095" spans="1:9">
      <c r="A5095" t="str">
        <f>"0024943 "</f>
        <v xml:space="preserve">0024943 </v>
      </c>
      <c r="B5095" t="s">
        <v>15973</v>
      </c>
      <c r="C5095" t="s">
        <v>17179</v>
      </c>
      <c r="D5095" t="str">
        <f>"09440  LPR - Р“Р°Р»СЊРјС–РІРЅС– РєРѕР»РѕРґРєРё РґРѕ Р±Р°СЂР°Р±Р°РЅС–РІ (HB)"</f>
        <v>09440  LPR - Р“Р°Р»СЊРјС–РІРЅС– РєРѕР»РѕРґРєРё РґРѕ Р±Р°СЂР°Р±Р°РЅС–РІ (HB)</v>
      </c>
      <c r="E5095">
        <v>1</v>
      </c>
      <c r="F5095" t="s">
        <v>16869</v>
      </c>
      <c r="G5095" t="s">
        <v>15973</v>
      </c>
      <c r="H5095" t="str">
        <f>"09440"</f>
        <v>09440</v>
      </c>
      <c r="I5095" t="s">
        <v>17180</v>
      </c>
    </row>
    <row r="5096" spans="1:9">
      <c r="A5096" t="str">
        <f>"0024946 "</f>
        <v xml:space="preserve">0024946 </v>
      </c>
      <c r="B5096" t="s">
        <v>15973</v>
      </c>
      <c r="C5096" t="s">
        <v>17181</v>
      </c>
      <c r="D5096" t="str">
        <f>"09470  LPR - Р“Р°Р»СЊРјС–РІРЅС– РєРѕР»РѕРґРєРё РґРѕ Р±Р°СЂР°Р±Р°РЅС–РІ"</f>
        <v>09470  LPR - Р“Р°Р»СЊРјС–РІРЅС– РєРѕР»РѕРґРєРё РґРѕ Р±Р°СЂР°Р±Р°РЅС–РІ</v>
      </c>
      <c r="E5096">
        <v>2</v>
      </c>
      <c r="F5096" t="s">
        <v>17182</v>
      </c>
      <c r="G5096" t="s">
        <v>15973</v>
      </c>
      <c r="H5096" t="str">
        <f>"09470"</f>
        <v>09470</v>
      </c>
      <c r="I5096" t="s">
        <v>17183</v>
      </c>
    </row>
    <row r="5097" spans="1:9">
      <c r="A5097" t="str">
        <f>"0035926 "</f>
        <v xml:space="preserve">0035926 </v>
      </c>
      <c r="B5097" t="s">
        <v>15973</v>
      </c>
      <c r="C5097" t="s">
        <v>17184</v>
      </c>
      <c r="D5097" t="str">
        <f>"09720  LPR - Р“Р°Р»СЊРјС–РІРЅС– РєРѕР»РѕРґРєРё РґРѕ Р±Р°СЂР°Р±Р°РЅС–РІ"</f>
        <v>09720  LPR - Р“Р°Р»СЊРјС–РІРЅС– РєРѕР»РѕРґРєРё РґРѕ Р±Р°СЂР°Р±Р°РЅС–РІ</v>
      </c>
      <c r="E5097">
        <v>2</v>
      </c>
      <c r="F5097" t="s">
        <v>17118</v>
      </c>
      <c r="G5097" t="s">
        <v>15973</v>
      </c>
      <c r="H5097" t="str">
        <f>"09720"</f>
        <v>09720</v>
      </c>
      <c r="I5097" t="s">
        <v>17185</v>
      </c>
    </row>
    <row r="5098" spans="1:9">
      <c r="A5098" t="str">
        <f>"0035932 "</f>
        <v xml:space="preserve">0035932 </v>
      </c>
      <c r="B5098" t="s">
        <v>15973</v>
      </c>
      <c r="C5098" t="s">
        <v>17186</v>
      </c>
      <c r="D5098" t="str">
        <f>"09780  LPR - Р“Р°Р»СЊРјС–РІРЅС– РєРѕР»РѕРґРєРё РґРѕ Р±Р°СЂР°Р±Р°РЅС–РІ"</f>
        <v>09780  LPR - Р“Р°Р»СЊРјС–РІРЅС– РєРѕР»РѕРґРєРё РґРѕ Р±Р°СЂР°Р±Р°РЅС–РІ</v>
      </c>
      <c r="E5098">
        <v>2</v>
      </c>
      <c r="F5098" t="s">
        <v>15988</v>
      </c>
      <c r="G5098" t="s">
        <v>15973</v>
      </c>
      <c r="H5098" t="str">
        <f>"09780"</f>
        <v>09780</v>
      </c>
      <c r="I5098" t="s">
        <v>17187</v>
      </c>
    </row>
    <row r="5099" spans="1:9">
      <c r="A5099" t="str">
        <f>"0035943 "</f>
        <v xml:space="preserve">0035943 </v>
      </c>
      <c r="B5099" t="s">
        <v>15973</v>
      </c>
      <c r="C5099" t="s">
        <v>17188</v>
      </c>
      <c r="D5099" t="str">
        <f>"09890  LPR - Р“Р°Р»СЊРјС–РІРЅС– РєРѕР»РѕРґРєРё РґРѕ Р±Р°СЂР°Р±Р°РЅС–РІ"</f>
        <v>09890  LPR - Р“Р°Р»СЊРјС–РІРЅС– РєРѕР»РѕРґРєРё РґРѕ Р±Р°СЂР°Р±Р°РЅС–РІ</v>
      </c>
      <c r="E5099">
        <v>2</v>
      </c>
      <c r="F5099" t="s">
        <v>17189</v>
      </c>
      <c r="G5099" t="s">
        <v>15973</v>
      </c>
      <c r="H5099" t="str">
        <f>"09890"</f>
        <v>09890</v>
      </c>
      <c r="I5099" t="s">
        <v>17190</v>
      </c>
    </row>
    <row r="5100" spans="1:9">
      <c r="A5100" t="str">
        <f>"0024974 "</f>
        <v xml:space="preserve">0024974 </v>
      </c>
      <c r="B5100" t="s">
        <v>15973</v>
      </c>
      <c r="C5100" t="s">
        <v>17191</v>
      </c>
      <c r="D5100" t="s">
        <v>17192</v>
      </c>
      <c r="E5100">
        <v>1</v>
      </c>
      <c r="F5100" t="s">
        <v>17193</v>
      </c>
      <c r="G5100" t="s">
        <v>15973</v>
      </c>
      <c r="H5100">
        <v>1041</v>
      </c>
      <c r="I5100" t="s">
        <v>17194</v>
      </c>
    </row>
    <row r="5101" spans="1:9">
      <c r="A5101" t="str">
        <f>"0025124 "</f>
        <v xml:space="preserve">0025124 </v>
      </c>
      <c r="B5101" t="s">
        <v>15973</v>
      </c>
      <c r="C5101" t="s">
        <v>17195</v>
      </c>
      <c r="D5101" t="s">
        <v>17196</v>
      </c>
      <c r="E5101">
        <v>2</v>
      </c>
      <c r="F5101" t="s">
        <v>17197</v>
      </c>
      <c r="G5101" t="s">
        <v>15973</v>
      </c>
      <c r="H5101">
        <v>1229</v>
      </c>
      <c r="I5101" t="s">
        <v>17198</v>
      </c>
    </row>
    <row r="5102" spans="1:9">
      <c r="A5102" t="str">
        <f>"0025205 "</f>
        <v xml:space="preserve">0025205 </v>
      </c>
      <c r="B5102" t="s">
        <v>15973</v>
      </c>
      <c r="C5102" t="s">
        <v>17199</v>
      </c>
      <c r="D5102" t="s">
        <v>17200</v>
      </c>
      <c r="E5102">
        <v>1</v>
      </c>
      <c r="F5102" t="s">
        <v>17201</v>
      </c>
      <c r="G5102" t="s">
        <v>15973</v>
      </c>
      <c r="H5102">
        <v>1329</v>
      </c>
      <c r="I5102" t="s">
        <v>17202</v>
      </c>
    </row>
    <row r="5103" spans="1:9">
      <c r="A5103" t="str">
        <f>"0025330 "</f>
        <v xml:space="preserve">0025330 </v>
      </c>
      <c r="B5103" t="s">
        <v>15973</v>
      </c>
      <c r="C5103" t="s">
        <v>17203</v>
      </c>
      <c r="D5103" t="s">
        <v>17204</v>
      </c>
      <c r="E5103">
        <v>1</v>
      </c>
      <c r="F5103" t="s">
        <v>17205</v>
      </c>
      <c r="G5103" t="s">
        <v>15973</v>
      </c>
      <c r="H5103">
        <v>1545</v>
      </c>
      <c r="I5103" t="s">
        <v>17206</v>
      </c>
    </row>
    <row r="5104" spans="1:9">
      <c r="A5104" t="str">
        <f>"0025343 "</f>
        <v xml:space="preserve">0025343 </v>
      </c>
      <c r="B5104" t="s">
        <v>15973</v>
      </c>
      <c r="C5104" t="s">
        <v>17207</v>
      </c>
      <c r="D5104" t="s">
        <v>17208</v>
      </c>
      <c r="E5104">
        <v>1</v>
      </c>
      <c r="F5104" t="s">
        <v>17209</v>
      </c>
      <c r="G5104" t="s">
        <v>15973</v>
      </c>
      <c r="H5104">
        <v>1566</v>
      </c>
      <c r="I5104" t="s">
        <v>17210</v>
      </c>
    </row>
    <row r="5105" spans="1:9">
      <c r="A5105" t="str">
        <f>"0157247 "</f>
        <v xml:space="preserve">0157247 </v>
      </c>
      <c r="B5105" t="s">
        <v>15973</v>
      </c>
      <c r="C5105" t="s">
        <v>17211</v>
      </c>
      <c r="D5105" t="s">
        <v>17212</v>
      </c>
      <c r="E5105">
        <v>1</v>
      </c>
      <c r="F5105" t="s">
        <v>17213</v>
      </c>
      <c r="G5105" t="s">
        <v>15973</v>
      </c>
      <c r="H5105">
        <v>1586</v>
      </c>
      <c r="I5105" t="s">
        <v>17214</v>
      </c>
    </row>
    <row r="5106" spans="1:9">
      <c r="A5106" t="str">
        <f>"0025428 "</f>
        <v xml:space="preserve">0025428 </v>
      </c>
      <c r="B5106" t="s">
        <v>15973</v>
      </c>
      <c r="C5106" t="s">
        <v>17215</v>
      </c>
      <c r="D5106" t="s">
        <v>17216</v>
      </c>
      <c r="E5106">
        <v>3</v>
      </c>
      <c r="F5106" t="s">
        <v>5144</v>
      </c>
      <c r="G5106" t="s">
        <v>15973</v>
      </c>
      <c r="H5106">
        <v>1803</v>
      </c>
      <c r="I5106" t="s">
        <v>17217</v>
      </c>
    </row>
    <row r="5107" spans="1:9">
      <c r="A5107" t="str">
        <f>"0025456 "</f>
        <v xml:space="preserve">0025456 </v>
      </c>
      <c r="B5107" t="s">
        <v>15973</v>
      </c>
      <c r="C5107" t="s">
        <v>17218</v>
      </c>
      <c r="D5107" t="s">
        <v>17219</v>
      </c>
      <c r="E5107">
        <v>1</v>
      </c>
      <c r="F5107" t="s">
        <v>16251</v>
      </c>
      <c r="G5107" t="s">
        <v>15973</v>
      </c>
      <c r="H5107">
        <v>1832</v>
      </c>
      <c r="I5107" t="s">
        <v>17220</v>
      </c>
    </row>
    <row r="5108" spans="1:9">
      <c r="A5108" t="str">
        <f>"0025482 "</f>
        <v xml:space="preserve">0025482 </v>
      </c>
      <c r="B5108" t="s">
        <v>15973</v>
      </c>
      <c r="C5108" t="s">
        <v>17221</v>
      </c>
      <c r="D5108" t="s">
        <v>17222</v>
      </c>
      <c r="E5108">
        <v>1</v>
      </c>
      <c r="F5108" t="s">
        <v>17223</v>
      </c>
      <c r="G5108" t="s">
        <v>15973</v>
      </c>
      <c r="H5108">
        <v>1862</v>
      </c>
      <c r="I5108" t="s">
        <v>17224</v>
      </c>
    </row>
    <row r="5109" spans="1:9">
      <c r="A5109" t="str">
        <f>"0025510 "</f>
        <v xml:space="preserve">0025510 </v>
      </c>
      <c r="B5109" t="s">
        <v>15973</v>
      </c>
      <c r="C5109" t="s">
        <v>17225</v>
      </c>
      <c r="D5109" t="s">
        <v>17226</v>
      </c>
      <c r="E5109">
        <v>1</v>
      </c>
      <c r="F5109" t="s">
        <v>17227</v>
      </c>
      <c r="G5109" t="s">
        <v>15973</v>
      </c>
      <c r="H5109">
        <v>1890</v>
      </c>
      <c r="I5109" t="s">
        <v>17228</v>
      </c>
    </row>
    <row r="5110" spans="1:9">
      <c r="A5110" t="str">
        <f>"0025514 "</f>
        <v xml:space="preserve">0025514 </v>
      </c>
      <c r="B5110" t="s">
        <v>15973</v>
      </c>
      <c r="C5110" t="s">
        <v>17229</v>
      </c>
      <c r="D5110" t="s">
        <v>17230</v>
      </c>
      <c r="E5110">
        <v>1</v>
      </c>
      <c r="F5110" t="s">
        <v>17231</v>
      </c>
      <c r="G5110" t="s">
        <v>15973</v>
      </c>
      <c r="H5110">
        <v>1894</v>
      </c>
      <c r="I5110" t="s">
        <v>17232</v>
      </c>
    </row>
    <row r="5111" spans="1:9">
      <c r="A5111" t="str">
        <f>"0025567 "</f>
        <v xml:space="preserve">0025567 </v>
      </c>
      <c r="B5111" t="s">
        <v>15973</v>
      </c>
      <c r="C5111" t="s">
        <v>17233</v>
      </c>
      <c r="D5111" t="s">
        <v>17234</v>
      </c>
      <c r="E5111">
        <v>1</v>
      </c>
      <c r="F5111" t="s">
        <v>17235</v>
      </c>
      <c r="G5111" t="s">
        <v>15973</v>
      </c>
      <c r="H5111">
        <v>1952</v>
      </c>
      <c r="I5111" t="s">
        <v>17236</v>
      </c>
    </row>
    <row r="5112" spans="1:9">
      <c r="A5112" t="str">
        <f>"0025569 "</f>
        <v xml:space="preserve">0025569 </v>
      </c>
      <c r="B5112" t="s">
        <v>15973</v>
      </c>
      <c r="C5112" t="s">
        <v>17237</v>
      </c>
      <c r="D5112" t="s">
        <v>17238</v>
      </c>
      <c r="E5112">
        <v>2</v>
      </c>
      <c r="F5112" t="s">
        <v>17239</v>
      </c>
      <c r="G5112" t="s">
        <v>15973</v>
      </c>
      <c r="H5112">
        <v>1954</v>
      </c>
      <c r="I5112" t="s">
        <v>17240</v>
      </c>
    </row>
    <row r="5113" spans="1:9">
      <c r="A5113" t="str">
        <f>"0025641 "</f>
        <v xml:space="preserve">0025641 </v>
      </c>
      <c r="B5113" t="s">
        <v>15973</v>
      </c>
      <c r="C5113" t="s">
        <v>17241</v>
      </c>
      <c r="D5113" t="s">
        <v>17242</v>
      </c>
      <c r="E5113">
        <v>2</v>
      </c>
      <c r="F5113" t="s">
        <v>17243</v>
      </c>
      <c r="G5113" t="s">
        <v>15973</v>
      </c>
      <c r="H5113">
        <v>2152</v>
      </c>
      <c r="I5113" t="s">
        <v>17244</v>
      </c>
    </row>
    <row r="5114" spans="1:9">
      <c r="A5114" t="str">
        <f>"0025644 "</f>
        <v xml:space="preserve">0025644 </v>
      </c>
      <c r="B5114" t="s">
        <v>15973</v>
      </c>
      <c r="C5114" t="s">
        <v>17245</v>
      </c>
      <c r="D5114" t="s">
        <v>17246</v>
      </c>
      <c r="E5114">
        <v>1</v>
      </c>
      <c r="F5114" t="s">
        <v>17247</v>
      </c>
      <c r="G5114" t="s">
        <v>15973</v>
      </c>
      <c r="H5114">
        <v>2161</v>
      </c>
      <c r="I5114" t="s">
        <v>17248</v>
      </c>
    </row>
    <row r="5115" spans="1:9">
      <c r="A5115" t="str">
        <f>"0025645 "</f>
        <v xml:space="preserve">0025645 </v>
      </c>
      <c r="B5115" t="s">
        <v>15973</v>
      </c>
      <c r="C5115" t="s">
        <v>17249</v>
      </c>
      <c r="D5115" t="s">
        <v>17250</v>
      </c>
      <c r="E5115">
        <v>1</v>
      </c>
      <c r="F5115" t="s">
        <v>17251</v>
      </c>
      <c r="G5115" t="s">
        <v>15973</v>
      </c>
      <c r="H5115">
        <v>2162</v>
      </c>
      <c r="I5115" t="s">
        <v>17252</v>
      </c>
    </row>
    <row r="5116" spans="1:9">
      <c r="A5116" t="str">
        <f>"0035991 "</f>
        <v xml:space="preserve">0035991 </v>
      </c>
      <c r="B5116" t="s">
        <v>15973</v>
      </c>
      <c r="C5116" t="s">
        <v>17253</v>
      </c>
      <c r="D5116" t="s">
        <v>17254</v>
      </c>
      <c r="E5116">
        <v>2</v>
      </c>
      <c r="F5116" t="s">
        <v>17255</v>
      </c>
      <c r="G5116" t="s">
        <v>15973</v>
      </c>
      <c r="H5116">
        <v>2184</v>
      </c>
      <c r="I5116" t="s">
        <v>17256</v>
      </c>
    </row>
    <row r="5117" spans="1:9">
      <c r="A5117" t="str">
        <f>"0035993 "</f>
        <v xml:space="preserve">0035993 </v>
      </c>
      <c r="B5117" t="s">
        <v>15973</v>
      </c>
      <c r="C5117" t="s">
        <v>17257</v>
      </c>
      <c r="D5117" t="s">
        <v>17258</v>
      </c>
      <c r="E5117">
        <v>1</v>
      </c>
      <c r="F5117" t="s">
        <v>17259</v>
      </c>
      <c r="G5117" t="s">
        <v>15973</v>
      </c>
      <c r="H5117">
        <v>2186</v>
      </c>
      <c r="I5117" t="s">
        <v>17260</v>
      </c>
    </row>
    <row r="5118" spans="1:9">
      <c r="A5118" t="str">
        <f>"0163779 "</f>
        <v xml:space="preserve">0163779 </v>
      </c>
      <c r="B5118" t="s">
        <v>15973</v>
      </c>
      <c r="C5118" t="s">
        <v>17261</v>
      </c>
      <c r="D5118" t="s">
        <v>17262</v>
      </c>
      <c r="E5118">
        <v>1</v>
      </c>
      <c r="F5118" t="s">
        <v>16406</v>
      </c>
      <c r="G5118" t="s">
        <v>15973</v>
      </c>
      <c r="H5118">
        <v>2195</v>
      </c>
      <c r="I5118" t="s">
        <v>17263</v>
      </c>
    </row>
    <row r="5119" spans="1:9">
      <c r="A5119" t="str">
        <f>"0025658 "</f>
        <v xml:space="preserve">0025658 </v>
      </c>
      <c r="B5119" t="s">
        <v>15973</v>
      </c>
      <c r="C5119" t="s">
        <v>17264</v>
      </c>
      <c r="D5119" t="s">
        <v>17265</v>
      </c>
      <c r="E5119">
        <v>1</v>
      </c>
      <c r="F5119" t="s">
        <v>17266</v>
      </c>
      <c r="G5119" t="s">
        <v>15973</v>
      </c>
      <c r="H5119">
        <v>2214</v>
      </c>
      <c r="I5119" t="s">
        <v>17267</v>
      </c>
    </row>
    <row r="5120" spans="1:9">
      <c r="A5120" t="str">
        <f>"0025663 "</f>
        <v xml:space="preserve">0025663 </v>
      </c>
      <c r="B5120" t="s">
        <v>15973</v>
      </c>
      <c r="C5120" t="s">
        <v>17268</v>
      </c>
      <c r="D5120" t="s">
        <v>17269</v>
      </c>
      <c r="E5120">
        <v>1</v>
      </c>
      <c r="F5120" t="s">
        <v>17270</v>
      </c>
      <c r="G5120" t="s">
        <v>15973</v>
      </c>
      <c r="H5120">
        <v>2219</v>
      </c>
      <c r="I5120" t="s">
        <v>17271</v>
      </c>
    </row>
    <row r="5121" spans="1:9">
      <c r="A5121" t="str">
        <f>"0025723 "</f>
        <v xml:space="preserve">0025723 </v>
      </c>
      <c r="B5121" t="s">
        <v>15973</v>
      </c>
      <c r="C5121" t="s">
        <v>17272</v>
      </c>
      <c r="D5121" t="s">
        <v>17273</v>
      </c>
      <c r="E5121">
        <v>2</v>
      </c>
      <c r="F5121" t="s">
        <v>17274</v>
      </c>
      <c r="G5121" t="s">
        <v>15973</v>
      </c>
      <c r="H5121">
        <v>2700</v>
      </c>
      <c r="I5121" t="s">
        <v>17275</v>
      </c>
    </row>
    <row r="5122" spans="1:9">
      <c r="A5122" t="str">
        <f>"0102014 "</f>
        <v xml:space="preserve">0102014 </v>
      </c>
      <c r="B5122" t="s">
        <v>15973</v>
      </c>
      <c r="C5122" t="s">
        <v>17276</v>
      </c>
      <c r="D5122" t="s">
        <v>17277</v>
      </c>
      <c r="E5122">
        <v>1</v>
      </c>
      <c r="F5122" t="s">
        <v>16886</v>
      </c>
      <c r="G5122" t="s">
        <v>15973</v>
      </c>
      <c r="H5122">
        <v>3019</v>
      </c>
      <c r="I5122" t="s">
        <v>17278</v>
      </c>
    </row>
    <row r="5123" spans="1:9">
      <c r="A5123" t="str">
        <f>"0102015 "</f>
        <v xml:space="preserve">0102015 </v>
      </c>
      <c r="B5123" t="s">
        <v>15973</v>
      </c>
      <c r="C5123" t="s">
        <v>17279</v>
      </c>
      <c r="D5123" t="s">
        <v>17280</v>
      </c>
      <c r="E5123">
        <v>1</v>
      </c>
      <c r="F5123" t="s">
        <v>16886</v>
      </c>
      <c r="G5123" t="s">
        <v>15973</v>
      </c>
      <c r="H5123">
        <v>3020</v>
      </c>
      <c r="I5123" t="s">
        <v>17281</v>
      </c>
    </row>
    <row r="5124" spans="1:9">
      <c r="A5124" t="str">
        <f>"0025751 "</f>
        <v xml:space="preserve">0025751 </v>
      </c>
      <c r="B5124" t="s">
        <v>15973</v>
      </c>
      <c r="C5124" t="s">
        <v>17282</v>
      </c>
      <c r="D5124" t="s">
        <v>17283</v>
      </c>
      <c r="E5124">
        <v>1</v>
      </c>
      <c r="F5124" t="s">
        <v>17284</v>
      </c>
      <c r="G5124" t="s">
        <v>15973</v>
      </c>
      <c r="H5124">
        <v>3120</v>
      </c>
      <c r="I5124" t="s">
        <v>17285</v>
      </c>
    </row>
    <row r="5125" spans="1:9">
      <c r="A5125" t="str">
        <f>"0025770 "</f>
        <v xml:space="preserve">0025770 </v>
      </c>
      <c r="B5125" t="s">
        <v>15973</v>
      </c>
      <c r="C5125" t="s">
        <v>17286</v>
      </c>
      <c r="D5125" t="s">
        <v>17287</v>
      </c>
      <c r="E5125">
        <v>2</v>
      </c>
      <c r="F5125" t="s">
        <v>17288</v>
      </c>
      <c r="G5125" t="s">
        <v>15973</v>
      </c>
      <c r="H5125">
        <v>3222</v>
      </c>
      <c r="I5125" t="s">
        <v>17289</v>
      </c>
    </row>
    <row r="5126" spans="1:9">
      <c r="A5126" t="str">
        <f>"0025773 "</f>
        <v xml:space="preserve">0025773 </v>
      </c>
      <c r="B5126" t="s">
        <v>15973</v>
      </c>
      <c r="C5126" t="s">
        <v>17290</v>
      </c>
      <c r="D5126" t="s">
        <v>17291</v>
      </c>
      <c r="E5126">
        <v>1</v>
      </c>
      <c r="F5126" t="s">
        <v>17292</v>
      </c>
      <c r="G5126" t="s">
        <v>15973</v>
      </c>
      <c r="H5126">
        <v>3225</v>
      </c>
      <c r="I5126" t="s">
        <v>17293</v>
      </c>
    </row>
    <row r="5127" spans="1:9">
      <c r="A5127" t="str">
        <f>"0025780 "</f>
        <v xml:space="preserve">0025780 </v>
      </c>
      <c r="B5127" t="s">
        <v>15973</v>
      </c>
      <c r="C5127" t="s">
        <v>17294</v>
      </c>
      <c r="D5127" t="s">
        <v>17295</v>
      </c>
      <c r="E5127">
        <v>1</v>
      </c>
      <c r="F5127" t="s">
        <v>16414</v>
      </c>
      <c r="G5127" t="s">
        <v>15973</v>
      </c>
      <c r="H5127">
        <v>3232</v>
      </c>
      <c r="I5127" t="s">
        <v>17296</v>
      </c>
    </row>
    <row r="5128" spans="1:9">
      <c r="A5128" t="str">
        <f>"0025785 "</f>
        <v xml:space="preserve">0025785 </v>
      </c>
      <c r="B5128" t="s">
        <v>15973</v>
      </c>
      <c r="C5128" t="s">
        <v>17297</v>
      </c>
      <c r="D5128" t="s">
        <v>17298</v>
      </c>
      <c r="E5128">
        <v>1</v>
      </c>
      <c r="F5128" t="s">
        <v>17299</v>
      </c>
      <c r="G5128" t="s">
        <v>15973</v>
      </c>
      <c r="H5128">
        <v>3240</v>
      </c>
      <c r="I5128" t="s">
        <v>17300</v>
      </c>
    </row>
    <row r="5129" spans="1:9">
      <c r="A5129" t="str">
        <f>"0025793 "</f>
        <v xml:space="preserve">0025793 </v>
      </c>
      <c r="B5129" t="s">
        <v>15973</v>
      </c>
      <c r="C5129" t="s">
        <v>17301</v>
      </c>
      <c r="D5129" t="s">
        <v>17302</v>
      </c>
      <c r="E5129">
        <v>1</v>
      </c>
      <c r="F5129" t="s">
        <v>17303</v>
      </c>
      <c r="G5129" t="s">
        <v>15973</v>
      </c>
      <c r="H5129">
        <v>3479</v>
      </c>
      <c r="I5129" t="s">
        <v>17304</v>
      </c>
    </row>
    <row r="5130" spans="1:9">
      <c r="A5130" t="str">
        <f>"0036004 "</f>
        <v xml:space="preserve">0036004 </v>
      </c>
      <c r="B5130" t="s">
        <v>15973</v>
      </c>
      <c r="C5130" t="s">
        <v>17305</v>
      </c>
      <c r="D5130" t="s">
        <v>17306</v>
      </c>
      <c r="E5130">
        <v>2</v>
      </c>
      <c r="F5130" t="s">
        <v>17307</v>
      </c>
      <c r="G5130" t="s">
        <v>15973</v>
      </c>
      <c r="H5130">
        <v>3483</v>
      </c>
      <c r="I5130" t="s">
        <v>17308</v>
      </c>
    </row>
    <row r="5131" spans="1:9">
      <c r="A5131" t="str">
        <f>"0025795 "</f>
        <v xml:space="preserve">0025795 </v>
      </c>
      <c r="B5131" t="s">
        <v>15973</v>
      </c>
      <c r="C5131" t="s">
        <v>17309</v>
      </c>
      <c r="D5131" t="s">
        <v>17310</v>
      </c>
      <c r="E5131">
        <v>1</v>
      </c>
      <c r="F5131" t="s">
        <v>17311</v>
      </c>
      <c r="G5131" t="s">
        <v>15973</v>
      </c>
      <c r="H5131">
        <v>3485</v>
      </c>
      <c r="I5131" t="s">
        <v>17312</v>
      </c>
    </row>
    <row r="5132" spans="1:9">
      <c r="A5132" t="str">
        <f>"0036011 "</f>
        <v xml:space="preserve">0036011 </v>
      </c>
      <c r="B5132" t="s">
        <v>15973</v>
      </c>
      <c r="C5132" t="s">
        <v>17313</v>
      </c>
      <c r="D5132" t="s">
        <v>17314</v>
      </c>
      <c r="E5132">
        <v>1</v>
      </c>
      <c r="F5132" t="s">
        <v>17315</v>
      </c>
      <c r="G5132" t="s">
        <v>15973</v>
      </c>
      <c r="H5132">
        <v>3492</v>
      </c>
      <c r="I5132" t="s">
        <v>17316</v>
      </c>
    </row>
    <row r="5133" spans="1:9">
      <c r="A5133" t="str">
        <f>"0025855 "</f>
        <v xml:space="preserve">0025855 </v>
      </c>
      <c r="B5133" t="s">
        <v>15973</v>
      </c>
      <c r="C5133" t="s">
        <v>17317</v>
      </c>
      <c r="D5133" t="s">
        <v>17318</v>
      </c>
      <c r="E5133">
        <v>2</v>
      </c>
      <c r="F5133" t="s">
        <v>17319</v>
      </c>
      <c r="G5133" t="s">
        <v>15973</v>
      </c>
      <c r="H5133">
        <v>3600</v>
      </c>
      <c r="I5133" t="s">
        <v>17320</v>
      </c>
    </row>
    <row r="5134" spans="1:9">
      <c r="A5134" t="str">
        <f>"0025860 "</f>
        <v xml:space="preserve">0025860 </v>
      </c>
      <c r="B5134" t="s">
        <v>15973</v>
      </c>
      <c r="C5134" t="s">
        <v>17321</v>
      </c>
      <c r="D5134" t="s">
        <v>17322</v>
      </c>
      <c r="E5134">
        <v>3</v>
      </c>
      <c r="F5134" t="s">
        <v>17323</v>
      </c>
      <c r="G5134" t="s">
        <v>15973</v>
      </c>
      <c r="H5134">
        <v>3605</v>
      </c>
      <c r="I5134" t="s">
        <v>17324</v>
      </c>
    </row>
    <row r="5135" spans="1:9">
      <c r="A5135" t="str">
        <f>"0025871 "</f>
        <v xml:space="preserve">0025871 </v>
      </c>
      <c r="B5135" t="s">
        <v>15973</v>
      </c>
      <c r="C5135" t="s">
        <v>17325</v>
      </c>
      <c r="D5135" t="s">
        <v>17326</v>
      </c>
      <c r="E5135">
        <v>1</v>
      </c>
      <c r="F5135" t="s">
        <v>17327</v>
      </c>
      <c r="G5135" t="s">
        <v>15973</v>
      </c>
      <c r="H5135">
        <v>3622</v>
      </c>
      <c r="I5135" t="s">
        <v>17328</v>
      </c>
    </row>
    <row r="5136" spans="1:9">
      <c r="A5136" t="str">
        <f>"0025874 "</f>
        <v xml:space="preserve">0025874 </v>
      </c>
      <c r="B5136" t="s">
        <v>15973</v>
      </c>
      <c r="C5136" t="s">
        <v>17329</v>
      </c>
      <c r="D5136" t="s">
        <v>17330</v>
      </c>
      <c r="E5136">
        <v>2</v>
      </c>
      <c r="F5136" t="s">
        <v>17331</v>
      </c>
      <c r="G5136" t="s">
        <v>15973</v>
      </c>
      <c r="H5136">
        <v>3700</v>
      </c>
      <c r="I5136" t="s">
        <v>17332</v>
      </c>
    </row>
    <row r="5137" spans="1:9">
      <c r="A5137" t="str">
        <f>"0025876 "</f>
        <v xml:space="preserve">0025876 </v>
      </c>
      <c r="B5137" t="s">
        <v>15973</v>
      </c>
      <c r="C5137" t="s">
        <v>17333</v>
      </c>
      <c r="D5137" t="s">
        <v>17334</v>
      </c>
      <c r="E5137">
        <v>1</v>
      </c>
      <c r="F5137" t="s">
        <v>17335</v>
      </c>
      <c r="G5137" t="s">
        <v>15973</v>
      </c>
      <c r="H5137">
        <v>3702</v>
      </c>
      <c r="I5137" t="s">
        <v>17336</v>
      </c>
    </row>
    <row r="5138" spans="1:9">
      <c r="A5138" t="str">
        <f>"0025896 "</f>
        <v xml:space="preserve">0025896 </v>
      </c>
      <c r="B5138" t="s">
        <v>15973</v>
      </c>
      <c r="C5138" t="s">
        <v>17337</v>
      </c>
      <c r="D5138" t="s">
        <v>17338</v>
      </c>
      <c r="E5138">
        <v>4</v>
      </c>
      <c r="F5138" t="s">
        <v>5755</v>
      </c>
      <c r="G5138" t="s">
        <v>15973</v>
      </c>
      <c r="H5138">
        <v>4024</v>
      </c>
      <c r="I5138" t="s">
        <v>17339</v>
      </c>
    </row>
    <row r="5139" spans="1:9">
      <c r="A5139" t="str">
        <f>"0025899 "</f>
        <v xml:space="preserve">0025899 </v>
      </c>
      <c r="B5139" t="s">
        <v>15973</v>
      </c>
      <c r="C5139" t="s">
        <v>17340</v>
      </c>
      <c r="D5139" t="s">
        <v>17341</v>
      </c>
      <c r="E5139">
        <v>3</v>
      </c>
      <c r="F5139" t="s">
        <v>16611</v>
      </c>
      <c r="G5139" t="s">
        <v>15973</v>
      </c>
      <c r="H5139">
        <v>4027</v>
      </c>
      <c r="I5139" t="s">
        <v>17342</v>
      </c>
    </row>
    <row r="5140" spans="1:9">
      <c r="A5140" t="str">
        <f>"0025900 "</f>
        <v xml:space="preserve">0025900 </v>
      </c>
      <c r="B5140" t="s">
        <v>15973</v>
      </c>
      <c r="C5140" t="s">
        <v>17343</v>
      </c>
      <c r="D5140" t="s">
        <v>17344</v>
      </c>
      <c r="E5140" t="s">
        <v>16</v>
      </c>
      <c r="F5140" t="s">
        <v>17345</v>
      </c>
      <c r="G5140" t="s">
        <v>15973</v>
      </c>
      <c r="H5140">
        <v>4028</v>
      </c>
      <c r="I5140" t="s">
        <v>17346</v>
      </c>
    </row>
    <row r="5141" spans="1:9">
      <c r="A5141" t="str">
        <f>"0025912 "</f>
        <v xml:space="preserve">0025912 </v>
      </c>
      <c r="B5141" t="s">
        <v>15973</v>
      </c>
      <c r="C5141" t="s">
        <v>17347</v>
      </c>
      <c r="D5141" t="s">
        <v>17348</v>
      </c>
      <c r="E5141">
        <v>1</v>
      </c>
      <c r="F5141" t="s">
        <v>16030</v>
      </c>
      <c r="G5141" t="s">
        <v>15973</v>
      </c>
      <c r="H5141">
        <v>4045</v>
      </c>
      <c r="I5141" t="s">
        <v>17349</v>
      </c>
    </row>
    <row r="5142" spans="1:9">
      <c r="A5142" t="str">
        <f>"0025917 "</f>
        <v xml:space="preserve">0025917 </v>
      </c>
      <c r="B5142" t="s">
        <v>15973</v>
      </c>
      <c r="C5142" t="s">
        <v>17350</v>
      </c>
      <c r="D5142" t="s">
        <v>17351</v>
      </c>
      <c r="E5142">
        <v>4</v>
      </c>
      <c r="F5142" t="s">
        <v>17352</v>
      </c>
      <c r="G5142" t="s">
        <v>15973</v>
      </c>
      <c r="H5142">
        <v>4055</v>
      </c>
      <c r="I5142" t="s">
        <v>17353</v>
      </c>
    </row>
    <row r="5143" spans="1:9">
      <c r="A5143" t="str">
        <f>"0025922 "</f>
        <v xml:space="preserve">0025922 </v>
      </c>
      <c r="B5143" t="s">
        <v>15973</v>
      </c>
      <c r="C5143" t="s">
        <v>17354</v>
      </c>
      <c r="D5143" t="s">
        <v>17355</v>
      </c>
      <c r="E5143" t="s">
        <v>16</v>
      </c>
      <c r="F5143" t="s">
        <v>5285</v>
      </c>
      <c r="G5143" t="s">
        <v>15973</v>
      </c>
      <c r="H5143">
        <v>4060</v>
      </c>
      <c r="I5143" t="s">
        <v>17356</v>
      </c>
    </row>
    <row r="5144" spans="1:9">
      <c r="A5144" t="str">
        <f>"0025931 "</f>
        <v xml:space="preserve">0025931 </v>
      </c>
      <c r="B5144" t="s">
        <v>15973</v>
      </c>
      <c r="C5144" t="s">
        <v>17357</v>
      </c>
      <c r="D5144" t="s">
        <v>17358</v>
      </c>
      <c r="E5144">
        <v>4</v>
      </c>
      <c r="F5144" t="s">
        <v>2119</v>
      </c>
      <c r="G5144" t="s">
        <v>15973</v>
      </c>
      <c r="H5144">
        <v>4070</v>
      </c>
      <c r="I5144" t="s">
        <v>17359</v>
      </c>
    </row>
    <row r="5145" spans="1:9">
      <c r="A5145" t="str">
        <f>"0025932 "</f>
        <v xml:space="preserve">0025932 </v>
      </c>
      <c r="B5145" t="s">
        <v>15973</v>
      </c>
      <c r="C5145" t="s">
        <v>17360</v>
      </c>
      <c r="D5145" t="s">
        <v>17361</v>
      </c>
      <c r="E5145">
        <v>3</v>
      </c>
      <c r="F5145" t="s">
        <v>2119</v>
      </c>
      <c r="G5145" t="s">
        <v>15973</v>
      </c>
      <c r="H5145">
        <v>4071</v>
      </c>
      <c r="I5145" t="s">
        <v>17362</v>
      </c>
    </row>
    <row r="5146" spans="1:9">
      <c r="A5146" t="str">
        <f>"0025937 "</f>
        <v xml:space="preserve">0025937 </v>
      </c>
      <c r="B5146" t="s">
        <v>15973</v>
      </c>
      <c r="C5146" t="s">
        <v>17363</v>
      </c>
      <c r="D5146" t="s">
        <v>17364</v>
      </c>
      <c r="E5146">
        <v>4</v>
      </c>
      <c r="F5146" t="s">
        <v>2119</v>
      </c>
      <c r="G5146" t="s">
        <v>15973</v>
      </c>
      <c r="H5146">
        <v>4084</v>
      </c>
      <c r="I5146" t="s">
        <v>17365</v>
      </c>
    </row>
    <row r="5147" spans="1:9">
      <c r="A5147" t="str">
        <f>"0025938 "</f>
        <v xml:space="preserve">0025938 </v>
      </c>
      <c r="B5147" t="s">
        <v>15973</v>
      </c>
      <c r="C5147" t="s">
        <v>17366</v>
      </c>
      <c r="D5147" t="s">
        <v>17367</v>
      </c>
      <c r="E5147">
        <v>2</v>
      </c>
      <c r="F5147" t="s">
        <v>17368</v>
      </c>
      <c r="G5147" t="s">
        <v>15973</v>
      </c>
      <c r="H5147">
        <v>4085</v>
      </c>
      <c r="I5147" t="s">
        <v>17369</v>
      </c>
    </row>
    <row r="5148" spans="1:9">
      <c r="A5148" t="str">
        <f>"0026002 "</f>
        <v xml:space="preserve">0026002 </v>
      </c>
      <c r="B5148" t="s">
        <v>15973</v>
      </c>
      <c r="C5148" t="s">
        <v>17370</v>
      </c>
      <c r="D5148" t="s">
        <v>17371</v>
      </c>
      <c r="E5148">
        <v>1</v>
      </c>
      <c r="F5148" t="s">
        <v>5135</v>
      </c>
      <c r="G5148" t="s">
        <v>15973</v>
      </c>
      <c r="H5148">
        <v>4154</v>
      </c>
      <c r="I5148" t="s">
        <v>17372</v>
      </c>
    </row>
    <row r="5149" spans="1:9">
      <c r="A5149" t="str">
        <f>"0026017 "</f>
        <v xml:space="preserve">0026017 </v>
      </c>
      <c r="B5149" t="s">
        <v>15973</v>
      </c>
      <c r="C5149" t="s">
        <v>17373</v>
      </c>
      <c r="D5149" t="s">
        <v>17374</v>
      </c>
      <c r="E5149">
        <v>3</v>
      </c>
      <c r="F5149" t="s">
        <v>5137</v>
      </c>
      <c r="G5149" t="s">
        <v>15973</v>
      </c>
      <c r="H5149">
        <v>4169</v>
      </c>
      <c r="I5149" t="s">
        <v>17375</v>
      </c>
    </row>
    <row r="5150" spans="1:9">
      <c r="A5150" t="str">
        <f>"0026019 "</f>
        <v xml:space="preserve">0026019 </v>
      </c>
      <c r="B5150" t="s">
        <v>15973</v>
      </c>
      <c r="C5150" t="s">
        <v>17376</v>
      </c>
      <c r="D5150" t="s">
        <v>17377</v>
      </c>
      <c r="E5150">
        <v>2</v>
      </c>
      <c r="F5150" t="s">
        <v>17378</v>
      </c>
      <c r="G5150" t="s">
        <v>15973</v>
      </c>
      <c r="H5150">
        <v>4171</v>
      </c>
      <c r="I5150" t="s">
        <v>17379</v>
      </c>
    </row>
    <row r="5151" spans="1:9">
      <c r="A5151" t="str">
        <f>"0026087 "</f>
        <v xml:space="preserve">0026087 </v>
      </c>
      <c r="B5151" t="s">
        <v>15973</v>
      </c>
      <c r="C5151" t="s">
        <v>17380</v>
      </c>
      <c r="D5151" t="s">
        <v>17381</v>
      </c>
      <c r="E5151">
        <v>1</v>
      </c>
      <c r="F5151" t="s">
        <v>17382</v>
      </c>
      <c r="G5151" t="s">
        <v>15973</v>
      </c>
      <c r="H5151">
        <v>4244</v>
      </c>
      <c r="I5151" t="s">
        <v>17383</v>
      </c>
    </row>
    <row r="5152" spans="1:9">
      <c r="A5152" t="str">
        <f>"0026088 "</f>
        <v xml:space="preserve">0026088 </v>
      </c>
      <c r="B5152" t="s">
        <v>15973</v>
      </c>
      <c r="C5152" t="s">
        <v>17384</v>
      </c>
      <c r="D5152" t="s">
        <v>17385</v>
      </c>
      <c r="E5152" t="s">
        <v>16</v>
      </c>
      <c r="F5152" t="s">
        <v>17386</v>
      </c>
      <c r="G5152" t="s">
        <v>15973</v>
      </c>
      <c r="H5152">
        <v>4245</v>
      </c>
      <c r="I5152" t="s">
        <v>17387</v>
      </c>
    </row>
    <row r="5153" spans="1:9">
      <c r="A5153" t="str">
        <f>"0026091 "</f>
        <v xml:space="preserve">0026091 </v>
      </c>
      <c r="B5153" t="s">
        <v>15973</v>
      </c>
      <c r="C5153" t="s">
        <v>17388</v>
      </c>
      <c r="D5153" t="s">
        <v>17389</v>
      </c>
      <c r="E5153" t="s">
        <v>16</v>
      </c>
      <c r="F5153" t="s">
        <v>17390</v>
      </c>
      <c r="G5153" t="s">
        <v>15973</v>
      </c>
      <c r="H5153">
        <v>4248</v>
      </c>
      <c r="I5153" t="s">
        <v>17391</v>
      </c>
    </row>
    <row r="5154" spans="1:9">
      <c r="A5154" t="str">
        <f>"0026096 "</f>
        <v xml:space="preserve">0026096 </v>
      </c>
      <c r="B5154" t="s">
        <v>15973</v>
      </c>
      <c r="C5154" t="s">
        <v>17392</v>
      </c>
      <c r="D5154" t="s">
        <v>17393</v>
      </c>
      <c r="E5154" t="s">
        <v>16</v>
      </c>
      <c r="F5154" t="s">
        <v>17394</v>
      </c>
      <c r="G5154" t="s">
        <v>15973</v>
      </c>
      <c r="H5154">
        <v>4253</v>
      </c>
      <c r="I5154" t="s">
        <v>17395</v>
      </c>
    </row>
    <row r="5155" spans="1:9">
      <c r="A5155" t="str">
        <f>"0026100 "</f>
        <v xml:space="preserve">0026100 </v>
      </c>
      <c r="B5155" t="s">
        <v>15973</v>
      </c>
      <c r="C5155" t="s">
        <v>17396</v>
      </c>
      <c r="D5155" t="s">
        <v>17397</v>
      </c>
      <c r="E5155">
        <v>4</v>
      </c>
      <c r="F5155" t="s">
        <v>6849</v>
      </c>
      <c r="G5155" t="s">
        <v>15973</v>
      </c>
      <c r="H5155">
        <v>4257</v>
      </c>
      <c r="I5155" t="s">
        <v>17398</v>
      </c>
    </row>
    <row r="5156" spans="1:9">
      <c r="A5156" t="str">
        <f>"0026101 "</f>
        <v xml:space="preserve">0026101 </v>
      </c>
      <c r="B5156" t="s">
        <v>15973</v>
      </c>
      <c r="C5156" t="s">
        <v>17399</v>
      </c>
      <c r="D5156" t="s">
        <v>17400</v>
      </c>
      <c r="E5156">
        <v>1</v>
      </c>
      <c r="F5156" t="s">
        <v>17401</v>
      </c>
      <c r="G5156" t="s">
        <v>15973</v>
      </c>
      <c r="H5156">
        <v>4258</v>
      </c>
      <c r="I5156" t="s">
        <v>17402</v>
      </c>
    </row>
    <row r="5157" spans="1:9">
      <c r="A5157" t="str">
        <f>"0026102 "</f>
        <v xml:space="preserve">0026102 </v>
      </c>
      <c r="B5157" t="s">
        <v>15973</v>
      </c>
      <c r="C5157" t="s">
        <v>17403</v>
      </c>
      <c r="D5157" t="s">
        <v>17404</v>
      </c>
      <c r="E5157">
        <v>2</v>
      </c>
      <c r="F5157" t="s">
        <v>17394</v>
      </c>
      <c r="G5157" t="s">
        <v>15973</v>
      </c>
      <c r="H5157">
        <v>4259</v>
      </c>
      <c r="I5157" t="s">
        <v>17405</v>
      </c>
    </row>
    <row r="5158" spans="1:9">
      <c r="A5158" t="str">
        <f>"0026112 "</f>
        <v xml:space="preserve">0026112 </v>
      </c>
      <c r="B5158" t="s">
        <v>15973</v>
      </c>
      <c r="C5158" t="s">
        <v>17406</v>
      </c>
      <c r="D5158" t="s">
        <v>17407</v>
      </c>
      <c r="E5158">
        <v>1</v>
      </c>
      <c r="F5158" t="s">
        <v>17408</v>
      </c>
      <c r="G5158" t="s">
        <v>15973</v>
      </c>
      <c r="H5158">
        <v>4269</v>
      </c>
      <c r="I5158" t="s">
        <v>17409</v>
      </c>
    </row>
    <row r="5159" spans="1:9">
      <c r="A5159" t="str">
        <f>"0026132 "</f>
        <v xml:space="preserve">0026132 </v>
      </c>
      <c r="B5159" t="s">
        <v>15973</v>
      </c>
      <c r="C5159" t="s">
        <v>17410</v>
      </c>
      <c r="D5159" t="s">
        <v>17411</v>
      </c>
      <c r="E5159">
        <v>1</v>
      </c>
      <c r="F5159" t="s">
        <v>335</v>
      </c>
      <c r="G5159" t="s">
        <v>15973</v>
      </c>
      <c r="H5159">
        <v>4290</v>
      </c>
      <c r="I5159" t="s">
        <v>17412</v>
      </c>
    </row>
    <row r="5160" spans="1:9">
      <c r="A5160" t="str">
        <f>"0026134 "</f>
        <v xml:space="preserve">0026134 </v>
      </c>
      <c r="B5160" t="s">
        <v>15973</v>
      </c>
      <c r="C5160" t="s">
        <v>17413</v>
      </c>
      <c r="D5160" t="s">
        <v>17414</v>
      </c>
      <c r="E5160">
        <v>2</v>
      </c>
      <c r="F5160" t="s">
        <v>3759</v>
      </c>
      <c r="G5160" t="s">
        <v>15973</v>
      </c>
      <c r="H5160">
        <v>4292</v>
      </c>
      <c r="I5160" t="s">
        <v>17415</v>
      </c>
    </row>
    <row r="5161" spans="1:9">
      <c r="A5161" t="str">
        <f>"0026140 "</f>
        <v xml:space="preserve">0026140 </v>
      </c>
      <c r="B5161" t="s">
        <v>15973</v>
      </c>
      <c r="C5161" t="s">
        <v>17416</v>
      </c>
      <c r="D5161" t="s">
        <v>17417</v>
      </c>
      <c r="E5161" t="s">
        <v>16</v>
      </c>
      <c r="F5161" t="s">
        <v>17418</v>
      </c>
      <c r="G5161" t="s">
        <v>15973</v>
      </c>
      <c r="H5161">
        <v>4299</v>
      </c>
      <c r="I5161" t="s">
        <v>17419</v>
      </c>
    </row>
    <row r="5162" spans="1:9">
      <c r="A5162" t="str">
        <f>"0026141 "</f>
        <v xml:space="preserve">0026141 </v>
      </c>
      <c r="B5162" t="s">
        <v>15973</v>
      </c>
      <c r="C5162" t="s">
        <v>17420</v>
      </c>
      <c r="D5162" t="s">
        <v>17421</v>
      </c>
      <c r="E5162">
        <v>1</v>
      </c>
      <c r="F5162" t="s">
        <v>17422</v>
      </c>
      <c r="G5162" t="s">
        <v>15973</v>
      </c>
      <c r="H5162">
        <v>4300</v>
      </c>
      <c r="I5162" t="s">
        <v>17423</v>
      </c>
    </row>
    <row r="5163" spans="1:9">
      <c r="A5163" t="str">
        <f>"0026182 "</f>
        <v xml:space="preserve">0026182 </v>
      </c>
      <c r="B5163" t="s">
        <v>15973</v>
      </c>
      <c r="C5163" t="s">
        <v>17424</v>
      </c>
      <c r="D5163" t="s">
        <v>17425</v>
      </c>
      <c r="E5163">
        <v>2</v>
      </c>
      <c r="F5163" t="s">
        <v>2142</v>
      </c>
      <c r="G5163" t="s">
        <v>15973</v>
      </c>
      <c r="H5163">
        <v>4342</v>
      </c>
      <c r="I5163" t="s">
        <v>17426</v>
      </c>
    </row>
    <row r="5164" spans="1:9">
      <c r="A5164" t="str">
        <f>"0026183 "</f>
        <v xml:space="preserve">0026183 </v>
      </c>
      <c r="B5164" t="s">
        <v>15973</v>
      </c>
      <c r="C5164" t="s">
        <v>17427</v>
      </c>
      <c r="D5164" t="s">
        <v>17428</v>
      </c>
      <c r="E5164">
        <v>2</v>
      </c>
      <c r="F5164" t="s">
        <v>17429</v>
      </c>
      <c r="G5164" t="s">
        <v>15973</v>
      </c>
      <c r="H5164">
        <v>4343</v>
      </c>
      <c r="I5164" t="s">
        <v>17426</v>
      </c>
    </row>
    <row r="5165" spans="1:9">
      <c r="A5165" t="str">
        <f>"0026211 "</f>
        <v xml:space="preserve">0026211 </v>
      </c>
      <c r="B5165" t="s">
        <v>15973</v>
      </c>
      <c r="C5165" t="s">
        <v>17430</v>
      </c>
      <c r="D5165" t="s">
        <v>17431</v>
      </c>
      <c r="E5165" t="s">
        <v>16</v>
      </c>
      <c r="F5165" t="s">
        <v>16531</v>
      </c>
      <c r="G5165" t="s">
        <v>15973</v>
      </c>
      <c r="H5165">
        <v>4372</v>
      </c>
      <c r="I5165" t="s">
        <v>17432</v>
      </c>
    </row>
    <row r="5166" spans="1:9">
      <c r="A5166" t="str">
        <f>"0026212 "</f>
        <v xml:space="preserve">0026212 </v>
      </c>
      <c r="B5166" t="s">
        <v>15973</v>
      </c>
      <c r="C5166" t="s">
        <v>17433</v>
      </c>
      <c r="D5166" t="s">
        <v>17434</v>
      </c>
      <c r="E5166">
        <v>5</v>
      </c>
      <c r="F5166" t="s">
        <v>3662</v>
      </c>
      <c r="G5166" t="s">
        <v>15973</v>
      </c>
      <c r="H5166">
        <v>4374</v>
      </c>
      <c r="I5166" t="s">
        <v>17435</v>
      </c>
    </row>
    <row r="5167" spans="1:9">
      <c r="A5167" t="str">
        <f>"0026226 "</f>
        <v xml:space="preserve">0026226 </v>
      </c>
      <c r="B5167" t="s">
        <v>15973</v>
      </c>
      <c r="C5167" t="s">
        <v>17436</v>
      </c>
      <c r="D5167" t="s">
        <v>17437</v>
      </c>
      <c r="E5167">
        <v>3</v>
      </c>
      <c r="F5167" t="s">
        <v>17378</v>
      </c>
      <c r="G5167" t="s">
        <v>15973</v>
      </c>
      <c r="H5167">
        <v>4392</v>
      </c>
      <c r="I5167" t="s">
        <v>17438</v>
      </c>
    </row>
    <row r="5168" spans="1:9">
      <c r="A5168" t="str">
        <f>"0026276 "</f>
        <v xml:space="preserve">0026276 </v>
      </c>
      <c r="B5168" t="s">
        <v>15973</v>
      </c>
      <c r="C5168" t="s">
        <v>17439</v>
      </c>
      <c r="D5168" t="s">
        <v>17440</v>
      </c>
      <c r="E5168">
        <v>2</v>
      </c>
      <c r="F5168" t="s">
        <v>16571</v>
      </c>
      <c r="G5168" t="s">
        <v>15973</v>
      </c>
      <c r="H5168">
        <v>4444</v>
      </c>
      <c r="I5168" t="s">
        <v>17441</v>
      </c>
    </row>
    <row r="5169" spans="1:9">
      <c r="A5169" t="str">
        <f>"0026277 "</f>
        <v xml:space="preserve">0026277 </v>
      </c>
      <c r="B5169" t="s">
        <v>15973</v>
      </c>
      <c r="C5169" t="s">
        <v>17442</v>
      </c>
      <c r="D5169" t="s">
        <v>17443</v>
      </c>
      <c r="E5169">
        <v>2</v>
      </c>
      <c r="F5169" t="s">
        <v>16526</v>
      </c>
      <c r="G5169" t="s">
        <v>15973</v>
      </c>
      <c r="H5169">
        <v>4445</v>
      </c>
      <c r="I5169" t="s">
        <v>17444</v>
      </c>
    </row>
    <row r="5170" spans="1:9">
      <c r="A5170" t="str">
        <f>"0026283 "</f>
        <v xml:space="preserve">0026283 </v>
      </c>
      <c r="B5170" t="s">
        <v>15973</v>
      </c>
      <c r="C5170" t="s">
        <v>17445</v>
      </c>
      <c r="D5170" t="s">
        <v>17446</v>
      </c>
      <c r="E5170">
        <v>4</v>
      </c>
      <c r="F5170" t="s">
        <v>17447</v>
      </c>
      <c r="G5170" t="s">
        <v>15973</v>
      </c>
      <c r="H5170">
        <v>4453</v>
      </c>
      <c r="I5170" t="s">
        <v>17448</v>
      </c>
    </row>
    <row r="5171" spans="1:9">
      <c r="A5171" t="str">
        <f>"0026289 "</f>
        <v xml:space="preserve">0026289 </v>
      </c>
      <c r="B5171" t="s">
        <v>15973</v>
      </c>
      <c r="C5171" t="s">
        <v>17449</v>
      </c>
      <c r="D5171" t="s">
        <v>17450</v>
      </c>
      <c r="E5171">
        <v>4</v>
      </c>
      <c r="F5171" t="s">
        <v>3444</v>
      </c>
      <c r="G5171" t="s">
        <v>15973</v>
      </c>
      <c r="H5171">
        <v>4461</v>
      </c>
      <c r="I5171" t="s">
        <v>17451</v>
      </c>
    </row>
    <row r="5172" spans="1:9">
      <c r="A5172" t="str">
        <f>"0026290 "</f>
        <v xml:space="preserve">0026290 </v>
      </c>
      <c r="B5172" t="s">
        <v>15973</v>
      </c>
      <c r="C5172" t="s">
        <v>17452</v>
      </c>
      <c r="D5172" t="s">
        <v>17453</v>
      </c>
      <c r="E5172">
        <v>5</v>
      </c>
      <c r="F5172" t="s">
        <v>17454</v>
      </c>
      <c r="G5172" t="s">
        <v>15973</v>
      </c>
      <c r="H5172">
        <v>4462</v>
      </c>
      <c r="I5172" t="s">
        <v>17455</v>
      </c>
    </row>
    <row r="5173" spans="1:9">
      <c r="A5173" t="str">
        <f>"0026295 "</f>
        <v xml:space="preserve">0026295 </v>
      </c>
      <c r="B5173" t="s">
        <v>15973</v>
      </c>
      <c r="C5173" t="s">
        <v>17456</v>
      </c>
      <c r="D5173" t="s">
        <v>17457</v>
      </c>
      <c r="E5173">
        <v>2</v>
      </c>
      <c r="F5173" t="s">
        <v>17458</v>
      </c>
      <c r="G5173" t="s">
        <v>15973</v>
      </c>
      <c r="H5173">
        <v>4468</v>
      </c>
      <c r="I5173" t="s">
        <v>17459</v>
      </c>
    </row>
    <row r="5174" spans="1:9">
      <c r="A5174" t="str">
        <f>"0026296 "</f>
        <v xml:space="preserve">0026296 </v>
      </c>
      <c r="B5174" t="s">
        <v>15973</v>
      </c>
      <c r="C5174" t="s">
        <v>17460</v>
      </c>
      <c r="D5174" t="s">
        <v>17461</v>
      </c>
      <c r="E5174">
        <v>1</v>
      </c>
      <c r="F5174" t="s">
        <v>2569</v>
      </c>
      <c r="G5174" t="s">
        <v>15973</v>
      </c>
      <c r="H5174">
        <v>4469</v>
      </c>
      <c r="I5174" t="s">
        <v>17462</v>
      </c>
    </row>
    <row r="5175" spans="1:9">
      <c r="A5175" t="str">
        <f>"0026297 "</f>
        <v xml:space="preserve">0026297 </v>
      </c>
      <c r="B5175" t="s">
        <v>15973</v>
      </c>
      <c r="C5175" t="s">
        <v>17463</v>
      </c>
      <c r="D5175" t="s">
        <v>17464</v>
      </c>
      <c r="E5175">
        <v>2</v>
      </c>
      <c r="F5175" t="s">
        <v>17465</v>
      </c>
      <c r="G5175" t="s">
        <v>15973</v>
      </c>
      <c r="H5175">
        <v>4470</v>
      </c>
      <c r="I5175" t="s">
        <v>17466</v>
      </c>
    </row>
    <row r="5176" spans="1:9">
      <c r="A5176" t="str">
        <f>"0026309 "</f>
        <v xml:space="preserve">0026309 </v>
      </c>
      <c r="B5176" t="s">
        <v>15973</v>
      </c>
      <c r="C5176" t="s">
        <v>17467</v>
      </c>
      <c r="D5176" t="s">
        <v>17468</v>
      </c>
      <c r="E5176">
        <v>3</v>
      </c>
      <c r="F5176" t="s">
        <v>17469</v>
      </c>
      <c r="G5176" t="s">
        <v>15973</v>
      </c>
      <c r="H5176">
        <v>4482</v>
      </c>
      <c r="I5176" t="s">
        <v>17470</v>
      </c>
    </row>
    <row r="5177" spans="1:9">
      <c r="A5177" t="str">
        <f>"0026312 "</f>
        <v xml:space="preserve">0026312 </v>
      </c>
      <c r="B5177" t="s">
        <v>15973</v>
      </c>
      <c r="C5177" t="s">
        <v>17471</v>
      </c>
      <c r="D5177" t="s">
        <v>17472</v>
      </c>
      <c r="E5177">
        <v>2</v>
      </c>
      <c r="F5177" t="s">
        <v>17473</v>
      </c>
      <c r="G5177" t="s">
        <v>15973</v>
      </c>
      <c r="H5177">
        <v>4485</v>
      </c>
      <c r="I5177" t="s">
        <v>17474</v>
      </c>
    </row>
    <row r="5178" spans="1:9">
      <c r="A5178" t="str">
        <f>"0026313 "</f>
        <v xml:space="preserve">0026313 </v>
      </c>
      <c r="B5178" t="s">
        <v>15973</v>
      </c>
      <c r="C5178" t="s">
        <v>17475</v>
      </c>
      <c r="D5178" t="s">
        <v>17476</v>
      </c>
      <c r="E5178">
        <v>2</v>
      </c>
      <c r="F5178" t="s">
        <v>17477</v>
      </c>
      <c r="G5178" t="s">
        <v>15973</v>
      </c>
      <c r="H5178">
        <v>4486</v>
      </c>
      <c r="I5178" t="s">
        <v>17478</v>
      </c>
    </row>
    <row r="5179" spans="1:9">
      <c r="A5179" t="str">
        <f>"0026314 "</f>
        <v xml:space="preserve">0026314 </v>
      </c>
      <c r="B5179" t="s">
        <v>15973</v>
      </c>
      <c r="C5179" t="s">
        <v>17479</v>
      </c>
      <c r="D5179" t="s">
        <v>17480</v>
      </c>
      <c r="E5179">
        <v>4</v>
      </c>
      <c r="F5179" t="s">
        <v>17477</v>
      </c>
      <c r="G5179" t="s">
        <v>15973</v>
      </c>
      <c r="H5179">
        <v>4487</v>
      </c>
      <c r="I5179" t="s">
        <v>17481</v>
      </c>
    </row>
    <row r="5180" spans="1:9">
      <c r="A5180" t="str">
        <f>"0026320 "</f>
        <v xml:space="preserve">0026320 </v>
      </c>
      <c r="B5180" t="s">
        <v>15973</v>
      </c>
      <c r="C5180" t="s">
        <v>17482</v>
      </c>
      <c r="D5180" t="s">
        <v>17483</v>
      </c>
      <c r="E5180">
        <v>4</v>
      </c>
      <c r="F5180" t="s">
        <v>16236</v>
      </c>
      <c r="G5180" t="s">
        <v>15973</v>
      </c>
      <c r="H5180">
        <v>4494</v>
      </c>
      <c r="I5180" t="s">
        <v>17484</v>
      </c>
    </row>
    <row r="5181" spans="1:9">
      <c r="A5181" t="str">
        <f>"0026331 "</f>
        <v xml:space="preserve">0026331 </v>
      </c>
      <c r="B5181" t="s">
        <v>15973</v>
      </c>
      <c r="C5181" t="s">
        <v>17485</v>
      </c>
      <c r="D5181" t="s">
        <v>17486</v>
      </c>
      <c r="E5181">
        <v>2</v>
      </c>
      <c r="F5181" t="s">
        <v>17487</v>
      </c>
      <c r="G5181" t="s">
        <v>15973</v>
      </c>
      <c r="H5181">
        <v>4508</v>
      </c>
      <c r="I5181" t="s">
        <v>17488</v>
      </c>
    </row>
    <row r="5182" spans="1:9">
      <c r="A5182" t="str">
        <f>"0026333 "</f>
        <v xml:space="preserve">0026333 </v>
      </c>
      <c r="B5182" t="s">
        <v>15973</v>
      </c>
      <c r="C5182" t="s">
        <v>17489</v>
      </c>
      <c r="D5182" t="s">
        <v>17490</v>
      </c>
      <c r="E5182">
        <v>2</v>
      </c>
      <c r="F5182" t="s">
        <v>17491</v>
      </c>
      <c r="G5182" t="s">
        <v>15973</v>
      </c>
      <c r="H5182">
        <v>4513</v>
      </c>
      <c r="I5182" t="s">
        <v>17492</v>
      </c>
    </row>
    <row r="5183" spans="1:9">
      <c r="A5183" t="str">
        <f>"0026334 "</f>
        <v xml:space="preserve">0026334 </v>
      </c>
      <c r="B5183" t="s">
        <v>15973</v>
      </c>
      <c r="C5183" t="s">
        <v>17493</v>
      </c>
      <c r="D5183" t="s">
        <v>17494</v>
      </c>
      <c r="E5183">
        <v>2</v>
      </c>
      <c r="F5183" t="s">
        <v>17491</v>
      </c>
      <c r="G5183" t="s">
        <v>15973</v>
      </c>
      <c r="H5183">
        <v>4514</v>
      </c>
      <c r="I5183" t="s">
        <v>17495</v>
      </c>
    </row>
    <row r="5184" spans="1:9">
      <c r="A5184" t="str">
        <f>"0026343 "</f>
        <v xml:space="preserve">0026343 </v>
      </c>
      <c r="B5184" t="s">
        <v>15973</v>
      </c>
      <c r="C5184" t="s">
        <v>17496</v>
      </c>
      <c r="D5184" t="s">
        <v>17497</v>
      </c>
      <c r="E5184">
        <v>2</v>
      </c>
      <c r="F5184" t="s">
        <v>17487</v>
      </c>
      <c r="G5184" t="s">
        <v>15973</v>
      </c>
      <c r="H5184">
        <v>4523</v>
      </c>
      <c r="I5184" t="s">
        <v>17498</v>
      </c>
    </row>
    <row r="5185" spans="1:9">
      <c r="A5185" t="str">
        <f>"0026344 "</f>
        <v xml:space="preserve">0026344 </v>
      </c>
      <c r="B5185" t="s">
        <v>15973</v>
      </c>
      <c r="C5185" t="s">
        <v>17499</v>
      </c>
      <c r="D5185" t="s">
        <v>17500</v>
      </c>
      <c r="E5185">
        <v>2</v>
      </c>
      <c r="F5185" t="s">
        <v>17501</v>
      </c>
      <c r="G5185" t="s">
        <v>15973</v>
      </c>
      <c r="H5185">
        <v>4524</v>
      </c>
      <c r="I5185" t="s">
        <v>17502</v>
      </c>
    </row>
    <row r="5186" spans="1:9">
      <c r="A5186" t="str">
        <f>"0026353 "</f>
        <v xml:space="preserve">0026353 </v>
      </c>
      <c r="B5186" t="s">
        <v>15973</v>
      </c>
      <c r="C5186" t="s">
        <v>17503</v>
      </c>
      <c r="D5186" t="s">
        <v>17504</v>
      </c>
      <c r="E5186">
        <v>4</v>
      </c>
      <c r="F5186" t="s">
        <v>17505</v>
      </c>
      <c r="G5186" t="s">
        <v>15973</v>
      </c>
      <c r="H5186">
        <v>4535</v>
      </c>
      <c r="I5186" t="s">
        <v>17506</v>
      </c>
    </row>
    <row r="5187" spans="1:9">
      <c r="A5187" t="str">
        <f>"0026355 "</f>
        <v xml:space="preserve">0026355 </v>
      </c>
      <c r="B5187" t="s">
        <v>15973</v>
      </c>
      <c r="C5187" t="s">
        <v>17507</v>
      </c>
      <c r="D5187" t="s">
        <v>17508</v>
      </c>
      <c r="E5187">
        <v>2</v>
      </c>
      <c r="F5187" t="s">
        <v>17509</v>
      </c>
      <c r="G5187" t="s">
        <v>15973</v>
      </c>
      <c r="H5187">
        <v>4537</v>
      </c>
      <c r="I5187" t="s">
        <v>17510</v>
      </c>
    </row>
    <row r="5188" spans="1:9">
      <c r="A5188" t="str">
        <f>"0026359 "</f>
        <v xml:space="preserve">0026359 </v>
      </c>
      <c r="B5188" t="s">
        <v>15973</v>
      </c>
      <c r="C5188" t="s">
        <v>17511</v>
      </c>
      <c r="D5188" t="s">
        <v>17512</v>
      </c>
      <c r="E5188">
        <v>3</v>
      </c>
      <c r="F5188" t="s">
        <v>17513</v>
      </c>
      <c r="G5188" t="s">
        <v>15973</v>
      </c>
      <c r="H5188">
        <v>4541</v>
      </c>
      <c r="I5188" t="s">
        <v>17514</v>
      </c>
    </row>
    <row r="5189" spans="1:9">
      <c r="A5189" t="str">
        <f>"0026363 "</f>
        <v xml:space="preserve">0026363 </v>
      </c>
      <c r="B5189" t="s">
        <v>15973</v>
      </c>
      <c r="C5189" t="s">
        <v>17515</v>
      </c>
      <c r="D5189" t="s">
        <v>17516</v>
      </c>
      <c r="E5189">
        <v>3</v>
      </c>
      <c r="F5189" t="s">
        <v>2142</v>
      </c>
      <c r="G5189" t="s">
        <v>15973</v>
      </c>
      <c r="H5189">
        <v>4547</v>
      </c>
      <c r="I5189" t="s">
        <v>17517</v>
      </c>
    </row>
    <row r="5190" spans="1:9">
      <c r="A5190" t="str">
        <f>"0026364 "</f>
        <v xml:space="preserve">0026364 </v>
      </c>
      <c r="B5190" t="s">
        <v>15973</v>
      </c>
      <c r="C5190" t="s">
        <v>17518</v>
      </c>
      <c r="D5190" t="s">
        <v>17519</v>
      </c>
      <c r="E5190">
        <v>3</v>
      </c>
      <c r="F5190" t="s">
        <v>2142</v>
      </c>
      <c r="G5190" t="s">
        <v>15973</v>
      </c>
      <c r="H5190">
        <v>4548</v>
      </c>
      <c r="I5190" t="s">
        <v>17520</v>
      </c>
    </row>
    <row r="5191" spans="1:9">
      <c r="A5191" t="str">
        <f>"0026367 "</f>
        <v xml:space="preserve">0026367 </v>
      </c>
      <c r="B5191" t="s">
        <v>15973</v>
      </c>
      <c r="C5191" t="s">
        <v>17521</v>
      </c>
      <c r="D5191" t="s">
        <v>17522</v>
      </c>
      <c r="E5191">
        <v>2</v>
      </c>
      <c r="F5191" t="s">
        <v>6089</v>
      </c>
      <c r="G5191" t="s">
        <v>15973</v>
      </c>
      <c r="H5191">
        <v>4551</v>
      </c>
      <c r="I5191" t="s">
        <v>17523</v>
      </c>
    </row>
    <row r="5192" spans="1:9">
      <c r="A5192" t="str">
        <f>"0026368 "</f>
        <v xml:space="preserve">0026368 </v>
      </c>
      <c r="B5192" t="s">
        <v>15973</v>
      </c>
      <c r="C5192" t="s">
        <v>17524</v>
      </c>
      <c r="D5192" t="s">
        <v>17525</v>
      </c>
      <c r="E5192">
        <v>1</v>
      </c>
      <c r="F5192" t="s">
        <v>17526</v>
      </c>
      <c r="G5192" t="s">
        <v>15973</v>
      </c>
      <c r="H5192">
        <v>4552</v>
      </c>
      <c r="I5192" t="s">
        <v>17527</v>
      </c>
    </row>
    <row r="5193" spans="1:9">
      <c r="A5193" t="str">
        <f>"0026372 "</f>
        <v xml:space="preserve">0026372 </v>
      </c>
      <c r="B5193" t="s">
        <v>15973</v>
      </c>
      <c r="C5193" t="s">
        <v>17528</v>
      </c>
      <c r="D5193" t="s">
        <v>17529</v>
      </c>
      <c r="E5193">
        <v>3</v>
      </c>
      <c r="F5193" t="s">
        <v>6089</v>
      </c>
      <c r="G5193" t="s">
        <v>15973</v>
      </c>
      <c r="H5193">
        <v>4556</v>
      </c>
      <c r="I5193" t="s">
        <v>17530</v>
      </c>
    </row>
    <row r="5194" spans="1:9">
      <c r="A5194" t="str">
        <f>"0026399 "</f>
        <v xml:space="preserve">0026399 </v>
      </c>
      <c r="B5194" t="s">
        <v>15973</v>
      </c>
      <c r="C5194" t="s">
        <v>17531</v>
      </c>
      <c r="D5194" t="s">
        <v>17532</v>
      </c>
      <c r="E5194">
        <v>1</v>
      </c>
      <c r="F5194" t="s">
        <v>17533</v>
      </c>
      <c r="G5194" t="s">
        <v>15973</v>
      </c>
      <c r="H5194">
        <v>4583</v>
      </c>
      <c r="I5194" t="s">
        <v>17534</v>
      </c>
    </row>
    <row r="5195" spans="1:9">
      <c r="A5195" t="str">
        <f>"0026408 "</f>
        <v xml:space="preserve">0026408 </v>
      </c>
      <c r="B5195" t="s">
        <v>15973</v>
      </c>
      <c r="C5195" t="s">
        <v>17535</v>
      </c>
      <c r="D5195" t="s">
        <v>17536</v>
      </c>
      <c r="E5195">
        <v>2</v>
      </c>
      <c r="F5195" t="s">
        <v>5290</v>
      </c>
      <c r="G5195" t="s">
        <v>15973</v>
      </c>
      <c r="H5195">
        <v>4592</v>
      </c>
      <c r="I5195" t="s">
        <v>17537</v>
      </c>
    </row>
    <row r="5196" spans="1:9">
      <c r="A5196" t="str">
        <f>"0026409 "</f>
        <v xml:space="preserve">0026409 </v>
      </c>
      <c r="B5196" t="s">
        <v>15973</v>
      </c>
      <c r="C5196" t="s">
        <v>17538</v>
      </c>
      <c r="D5196" t="s">
        <v>17539</v>
      </c>
      <c r="E5196">
        <v>2</v>
      </c>
      <c r="F5196" t="s">
        <v>5290</v>
      </c>
      <c r="G5196" t="s">
        <v>15973</v>
      </c>
      <c r="H5196">
        <v>4593</v>
      </c>
      <c r="I5196" t="s">
        <v>17537</v>
      </c>
    </row>
    <row r="5197" spans="1:9">
      <c r="A5197" t="str">
        <f>"0026410 "</f>
        <v xml:space="preserve">0026410 </v>
      </c>
      <c r="B5197" t="s">
        <v>15973</v>
      </c>
      <c r="C5197" t="s">
        <v>17540</v>
      </c>
      <c r="D5197" t="s">
        <v>17541</v>
      </c>
      <c r="E5197">
        <v>2</v>
      </c>
      <c r="F5197" t="s">
        <v>3759</v>
      </c>
      <c r="G5197" t="s">
        <v>15973</v>
      </c>
      <c r="H5197">
        <v>4594</v>
      </c>
      <c r="I5197" t="s">
        <v>17542</v>
      </c>
    </row>
    <row r="5198" spans="1:9">
      <c r="A5198" t="str">
        <f>"0026411 "</f>
        <v xml:space="preserve">0026411 </v>
      </c>
      <c r="B5198" t="s">
        <v>15973</v>
      </c>
      <c r="C5198" t="s">
        <v>17543</v>
      </c>
      <c r="D5198" t="s">
        <v>17544</v>
      </c>
      <c r="E5198">
        <v>2</v>
      </c>
      <c r="F5198" t="s">
        <v>17545</v>
      </c>
      <c r="G5198" t="s">
        <v>15973</v>
      </c>
      <c r="H5198">
        <v>4595</v>
      </c>
      <c r="I5198" t="s">
        <v>17546</v>
      </c>
    </row>
    <row r="5199" spans="1:9">
      <c r="A5199" t="str">
        <f>"0026429 "</f>
        <v xml:space="preserve">0026429 </v>
      </c>
      <c r="B5199" t="s">
        <v>15973</v>
      </c>
      <c r="C5199" t="s">
        <v>17547</v>
      </c>
      <c r="D5199" t="s">
        <v>17548</v>
      </c>
      <c r="E5199" t="s">
        <v>16</v>
      </c>
      <c r="F5199" t="s">
        <v>6424</v>
      </c>
      <c r="G5199" t="s">
        <v>15973</v>
      </c>
      <c r="H5199">
        <v>4635</v>
      </c>
      <c r="I5199" t="s">
        <v>17549</v>
      </c>
    </row>
    <row r="5200" spans="1:9">
      <c r="A5200" t="str">
        <f>"0026431 "</f>
        <v xml:space="preserve">0026431 </v>
      </c>
      <c r="B5200" t="s">
        <v>15973</v>
      </c>
      <c r="C5200" t="s">
        <v>17550</v>
      </c>
      <c r="D5200" t="s">
        <v>17551</v>
      </c>
      <c r="E5200">
        <v>1</v>
      </c>
      <c r="F5200" t="s">
        <v>6367</v>
      </c>
      <c r="G5200" t="s">
        <v>15973</v>
      </c>
      <c r="H5200">
        <v>4637</v>
      </c>
      <c r="I5200" t="s">
        <v>17552</v>
      </c>
    </row>
    <row r="5201" spans="1:9">
      <c r="A5201" t="str">
        <f>"0026444 "</f>
        <v xml:space="preserve">0026444 </v>
      </c>
      <c r="B5201" t="s">
        <v>15973</v>
      </c>
      <c r="C5201" t="s">
        <v>17553</v>
      </c>
      <c r="D5201" t="s">
        <v>17554</v>
      </c>
      <c r="E5201">
        <v>5</v>
      </c>
      <c r="F5201" t="s">
        <v>5290</v>
      </c>
      <c r="G5201" t="s">
        <v>15973</v>
      </c>
      <c r="H5201">
        <v>4659</v>
      </c>
      <c r="I5201" t="s">
        <v>17555</v>
      </c>
    </row>
    <row r="5202" spans="1:9">
      <c r="A5202" t="str">
        <f>"0026459 "</f>
        <v xml:space="preserve">0026459 </v>
      </c>
      <c r="B5202" t="s">
        <v>15973</v>
      </c>
      <c r="C5202" t="s">
        <v>17556</v>
      </c>
      <c r="D5202" t="s">
        <v>17557</v>
      </c>
      <c r="E5202">
        <v>2</v>
      </c>
      <c r="F5202" t="s">
        <v>17558</v>
      </c>
      <c r="G5202" t="s">
        <v>15973</v>
      </c>
      <c r="H5202">
        <v>4674</v>
      </c>
      <c r="I5202" t="s">
        <v>17559</v>
      </c>
    </row>
    <row r="5203" spans="1:9">
      <c r="A5203" t="str">
        <f>"0026460 "</f>
        <v xml:space="preserve">0026460 </v>
      </c>
      <c r="B5203" t="s">
        <v>15973</v>
      </c>
      <c r="C5203" t="s">
        <v>17560</v>
      </c>
      <c r="D5203" t="s">
        <v>17561</v>
      </c>
      <c r="E5203">
        <v>2</v>
      </c>
      <c r="F5203" t="s">
        <v>17558</v>
      </c>
      <c r="G5203" t="s">
        <v>15973</v>
      </c>
      <c r="H5203">
        <v>4675</v>
      </c>
      <c r="I5203" t="s">
        <v>17559</v>
      </c>
    </row>
    <row r="5204" spans="1:9">
      <c r="A5204" t="str">
        <f>"0026481 "</f>
        <v xml:space="preserve">0026481 </v>
      </c>
      <c r="B5204" t="s">
        <v>15973</v>
      </c>
      <c r="C5204" t="s">
        <v>17562</v>
      </c>
      <c r="D5204" t="s">
        <v>17563</v>
      </c>
      <c r="E5204">
        <v>3</v>
      </c>
      <c r="F5204" t="s">
        <v>17564</v>
      </c>
      <c r="G5204" t="s">
        <v>15973</v>
      </c>
      <c r="H5204">
        <v>4696</v>
      </c>
      <c r="I5204" t="s">
        <v>17565</v>
      </c>
    </row>
    <row r="5205" spans="1:9">
      <c r="A5205" t="str">
        <f>"0026512 "</f>
        <v xml:space="preserve">0026512 </v>
      </c>
      <c r="B5205" t="s">
        <v>15973</v>
      </c>
      <c r="C5205" t="s">
        <v>17566</v>
      </c>
      <c r="D5205" t="s">
        <v>17567</v>
      </c>
      <c r="E5205">
        <v>1</v>
      </c>
      <c r="F5205" t="s">
        <v>5137</v>
      </c>
      <c r="G5205" t="s">
        <v>15973</v>
      </c>
      <c r="H5205">
        <v>4738</v>
      </c>
      <c r="I5205" t="s">
        <v>17568</v>
      </c>
    </row>
    <row r="5206" spans="1:9">
      <c r="A5206" t="str">
        <f>"0026593 "</f>
        <v xml:space="preserve">0026593 </v>
      </c>
      <c r="B5206" t="s">
        <v>15973</v>
      </c>
      <c r="C5206" t="s">
        <v>17569</v>
      </c>
      <c r="D5206" t="s">
        <v>17570</v>
      </c>
      <c r="E5206" t="s">
        <v>16</v>
      </c>
      <c r="F5206" t="s">
        <v>3495</v>
      </c>
      <c r="G5206" t="s">
        <v>15973</v>
      </c>
      <c r="H5206">
        <v>4876</v>
      </c>
      <c r="I5206" t="s">
        <v>17571</v>
      </c>
    </row>
    <row r="5207" spans="1:9">
      <c r="A5207" t="str">
        <f>"0026620 "</f>
        <v xml:space="preserve">0026620 </v>
      </c>
      <c r="B5207" t="s">
        <v>15973</v>
      </c>
      <c r="C5207" t="s">
        <v>17572</v>
      </c>
      <c r="D5207" t="s">
        <v>17573</v>
      </c>
      <c r="E5207" t="s">
        <v>16</v>
      </c>
      <c r="F5207" t="s">
        <v>3388</v>
      </c>
      <c r="G5207" t="s">
        <v>15973</v>
      </c>
      <c r="H5207">
        <v>4912</v>
      </c>
      <c r="I5207" t="s">
        <v>17574</v>
      </c>
    </row>
    <row r="5208" spans="1:9">
      <c r="A5208" t="str">
        <f>"0026621 "</f>
        <v xml:space="preserve">0026621 </v>
      </c>
      <c r="B5208" t="s">
        <v>15973</v>
      </c>
      <c r="C5208" t="s">
        <v>17575</v>
      </c>
      <c r="D5208" t="s">
        <v>17576</v>
      </c>
      <c r="E5208">
        <v>4</v>
      </c>
      <c r="F5208" t="s">
        <v>2954</v>
      </c>
      <c r="G5208" t="s">
        <v>15973</v>
      </c>
      <c r="H5208">
        <v>4913</v>
      </c>
      <c r="I5208" t="s">
        <v>17577</v>
      </c>
    </row>
    <row r="5209" spans="1:9">
      <c r="A5209" t="str">
        <f>"0026644 "</f>
        <v xml:space="preserve">0026644 </v>
      </c>
      <c r="B5209" t="s">
        <v>15973</v>
      </c>
      <c r="C5209" t="s">
        <v>17578</v>
      </c>
      <c r="D5209" t="s">
        <v>17579</v>
      </c>
      <c r="E5209">
        <v>2</v>
      </c>
      <c r="F5209" t="s">
        <v>5437</v>
      </c>
      <c r="G5209" t="s">
        <v>15973</v>
      </c>
      <c r="H5209">
        <v>4937</v>
      </c>
      <c r="I5209" t="s">
        <v>17580</v>
      </c>
    </row>
    <row r="5210" spans="1:9">
      <c r="A5210" t="str">
        <f>"0026661 "</f>
        <v xml:space="preserve">0026661 </v>
      </c>
      <c r="B5210" t="s">
        <v>15973</v>
      </c>
      <c r="C5210" t="s">
        <v>17581</v>
      </c>
      <c r="D5210" t="s">
        <v>17582</v>
      </c>
      <c r="E5210" t="s">
        <v>16</v>
      </c>
      <c r="F5210" t="s">
        <v>2876</v>
      </c>
      <c r="G5210" t="s">
        <v>15973</v>
      </c>
      <c r="H5210">
        <v>4959</v>
      </c>
      <c r="I5210" t="s">
        <v>17583</v>
      </c>
    </row>
    <row r="5211" spans="1:9">
      <c r="A5211" t="str">
        <f>"0026664 "</f>
        <v xml:space="preserve">0026664 </v>
      </c>
      <c r="B5211" t="s">
        <v>15973</v>
      </c>
      <c r="C5211" t="s">
        <v>17584</v>
      </c>
      <c r="D5211" t="s">
        <v>17585</v>
      </c>
      <c r="E5211">
        <v>1</v>
      </c>
      <c r="F5211" t="s">
        <v>17586</v>
      </c>
      <c r="G5211" t="s">
        <v>15973</v>
      </c>
      <c r="H5211">
        <v>4962</v>
      </c>
      <c r="I5211" t="s">
        <v>17587</v>
      </c>
    </row>
    <row r="5212" spans="1:9">
      <c r="A5212" t="str">
        <f>"0026676 "</f>
        <v xml:space="preserve">0026676 </v>
      </c>
      <c r="B5212" t="s">
        <v>15973</v>
      </c>
      <c r="C5212" t="s">
        <v>17588</v>
      </c>
      <c r="D5212" t="s">
        <v>17589</v>
      </c>
      <c r="E5212">
        <v>4</v>
      </c>
      <c r="F5212" t="s">
        <v>2880</v>
      </c>
      <c r="G5212" t="s">
        <v>15973</v>
      </c>
      <c r="H5212">
        <v>4976</v>
      </c>
      <c r="I5212" t="s">
        <v>17590</v>
      </c>
    </row>
    <row r="5213" spans="1:9">
      <c r="A5213" t="str">
        <f>"0026677 "</f>
        <v xml:space="preserve">0026677 </v>
      </c>
      <c r="B5213" t="s">
        <v>15973</v>
      </c>
      <c r="C5213" t="s">
        <v>17591</v>
      </c>
      <c r="D5213" t="s">
        <v>17592</v>
      </c>
      <c r="E5213">
        <v>4</v>
      </c>
      <c r="F5213" t="s">
        <v>14729</v>
      </c>
      <c r="G5213" t="s">
        <v>15973</v>
      </c>
      <c r="H5213">
        <v>4977</v>
      </c>
      <c r="I5213" t="s">
        <v>17593</v>
      </c>
    </row>
    <row r="5214" spans="1:9">
      <c r="A5214" t="str">
        <f>"0026690 "</f>
        <v xml:space="preserve">0026690 </v>
      </c>
      <c r="B5214" t="s">
        <v>15973</v>
      </c>
      <c r="C5214" t="s">
        <v>17594</v>
      </c>
      <c r="D5214" t="s">
        <v>17595</v>
      </c>
      <c r="E5214">
        <v>2</v>
      </c>
      <c r="F5214" t="s">
        <v>17596</v>
      </c>
      <c r="G5214" t="s">
        <v>15973</v>
      </c>
      <c r="H5214">
        <v>4993</v>
      </c>
      <c r="I5214" t="s">
        <v>17597</v>
      </c>
    </row>
    <row r="5215" spans="1:9">
      <c r="A5215" t="str">
        <f>"0026696 "</f>
        <v xml:space="preserve">0026696 </v>
      </c>
      <c r="B5215" t="s">
        <v>15973</v>
      </c>
      <c r="C5215" t="s">
        <v>17598</v>
      </c>
      <c r="D5215" t="s">
        <v>17599</v>
      </c>
      <c r="E5215">
        <v>1</v>
      </c>
      <c r="F5215" t="s">
        <v>17600</v>
      </c>
      <c r="G5215" t="s">
        <v>15973</v>
      </c>
      <c r="H5215">
        <v>4999</v>
      </c>
      <c r="I5215" t="s">
        <v>17601</v>
      </c>
    </row>
    <row r="5216" spans="1:9">
      <c r="A5216" t="str">
        <f>"0026886 "</f>
        <v xml:space="preserve">0026886 </v>
      </c>
      <c r="B5216" t="s">
        <v>15973</v>
      </c>
      <c r="C5216" t="s">
        <v>17602</v>
      </c>
      <c r="D5216" t="s">
        <v>17603</v>
      </c>
      <c r="E5216">
        <v>1</v>
      </c>
      <c r="F5216" t="s">
        <v>17604</v>
      </c>
      <c r="G5216" t="s">
        <v>15973</v>
      </c>
      <c r="H5216">
        <v>5307</v>
      </c>
      <c r="I5216" t="s">
        <v>17605</v>
      </c>
    </row>
    <row r="5217" spans="1:9">
      <c r="A5217" t="str">
        <f>"0028189 "</f>
        <v xml:space="preserve">0028189 </v>
      </c>
      <c r="B5217" t="s">
        <v>15973</v>
      </c>
      <c r="C5217" t="s">
        <v>17606</v>
      </c>
      <c r="D5217" t="s">
        <v>17607</v>
      </c>
      <c r="E5217">
        <v>1</v>
      </c>
      <c r="F5217" t="s">
        <v>6494</v>
      </c>
      <c r="G5217" t="s">
        <v>15973</v>
      </c>
      <c r="H5217">
        <v>6706</v>
      </c>
      <c r="I5217" t="s">
        <v>17608</v>
      </c>
    </row>
    <row r="5218" spans="1:9">
      <c r="A5218" t="str">
        <f>"0028234 "</f>
        <v xml:space="preserve">0028234 </v>
      </c>
      <c r="B5218" t="s">
        <v>15973</v>
      </c>
      <c r="C5218" t="s">
        <v>17609</v>
      </c>
      <c r="D5218" t="s">
        <v>17610</v>
      </c>
      <c r="E5218">
        <v>3</v>
      </c>
      <c r="F5218" t="s">
        <v>17611</v>
      </c>
      <c r="G5218" t="s">
        <v>15973</v>
      </c>
      <c r="H5218">
        <v>6757</v>
      </c>
      <c r="I5218" t="s">
        <v>17612</v>
      </c>
    </row>
    <row r="5219" spans="1:9">
      <c r="A5219" t="str">
        <f>"0028239 "</f>
        <v xml:space="preserve">0028239 </v>
      </c>
      <c r="B5219" t="s">
        <v>15973</v>
      </c>
      <c r="C5219" t="s">
        <v>17613</v>
      </c>
      <c r="D5219" t="s">
        <v>17614</v>
      </c>
      <c r="E5219">
        <v>1</v>
      </c>
      <c r="F5219" t="s">
        <v>16277</v>
      </c>
      <c r="G5219" t="s">
        <v>15973</v>
      </c>
      <c r="H5219">
        <v>6762</v>
      </c>
      <c r="I5219" t="s">
        <v>17615</v>
      </c>
    </row>
    <row r="5220" spans="1:9">
      <c r="A5220" t="str">
        <f>"0028264 "</f>
        <v xml:space="preserve">0028264 </v>
      </c>
      <c r="B5220" t="s">
        <v>15973</v>
      </c>
      <c r="C5220" t="s">
        <v>17616</v>
      </c>
      <c r="D5220" t="s">
        <v>17617</v>
      </c>
      <c r="E5220">
        <v>1</v>
      </c>
      <c r="F5220" t="s">
        <v>17618</v>
      </c>
      <c r="G5220" t="s">
        <v>15973</v>
      </c>
      <c r="H5220">
        <v>6788</v>
      </c>
      <c r="I5220" t="s">
        <v>17619</v>
      </c>
    </row>
    <row r="5221" spans="1:9">
      <c r="A5221" t="str">
        <f>"0026983 "</f>
        <v xml:space="preserve">0026983 </v>
      </c>
      <c r="B5221" t="s">
        <v>15973</v>
      </c>
      <c r="C5221" t="s">
        <v>17620</v>
      </c>
      <c r="D5221" t="s">
        <v>17621</v>
      </c>
      <c r="E5221">
        <v>1</v>
      </c>
      <c r="F5221" t="s">
        <v>2661</v>
      </c>
      <c r="G5221" t="s">
        <v>15973</v>
      </c>
      <c r="H5221" t="s">
        <v>17622</v>
      </c>
      <c r="I5221" t="s">
        <v>17623</v>
      </c>
    </row>
    <row r="5222" spans="1:9">
      <c r="A5222" t="str">
        <f>"0026987 "</f>
        <v xml:space="preserve">0026987 </v>
      </c>
      <c r="B5222" t="s">
        <v>15973</v>
      </c>
      <c r="C5222" t="s">
        <v>17624</v>
      </c>
      <c r="D5222" t="s">
        <v>17625</v>
      </c>
      <c r="E5222" t="s">
        <v>16</v>
      </c>
      <c r="F5222" t="s">
        <v>5026</v>
      </c>
      <c r="G5222" t="s">
        <v>15973</v>
      </c>
      <c r="H5222" t="s">
        <v>17626</v>
      </c>
      <c r="I5222" t="s">
        <v>17627</v>
      </c>
    </row>
    <row r="5223" spans="1:9">
      <c r="A5223" t="str">
        <f>"0026990 "</f>
        <v xml:space="preserve">0026990 </v>
      </c>
      <c r="B5223" t="s">
        <v>15973</v>
      </c>
      <c r="C5223" t="s">
        <v>17628</v>
      </c>
      <c r="D5223" t="s">
        <v>17629</v>
      </c>
      <c r="E5223">
        <v>2</v>
      </c>
      <c r="F5223" t="s">
        <v>4491</v>
      </c>
      <c r="G5223" t="s">
        <v>15973</v>
      </c>
      <c r="H5223" t="s">
        <v>17630</v>
      </c>
      <c r="I5223" t="s">
        <v>17631</v>
      </c>
    </row>
    <row r="5224" spans="1:9">
      <c r="A5224" t="str">
        <f>"0027006 "</f>
        <v xml:space="preserve">0027006 </v>
      </c>
      <c r="B5224" t="s">
        <v>15973</v>
      </c>
      <c r="C5224" t="s">
        <v>17632</v>
      </c>
      <c r="D5224" t="s">
        <v>17633</v>
      </c>
      <c r="E5224">
        <v>2</v>
      </c>
      <c r="F5224" t="s">
        <v>5294</v>
      </c>
      <c r="G5224" t="s">
        <v>15973</v>
      </c>
      <c r="H5224" t="s">
        <v>17634</v>
      </c>
      <c r="I5224" t="s">
        <v>17635</v>
      </c>
    </row>
    <row r="5225" spans="1:9">
      <c r="A5225" t="str">
        <f>"0027079 "</f>
        <v xml:space="preserve">0027079 </v>
      </c>
      <c r="B5225" t="s">
        <v>15973</v>
      </c>
      <c r="C5225" t="s">
        <v>17636</v>
      </c>
      <c r="D5225" t="s">
        <v>17637</v>
      </c>
      <c r="E5225">
        <v>2</v>
      </c>
      <c r="F5225" t="s">
        <v>1909</v>
      </c>
      <c r="G5225" t="s">
        <v>15973</v>
      </c>
      <c r="H5225" t="s">
        <v>17638</v>
      </c>
      <c r="I5225" t="s">
        <v>17639</v>
      </c>
    </row>
    <row r="5226" spans="1:9">
      <c r="A5226" t="str">
        <f>"0027081 "</f>
        <v xml:space="preserve">0027081 </v>
      </c>
      <c r="B5226" t="s">
        <v>15973</v>
      </c>
      <c r="C5226" t="s">
        <v>17640</v>
      </c>
      <c r="D5226" t="s">
        <v>17641</v>
      </c>
      <c r="E5226">
        <v>2</v>
      </c>
      <c r="F5226" t="s">
        <v>3885</v>
      </c>
      <c r="G5226" t="s">
        <v>15973</v>
      </c>
      <c r="H5226" t="s">
        <v>17642</v>
      </c>
      <c r="I5226" t="s">
        <v>17643</v>
      </c>
    </row>
    <row r="5227" spans="1:9">
      <c r="A5227" t="str">
        <f>"0027083 "</f>
        <v xml:space="preserve">0027083 </v>
      </c>
      <c r="B5227" t="s">
        <v>15973</v>
      </c>
      <c r="C5227" t="s">
        <v>17644</v>
      </c>
      <c r="D5227" t="s">
        <v>17645</v>
      </c>
      <c r="E5227">
        <v>4</v>
      </c>
      <c r="F5227" t="s">
        <v>17646</v>
      </c>
      <c r="G5227" t="s">
        <v>15973</v>
      </c>
      <c r="H5227" t="s">
        <v>17647</v>
      </c>
      <c r="I5227" t="s">
        <v>17648</v>
      </c>
    </row>
    <row r="5228" spans="1:9">
      <c r="A5228" t="str">
        <f>"0027084 "</f>
        <v xml:space="preserve">0027084 </v>
      </c>
      <c r="B5228" t="s">
        <v>15973</v>
      </c>
      <c r="C5228" t="s">
        <v>17649</v>
      </c>
      <c r="D5228" t="s">
        <v>17650</v>
      </c>
      <c r="E5228">
        <v>2</v>
      </c>
      <c r="F5228" t="s">
        <v>17651</v>
      </c>
      <c r="G5228" t="s">
        <v>15973</v>
      </c>
      <c r="H5228" t="s">
        <v>17652</v>
      </c>
      <c r="I5228" t="s">
        <v>17653</v>
      </c>
    </row>
    <row r="5229" spans="1:9">
      <c r="A5229" t="str">
        <f>"0027087 "</f>
        <v xml:space="preserve">0027087 </v>
      </c>
      <c r="B5229" t="s">
        <v>15973</v>
      </c>
      <c r="C5229" t="s">
        <v>17654</v>
      </c>
      <c r="D5229" t="s">
        <v>17655</v>
      </c>
      <c r="E5229" t="s">
        <v>16</v>
      </c>
      <c r="F5229" t="s">
        <v>3444</v>
      </c>
      <c r="G5229" t="s">
        <v>15973</v>
      </c>
      <c r="H5229" t="s">
        <v>17656</v>
      </c>
      <c r="I5229" t="s">
        <v>17657</v>
      </c>
    </row>
    <row r="5230" spans="1:9">
      <c r="A5230" t="str">
        <f>"0027088 "</f>
        <v xml:space="preserve">0027088 </v>
      </c>
      <c r="B5230" t="s">
        <v>15973</v>
      </c>
      <c r="C5230" t="s">
        <v>17658</v>
      </c>
      <c r="D5230" t="s">
        <v>17659</v>
      </c>
      <c r="E5230" t="s">
        <v>16</v>
      </c>
      <c r="F5230" t="s">
        <v>7585</v>
      </c>
      <c r="G5230" t="s">
        <v>15973</v>
      </c>
      <c r="H5230" t="s">
        <v>17660</v>
      </c>
      <c r="I5230" t="s">
        <v>17661</v>
      </c>
    </row>
    <row r="5231" spans="1:9">
      <c r="A5231" t="str">
        <f>"0027091 "</f>
        <v xml:space="preserve">0027091 </v>
      </c>
      <c r="B5231" t="s">
        <v>15973</v>
      </c>
      <c r="C5231" t="s">
        <v>17662</v>
      </c>
      <c r="D5231" t="s">
        <v>17663</v>
      </c>
      <c r="E5231">
        <v>4</v>
      </c>
      <c r="F5231" t="s">
        <v>772</v>
      </c>
      <c r="G5231" t="s">
        <v>15973</v>
      </c>
      <c r="H5231" t="s">
        <v>17664</v>
      </c>
      <c r="I5231" t="s">
        <v>17665</v>
      </c>
    </row>
    <row r="5232" spans="1:9">
      <c r="A5232" t="str">
        <f>"0027092 "</f>
        <v xml:space="preserve">0027092 </v>
      </c>
      <c r="B5232" t="s">
        <v>15973</v>
      </c>
      <c r="C5232" t="s">
        <v>17666</v>
      </c>
      <c r="D5232" t="s">
        <v>17667</v>
      </c>
      <c r="E5232">
        <v>1</v>
      </c>
      <c r="F5232" t="s">
        <v>17668</v>
      </c>
      <c r="G5232" t="s">
        <v>15973</v>
      </c>
      <c r="H5232" t="s">
        <v>17669</v>
      </c>
      <c r="I5232" t="s">
        <v>17670</v>
      </c>
    </row>
    <row r="5233" spans="1:9">
      <c r="A5233" t="str">
        <f>"0027097 "</f>
        <v xml:space="preserve">0027097 </v>
      </c>
      <c r="B5233" t="s">
        <v>15973</v>
      </c>
      <c r="C5233" t="s">
        <v>17671</v>
      </c>
      <c r="D5233" t="s">
        <v>17672</v>
      </c>
      <c r="E5233">
        <v>4</v>
      </c>
      <c r="F5233" t="s">
        <v>17673</v>
      </c>
      <c r="G5233" t="s">
        <v>15973</v>
      </c>
      <c r="H5233" t="s">
        <v>17674</v>
      </c>
      <c r="I5233" t="s">
        <v>17675</v>
      </c>
    </row>
    <row r="5234" spans="1:9">
      <c r="A5234" t="str">
        <f>"0027104 "</f>
        <v xml:space="preserve">0027104 </v>
      </c>
      <c r="B5234" t="s">
        <v>15973</v>
      </c>
      <c r="C5234" t="s">
        <v>17676</v>
      </c>
      <c r="D5234" t="s">
        <v>17677</v>
      </c>
      <c r="E5234">
        <v>1</v>
      </c>
      <c r="F5234" t="s">
        <v>17678</v>
      </c>
      <c r="G5234" t="s">
        <v>15973</v>
      </c>
      <c r="H5234" t="s">
        <v>17679</v>
      </c>
      <c r="I5234" t="s">
        <v>17680</v>
      </c>
    </row>
    <row r="5235" spans="1:9">
      <c r="A5235" t="str">
        <f>"0027120 "</f>
        <v xml:space="preserve">0027120 </v>
      </c>
      <c r="B5235" t="s">
        <v>15973</v>
      </c>
      <c r="C5235" t="s">
        <v>17681</v>
      </c>
      <c r="D5235" t="s">
        <v>17682</v>
      </c>
      <c r="E5235">
        <v>2</v>
      </c>
      <c r="F5235" t="s">
        <v>776</v>
      </c>
      <c r="G5235" t="s">
        <v>15973</v>
      </c>
      <c r="H5235" t="s">
        <v>17683</v>
      </c>
      <c r="I5235" t="s">
        <v>17684</v>
      </c>
    </row>
    <row r="5236" spans="1:9">
      <c r="A5236" t="str">
        <f>"0027122 "</f>
        <v xml:space="preserve">0027122 </v>
      </c>
      <c r="B5236" t="s">
        <v>15973</v>
      </c>
      <c r="C5236" t="s">
        <v>17685</v>
      </c>
      <c r="D5236" t="s">
        <v>17686</v>
      </c>
      <c r="E5236">
        <v>2</v>
      </c>
      <c r="F5236" t="s">
        <v>17646</v>
      </c>
      <c r="G5236" t="s">
        <v>15973</v>
      </c>
      <c r="H5236" t="s">
        <v>17687</v>
      </c>
      <c r="I5236" t="s">
        <v>17383</v>
      </c>
    </row>
    <row r="5237" spans="1:9">
      <c r="A5237" t="str">
        <f>"0027126 "</f>
        <v xml:space="preserve">0027126 </v>
      </c>
      <c r="B5237" t="s">
        <v>15973</v>
      </c>
      <c r="C5237" t="s">
        <v>17688</v>
      </c>
      <c r="D5237" t="s">
        <v>17689</v>
      </c>
      <c r="E5237">
        <v>1</v>
      </c>
      <c r="F5237" t="s">
        <v>3885</v>
      </c>
      <c r="G5237" t="s">
        <v>15973</v>
      </c>
      <c r="H5237" t="s">
        <v>17690</v>
      </c>
      <c r="I5237" t="s">
        <v>17691</v>
      </c>
    </row>
    <row r="5238" spans="1:9">
      <c r="A5238" t="str">
        <f>"0027127 "</f>
        <v xml:space="preserve">0027127 </v>
      </c>
      <c r="B5238" t="s">
        <v>15973</v>
      </c>
      <c r="C5238" t="s">
        <v>17692</v>
      </c>
      <c r="D5238" t="s">
        <v>17693</v>
      </c>
      <c r="E5238">
        <v>1</v>
      </c>
      <c r="F5238" t="s">
        <v>17694</v>
      </c>
      <c r="G5238" t="s">
        <v>15973</v>
      </c>
      <c r="H5238" t="s">
        <v>17695</v>
      </c>
      <c r="I5238" t="s">
        <v>17696</v>
      </c>
    </row>
    <row r="5239" spans="1:9">
      <c r="A5239" t="str">
        <f>"0027128 "</f>
        <v xml:space="preserve">0027128 </v>
      </c>
      <c r="B5239" t="s">
        <v>15973</v>
      </c>
      <c r="C5239" t="s">
        <v>17697</v>
      </c>
      <c r="D5239" t="s">
        <v>17698</v>
      </c>
      <c r="E5239">
        <v>5</v>
      </c>
      <c r="F5239" t="s">
        <v>17699</v>
      </c>
      <c r="G5239" t="s">
        <v>15973</v>
      </c>
      <c r="H5239" t="s">
        <v>17700</v>
      </c>
      <c r="I5239" t="s">
        <v>17701</v>
      </c>
    </row>
    <row r="5240" spans="1:9">
      <c r="A5240" t="str">
        <f>"0027144 "</f>
        <v xml:space="preserve">0027144 </v>
      </c>
      <c r="B5240" t="s">
        <v>15973</v>
      </c>
      <c r="C5240" t="s">
        <v>17702</v>
      </c>
      <c r="D5240" t="s">
        <v>17703</v>
      </c>
      <c r="E5240" t="s">
        <v>16</v>
      </c>
      <c r="F5240" t="s">
        <v>17704</v>
      </c>
      <c r="G5240" t="s">
        <v>15973</v>
      </c>
      <c r="H5240" t="s">
        <v>17705</v>
      </c>
      <c r="I5240" t="s">
        <v>17706</v>
      </c>
    </row>
    <row r="5241" spans="1:9">
      <c r="A5241" t="str">
        <f>"0027168 "</f>
        <v xml:space="preserve">0027168 </v>
      </c>
      <c r="B5241" t="s">
        <v>15973</v>
      </c>
      <c r="C5241" t="s">
        <v>17707</v>
      </c>
      <c r="D5241" t="s">
        <v>17708</v>
      </c>
      <c r="E5241" t="s">
        <v>16</v>
      </c>
      <c r="F5241" t="s">
        <v>2692</v>
      </c>
      <c r="G5241" t="s">
        <v>15973</v>
      </c>
      <c r="H5241" t="s">
        <v>17709</v>
      </c>
      <c r="I5241" t="s">
        <v>17710</v>
      </c>
    </row>
    <row r="5242" spans="1:9">
      <c r="A5242" t="str">
        <f>"0027177 "</f>
        <v xml:space="preserve">0027177 </v>
      </c>
      <c r="B5242" t="s">
        <v>15973</v>
      </c>
      <c r="C5242" t="s">
        <v>17711</v>
      </c>
      <c r="D5242" t="s">
        <v>17712</v>
      </c>
      <c r="E5242">
        <v>1</v>
      </c>
      <c r="F5242" t="s">
        <v>17596</v>
      </c>
      <c r="G5242" t="s">
        <v>15973</v>
      </c>
      <c r="H5242" t="s">
        <v>17713</v>
      </c>
      <c r="I5242" t="s">
        <v>17714</v>
      </c>
    </row>
    <row r="5243" spans="1:9">
      <c r="A5243" t="str">
        <f>"0027187 "</f>
        <v xml:space="preserve">0027187 </v>
      </c>
      <c r="B5243" t="s">
        <v>15973</v>
      </c>
      <c r="C5243" t="s">
        <v>17715</v>
      </c>
      <c r="D5243" t="s">
        <v>17716</v>
      </c>
      <c r="E5243">
        <v>1</v>
      </c>
      <c r="F5243" t="s">
        <v>17717</v>
      </c>
      <c r="G5243" t="s">
        <v>15973</v>
      </c>
      <c r="H5243" t="s">
        <v>17718</v>
      </c>
      <c r="I5243" t="s">
        <v>17719</v>
      </c>
    </row>
    <row r="5244" spans="1:9">
      <c r="A5244" t="str">
        <f>"0027221 "</f>
        <v xml:space="preserve">0027221 </v>
      </c>
      <c r="B5244" t="s">
        <v>15973</v>
      </c>
      <c r="C5244" t="s">
        <v>17720</v>
      </c>
      <c r="D5244" t="s">
        <v>17721</v>
      </c>
      <c r="E5244">
        <v>2</v>
      </c>
      <c r="F5244" t="s">
        <v>17722</v>
      </c>
      <c r="G5244" t="s">
        <v>15973</v>
      </c>
      <c r="H5244" t="s">
        <v>17723</v>
      </c>
      <c r="I5244" t="s">
        <v>17724</v>
      </c>
    </row>
    <row r="5245" spans="1:9">
      <c r="A5245" t="str">
        <f>"0027222 "</f>
        <v xml:space="preserve">0027222 </v>
      </c>
      <c r="B5245" t="s">
        <v>15973</v>
      </c>
      <c r="C5245" t="s">
        <v>17725</v>
      </c>
      <c r="D5245" t="s">
        <v>17726</v>
      </c>
      <c r="E5245">
        <v>4</v>
      </c>
      <c r="F5245" t="s">
        <v>17586</v>
      </c>
      <c r="G5245" t="s">
        <v>15973</v>
      </c>
      <c r="H5245" t="s">
        <v>17727</v>
      </c>
      <c r="I5245" t="s">
        <v>17728</v>
      </c>
    </row>
    <row r="5246" spans="1:9">
      <c r="A5246" t="str">
        <f>"0027232 "</f>
        <v xml:space="preserve">0027232 </v>
      </c>
      <c r="B5246" t="s">
        <v>15973</v>
      </c>
      <c r="C5246" t="s">
        <v>17729</v>
      </c>
      <c r="D5246" t="s">
        <v>17730</v>
      </c>
      <c r="E5246">
        <v>2</v>
      </c>
      <c r="F5246" t="s">
        <v>17731</v>
      </c>
      <c r="G5246" t="s">
        <v>15973</v>
      </c>
      <c r="H5246" t="s">
        <v>17732</v>
      </c>
      <c r="I5246" t="s">
        <v>17733</v>
      </c>
    </row>
    <row r="5247" spans="1:9">
      <c r="A5247" t="str">
        <f>"0027235 "</f>
        <v xml:space="preserve">0027235 </v>
      </c>
      <c r="B5247" t="s">
        <v>15973</v>
      </c>
      <c r="C5247" t="s">
        <v>17734</v>
      </c>
      <c r="D5247" t="s">
        <v>17735</v>
      </c>
      <c r="E5247" t="s">
        <v>16</v>
      </c>
      <c r="F5247" t="s">
        <v>17600</v>
      </c>
      <c r="G5247" t="s">
        <v>15973</v>
      </c>
      <c r="H5247" t="s">
        <v>17736</v>
      </c>
      <c r="I5247" t="s">
        <v>17737</v>
      </c>
    </row>
    <row r="5248" spans="1:9">
      <c r="A5248" t="str">
        <f>"0027264 "</f>
        <v xml:space="preserve">0027264 </v>
      </c>
      <c r="B5248" t="s">
        <v>15973</v>
      </c>
      <c r="C5248" t="s">
        <v>17738</v>
      </c>
      <c r="D5248" t="s">
        <v>17739</v>
      </c>
      <c r="E5248">
        <v>4</v>
      </c>
      <c r="F5248" t="s">
        <v>17740</v>
      </c>
      <c r="G5248" t="s">
        <v>15973</v>
      </c>
      <c r="H5248" t="s">
        <v>17741</v>
      </c>
      <c r="I5248" t="s">
        <v>17742</v>
      </c>
    </row>
    <row r="5249" spans="1:9">
      <c r="A5249" t="str">
        <f>"0027265 "</f>
        <v xml:space="preserve">0027265 </v>
      </c>
      <c r="B5249" t="s">
        <v>15973</v>
      </c>
      <c r="C5249" t="s">
        <v>17743</v>
      </c>
      <c r="D5249" t="s">
        <v>17744</v>
      </c>
      <c r="E5249">
        <v>2</v>
      </c>
      <c r="F5249" t="s">
        <v>17745</v>
      </c>
      <c r="G5249" t="s">
        <v>15973</v>
      </c>
      <c r="H5249" t="s">
        <v>17746</v>
      </c>
      <c r="I5249" t="s">
        <v>17747</v>
      </c>
    </row>
    <row r="5250" spans="1:9">
      <c r="A5250" t="str">
        <f>"0027284 "</f>
        <v xml:space="preserve">0027284 </v>
      </c>
      <c r="B5250" t="s">
        <v>15973</v>
      </c>
      <c r="C5250" t="s">
        <v>17748</v>
      </c>
      <c r="D5250" t="s">
        <v>17749</v>
      </c>
      <c r="E5250" t="s">
        <v>16</v>
      </c>
      <c r="F5250" t="s">
        <v>17750</v>
      </c>
      <c r="G5250" t="s">
        <v>15973</v>
      </c>
      <c r="H5250" t="s">
        <v>17751</v>
      </c>
      <c r="I5250" t="s">
        <v>17728</v>
      </c>
    </row>
    <row r="5251" spans="1:9">
      <c r="A5251" t="str">
        <f>"0027286 "</f>
        <v xml:space="preserve">0027286 </v>
      </c>
      <c r="B5251" t="s">
        <v>15973</v>
      </c>
      <c r="C5251" t="s">
        <v>17752</v>
      </c>
      <c r="D5251" t="s">
        <v>17753</v>
      </c>
      <c r="E5251">
        <v>4</v>
      </c>
      <c r="F5251" t="s">
        <v>2692</v>
      </c>
      <c r="G5251" t="s">
        <v>15973</v>
      </c>
      <c r="H5251" t="s">
        <v>17754</v>
      </c>
      <c r="I5251" t="s">
        <v>17755</v>
      </c>
    </row>
    <row r="5252" spans="1:9">
      <c r="A5252" t="str">
        <f>"0027417 "</f>
        <v xml:space="preserve">0027417 </v>
      </c>
      <c r="B5252" t="s">
        <v>15973</v>
      </c>
      <c r="C5252" t="s">
        <v>17756</v>
      </c>
      <c r="D5252" t="s">
        <v>17757</v>
      </c>
      <c r="E5252">
        <v>2</v>
      </c>
      <c r="F5252" t="s">
        <v>17758</v>
      </c>
      <c r="G5252" t="s">
        <v>15973</v>
      </c>
      <c r="H5252" t="s">
        <v>17759</v>
      </c>
      <c r="I5252" t="s">
        <v>17760</v>
      </c>
    </row>
    <row r="5253" spans="1:9">
      <c r="A5253" t="str">
        <f>"0027419 "</f>
        <v xml:space="preserve">0027419 </v>
      </c>
      <c r="B5253" t="s">
        <v>15973</v>
      </c>
      <c r="C5253" t="s">
        <v>17761</v>
      </c>
      <c r="D5253" t="s">
        <v>17762</v>
      </c>
      <c r="E5253">
        <v>2</v>
      </c>
      <c r="F5253" t="s">
        <v>5137</v>
      </c>
      <c r="G5253" t="s">
        <v>15973</v>
      </c>
      <c r="H5253" t="s">
        <v>17763</v>
      </c>
      <c r="I5253" t="s">
        <v>17764</v>
      </c>
    </row>
    <row r="5254" spans="1:9">
      <c r="A5254" t="str">
        <f>"0027420 "</f>
        <v xml:space="preserve">0027420 </v>
      </c>
      <c r="B5254" t="s">
        <v>15973</v>
      </c>
      <c r="C5254" t="s">
        <v>17765</v>
      </c>
      <c r="D5254" t="s">
        <v>17766</v>
      </c>
      <c r="E5254">
        <v>2</v>
      </c>
      <c r="F5254" t="s">
        <v>3120</v>
      </c>
      <c r="G5254" t="s">
        <v>15973</v>
      </c>
      <c r="H5254" t="s">
        <v>17767</v>
      </c>
      <c r="I5254" t="s">
        <v>17764</v>
      </c>
    </row>
    <row r="5255" spans="1:9">
      <c r="A5255" t="str">
        <f>"0027431 "</f>
        <v xml:space="preserve">0027431 </v>
      </c>
      <c r="B5255" t="s">
        <v>15973</v>
      </c>
      <c r="C5255" t="s">
        <v>17768</v>
      </c>
      <c r="D5255" t="s">
        <v>17769</v>
      </c>
      <c r="E5255">
        <v>4</v>
      </c>
      <c r="F5255" t="s">
        <v>17699</v>
      </c>
      <c r="G5255" t="s">
        <v>15973</v>
      </c>
      <c r="H5255" t="s">
        <v>17770</v>
      </c>
      <c r="I5255" t="s">
        <v>17771</v>
      </c>
    </row>
    <row r="5256" spans="1:9">
      <c r="A5256" t="str">
        <f>"0027435 "</f>
        <v xml:space="preserve">0027435 </v>
      </c>
      <c r="B5256" t="s">
        <v>15973</v>
      </c>
      <c r="C5256" t="s">
        <v>17772</v>
      </c>
      <c r="D5256" t="s">
        <v>17773</v>
      </c>
      <c r="E5256">
        <v>2</v>
      </c>
      <c r="F5256" t="s">
        <v>17774</v>
      </c>
      <c r="G5256" t="s">
        <v>15973</v>
      </c>
      <c r="H5256" t="s">
        <v>17775</v>
      </c>
      <c r="I5256" t="s">
        <v>17776</v>
      </c>
    </row>
    <row r="5257" spans="1:9">
      <c r="A5257" t="str">
        <f>"0027438 "</f>
        <v xml:space="preserve">0027438 </v>
      </c>
      <c r="B5257" t="s">
        <v>15973</v>
      </c>
      <c r="C5257" t="s">
        <v>17777</v>
      </c>
      <c r="D5257" t="s">
        <v>17778</v>
      </c>
      <c r="E5257">
        <v>4</v>
      </c>
      <c r="F5257" t="s">
        <v>17779</v>
      </c>
      <c r="G5257" t="s">
        <v>15973</v>
      </c>
      <c r="H5257" t="s">
        <v>17780</v>
      </c>
      <c r="I5257" t="s">
        <v>17781</v>
      </c>
    </row>
    <row r="5258" spans="1:9">
      <c r="A5258" t="str">
        <f>"0027448 "</f>
        <v xml:space="preserve">0027448 </v>
      </c>
      <c r="B5258" t="s">
        <v>15973</v>
      </c>
      <c r="C5258" t="s">
        <v>17782</v>
      </c>
      <c r="D5258" t="s">
        <v>17783</v>
      </c>
      <c r="E5258">
        <v>4</v>
      </c>
      <c r="F5258" t="s">
        <v>17586</v>
      </c>
      <c r="G5258" t="s">
        <v>15973</v>
      </c>
      <c r="H5258" t="s">
        <v>17784</v>
      </c>
      <c r="I5258" t="s">
        <v>17785</v>
      </c>
    </row>
    <row r="5259" spans="1:9">
      <c r="A5259" t="str">
        <f>"0027449 "</f>
        <v xml:space="preserve">0027449 </v>
      </c>
      <c r="B5259" t="s">
        <v>15973</v>
      </c>
      <c r="C5259" t="s">
        <v>17786</v>
      </c>
      <c r="D5259" t="s">
        <v>17787</v>
      </c>
      <c r="E5259" t="s">
        <v>16</v>
      </c>
      <c r="F5259" t="s">
        <v>2954</v>
      </c>
      <c r="G5259" t="s">
        <v>15973</v>
      </c>
      <c r="H5259" t="s">
        <v>17788</v>
      </c>
      <c r="I5259" t="s">
        <v>17789</v>
      </c>
    </row>
    <row r="5260" spans="1:9">
      <c r="A5260" t="str">
        <f>"0027452 "</f>
        <v xml:space="preserve">0027452 </v>
      </c>
      <c r="B5260" t="s">
        <v>15973</v>
      </c>
      <c r="C5260" t="s">
        <v>17790</v>
      </c>
      <c r="D5260" t="s">
        <v>17791</v>
      </c>
      <c r="E5260">
        <v>2</v>
      </c>
      <c r="F5260" t="s">
        <v>3885</v>
      </c>
      <c r="G5260" t="s">
        <v>15973</v>
      </c>
      <c r="H5260" t="s">
        <v>17792</v>
      </c>
      <c r="I5260" t="s">
        <v>17793</v>
      </c>
    </row>
    <row r="5261" spans="1:9">
      <c r="A5261" t="str">
        <f>"0027471 "</f>
        <v xml:space="preserve">0027471 </v>
      </c>
      <c r="B5261" t="s">
        <v>15973</v>
      </c>
      <c r="C5261" t="s">
        <v>17794</v>
      </c>
      <c r="D5261" t="s">
        <v>17795</v>
      </c>
      <c r="E5261">
        <v>3</v>
      </c>
      <c r="F5261" t="s">
        <v>4491</v>
      </c>
      <c r="G5261" t="s">
        <v>15973</v>
      </c>
      <c r="H5261" t="s">
        <v>17796</v>
      </c>
      <c r="I5261" t="s">
        <v>17797</v>
      </c>
    </row>
    <row r="5262" spans="1:9">
      <c r="A5262" t="str">
        <f>"0027478 "</f>
        <v xml:space="preserve">0027478 </v>
      </c>
      <c r="B5262" t="s">
        <v>15973</v>
      </c>
      <c r="C5262" t="s">
        <v>17798</v>
      </c>
      <c r="D5262" t="s">
        <v>17799</v>
      </c>
      <c r="E5262">
        <v>4</v>
      </c>
      <c r="F5262" t="s">
        <v>17800</v>
      </c>
      <c r="G5262" t="s">
        <v>15973</v>
      </c>
      <c r="H5262" t="s">
        <v>17801</v>
      </c>
      <c r="I5262" t="s">
        <v>17802</v>
      </c>
    </row>
    <row r="5263" spans="1:9">
      <c r="A5263" t="str">
        <f>"0027493 "</f>
        <v xml:space="preserve">0027493 </v>
      </c>
      <c r="B5263" t="s">
        <v>15973</v>
      </c>
      <c r="C5263" t="s">
        <v>17803</v>
      </c>
      <c r="D5263" t="s">
        <v>17804</v>
      </c>
      <c r="E5263">
        <v>4</v>
      </c>
      <c r="F5263" t="s">
        <v>17722</v>
      </c>
      <c r="G5263" t="s">
        <v>15973</v>
      </c>
      <c r="H5263" t="s">
        <v>17805</v>
      </c>
      <c r="I5263" t="s">
        <v>17806</v>
      </c>
    </row>
    <row r="5264" spans="1:9">
      <c r="A5264" t="str">
        <f>"0027511 "</f>
        <v xml:space="preserve">0027511 </v>
      </c>
      <c r="B5264" t="s">
        <v>15973</v>
      </c>
      <c r="C5264" t="s">
        <v>17807</v>
      </c>
      <c r="D5264" t="s">
        <v>17808</v>
      </c>
      <c r="E5264">
        <v>4</v>
      </c>
      <c r="F5264" t="s">
        <v>5137</v>
      </c>
      <c r="G5264" t="s">
        <v>15973</v>
      </c>
      <c r="H5264" t="s">
        <v>17809</v>
      </c>
      <c r="I5264" t="s">
        <v>17810</v>
      </c>
    </row>
    <row r="5265" spans="1:9">
      <c r="A5265" t="str">
        <f>"0027515 "</f>
        <v xml:space="preserve">0027515 </v>
      </c>
      <c r="B5265" t="s">
        <v>15973</v>
      </c>
      <c r="C5265" t="s">
        <v>17811</v>
      </c>
      <c r="D5265" t="s">
        <v>17812</v>
      </c>
      <c r="E5265">
        <v>2</v>
      </c>
      <c r="F5265" t="s">
        <v>7516</v>
      </c>
      <c r="G5265" t="s">
        <v>15973</v>
      </c>
      <c r="H5265" t="s">
        <v>17813</v>
      </c>
      <c r="I5265" t="s">
        <v>17814</v>
      </c>
    </row>
    <row r="5266" spans="1:9">
      <c r="A5266" t="str">
        <f>"0027523 "</f>
        <v xml:space="preserve">0027523 </v>
      </c>
      <c r="B5266" t="s">
        <v>15973</v>
      </c>
      <c r="C5266" t="s">
        <v>17815</v>
      </c>
      <c r="D5266" t="s">
        <v>17816</v>
      </c>
      <c r="E5266">
        <v>3</v>
      </c>
      <c r="F5266" t="s">
        <v>17750</v>
      </c>
      <c r="G5266" t="s">
        <v>15973</v>
      </c>
      <c r="H5266" t="s">
        <v>17817</v>
      </c>
      <c r="I5266" t="s">
        <v>17818</v>
      </c>
    </row>
    <row r="5267" spans="1:9">
      <c r="A5267" t="str">
        <f>"0027528 "</f>
        <v xml:space="preserve">0027528 </v>
      </c>
      <c r="B5267" t="s">
        <v>15973</v>
      </c>
      <c r="C5267" t="s">
        <v>17819</v>
      </c>
      <c r="D5267" t="s">
        <v>17820</v>
      </c>
      <c r="E5267">
        <v>2</v>
      </c>
      <c r="F5267" t="s">
        <v>7598</v>
      </c>
      <c r="G5267" t="s">
        <v>15973</v>
      </c>
      <c r="H5267" t="s">
        <v>17821</v>
      </c>
      <c r="I5267" t="s">
        <v>17822</v>
      </c>
    </row>
    <row r="5268" spans="1:9">
      <c r="A5268" t="str">
        <f>"0027545 "</f>
        <v xml:space="preserve">0027545 </v>
      </c>
      <c r="B5268" t="s">
        <v>15973</v>
      </c>
      <c r="C5268" t="s">
        <v>17823</v>
      </c>
      <c r="D5268" t="s">
        <v>17824</v>
      </c>
      <c r="E5268">
        <v>1</v>
      </c>
      <c r="F5268" t="s">
        <v>17825</v>
      </c>
      <c r="G5268" t="s">
        <v>15973</v>
      </c>
      <c r="H5268" t="s">
        <v>17826</v>
      </c>
      <c r="I5268" t="s">
        <v>17827</v>
      </c>
    </row>
    <row r="5269" spans="1:9">
      <c r="A5269" t="str">
        <f>"0027548 "</f>
        <v xml:space="preserve">0027548 </v>
      </c>
      <c r="B5269" t="s">
        <v>15973</v>
      </c>
      <c r="C5269" t="s">
        <v>17828</v>
      </c>
      <c r="D5269" t="s">
        <v>17829</v>
      </c>
      <c r="E5269">
        <v>3</v>
      </c>
      <c r="F5269" t="s">
        <v>17830</v>
      </c>
      <c r="G5269" t="s">
        <v>15973</v>
      </c>
      <c r="H5269" t="s">
        <v>17831</v>
      </c>
      <c r="I5269" t="s">
        <v>17832</v>
      </c>
    </row>
    <row r="5270" spans="1:9">
      <c r="A5270" t="str">
        <f>"0027550 "</f>
        <v xml:space="preserve">0027550 </v>
      </c>
      <c r="B5270" t="s">
        <v>15973</v>
      </c>
      <c r="C5270" t="s">
        <v>17833</v>
      </c>
      <c r="D5270" t="s">
        <v>17834</v>
      </c>
      <c r="E5270">
        <v>4</v>
      </c>
      <c r="F5270" t="s">
        <v>3885</v>
      </c>
      <c r="G5270" t="s">
        <v>15973</v>
      </c>
      <c r="H5270" t="s">
        <v>17835</v>
      </c>
      <c r="I5270" t="s">
        <v>17836</v>
      </c>
    </row>
    <row r="5271" spans="1:9">
      <c r="A5271" t="str">
        <f>"0027552 "</f>
        <v xml:space="preserve">0027552 </v>
      </c>
      <c r="B5271" t="s">
        <v>15973</v>
      </c>
      <c r="C5271" t="s">
        <v>17837</v>
      </c>
      <c r="D5271" t="s">
        <v>17838</v>
      </c>
      <c r="E5271">
        <v>4</v>
      </c>
      <c r="F5271" t="s">
        <v>17839</v>
      </c>
      <c r="G5271" t="s">
        <v>15973</v>
      </c>
      <c r="H5271" t="s">
        <v>17840</v>
      </c>
      <c r="I5271" t="s">
        <v>17841</v>
      </c>
    </row>
    <row r="5272" spans="1:9">
      <c r="A5272" t="str">
        <f>"0027565 "</f>
        <v xml:space="preserve">0027565 </v>
      </c>
      <c r="B5272" t="s">
        <v>15973</v>
      </c>
      <c r="C5272" t="s">
        <v>17842</v>
      </c>
      <c r="D5272" t="s">
        <v>17843</v>
      </c>
      <c r="E5272">
        <v>2</v>
      </c>
      <c r="F5272" t="s">
        <v>6882</v>
      </c>
      <c r="G5272" t="s">
        <v>15973</v>
      </c>
      <c r="H5272" t="s">
        <v>17844</v>
      </c>
      <c r="I5272" t="s">
        <v>17802</v>
      </c>
    </row>
    <row r="5273" spans="1:9">
      <c r="A5273" t="str">
        <f>"0027574 "</f>
        <v xml:space="preserve">0027574 </v>
      </c>
      <c r="B5273" t="s">
        <v>15973</v>
      </c>
      <c r="C5273" t="s">
        <v>17845</v>
      </c>
      <c r="D5273" t="s">
        <v>17846</v>
      </c>
      <c r="E5273">
        <v>1</v>
      </c>
      <c r="F5273" t="s">
        <v>17847</v>
      </c>
      <c r="G5273" t="s">
        <v>15973</v>
      </c>
      <c r="H5273" t="s">
        <v>17848</v>
      </c>
      <c r="I5273" t="s">
        <v>17849</v>
      </c>
    </row>
    <row r="5274" spans="1:9">
      <c r="A5274" t="str">
        <f>"0027578 "</f>
        <v xml:space="preserve">0027578 </v>
      </c>
      <c r="B5274" t="s">
        <v>15973</v>
      </c>
      <c r="C5274" t="s">
        <v>17850</v>
      </c>
      <c r="D5274" t="s">
        <v>17851</v>
      </c>
      <c r="E5274">
        <v>2</v>
      </c>
      <c r="F5274" t="s">
        <v>4276</v>
      </c>
      <c r="G5274" t="s">
        <v>15973</v>
      </c>
      <c r="H5274" t="s">
        <v>17852</v>
      </c>
      <c r="I5274" t="s">
        <v>17853</v>
      </c>
    </row>
    <row r="5275" spans="1:9">
      <c r="A5275" t="str">
        <f>"0027583 "</f>
        <v xml:space="preserve">0027583 </v>
      </c>
      <c r="B5275" t="s">
        <v>15973</v>
      </c>
      <c r="C5275" t="s">
        <v>17854</v>
      </c>
      <c r="D5275" t="s">
        <v>17855</v>
      </c>
      <c r="E5275">
        <v>2</v>
      </c>
      <c r="F5275" t="s">
        <v>17856</v>
      </c>
      <c r="G5275" t="s">
        <v>15973</v>
      </c>
      <c r="H5275" t="s">
        <v>17857</v>
      </c>
      <c r="I5275" t="s">
        <v>17858</v>
      </c>
    </row>
    <row r="5276" spans="1:9">
      <c r="A5276" t="str">
        <f>"0027586 "</f>
        <v xml:space="preserve">0027586 </v>
      </c>
      <c r="B5276" t="s">
        <v>15973</v>
      </c>
      <c r="C5276" t="s">
        <v>17859</v>
      </c>
      <c r="D5276" t="s">
        <v>17860</v>
      </c>
      <c r="E5276">
        <v>4</v>
      </c>
      <c r="F5276" t="s">
        <v>3017</v>
      </c>
      <c r="G5276" t="s">
        <v>15973</v>
      </c>
      <c r="H5276" t="s">
        <v>17861</v>
      </c>
      <c r="I5276" t="s">
        <v>17862</v>
      </c>
    </row>
    <row r="5277" spans="1:9">
      <c r="A5277" t="str">
        <f>"0027599 "</f>
        <v xml:space="preserve">0027599 </v>
      </c>
      <c r="B5277" t="s">
        <v>15973</v>
      </c>
      <c r="C5277" t="s">
        <v>17863</v>
      </c>
      <c r="D5277" t="s">
        <v>17864</v>
      </c>
      <c r="E5277">
        <v>2</v>
      </c>
      <c r="F5277" t="s">
        <v>2207</v>
      </c>
      <c r="G5277" t="s">
        <v>15973</v>
      </c>
      <c r="H5277" t="s">
        <v>17865</v>
      </c>
      <c r="I5277" t="s">
        <v>17866</v>
      </c>
    </row>
    <row r="5278" spans="1:9">
      <c r="A5278" t="str">
        <f>"0027603 "</f>
        <v xml:space="preserve">0027603 </v>
      </c>
      <c r="B5278" t="s">
        <v>15973</v>
      </c>
      <c r="C5278" t="s">
        <v>17867</v>
      </c>
      <c r="D5278" t="s">
        <v>17868</v>
      </c>
      <c r="E5278">
        <v>2</v>
      </c>
      <c r="F5278" t="s">
        <v>17750</v>
      </c>
      <c r="G5278" t="s">
        <v>15973</v>
      </c>
      <c r="H5278" t="s">
        <v>17869</v>
      </c>
      <c r="I5278" t="s">
        <v>17870</v>
      </c>
    </row>
    <row r="5279" spans="1:9">
      <c r="A5279" t="str">
        <f>"0027606 "</f>
        <v xml:space="preserve">0027606 </v>
      </c>
      <c r="B5279" t="s">
        <v>15973</v>
      </c>
      <c r="C5279" t="s">
        <v>17871</v>
      </c>
      <c r="D5279" t="s">
        <v>17872</v>
      </c>
      <c r="E5279">
        <v>1</v>
      </c>
      <c r="F5279" t="s">
        <v>17873</v>
      </c>
      <c r="G5279" t="s">
        <v>15973</v>
      </c>
      <c r="H5279" t="s">
        <v>17874</v>
      </c>
      <c r="I5279" t="s">
        <v>17875</v>
      </c>
    </row>
    <row r="5280" spans="1:9">
      <c r="A5280" t="str">
        <f>"0027648 "</f>
        <v xml:space="preserve">0027648 </v>
      </c>
      <c r="B5280" t="s">
        <v>15973</v>
      </c>
      <c r="C5280" t="s">
        <v>17876</v>
      </c>
      <c r="D5280" t="s">
        <v>17877</v>
      </c>
      <c r="E5280">
        <v>3</v>
      </c>
      <c r="F5280" t="s">
        <v>17722</v>
      </c>
      <c r="G5280" t="s">
        <v>15973</v>
      </c>
      <c r="H5280" t="s">
        <v>17878</v>
      </c>
      <c r="I5280" t="s">
        <v>17879</v>
      </c>
    </row>
    <row r="5281" spans="1:9">
      <c r="A5281" t="str">
        <f>"0027663 "</f>
        <v xml:space="preserve">0027663 </v>
      </c>
      <c r="B5281" t="s">
        <v>15973</v>
      </c>
      <c r="C5281" t="s">
        <v>17880</v>
      </c>
      <c r="D5281" t="s">
        <v>17881</v>
      </c>
      <c r="E5281">
        <v>4</v>
      </c>
      <c r="F5281" t="s">
        <v>2010</v>
      </c>
      <c r="G5281" t="s">
        <v>15973</v>
      </c>
      <c r="H5281" t="s">
        <v>17882</v>
      </c>
      <c r="I5281" t="s">
        <v>17883</v>
      </c>
    </row>
    <row r="5282" spans="1:9">
      <c r="A5282" t="str">
        <f>"0027667 "</f>
        <v xml:space="preserve">0027667 </v>
      </c>
      <c r="B5282" t="s">
        <v>15973</v>
      </c>
      <c r="C5282" t="s">
        <v>17884</v>
      </c>
      <c r="D5282" t="s">
        <v>17885</v>
      </c>
      <c r="E5282">
        <v>2</v>
      </c>
      <c r="F5282" t="s">
        <v>316</v>
      </c>
      <c r="G5282" t="s">
        <v>15973</v>
      </c>
      <c r="H5282" t="s">
        <v>17886</v>
      </c>
      <c r="I5282" t="s">
        <v>17887</v>
      </c>
    </row>
    <row r="5283" spans="1:9">
      <c r="A5283" t="str">
        <f>"0027794 "</f>
        <v xml:space="preserve">0027794 </v>
      </c>
      <c r="B5283" t="s">
        <v>15973</v>
      </c>
      <c r="C5283" t="s">
        <v>17888</v>
      </c>
      <c r="D5283" t="s">
        <v>17889</v>
      </c>
      <c r="E5283">
        <v>2</v>
      </c>
      <c r="F5283" t="s">
        <v>17890</v>
      </c>
      <c r="G5283" t="s">
        <v>15973</v>
      </c>
      <c r="H5283" t="s">
        <v>17891</v>
      </c>
      <c r="I5283" t="s">
        <v>17892</v>
      </c>
    </row>
    <row r="5284" spans="1:9">
      <c r="A5284" t="str">
        <f>"0027855 "</f>
        <v xml:space="preserve">0027855 </v>
      </c>
      <c r="B5284" t="s">
        <v>15973</v>
      </c>
      <c r="C5284" t="s">
        <v>17893</v>
      </c>
      <c r="D5284" t="s">
        <v>17894</v>
      </c>
      <c r="E5284">
        <v>2</v>
      </c>
      <c r="F5284" t="s">
        <v>17699</v>
      </c>
      <c r="G5284" t="s">
        <v>15973</v>
      </c>
      <c r="H5284" t="s">
        <v>17895</v>
      </c>
      <c r="I5284" t="s">
        <v>17896</v>
      </c>
    </row>
    <row r="5285" spans="1:9">
      <c r="A5285" t="str">
        <f>"0027950 "</f>
        <v xml:space="preserve">0027950 </v>
      </c>
      <c r="B5285" t="s">
        <v>15973</v>
      </c>
      <c r="C5285" t="s">
        <v>17897</v>
      </c>
      <c r="D5285" t="s">
        <v>17898</v>
      </c>
      <c r="E5285">
        <v>2</v>
      </c>
      <c r="F5285" t="s">
        <v>17899</v>
      </c>
      <c r="G5285" t="s">
        <v>15973</v>
      </c>
      <c r="H5285" t="s">
        <v>17900</v>
      </c>
      <c r="I5285" t="s">
        <v>17901</v>
      </c>
    </row>
    <row r="5286" spans="1:9">
      <c r="A5286" t="str">
        <f>"0036050 "</f>
        <v xml:space="preserve">0036050 </v>
      </c>
      <c r="B5286" t="s">
        <v>15973</v>
      </c>
      <c r="C5286" t="s">
        <v>17902</v>
      </c>
      <c r="D5286" t="s">
        <v>17903</v>
      </c>
      <c r="E5286" t="s">
        <v>16</v>
      </c>
      <c r="F5286" t="s">
        <v>2880</v>
      </c>
      <c r="G5286" t="s">
        <v>15973</v>
      </c>
      <c r="H5286" t="s">
        <v>17904</v>
      </c>
      <c r="I5286" t="s">
        <v>17905</v>
      </c>
    </row>
    <row r="5287" spans="1:9">
      <c r="A5287" t="str">
        <f>"0027952 "</f>
        <v xml:space="preserve">0027952 </v>
      </c>
      <c r="B5287" t="s">
        <v>15973</v>
      </c>
      <c r="C5287" t="s">
        <v>17906</v>
      </c>
      <c r="D5287" t="s">
        <v>17907</v>
      </c>
      <c r="E5287">
        <v>2</v>
      </c>
      <c r="F5287" t="s">
        <v>17908</v>
      </c>
      <c r="G5287" t="s">
        <v>15973</v>
      </c>
      <c r="H5287" t="s">
        <v>17909</v>
      </c>
      <c r="I5287" t="s">
        <v>17910</v>
      </c>
    </row>
    <row r="5288" spans="1:9">
      <c r="A5288" t="str">
        <f>"0028062 "</f>
        <v xml:space="preserve">0028062 </v>
      </c>
      <c r="B5288" t="s">
        <v>15973</v>
      </c>
      <c r="C5288" t="s">
        <v>17911</v>
      </c>
      <c r="D5288" t="s">
        <v>17912</v>
      </c>
      <c r="E5288">
        <v>2</v>
      </c>
      <c r="F5288" t="s">
        <v>7073</v>
      </c>
      <c r="G5288" t="s">
        <v>15973</v>
      </c>
      <c r="H5288" t="s">
        <v>17913</v>
      </c>
      <c r="I5288" t="s">
        <v>17914</v>
      </c>
    </row>
    <row r="5289" spans="1:9">
      <c r="A5289" t="str">
        <f>"0028093 "</f>
        <v xml:space="preserve">0028093 </v>
      </c>
      <c r="B5289" t="s">
        <v>15973</v>
      </c>
      <c r="C5289" t="s">
        <v>17915</v>
      </c>
      <c r="D5289" t="s">
        <v>17916</v>
      </c>
      <c r="E5289">
        <v>1</v>
      </c>
      <c r="F5289" t="s">
        <v>17422</v>
      </c>
      <c r="G5289" t="s">
        <v>15973</v>
      </c>
      <c r="H5289" t="s">
        <v>17917</v>
      </c>
      <c r="I5289" t="s">
        <v>17918</v>
      </c>
    </row>
    <row r="5290" spans="1:9">
      <c r="A5290" t="str">
        <f>"0028123 "</f>
        <v xml:space="preserve">0028123 </v>
      </c>
      <c r="B5290" t="s">
        <v>15973</v>
      </c>
      <c r="C5290" t="s">
        <v>17919</v>
      </c>
      <c r="D5290" t="s">
        <v>17920</v>
      </c>
      <c r="E5290">
        <v>4</v>
      </c>
      <c r="F5290" t="s">
        <v>17596</v>
      </c>
      <c r="G5290" t="s">
        <v>15973</v>
      </c>
      <c r="H5290" t="s">
        <v>17921</v>
      </c>
      <c r="I5290" t="s">
        <v>17922</v>
      </c>
    </row>
    <row r="5291" spans="1:9">
      <c r="A5291" t="str">
        <f>"0028126 "</f>
        <v xml:space="preserve">0028126 </v>
      </c>
      <c r="B5291" t="s">
        <v>15973</v>
      </c>
      <c r="C5291" t="s">
        <v>17923</v>
      </c>
      <c r="D5291" t="s">
        <v>17924</v>
      </c>
      <c r="E5291">
        <v>4</v>
      </c>
      <c r="F5291" t="s">
        <v>17505</v>
      </c>
      <c r="G5291" t="s">
        <v>15973</v>
      </c>
      <c r="H5291" t="s">
        <v>17925</v>
      </c>
      <c r="I5291" t="s">
        <v>17926</v>
      </c>
    </row>
    <row r="5292" spans="1:9">
      <c r="A5292" t="str">
        <f>"0028141 "</f>
        <v xml:space="preserve">0028141 </v>
      </c>
      <c r="B5292" t="s">
        <v>15973</v>
      </c>
      <c r="C5292" t="s">
        <v>17927</v>
      </c>
      <c r="D5292" t="s">
        <v>17928</v>
      </c>
      <c r="E5292">
        <v>2</v>
      </c>
      <c r="F5292" t="s">
        <v>10844</v>
      </c>
      <c r="G5292" t="s">
        <v>15973</v>
      </c>
      <c r="H5292" t="s">
        <v>17929</v>
      </c>
      <c r="I5292" t="s">
        <v>17930</v>
      </c>
    </row>
    <row r="5293" spans="1:9">
      <c r="A5293" t="str">
        <f>"0036069 "</f>
        <v xml:space="preserve">0036069 </v>
      </c>
      <c r="B5293" t="s">
        <v>15973</v>
      </c>
      <c r="C5293" t="s">
        <v>17931</v>
      </c>
      <c r="D5293" t="s">
        <v>17932</v>
      </c>
      <c r="E5293">
        <v>4</v>
      </c>
      <c r="F5293" t="s">
        <v>17469</v>
      </c>
      <c r="G5293" t="s">
        <v>15973</v>
      </c>
      <c r="H5293" t="s">
        <v>17933</v>
      </c>
      <c r="I5293" t="s">
        <v>17934</v>
      </c>
    </row>
    <row r="5294" spans="1:9">
      <c r="A5294" t="str">
        <f>"0036078 "</f>
        <v xml:space="preserve">0036078 </v>
      </c>
      <c r="B5294" t="s">
        <v>15973</v>
      </c>
      <c r="C5294" t="s">
        <v>17935</v>
      </c>
      <c r="D5294" t="s">
        <v>17936</v>
      </c>
      <c r="E5294">
        <v>4</v>
      </c>
      <c r="F5294" t="s">
        <v>17937</v>
      </c>
      <c r="G5294" t="s">
        <v>15973</v>
      </c>
      <c r="H5294" t="s">
        <v>17938</v>
      </c>
      <c r="I5294" t="s">
        <v>17939</v>
      </c>
    </row>
    <row r="5295" spans="1:9">
      <c r="A5295" t="str">
        <f>"0036080 "</f>
        <v xml:space="preserve">0036080 </v>
      </c>
      <c r="B5295" t="s">
        <v>15973</v>
      </c>
      <c r="C5295" t="s">
        <v>17940</v>
      </c>
      <c r="D5295" t="s">
        <v>17941</v>
      </c>
      <c r="E5295">
        <v>4</v>
      </c>
      <c r="F5295" t="s">
        <v>17942</v>
      </c>
      <c r="G5295" t="s">
        <v>15973</v>
      </c>
      <c r="H5295" t="s">
        <v>17943</v>
      </c>
      <c r="I5295" t="s">
        <v>17944</v>
      </c>
    </row>
    <row r="5296" spans="1:9">
      <c r="A5296" t="str">
        <f>"0036088 "</f>
        <v xml:space="preserve">0036088 </v>
      </c>
      <c r="B5296" t="s">
        <v>15973</v>
      </c>
      <c r="C5296" t="s">
        <v>17945</v>
      </c>
      <c r="D5296" t="s">
        <v>17946</v>
      </c>
      <c r="E5296" t="s">
        <v>16</v>
      </c>
      <c r="F5296" t="s">
        <v>17947</v>
      </c>
      <c r="G5296" t="s">
        <v>15973</v>
      </c>
      <c r="H5296" t="s">
        <v>17948</v>
      </c>
      <c r="I5296" t="s">
        <v>17949</v>
      </c>
    </row>
    <row r="5297" spans="1:9">
      <c r="A5297" t="str">
        <f>"0036091 "</f>
        <v xml:space="preserve">0036091 </v>
      </c>
      <c r="B5297" t="s">
        <v>15973</v>
      </c>
      <c r="C5297" t="s">
        <v>17950</v>
      </c>
      <c r="D5297" t="s">
        <v>17951</v>
      </c>
      <c r="E5297">
        <v>4</v>
      </c>
      <c r="F5297" t="s">
        <v>17952</v>
      </c>
      <c r="G5297" t="s">
        <v>15973</v>
      </c>
      <c r="H5297" t="s">
        <v>17953</v>
      </c>
      <c r="I5297" t="s">
        <v>17954</v>
      </c>
    </row>
    <row r="5298" spans="1:9">
      <c r="A5298" t="str">
        <f>"0036092 "</f>
        <v xml:space="preserve">0036092 </v>
      </c>
      <c r="B5298" t="s">
        <v>15973</v>
      </c>
      <c r="C5298" t="s">
        <v>17955</v>
      </c>
      <c r="D5298" t="s">
        <v>17956</v>
      </c>
      <c r="E5298">
        <v>4</v>
      </c>
      <c r="F5298" t="s">
        <v>17957</v>
      </c>
      <c r="G5298" t="s">
        <v>15973</v>
      </c>
      <c r="H5298" t="s">
        <v>17958</v>
      </c>
      <c r="I5298" t="s">
        <v>17959</v>
      </c>
    </row>
    <row r="5299" spans="1:9">
      <c r="A5299" t="str">
        <f>"0036093 "</f>
        <v xml:space="preserve">0036093 </v>
      </c>
      <c r="B5299" t="s">
        <v>15973</v>
      </c>
      <c r="C5299" t="s">
        <v>17960</v>
      </c>
      <c r="D5299" t="s">
        <v>17961</v>
      </c>
      <c r="E5299" t="s">
        <v>16</v>
      </c>
      <c r="F5299" t="s">
        <v>17454</v>
      </c>
      <c r="G5299" t="s">
        <v>15973</v>
      </c>
      <c r="H5299" t="s">
        <v>17962</v>
      </c>
      <c r="I5299" t="s">
        <v>17963</v>
      </c>
    </row>
    <row r="5300" spans="1:9">
      <c r="A5300" t="str">
        <f>"0036121 "</f>
        <v xml:space="preserve">0036121 </v>
      </c>
      <c r="B5300" t="s">
        <v>15973</v>
      </c>
      <c r="C5300" t="s">
        <v>17964</v>
      </c>
      <c r="D5300" t="s">
        <v>17965</v>
      </c>
      <c r="E5300">
        <v>4</v>
      </c>
      <c r="F5300" t="s">
        <v>17966</v>
      </c>
      <c r="G5300" t="s">
        <v>15973</v>
      </c>
      <c r="H5300" t="s">
        <v>17967</v>
      </c>
      <c r="I5300" t="s">
        <v>17968</v>
      </c>
    </row>
    <row r="5301" spans="1:9">
      <c r="A5301" t="str">
        <f>"0036151 "</f>
        <v xml:space="preserve">0036151 </v>
      </c>
      <c r="B5301" t="s">
        <v>15973</v>
      </c>
      <c r="C5301" t="s">
        <v>17969</v>
      </c>
      <c r="D5301" t="s">
        <v>17970</v>
      </c>
      <c r="E5301">
        <v>5</v>
      </c>
      <c r="F5301" t="s">
        <v>1998</v>
      </c>
      <c r="G5301" t="s">
        <v>15973</v>
      </c>
      <c r="H5301" t="s">
        <v>17971</v>
      </c>
      <c r="I5301" t="s">
        <v>17972</v>
      </c>
    </row>
    <row r="5302" spans="1:9">
      <c r="A5302" t="str">
        <f>"0028148 "</f>
        <v xml:space="preserve">0028148 </v>
      </c>
      <c r="B5302" t="s">
        <v>15973</v>
      </c>
      <c r="C5302" t="s">
        <v>17973</v>
      </c>
      <c r="D5302" t="s">
        <v>17974</v>
      </c>
      <c r="E5302">
        <v>4</v>
      </c>
      <c r="F5302" t="s">
        <v>17975</v>
      </c>
      <c r="G5302" t="s">
        <v>15973</v>
      </c>
      <c r="H5302" t="s">
        <v>17976</v>
      </c>
      <c r="I5302" t="s">
        <v>17977</v>
      </c>
    </row>
    <row r="5303" spans="1:9">
      <c r="A5303" t="str">
        <f>"0028150 "</f>
        <v xml:space="preserve">0028150 </v>
      </c>
      <c r="B5303" t="s">
        <v>15973</v>
      </c>
      <c r="C5303" t="s">
        <v>17978</v>
      </c>
      <c r="D5303" t="s">
        <v>17979</v>
      </c>
      <c r="E5303">
        <v>2</v>
      </c>
      <c r="F5303" t="s">
        <v>17975</v>
      </c>
      <c r="G5303" t="s">
        <v>15973</v>
      </c>
      <c r="H5303" t="s">
        <v>17980</v>
      </c>
      <c r="I5303" t="s">
        <v>17981</v>
      </c>
    </row>
    <row r="5304" spans="1:9">
      <c r="A5304" t="str">
        <f>"0028814 "</f>
        <v xml:space="preserve">0028814 </v>
      </c>
      <c r="B5304" t="s">
        <v>15973</v>
      </c>
      <c r="C5304" t="s">
        <v>17982</v>
      </c>
      <c r="D5304" t="s">
        <v>17983</v>
      </c>
      <c r="E5304">
        <v>1</v>
      </c>
      <c r="F5304" t="s">
        <v>16933</v>
      </c>
      <c r="G5304" t="s">
        <v>15973</v>
      </c>
      <c r="H5304">
        <v>7104</v>
      </c>
      <c r="I5304" t="s">
        <v>17984</v>
      </c>
    </row>
    <row r="5305" spans="1:9">
      <c r="A5305" t="str">
        <f>"0028820 "</f>
        <v xml:space="preserve">0028820 </v>
      </c>
      <c r="B5305" t="s">
        <v>15973</v>
      </c>
      <c r="C5305" t="s">
        <v>17985</v>
      </c>
      <c r="D5305" t="s">
        <v>17986</v>
      </c>
      <c r="E5305">
        <v>1</v>
      </c>
      <c r="F5305" t="s">
        <v>5624</v>
      </c>
      <c r="G5305" t="s">
        <v>15973</v>
      </c>
      <c r="H5305">
        <v>7110</v>
      </c>
      <c r="I5305" t="s">
        <v>17987</v>
      </c>
    </row>
    <row r="5306" spans="1:9">
      <c r="A5306" t="str">
        <f>"0028354 "</f>
        <v xml:space="preserve">0028354 </v>
      </c>
      <c r="B5306" t="s">
        <v>15973</v>
      </c>
      <c r="C5306" t="s">
        <v>17988</v>
      </c>
      <c r="D5306" t="s">
        <v>17989</v>
      </c>
      <c r="E5306" t="s">
        <v>16</v>
      </c>
      <c r="F5306" t="s">
        <v>16845</v>
      </c>
      <c r="G5306" t="s">
        <v>15973</v>
      </c>
      <c r="H5306" t="s">
        <v>17990</v>
      </c>
      <c r="I5306" t="s">
        <v>17991</v>
      </c>
    </row>
    <row r="5307" spans="1:9">
      <c r="A5307" t="str">
        <f>"0028360 "</f>
        <v xml:space="preserve">0028360 </v>
      </c>
      <c r="B5307" t="s">
        <v>15973</v>
      </c>
      <c r="C5307" t="s">
        <v>17992</v>
      </c>
      <c r="D5307" t="s">
        <v>17993</v>
      </c>
      <c r="E5307">
        <v>2</v>
      </c>
      <c r="F5307" t="s">
        <v>17994</v>
      </c>
      <c r="G5307" t="s">
        <v>15973</v>
      </c>
      <c r="H5307" t="s">
        <v>17995</v>
      </c>
      <c r="I5307" t="s">
        <v>17996</v>
      </c>
    </row>
    <row r="5308" spans="1:9">
      <c r="A5308" t="str">
        <f>"0028402 "</f>
        <v xml:space="preserve">0028402 </v>
      </c>
      <c r="B5308" t="s">
        <v>15973</v>
      </c>
      <c r="C5308" t="s">
        <v>17997</v>
      </c>
      <c r="D5308" t="s">
        <v>17998</v>
      </c>
      <c r="E5308">
        <v>2</v>
      </c>
      <c r="F5308" t="s">
        <v>16518</v>
      </c>
      <c r="G5308" t="s">
        <v>15973</v>
      </c>
      <c r="H5308" t="s">
        <v>17999</v>
      </c>
      <c r="I5308" t="s">
        <v>18000</v>
      </c>
    </row>
    <row r="5309" spans="1:9">
      <c r="A5309" t="str">
        <f>"0028424 "</f>
        <v xml:space="preserve">0028424 </v>
      </c>
      <c r="B5309" t="s">
        <v>15973</v>
      </c>
      <c r="C5309" t="s">
        <v>18001</v>
      </c>
      <c r="D5309" t="s">
        <v>18002</v>
      </c>
      <c r="E5309">
        <v>2</v>
      </c>
      <c r="F5309" t="s">
        <v>16319</v>
      </c>
      <c r="G5309" t="s">
        <v>15973</v>
      </c>
      <c r="H5309" t="s">
        <v>18003</v>
      </c>
      <c r="I5309" t="s">
        <v>18004</v>
      </c>
    </row>
    <row r="5310" spans="1:9">
      <c r="A5310" t="str">
        <f>"0028647 "</f>
        <v xml:space="preserve">0028647 </v>
      </c>
      <c r="B5310" t="s">
        <v>15973</v>
      </c>
      <c r="C5310" t="s">
        <v>18005</v>
      </c>
      <c r="D5310" t="s">
        <v>18006</v>
      </c>
      <c r="E5310">
        <v>2</v>
      </c>
      <c r="F5310" t="s">
        <v>18007</v>
      </c>
      <c r="G5310" t="s">
        <v>15973</v>
      </c>
      <c r="H5310" t="s">
        <v>18008</v>
      </c>
      <c r="I5310" t="s">
        <v>18009</v>
      </c>
    </row>
    <row r="5311" spans="1:9">
      <c r="A5311" t="str">
        <f>"0028729 "</f>
        <v xml:space="preserve">0028729 </v>
      </c>
      <c r="B5311" t="s">
        <v>15973</v>
      </c>
      <c r="C5311" t="s">
        <v>18010</v>
      </c>
      <c r="D5311" t="s">
        <v>18011</v>
      </c>
      <c r="E5311">
        <v>2</v>
      </c>
      <c r="F5311" t="s">
        <v>18012</v>
      </c>
      <c r="G5311" t="s">
        <v>15973</v>
      </c>
      <c r="H5311" t="s">
        <v>18013</v>
      </c>
      <c r="I5311" t="s">
        <v>18014</v>
      </c>
    </row>
    <row r="5312" spans="1:9">
      <c r="A5312" t="str">
        <f>"0028867 "</f>
        <v xml:space="preserve">0028867 </v>
      </c>
      <c r="B5312" t="s">
        <v>15973</v>
      </c>
      <c r="C5312" t="s">
        <v>18015</v>
      </c>
      <c r="D5312" t="s">
        <v>18016</v>
      </c>
      <c r="E5312">
        <v>4</v>
      </c>
      <c r="F5312" t="s">
        <v>18017</v>
      </c>
      <c r="G5312" t="s">
        <v>15973</v>
      </c>
      <c r="H5312">
        <v>8103</v>
      </c>
      <c r="I5312" t="s">
        <v>18018</v>
      </c>
    </row>
    <row r="5313" spans="1:9">
      <c r="A5313" t="str">
        <f>"0028869 "</f>
        <v xml:space="preserve">0028869 </v>
      </c>
      <c r="B5313" t="s">
        <v>15973</v>
      </c>
      <c r="C5313" t="s">
        <v>18019</v>
      </c>
      <c r="D5313" t="s">
        <v>18020</v>
      </c>
      <c r="E5313">
        <v>1</v>
      </c>
      <c r="F5313" t="s">
        <v>18021</v>
      </c>
      <c r="G5313" t="s">
        <v>15973</v>
      </c>
      <c r="H5313">
        <v>8105</v>
      </c>
      <c r="I5313" t="s">
        <v>18022</v>
      </c>
    </row>
    <row r="5314" spans="1:9">
      <c r="A5314" t="str">
        <f>"0028870 "</f>
        <v xml:space="preserve">0028870 </v>
      </c>
      <c r="B5314" t="s">
        <v>15973</v>
      </c>
      <c r="C5314" t="s">
        <v>18023</v>
      </c>
      <c r="D5314" t="s">
        <v>18024</v>
      </c>
      <c r="E5314">
        <v>1</v>
      </c>
      <c r="F5314" t="s">
        <v>18025</v>
      </c>
      <c r="G5314" t="s">
        <v>15973</v>
      </c>
      <c r="H5314">
        <v>8106</v>
      </c>
      <c r="I5314" t="s">
        <v>18026</v>
      </c>
    </row>
    <row r="5315" spans="1:9">
      <c r="A5315" t="str">
        <f>"0021156 "</f>
        <v xml:space="preserve">0021156 </v>
      </c>
      <c r="B5315" t="s">
        <v>15973</v>
      </c>
      <c r="C5315" t="s">
        <v>18027</v>
      </c>
      <c r="D5315" t="s">
        <v>18028</v>
      </c>
      <c r="E5315">
        <v>2</v>
      </c>
      <c r="F5315" t="s">
        <v>18029</v>
      </c>
      <c r="G5315" t="s">
        <v>15973</v>
      </c>
      <c r="H5315" t="s">
        <v>18030</v>
      </c>
      <c r="I5315" t="s">
        <v>18031</v>
      </c>
    </row>
    <row r="5316" spans="1:9">
      <c r="A5316" t="str">
        <f>"0021157 "</f>
        <v xml:space="preserve">0021157 </v>
      </c>
      <c r="B5316" t="s">
        <v>15973</v>
      </c>
      <c r="C5316" t="s">
        <v>18032</v>
      </c>
      <c r="D5316" t="s">
        <v>18033</v>
      </c>
      <c r="E5316">
        <v>2</v>
      </c>
      <c r="F5316" t="s">
        <v>17327</v>
      </c>
      <c r="G5316" t="s">
        <v>15973</v>
      </c>
      <c r="H5316" t="s">
        <v>18034</v>
      </c>
      <c r="I5316" t="s">
        <v>18035</v>
      </c>
    </row>
    <row r="5317" spans="1:9">
      <c r="A5317" t="str">
        <f>"0021179 "</f>
        <v xml:space="preserve">0021179 </v>
      </c>
      <c r="B5317" t="s">
        <v>15973</v>
      </c>
      <c r="C5317" t="s">
        <v>18036</v>
      </c>
      <c r="D5317" t="s">
        <v>18037</v>
      </c>
      <c r="E5317">
        <v>2</v>
      </c>
      <c r="F5317" t="s">
        <v>6428</v>
      </c>
      <c r="G5317" t="s">
        <v>15973</v>
      </c>
      <c r="H5317" t="s">
        <v>18038</v>
      </c>
      <c r="I5317" t="s">
        <v>18039</v>
      </c>
    </row>
    <row r="5318" spans="1:9">
      <c r="A5318" t="str">
        <f>"0021192 "</f>
        <v xml:space="preserve">0021192 </v>
      </c>
      <c r="B5318" t="s">
        <v>15973</v>
      </c>
      <c r="C5318" t="s">
        <v>18040</v>
      </c>
      <c r="D5318" t="s">
        <v>18041</v>
      </c>
      <c r="E5318">
        <v>2</v>
      </c>
      <c r="F5318" t="s">
        <v>16682</v>
      </c>
      <c r="G5318" t="s">
        <v>15973</v>
      </c>
      <c r="H5318" t="s">
        <v>18042</v>
      </c>
      <c r="I5318" t="s">
        <v>18043</v>
      </c>
    </row>
    <row r="5319" spans="1:9">
      <c r="A5319" t="str">
        <f>"0021196 "</f>
        <v xml:space="preserve">0021196 </v>
      </c>
      <c r="B5319" t="s">
        <v>15973</v>
      </c>
      <c r="C5319" t="s">
        <v>18044</v>
      </c>
      <c r="D5319" t="s">
        <v>18045</v>
      </c>
      <c r="E5319">
        <v>2</v>
      </c>
      <c r="F5319" t="s">
        <v>16108</v>
      </c>
      <c r="G5319" t="s">
        <v>15973</v>
      </c>
      <c r="H5319" t="s">
        <v>18046</v>
      </c>
      <c r="I5319" t="s">
        <v>18047</v>
      </c>
    </row>
    <row r="5320" spans="1:9">
      <c r="A5320" t="str">
        <f>"0021198 "</f>
        <v xml:space="preserve">0021198 </v>
      </c>
      <c r="B5320" t="s">
        <v>15973</v>
      </c>
      <c r="C5320" t="s">
        <v>18048</v>
      </c>
      <c r="D5320" t="s">
        <v>18049</v>
      </c>
      <c r="E5320">
        <v>2</v>
      </c>
      <c r="F5320" t="s">
        <v>16192</v>
      </c>
      <c r="G5320" t="s">
        <v>15973</v>
      </c>
      <c r="H5320" t="s">
        <v>18050</v>
      </c>
      <c r="I5320" t="s">
        <v>18051</v>
      </c>
    </row>
    <row r="5321" spans="1:9">
      <c r="A5321" t="str">
        <f>"0021199 "</f>
        <v xml:space="preserve">0021199 </v>
      </c>
      <c r="B5321" t="s">
        <v>15973</v>
      </c>
      <c r="C5321" t="s">
        <v>18052</v>
      </c>
      <c r="D5321" t="s">
        <v>18053</v>
      </c>
      <c r="E5321">
        <v>2</v>
      </c>
      <c r="F5321" t="s">
        <v>18054</v>
      </c>
      <c r="G5321" t="s">
        <v>15973</v>
      </c>
      <c r="H5321" t="s">
        <v>18055</v>
      </c>
      <c r="I5321" t="s">
        <v>18056</v>
      </c>
    </row>
    <row r="5322" spans="1:9">
      <c r="A5322" t="str">
        <f>"0021228 "</f>
        <v xml:space="preserve">0021228 </v>
      </c>
      <c r="B5322" t="s">
        <v>15973</v>
      </c>
      <c r="C5322" t="s">
        <v>18057</v>
      </c>
      <c r="D5322" t="s">
        <v>18058</v>
      </c>
      <c r="E5322">
        <v>2</v>
      </c>
      <c r="F5322" t="s">
        <v>18059</v>
      </c>
      <c r="G5322" t="s">
        <v>15973</v>
      </c>
      <c r="H5322" t="s">
        <v>18060</v>
      </c>
      <c r="I5322" t="s">
        <v>18061</v>
      </c>
    </row>
    <row r="5323" spans="1:9">
      <c r="A5323" t="str">
        <f>"0021351 "</f>
        <v xml:space="preserve">0021351 </v>
      </c>
      <c r="B5323" t="s">
        <v>15973</v>
      </c>
      <c r="C5323" t="s">
        <v>18062</v>
      </c>
      <c r="D5323" t="s">
        <v>18063</v>
      </c>
      <c r="E5323">
        <v>4</v>
      </c>
      <c r="F5323" t="s">
        <v>16780</v>
      </c>
      <c r="G5323" t="s">
        <v>15973</v>
      </c>
      <c r="H5323" t="s">
        <v>18064</v>
      </c>
      <c r="I5323" t="s">
        <v>18065</v>
      </c>
    </row>
    <row r="5324" spans="1:9">
      <c r="A5324" t="str">
        <f>"0021394 "</f>
        <v xml:space="preserve">0021394 </v>
      </c>
      <c r="B5324" t="s">
        <v>15973</v>
      </c>
      <c r="C5324" t="s">
        <v>18066</v>
      </c>
      <c r="D5324" t="s">
        <v>18067</v>
      </c>
      <c r="E5324">
        <v>2</v>
      </c>
      <c r="F5324" t="s">
        <v>3057</v>
      </c>
      <c r="G5324" t="s">
        <v>15973</v>
      </c>
      <c r="H5324" t="s">
        <v>18068</v>
      </c>
      <c r="I5324" t="s">
        <v>18069</v>
      </c>
    </row>
    <row r="5325" spans="1:9">
      <c r="A5325" t="str">
        <f>"0021398 "</f>
        <v xml:space="preserve">0021398 </v>
      </c>
      <c r="B5325" t="s">
        <v>15973</v>
      </c>
      <c r="C5325" t="s">
        <v>18070</v>
      </c>
      <c r="D5325" t="s">
        <v>18071</v>
      </c>
      <c r="E5325">
        <v>2</v>
      </c>
      <c r="F5325" t="s">
        <v>17007</v>
      </c>
      <c r="G5325" t="s">
        <v>15973</v>
      </c>
      <c r="H5325" t="s">
        <v>18072</v>
      </c>
      <c r="I5325" t="s">
        <v>18073</v>
      </c>
    </row>
    <row r="5326" spans="1:9">
      <c r="A5326" t="str">
        <f>"0021404 "</f>
        <v xml:space="preserve">0021404 </v>
      </c>
      <c r="B5326" t="s">
        <v>15973</v>
      </c>
      <c r="C5326" t="s">
        <v>18074</v>
      </c>
      <c r="D5326" t="s">
        <v>18075</v>
      </c>
      <c r="E5326">
        <v>2</v>
      </c>
      <c r="F5326" t="s">
        <v>18076</v>
      </c>
      <c r="G5326" t="s">
        <v>15973</v>
      </c>
      <c r="H5326" t="s">
        <v>18077</v>
      </c>
      <c r="I5326" t="s">
        <v>18078</v>
      </c>
    </row>
    <row r="5327" spans="1:9">
      <c r="A5327" t="str">
        <f>"0037225 "</f>
        <v xml:space="preserve">0037225 </v>
      </c>
      <c r="B5327" t="s">
        <v>15973</v>
      </c>
      <c r="C5327" t="s">
        <v>18079</v>
      </c>
      <c r="D5327" t="s">
        <v>18080</v>
      </c>
      <c r="E5327">
        <v>2</v>
      </c>
      <c r="F5327" t="s">
        <v>18081</v>
      </c>
      <c r="G5327" t="s">
        <v>15973</v>
      </c>
      <c r="H5327" t="s">
        <v>18082</v>
      </c>
      <c r="I5327" t="s">
        <v>18083</v>
      </c>
    </row>
    <row r="5328" spans="1:9">
      <c r="A5328" t="str">
        <f>"0021409 "</f>
        <v xml:space="preserve">0021409 </v>
      </c>
      <c r="B5328" t="s">
        <v>15973</v>
      </c>
      <c r="C5328" t="s">
        <v>18084</v>
      </c>
      <c r="D5328" t="s">
        <v>18085</v>
      </c>
      <c r="E5328">
        <v>2</v>
      </c>
      <c r="F5328" t="s">
        <v>16251</v>
      </c>
      <c r="G5328" t="s">
        <v>15973</v>
      </c>
      <c r="H5328" t="s">
        <v>18086</v>
      </c>
      <c r="I5328" t="s">
        <v>18087</v>
      </c>
    </row>
    <row r="5329" spans="1:9">
      <c r="A5329" t="str">
        <f>"0021417 "</f>
        <v xml:space="preserve">0021417 </v>
      </c>
      <c r="B5329" t="s">
        <v>15973</v>
      </c>
      <c r="C5329" t="s">
        <v>18088</v>
      </c>
      <c r="D5329" t="s">
        <v>18089</v>
      </c>
      <c r="E5329">
        <v>4</v>
      </c>
      <c r="F5329" t="s">
        <v>16108</v>
      </c>
      <c r="G5329" t="s">
        <v>15973</v>
      </c>
      <c r="H5329" t="s">
        <v>18090</v>
      </c>
      <c r="I5329" t="s">
        <v>18091</v>
      </c>
    </row>
    <row r="5330" spans="1:9">
      <c r="A5330" t="str">
        <f>"0021424 "</f>
        <v xml:space="preserve">0021424 </v>
      </c>
      <c r="B5330" t="s">
        <v>15973</v>
      </c>
      <c r="C5330" t="s">
        <v>18092</v>
      </c>
      <c r="D5330" t="s">
        <v>18093</v>
      </c>
      <c r="E5330">
        <v>2</v>
      </c>
      <c r="F5330" t="s">
        <v>5296</v>
      </c>
      <c r="G5330" t="s">
        <v>15973</v>
      </c>
      <c r="H5330" t="s">
        <v>18094</v>
      </c>
      <c r="I5330" t="s">
        <v>18095</v>
      </c>
    </row>
    <row r="5331" spans="1:9">
      <c r="A5331" t="str">
        <f>"0021445 "</f>
        <v xml:space="preserve">0021445 </v>
      </c>
      <c r="B5331" t="s">
        <v>15973</v>
      </c>
      <c r="C5331" t="s">
        <v>18096</v>
      </c>
      <c r="D5331" t="s">
        <v>18097</v>
      </c>
      <c r="E5331">
        <v>2</v>
      </c>
      <c r="F5331" t="s">
        <v>18098</v>
      </c>
      <c r="G5331" t="s">
        <v>15973</v>
      </c>
      <c r="H5331" t="s">
        <v>18099</v>
      </c>
      <c r="I5331" t="s">
        <v>18100</v>
      </c>
    </row>
    <row r="5332" spans="1:9">
      <c r="A5332" t="str">
        <f>"0021462 "</f>
        <v xml:space="preserve">0021462 </v>
      </c>
      <c r="B5332" t="s">
        <v>15973</v>
      </c>
      <c r="C5332" t="s">
        <v>18101</v>
      </c>
      <c r="D5332" t="s">
        <v>18102</v>
      </c>
      <c r="E5332">
        <v>4</v>
      </c>
      <c r="F5332" t="s">
        <v>18103</v>
      </c>
      <c r="G5332" t="s">
        <v>15973</v>
      </c>
      <c r="H5332" t="s">
        <v>18104</v>
      </c>
      <c r="I5332" t="s">
        <v>18105</v>
      </c>
    </row>
    <row r="5333" spans="1:9">
      <c r="A5333" t="str">
        <f>"0021468 "</f>
        <v xml:space="preserve">0021468 </v>
      </c>
      <c r="B5333" t="s">
        <v>15973</v>
      </c>
      <c r="C5333" t="s">
        <v>18106</v>
      </c>
      <c r="D5333" t="s">
        <v>18107</v>
      </c>
      <c r="E5333">
        <v>2</v>
      </c>
      <c r="F5333" t="s">
        <v>18108</v>
      </c>
      <c r="G5333" t="s">
        <v>15973</v>
      </c>
      <c r="H5333" t="s">
        <v>18109</v>
      </c>
      <c r="I5333" t="s">
        <v>18110</v>
      </c>
    </row>
    <row r="5334" spans="1:9">
      <c r="A5334" t="str">
        <f>"0021469 "</f>
        <v xml:space="preserve">0021469 </v>
      </c>
      <c r="B5334" t="s">
        <v>15973</v>
      </c>
      <c r="C5334" t="s">
        <v>18111</v>
      </c>
      <c r="D5334" t="s">
        <v>18112</v>
      </c>
      <c r="E5334">
        <v>2</v>
      </c>
      <c r="F5334" t="s">
        <v>18113</v>
      </c>
      <c r="G5334" t="s">
        <v>15973</v>
      </c>
      <c r="H5334" t="s">
        <v>18114</v>
      </c>
      <c r="I5334" t="s">
        <v>18115</v>
      </c>
    </row>
    <row r="5335" spans="1:9">
      <c r="A5335" t="str">
        <f>"0021470 "</f>
        <v xml:space="preserve">0021470 </v>
      </c>
      <c r="B5335" t="s">
        <v>15973</v>
      </c>
      <c r="C5335" t="s">
        <v>18116</v>
      </c>
      <c r="D5335" t="s">
        <v>18117</v>
      </c>
      <c r="E5335">
        <v>2</v>
      </c>
      <c r="F5335" t="s">
        <v>18118</v>
      </c>
      <c r="G5335" t="s">
        <v>15973</v>
      </c>
      <c r="H5335" t="s">
        <v>18119</v>
      </c>
      <c r="I5335" t="s">
        <v>18120</v>
      </c>
    </row>
    <row r="5336" spans="1:9">
      <c r="A5336" t="str">
        <f>"0102114 "</f>
        <v xml:space="preserve">0102114 </v>
      </c>
      <c r="B5336" t="s">
        <v>15973</v>
      </c>
      <c r="C5336" t="s">
        <v>18121</v>
      </c>
      <c r="D5336" t="s">
        <v>18122</v>
      </c>
      <c r="E5336">
        <v>2</v>
      </c>
      <c r="F5336" t="s">
        <v>18123</v>
      </c>
      <c r="G5336" t="s">
        <v>15973</v>
      </c>
      <c r="H5336" t="s">
        <v>18124</v>
      </c>
      <c r="I5336" t="s">
        <v>18125</v>
      </c>
    </row>
    <row r="5337" spans="1:9">
      <c r="A5337" t="str">
        <f>"0021567 "</f>
        <v xml:space="preserve">0021567 </v>
      </c>
      <c r="B5337" t="s">
        <v>15973</v>
      </c>
      <c r="C5337" t="s">
        <v>18126</v>
      </c>
      <c r="D5337" t="s">
        <v>18127</v>
      </c>
      <c r="E5337">
        <v>1</v>
      </c>
      <c r="F5337" t="s">
        <v>17007</v>
      </c>
      <c r="G5337" t="s">
        <v>15973</v>
      </c>
      <c r="H5337" t="s">
        <v>18128</v>
      </c>
      <c r="I5337" t="s">
        <v>18129</v>
      </c>
    </row>
    <row r="5338" spans="1:9">
      <c r="A5338" t="str">
        <f>"0021572 "</f>
        <v xml:space="preserve">0021572 </v>
      </c>
      <c r="B5338" t="s">
        <v>15973</v>
      </c>
      <c r="C5338" t="s">
        <v>18130</v>
      </c>
      <c r="D5338" t="s">
        <v>18131</v>
      </c>
      <c r="E5338">
        <v>1</v>
      </c>
      <c r="F5338" t="s">
        <v>18132</v>
      </c>
      <c r="G5338" t="s">
        <v>15973</v>
      </c>
      <c r="H5338" t="s">
        <v>18133</v>
      </c>
      <c r="I5338" t="s">
        <v>18134</v>
      </c>
    </row>
    <row r="5339" spans="1:9">
      <c r="A5339" t="str">
        <f>"0021580 "</f>
        <v xml:space="preserve">0021580 </v>
      </c>
      <c r="B5339" t="s">
        <v>15973</v>
      </c>
      <c r="C5339" t="s">
        <v>18135</v>
      </c>
      <c r="D5339" t="s">
        <v>18136</v>
      </c>
      <c r="E5339">
        <v>1</v>
      </c>
      <c r="F5339" t="s">
        <v>18137</v>
      </c>
      <c r="G5339" t="s">
        <v>15973</v>
      </c>
      <c r="H5339" t="s">
        <v>18138</v>
      </c>
      <c r="I5339" t="s">
        <v>18139</v>
      </c>
    </row>
    <row r="5340" spans="1:9">
      <c r="A5340" t="str">
        <f>"0021583 "</f>
        <v xml:space="preserve">0021583 </v>
      </c>
      <c r="B5340" t="s">
        <v>15973</v>
      </c>
      <c r="C5340" t="s">
        <v>18140</v>
      </c>
      <c r="D5340" t="s">
        <v>18141</v>
      </c>
      <c r="E5340">
        <v>1</v>
      </c>
      <c r="F5340" t="s">
        <v>16259</v>
      </c>
      <c r="G5340" t="s">
        <v>15973</v>
      </c>
      <c r="H5340" t="s">
        <v>18142</v>
      </c>
      <c r="I5340" t="s">
        <v>18143</v>
      </c>
    </row>
    <row r="5341" spans="1:9">
      <c r="A5341" t="str">
        <f>"0021594 "</f>
        <v xml:space="preserve">0021594 </v>
      </c>
      <c r="B5341" t="s">
        <v>15973</v>
      </c>
      <c r="C5341" t="s">
        <v>18144</v>
      </c>
      <c r="D5341" t="s">
        <v>18145</v>
      </c>
      <c r="E5341">
        <v>1</v>
      </c>
      <c r="F5341" t="s">
        <v>18146</v>
      </c>
      <c r="G5341" t="s">
        <v>15973</v>
      </c>
      <c r="H5341" t="s">
        <v>18147</v>
      </c>
      <c r="I5341" t="s">
        <v>18148</v>
      </c>
    </row>
    <row r="5342" spans="1:9">
      <c r="A5342" t="str">
        <f>"0021595 "</f>
        <v xml:space="preserve">0021595 </v>
      </c>
      <c r="B5342" t="s">
        <v>15973</v>
      </c>
      <c r="C5342" t="s">
        <v>18149</v>
      </c>
      <c r="D5342" t="s">
        <v>18150</v>
      </c>
      <c r="E5342">
        <v>1</v>
      </c>
      <c r="F5342" t="s">
        <v>18151</v>
      </c>
      <c r="G5342" t="s">
        <v>15973</v>
      </c>
      <c r="H5342" t="s">
        <v>18152</v>
      </c>
      <c r="I5342" t="s">
        <v>18153</v>
      </c>
    </row>
    <row r="5343" spans="1:9">
      <c r="A5343" t="str">
        <f>"0021596 "</f>
        <v xml:space="preserve">0021596 </v>
      </c>
      <c r="B5343" t="s">
        <v>15973</v>
      </c>
      <c r="C5343" t="s">
        <v>18154</v>
      </c>
      <c r="D5343" t="s">
        <v>18155</v>
      </c>
      <c r="E5343">
        <v>1</v>
      </c>
      <c r="F5343" t="s">
        <v>18123</v>
      </c>
      <c r="G5343" t="s">
        <v>15973</v>
      </c>
      <c r="H5343" t="s">
        <v>18156</v>
      </c>
      <c r="I5343" t="s">
        <v>18157</v>
      </c>
    </row>
    <row r="5344" spans="1:9">
      <c r="A5344" t="str">
        <f>"0021597 "</f>
        <v xml:space="preserve">0021597 </v>
      </c>
      <c r="B5344" t="s">
        <v>15973</v>
      </c>
      <c r="C5344" t="s">
        <v>18158</v>
      </c>
      <c r="D5344" t="s">
        <v>18159</v>
      </c>
      <c r="E5344">
        <v>1</v>
      </c>
      <c r="F5344" t="s">
        <v>16242</v>
      </c>
      <c r="G5344" t="s">
        <v>15973</v>
      </c>
      <c r="H5344" t="s">
        <v>18160</v>
      </c>
      <c r="I5344" t="s">
        <v>18161</v>
      </c>
    </row>
    <row r="5345" spans="1:9">
      <c r="A5345" t="str">
        <f>"0021610 "</f>
        <v xml:space="preserve">0021610 </v>
      </c>
      <c r="B5345" t="s">
        <v>15973</v>
      </c>
      <c r="C5345" t="s">
        <v>18162</v>
      </c>
      <c r="D5345" t="s">
        <v>18163</v>
      </c>
      <c r="E5345">
        <v>1</v>
      </c>
      <c r="F5345" t="s">
        <v>18164</v>
      </c>
      <c r="G5345" t="s">
        <v>15973</v>
      </c>
      <c r="H5345" t="s">
        <v>18165</v>
      </c>
      <c r="I5345" t="s">
        <v>18166</v>
      </c>
    </row>
    <row r="5346" spans="1:9">
      <c r="A5346" t="str">
        <f>"0021644 "</f>
        <v xml:space="preserve">0021644 </v>
      </c>
      <c r="B5346" t="s">
        <v>15973</v>
      </c>
      <c r="C5346" t="s">
        <v>18167</v>
      </c>
      <c r="D5346" t="s">
        <v>18168</v>
      </c>
      <c r="E5346">
        <v>1</v>
      </c>
      <c r="F5346" t="s">
        <v>18169</v>
      </c>
      <c r="G5346" t="s">
        <v>15973</v>
      </c>
      <c r="H5346" t="s">
        <v>18170</v>
      </c>
      <c r="I5346" t="s">
        <v>18171</v>
      </c>
    </row>
    <row r="5347" spans="1:9">
      <c r="A5347" t="str">
        <f>"0021655 "</f>
        <v xml:space="preserve">0021655 </v>
      </c>
      <c r="B5347" t="s">
        <v>15973</v>
      </c>
      <c r="C5347" t="s">
        <v>18172</v>
      </c>
      <c r="D5347" t="s">
        <v>18173</v>
      </c>
      <c r="E5347">
        <v>3</v>
      </c>
      <c r="F5347" t="s">
        <v>16464</v>
      </c>
      <c r="G5347" t="s">
        <v>15973</v>
      </c>
      <c r="H5347" t="s">
        <v>18174</v>
      </c>
      <c r="I5347" t="s">
        <v>18175</v>
      </c>
    </row>
    <row r="5348" spans="1:9">
      <c r="A5348" t="str">
        <f>"0021667 "</f>
        <v xml:space="preserve">0021667 </v>
      </c>
      <c r="B5348" t="s">
        <v>15973</v>
      </c>
      <c r="C5348" t="s">
        <v>18176</v>
      </c>
      <c r="D5348" t="s">
        <v>18177</v>
      </c>
      <c r="E5348">
        <v>2</v>
      </c>
      <c r="F5348" t="s">
        <v>17118</v>
      </c>
      <c r="G5348" t="s">
        <v>15973</v>
      </c>
      <c r="H5348" t="s">
        <v>18178</v>
      </c>
      <c r="I5348" t="s">
        <v>18179</v>
      </c>
    </row>
    <row r="5349" spans="1:9">
      <c r="A5349" t="str">
        <f>"0021681 "</f>
        <v xml:space="preserve">0021681 </v>
      </c>
      <c r="B5349" t="s">
        <v>15973</v>
      </c>
      <c r="C5349" t="s">
        <v>18180</v>
      </c>
      <c r="D5349" t="s">
        <v>18181</v>
      </c>
      <c r="E5349">
        <v>1</v>
      </c>
      <c r="F5349" t="s">
        <v>18182</v>
      </c>
      <c r="G5349" t="s">
        <v>15973</v>
      </c>
      <c r="H5349" t="s">
        <v>18183</v>
      </c>
      <c r="I5349" t="s">
        <v>18184</v>
      </c>
    </row>
    <row r="5350" spans="1:9">
      <c r="A5350" t="str">
        <f>"0021685 "</f>
        <v xml:space="preserve">0021685 </v>
      </c>
      <c r="B5350" t="s">
        <v>15973</v>
      </c>
      <c r="C5350" t="s">
        <v>18185</v>
      </c>
      <c r="D5350" t="s">
        <v>18186</v>
      </c>
      <c r="E5350">
        <v>1</v>
      </c>
      <c r="F5350" t="s">
        <v>18187</v>
      </c>
      <c r="G5350" t="s">
        <v>15973</v>
      </c>
      <c r="H5350" t="s">
        <v>18188</v>
      </c>
      <c r="I5350" t="s">
        <v>18189</v>
      </c>
    </row>
    <row r="5351" spans="1:9">
      <c r="A5351" t="str">
        <f>"0021705 "</f>
        <v xml:space="preserve">0021705 </v>
      </c>
      <c r="B5351" t="s">
        <v>15973</v>
      </c>
      <c r="C5351" t="s">
        <v>18190</v>
      </c>
      <c r="D5351" t="s">
        <v>18191</v>
      </c>
      <c r="E5351">
        <v>1</v>
      </c>
      <c r="F5351" t="s">
        <v>18192</v>
      </c>
      <c r="G5351" t="s">
        <v>15973</v>
      </c>
      <c r="H5351" t="s">
        <v>18193</v>
      </c>
      <c r="I5351" t="s">
        <v>18194</v>
      </c>
    </row>
    <row r="5352" spans="1:9">
      <c r="A5352" t="str">
        <f>"0021720 "</f>
        <v xml:space="preserve">0021720 </v>
      </c>
      <c r="B5352" t="s">
        <v>15973</v>
      </c>
      <c r="C5352" t="s">
        <v>18195</v>
      </c>
      <c r="D5352" t="s">
        <v>18196</v>
      </c>
      <c r="E5352">
        <v>1</v>
      </c>
      <c r="F5352" t="s">
        <v>18197</v>
      </c>
      <c r="G5352" t="s">
        <v>15973</v>
      </c>
      <c r="H5352" t="s">
        <v>18198</v>
      </c>
      <c r="I5352" t="s">
        <v>18199</v>
      </c>
    </row>
    <row r="5353" spans="1:9">
      <c r="A5353" t="str">
        <f>"0021721 "</f>
        <v xml:space="preserve">0021721 </v>
      </c>
      <c r="B5353" t="s">
        <v>15973</v>
      </c>
      <c r="C5353" t="s">
        <v>18200</v>
      </c>
      <c r="D5353" t="s">
        <v>18201</v>
      </c>
      <c r="E5353">
        <v>1</v>
      </c>
      <c r="F5353" t="s">
        <v>18202</v>
      </c>
      <c r="G5353" t="s">
        <v>15973</v>
      </c>
      <c r="H5353" t="s">
        <v>18203</v>
      </c>
      <c r="I5353" t="s">
        <v>18204</v>
      </c>
    </row>
    <row r="5354" spans="1:9">
      <c r="A5354" t="str">
        <f>"0021722 "</f>
        <v xml:space="preserve">0021722 </v>
      </c>
      <c r="B5354" t="s">
        <v>15973</v>
      </c>
      <c r="C5354" t="s">
        <v>18205</v>
      </c>
      <c r="D5354" t="s">
        <v>18206</v>
      </c>
      <c r="E5354">
        <v>1</v>
      </c>
      <c r="F5354" t="s">
        <v>18207</v>
      </c>
      <c r="G5354" t="s">
        <v>15973</v>
      </c>
      <c r="H5354" t="s">
        <v>18208</v>
      </c>
      <c r="I5354" t="s">
        <v>18209</v>
      </c>
    </row>
    <row r="5355" spans="1:9">
      <c r="A5355" t="str">
        <f>"0021767 "</f>
        <v xml:space="preserve">0021767 </v>
      </c>
      <c r="B5355" t="s">
        <v>15973</v>
      </c>
      <c r="C5355" t="s">
        <v>18210</v>
      </c>
      <c r="D5355" t="s">
        <v>18211</v>
      </c>
      <c r="E5355">
        <v>2</v>
      </c>
      <c r="F5355" t="s">
        <v>16848</v>
      </c>
      <c r="G5355" t="s">
        <v>15973</v>
      </c>
      <c r="H5355" t="s">
        <v>18212</v>
      </c>
      <c r="I5355" t="s">
        <v>18213</v>
      </c>
    </row>
    <row r="5356" spans="1:9">
      <c r="A5356" t="str">
        <f>"0163914 "</f>
        <v xml:space="preserve">0163914 </v>
      </c>
      <c r="B5356" t="s">
        <v>15973</v>
      </c>
      <c r="C5356" t="s">
        <v>18214</v>
      </c>
      <c r="D5356" t="s">
        <v>18215</v>
      </c>
      <c r="E5356">
        <v>2</v>
      </c>
      <c r="F5356" t="s">
        <v>18216</v>
      </c>
      <c r="G5356" t="s">
        <v>15973</v>
      </c>
      <c r="H5356" t="s">
        <v>18217</v>
      </c>
      <c r="I5356" t="s">
        <v>18218</v>
      </c>
    </row>
    <row r="5357" spans="1:9">
      <c r="A5357" t="str">
        <f>"0021808 "</f>
        <v xml:space="preserve">0021808 </v>
      </c>
      <c r="B5357" t="s">
        <v>15973</v>
      </c>
      <c r="C5357" t="s">
        <v>18219</v>
      </c>
      <c r="D5357" t="s">
        <v>18220</v>
      </c>
      <c r="E5357">
        <v>2</v>
      </c>
      <c r="F5357" t="s">
        <v>16298</v>
      </c>
      <c r="G5357" t="s">
        <v>15973</v>
      </c>
      <c r="H5357" t="s">
        <v>18221</v>
      </c>
      <c r="I5357" t="s">
        <v>18222</v>
      </c>
    </row>
    <row r="5358" spans="1:9">
      <c r="A5358" t="str">
        <f>"0021897 "</f>
        <v xml:space="preserve">0021897 </v>
      </c>
      <c r="B5358" t="s">
        <v>15973</v>
      </c>
      <c r="C5358" t="s">
        <v>18223</v>
      </c>
      <c r="D5358" t="s">
        <v>18224</v>
      </c>
      <c r="E5358">
        <v>1</v>
      </c>
      <c r="F5358" t="s">
        <v>16089</v>
      </c>
      <c r="G5358" t="s">
        <v>15973</v>
      </c>
      <c r="H5358" t="s">
        <v>18225</v>
      </c>
      <c r="I5358" t="s">
        <v>18226</v>
      </c>
    </row>
    <row r="5359" spans="1:9">
      <c r="A5359" t="str">
        <f>"0021905 "</f>
        <v xml:space="preserve">0021905 </v>
      </c>
      <c r="B5359" t="s">
        <v>15973</v>
      </c>
      <c r="C5359" t="s">
        <v>18227</v>
      </c>
      <c r="D5359" t="s">
        <v>18228</v>
      </c>
      <c r="E5359">
        <v>1</v>
      </c>
      <c r="F5359" t="s">
        <v>17182</v>
      </c>
      <c r="G5359" t="s">
        <v>15973</v>
      </c>
      <c r="H5359" t="s">
        <v>18229</v>
      </c>
      <c r="I5359" t="s">
        <v>18230</v>
      </c>
    </row>
    <row r="5360" spans="1:9">
      <c r="A5360" t="str">
        <f>"0021937 "</f>
        <v xml:space="preserve">0021937 </v>
      </c>
      <c r="B5360" t="s">
        <v>15973</v>
      </c>
      <c r="C5360" t="s">
        <v>18231</v>
      </c>
      <c r="D5360" t="s">
        <v>18232</v>
      </c>
      <c r="E5360">
        <v>1</v>
      </c>
      <c r="F5360" t="s">
        <v>18233</v>
      </c>
      <c r="G5360" t="s">
        <v>15973</v>
      </c>
      <c r="H5360" t="s">
        <v>18234</v>
      </c>
      <c r="I5360" t="s">
        <v>18235</v>
      </c>
    </row>
    <row r="5361" spans="1:9">
      <c r="A5361" t="str">
        <f>"0021945 "</f>
        <v xml:space="preserve">0021945 </v>
      </c>
      <c r="B5361" t="s">
        <v>15973</v>
      </c>
      <c r="C5361" t="s">
        <v>18236</v>
      </c>
      <c r="D5361" t="s">
        <v>18237</v>
      </c>
      <c r="E5361">
        <v>1</v>
      </c>
      <c r="F5361" t="s">
        <v>17205</v>
      </c>
      <c r="G5361" t="s">
        <v>15973</v>
      </c>
      <c r="H5361" t="s">
        <v>18238</v>
      </c>
      <c r="I5361" t="s">
        <v>18239</v>
      </c>
    </row>
    <row r="5362" spans="1:9">
      <c r="A5362" t="str">
        <f>"0021967 "</f>
        <v xml:space="preserve">0021967 </v>
      </c>
      <c r="B5362" t="s">
        <v>15973</v>
      </c>
      <c r="C5362" t="s">
        <v>18240</v>
      </c>
      <c r="D5362" t="s">
        <v>18241</v>
      </c>
      <c r="E5362">
        <v>1</v>
      </c>
      <c r="F5362" t="s">
        <v>18242</v>
      </c>
      <c r="G5362" t="s">
        <v>15973</v>
      </c>
      <c r="H5362" t="s">
        <v>18243</v>
      </c>
      <c r="I5362" t="s">
        <v>18244</v>
      </c>
    </row>
    <row r="5363" spans="1:9">
      <c r="A5363" t="str">
        <f>"0021969 "</f>
        <v xml:space="preserve">0021969 </v>
      </c>
      <c r="B5363" t="s">
        <v>15973</v>
      </c>
      <c r="C5363" t="s">
        <v>18245</v>
      </c>
      <c r="D5363" t="s">
        <v>18246</v>
      </c>
      <c r="E5363">
        <v>1</v>
      </c>
      <c r="F5363" t="s">
        <v>18247</v>
      </c>
      <c r="G5363" t="s">
        <v>15973</v>
      </c>
      <c r="H5363" t="s">
        <v>18248</v>
      </c>
      <c r="I5363" t="s">
        <v>18249</v>
      </c>
    </row>
    <row r="5364" spans="1:9">
      <c r="A5364" t="str">
        <f>"0022053 "</f>
        <v xml:space="preserve">0022053 </v>
      </c>
      <c r="B5364" t="s">
        <v>15973</v>
      </c>
      <c r="C5364" t="s">
        <v>18250</v>
      </c>
      <c r="D5364" t="s">
        <v>18251</v>
      </c>
      <c r="E5364">
        <v>1</v>
      </c>
      <c r="F5364" t="s">
        <v>18216</v>
      </c>
      <c r="G5364" t="s">
        <v>15973</v>
      </c>
      <c r="H5364" t="s">
        <v>18252</v>
      </c>
      <c r="I5364" t="s">
        <v>18253</v>
      </c>
    </row>
    <row r="5365" spans="1:9">
      <c r="A5365" t="str">
        <f>"0022066 "</f>
        <v xml:space="preserve">0022066 </v>
      </c>
      <c r="B5365" t="s">
        <v>15973</v>
      </c>
      <c r="C5365" t="s">
        <v>18254</v>
      </c>
      <c r="D5365" t="s">
        <v>18255</v>
      </c>
      <c r="E5365">
        <v>1</v>
      </c>
      <c r="F5365" t="s">
        <v>16245</v>
      </c>
      <c r="G5365" t="s">
        <v>15973</v>
      </c>
      <c r="H5365" t="s">
        <v>18256</v>
      </c>
      <c r="I5365" t="s">
        <v>18257</v>
      </c>
    </row>
    <row r="5366" spans="1:9">
      <c r="A5366" t="str">
        <f>"0022067 "</f>
        <v xml:space="preserve">0022067 </v>
      </c>
      <c r="B5366" t="s">
        <v>15973</v>
      </c>
      <c r="C5366" t="s">
        <v>18258</v>
      </c>
      <c r="D5366" t="s">
        <v>18259</v>
      </c>
      <c r="E5366">
        <v>1</v>
      </c>
      <c r="F5366" t="s">
        <v>16245</v>
      </c>
      <c r="G5366" t="s">
        <v>15973</v>
      </c>
      <c r="H5366" t="s">
        <v>18260</v>
      </c>
      <c r="I5366" t="s">
        <v>18261</v>
      </c>
    </row>
    <row r="5367" spans="1:9">
      <c r="A5367" t="str">
        <f>"0022068 "</f>
        <v xml:space="preserve">0022068 </v>
      </c>
      <c r="B5367" t="s">
        <v>15973</v>
      </c>
      <c r="C5367" t="s">
        <v>18262</v>
      </c>
      <c r="D5367" t="s">
        <v>18263</v>
      </c>
      <c r="E5367">
        <v>1</v>
      </c>
      <c r="F5367" t="s">
        <v>18264</v>
      </c>
      <c r="G5367" t="s">
        <v>15973</v>
      </c>
      <c r="H5367" t="s">
        <v>18265</v>
      </c>
      <c r="I5367" t="s">
        <v>18266</v>
      </c>
    </row>
    <row r="5368" spans="1:9">
      <c r="A5368" t="str">
        <f>"0022077 "</f>
        <v xml:space="preserve">0022077 </v>
      </c>
      <c r="B5368" t="s">
        <v>15973</v>
      </c>
      <c r="C5368" t="s">
        <v>18267</v>
      </c>
      <c r="D5368" t="s">
        <v>18268</v>
      </c>
      <c r="E5368">
        <v>1</v>
      </c>
      <c r="F5368" t="s">
        <v>18269</v>
      </c>
      <c r="G5368" t="s">
        <v>15973</v>
      </c>
      <c r="H5368" t="s">
        <v>18270</v>
      </c>
      <c r="I5368" t="s">
        <v>18271</v>
      </c>
    </row>
    <row r="5369" spans="1:9">
      <c r="A5369" t="str">
        <f>"0022079 "</f>
        <v xml:space="preserve">0022079 </v>
      </c>
      <c r="B5369" t="s">
        <v>15973</v>
      </c>
      <c r="C5369" t="s">
        <v>18272</v>
      </c>
      <c r="D5369" t="s">
        <v>18273</v>
      </c>
      <c r="E5369">
        <v>2</v>
      </c>
      <c r="F5369" t="s">
        <v>18274</v>
      </c>
      <c r="G5369" t="s">
        <v>15973</v>
      </c>
      <c r="H5369" t="s">
        <v>18275</v>
      </c>
      <c r="I5369" t="s">
        <v>18276</v>
      </c>
    </row>
    <row r="5370" spans="1:9">
      <c r="A5370" t="str">
        <f>"0022081 "</f>
        <v xml:space="preserve">0022081 </v>
      </c>
      <c r="B5370" t="s">
        <v>15973</v>
      </c>
      <c r="C5370" t="s">
        <v>18277</v>
      </c>
      <c r="D5370" t="s">
        <v>18278</v>
      </c>
      <c r="E5370">
        <v>1</v>
      </c>
      <c r="F5370" t="s">
        <v>18132</v>
      </c>
      <c r="G5370" t="s">
        <v>15973</v>
      </c>
      <c r="H5370" t="s">
        <v>18279</v>
      </c>
      <c r="I5370" t="s">
        <v>18280</v>
      </c>
    </row>
    <row r="5371" spans="1:9">
      <c r="A5371" t="str">
        <f>"0022095 "</f>
        <v xml:space="preserve">0022095 </v>
      </c>
      <c r="B5371" t="s">
        <v>15973</v>
      </c>
      <c r="C5371" t="s">
        <v>18281</v>
      </c>
      <c r="D5371" t="s">
        <v>18282</v>
      </c>
      <c r="E5371">
        <v>2</v>
      </c>
      <c r="F5371" t="s">
        <v>16398</v>
      </c>
      <c r="G5371" t="s">
        <v>15973</v>
      </c>
      <c r="H5371" t="s">
        <v>18283</v>
      </c>
      <c r="I5371" t="s">
        <v>18284</v>
      </c>
    </row>
    <row r="5372" spans="1:9">
      <c r="A5372" t="str">
        <f>"0022097 "</f>
        <v xml:space="preserve">0022097 </v>
      </c>
      <c r="B5372" t="s">
        <v>15973</v>
      </c>
      <c r="C5372" t="s">
        <v>18285</v>
      </c>
      <c r="D5372" t="s">
        <v>18286</v>
      </c>
      <c r="E5372">
        <v>2</v>
      </c>
      <c r="F5372" t="s">
        <v>6675</v>
      </c>
      <c r="G5372" t="s">
        <v>15973</v>
      </c>
      <c r="H5372" t="s">
        <v>18287</v>
      </c>
      <c r="I5372" t="s">
        <v>18288</v>
      </c>
    </row>
    <row r="5373" spans="1:9">
      <c r="A5373" t="str">
        <f>"0022105 "</f>
        <v xml:space="preserve">0022105 </v>
      </c>
      <c r="B5373" t="s">
        <v>15973</v>
      </c>
      <c r="C5373" t="s">
        <v>18289</v>
      </c>
      <c r="D5373" t="s">
        <v>18290</v>
      </c>
      <c r="E5373">
        <v>2</v>
      </c>
      <c r="F5373" t="s">
        <v>18291</v>
      </c>
      <c r="G5373" t="s">
        <v>15973</v>
      </c>
      <c r="H5373" t="s">
        <v>18292</v>
      </c>
      <c r="I5373" t="s">
        <v>18293</v>
      </c>
    </row>
    <row r="5374" spans="1:9">
      <c r="A5374" t="str">
        <f>"0131830 "</f>
        <v xml:space="preserve">0131830 </v>
      </c>
      <c r="B5374" t="s">
        <v>15973</v>
      </c>
      <c r="C5374" t="s">
        <v>18294</v>
      </c>
      <c r="D5374" t="s">
        <v>18295</v>
      </c>
      <c r="E5374">
        <v>4</v>
      </c>
      <c r="F5374" t="s">
        <v>18296</v>
      </c>
      <c r="G5374" t="s">
        <v>15973</v>
      </c>
      <c r="H5374" t="s">
        <v>18297</v>
      </c>
      <c r="I5374" t="s">
        <v>18298</v>
      </c>
    </row>
    <row r="5375" spans="1:9">
      <c r="A5375" t="str">
        <f>"0022116 "</f>
        <v xml:space="preserve">0022116 </v>
      </c>
      <c r="B5375" t="s">
        <v>15973</v>
      </c>
      <c r="C5375" t="s">
        <v>18299</v>
      </c>
      <c r="D5375" t="s">
        <v>18300</v>
      </c>
      <c r="E5375">
        <v>2</v>
      </c>
      <c r="F5375" t="s">
        <v>18301</v>
      </c>
      <c r="G5375" t="s">
        <v>15973</v>
      </c>
      <c r="H5375" t="s">
        <v>18302</v>
      </c>
      <c r="I5375" t="s">
        <v>18303</v>
      </c>
    </row>
    <row r="5376" spans="1:9">
      <c r="A5376" t="str">
        <f>"0022122 "</f>
        <v xml:space="preserve">0022122 </v>
      </c>
      <c r="B5376" t="s">
        <v>15973</v>
      </c>
      <c r="C5376" t="s">
        <v>18304</v>
      </c>
      <c r="D5376" t="s">
        <v>18305</v>
      </c>
      <c r="E5376">
        <v>2</v>
      </c>
      <c r="F5376" t="s">
        <v>16230</v>
      </c>
      <c r="G5376" t="s">
        <v>15973</v>
      </c>
      <c r="H5376" t="s">
        <v>18306</v>
      </c>
      <c r="I5376" t="s">
        <v>18307</v>
      </c>
    </row>
    <row r="5377" spans="1:9">
      <c r="A5377" t="str">
        <f>"0037337 "</f>
        <v xml:space="preserve">0037337 </v>
      </c>
      <c r="B5377" t="s">
        <v>15973</v>
      </c>
      <c r="C5377" t="s">
        <v>18308</v>
      </c>
      <c r="D5377" t="s">
        <v>18309</v>
      </c>
      <c r="E5377">
        <v>4</v>
      </c>
      <c r="F5377" t="s">
        <v>18310</v>
      </c>
      <c r="G5377" t="s">
        <v>15973</v>
      </c>
      <c r="H5377" t="s">
        <v>18311</v>
      </c>
      <c r="I5377" t="s">
        <v>18312</v>
      </c>
    </row>
    <row r="5378" spans="1:9">
      <c r="A5378" t="str">
        <f>"0022145 "</f>
        <v xml:space="preserve">0022145 </v>
      </c>
      <c r="B5378" t="s">
        <v>15973</v>
      </c>
      <c r="C5378" t="s">
        <v>18313</v>
      </c>
      <c r="D5378" t="s">
        <v>18314</v>
      </c>
      <c r="E5378">
        <v>4</v>
      </c>
      <c r="F5378" t="s">
        <v>5296</v>
      </c>
      <c r="G5378" t="s">
        <v>15973</v>
      </c>
      <c r="H5378" t="s">
        <v>18315</v>
      </c>
      <c r="I5378" t="s">
        <v>18316</v>
      </c>
    </row>
    <row r="5379" spans="1:9">
      <c r="A5379" t="str">
        <f>"0022186 "</f>
        <v xml:space="preserve">0022186 </v>
      </c>
      <c r="B5379" t="s">
        <v>15973</v>
      </c>
      <c r="C5379" t="s">
        <v>18317</v>
      </c>
      <c r="D5379" t="s">
        <v>18318</v>
      </c>
      <c r="E5379">
        <v>2</v>
      </c>
      <c r="F5379" t="s">
        <v>5037</v>
      </c>
      <c r="G5379" t="s">
        <v>15973</v>
      </c>
      <c r="H5379" t="s">
        <v>18319</v>
      </c>
      <c r="I5379" t="s">
        <v>18320</v>
      </c>
    </row>
    <row r="5380" spans="1:9">
      <c r="A5380" t="str">
        <f>"0022187 "</f>
        <v xml:space="preserve">0022187 </v>
      </c>
      <c r="B5380" t="s">
        <v>15973</v>
      </c>
      <c r="C5380" t="s">
        <v>18321</v>
      </c>
      <c r="D5380" t="s">
        <v>18322</v>
      </c>
      <c r="E5380">
        <v>2</v>
      </c>
      <c r="F5380" t="s">
        <v>6428</v>
      </c>
      <c r="G5380" t="s">
        <v>15973</v>
      </c>
      <c r="H5380" t="s">
        <v>18323</v>
      </c>
      <c r="I5380" t="s">
        <v>18324</v>
      </c>
    </row>
    <row r="5381" spans="1:9">
      <c r="A5381" t="str">
        <f>"0022210 "</f>
        <v xml:space="preserve">0022210 </v>
      </c>
      <c r="B5381" t="s">
        <v>15973</v>
      </c>
      <c r="C5381" t="s">
        <v>18325</v>
      </c>
      <c r="D5381" t="s">
        <v>18326</v>
      </c>
      <c r="E5381">
        <v>4</v>
      </c>
      <c r="F5381" t="s">
        <v>18327</v>
      </c>
      <c r="G5381" t="s">
        <v>15973</v>
      </c>
      <c r="H5381" t="s">
        <v>18328</v>
      </c>
      <c r="I5381" t="s">
        <v>18329</v>
      </c>
    </row>
    <row r="5382" spans="1:9">
      <c r="A5382" t="str">
        <f>"0022215 "</f>
        <v xml:space="preserve">0022215 </v>
      </c>
      <c r="B5382" t="s">
        <v>15973</v>
      </c>
      <c r="C5382" t="s">
        <v>18330</v>
      </c>
      <c r="D5382" t="s">
        <v>18331</v>
      </c>
      <c r="E5382">
        <v>2</v>
      </c>
      <c r="F5382" t="s">
        <v>18332</v>
      </c>
      <c r="G5382" t="s">
        <v>15973</v>
      </c>
      <c r="H5382" t="s">
        <v>18333</v>
      </c>
      <c r="I5382" t="s">
        <v>18334</v>
      </c>
    </row>
    <row r="5383" spans="1:9">
      <c r="A5383" t="str">
        <f>"0022220 "</f>
        <v xml:space="preserve">0022220 </v>
      </c>
      <c r="B5383" t="s">
        <v>15973</v>
      </c>
      <c r="C5383" t="s">
        <v>18335</v>
      </c>
      <c r="D5383" t="s">
        <v>18336</v>
      </c>
      <c r="E5383">
        <v>2</v>
      </c>
      <c r="F5383" t="s">
        <v>18337</v>
      </c>
      <c r="G5383" t="s">
        <v>15973</v>
      </c>
      <c r="H5383" t="s">
        <v>18338</v>
      </c>
      <c r="I5383" t="s">
        <v>18339</v>
      </c>
    </row>
    <row r="5384" spans="1:9">
      <c r="A5384" t="str">
        <f>"0022297 "</f>
        <v xml:space="preserve">0022297 </v>
      </c>
      <c r="B5384" t="s">
        <v>15973</v>
      </c>
      <c r="C5384" t="s">
        <v>18340</v>
      </c>
      <c r="D5384" t="s">
        <v>18341</v>
      </c>
      <c r="E5384">
        <v>4</v>
      </c>
      <c r="F5384" t="s">
        <v>18342</v>
      </c>
      <c r="G5384" t="s">
        <v>15973</v>
      </c>
      <c r="H5384" t="s">
        <v>18343</v>
      </c>
      <c r="I5384" t="s">
        <v>18344</v>
      </c>
    </row>
    <row r="5385" spans="1:9">
      <c r="A5385" t="str">
        <f>"0022509 "</f>
        <v xml:space="preserve">0022509 </v>
      </c>
      <c r="B5385" t="s">
        <v>15973</v>
      </c>
      <c r="C5385" t="s">
        <v>18345</v>
      </c>
      <c r="D5385" t="s">
        <v>18346</v>
      </c>
      <c r="E5385">
        <v>2</v>
      </c>
      <c r="F5385" t="s">
        <v>7407</v>
      </c>
      <c r="G5385" t="s">
        <v>15973</v>
      </c>
      <c r="H5385" t="s">
        <v>18347</v>
      </c>
      <c r="I5385" t="s">
        <v>18348</v>
      </c>
    </row>
    <row r="5386" spans="1:9">
      <c r="A5386" t="str">
        <f>"0037374 "</f>
        <v xml:space="preserve">0037374 </v>
      </c>
      <c r="B5386" t="s">
        <v>15973</v>
      </c>
      <c r="C5386" t="s">
        <v>18349</v>
      </c>
      <c r="D5386" t="s">
        <v>18350</v>
      </c>
      <c r="E5386">
        <v>4</v>
      </c>
      <c r="F5386" t="s">
        <v>18351</v>
      </c>
      <c r="G5386" t="s">
        <v>15973</v>
      </c>
      <c r="H5386" t="s">
        <v>18352</v>
      </c>
      <c r="I5386" t="s">
        <v>18353</v>
      </c>
    </row>
    <row r="5387" spans="1:9">
      <c r="A5387" t="str">
        <f>"0102174 "</f>
        <v xml:space="preserve">0102174 </v>
      </c>
      <c r="B5387" t="s">
        <v>15973</v>
      </c>
      <c r="C5387" t="s">
        <v>18354</v>
      </c>
      <c r="D5387" t="s">
        <v>18355</v>
      </c>
      <c r="E5387">
        <v>2</v>
      </c>
      <c r="F5387" t="s">
        <v>18356</v>
      </c>
      <c r="G5387" t="s">
        <v>15973</v>
      </c>
      <c r="H5387" t="s">
        <v>18357</v>
      </c>
      <c r="I5387" t="s">
        <v>18358</v>
      </c>
    </row>
    <row r="5388" spans="1:9">
      <c r="A5388" t="str">
        <f>"0022525 "</f>
        <v xml:space="preserve">0022525 </v>
      </c>
      <c r="B5388" t="s">
        <v>15973</v>
      </c>
      <c r="C5388" t="s">
        <v>18359</v>
      </c>
      <c r="D5388" t="s">
        <v>18360</v>
      </c>
      <c r="E5388">
        <v>2</v>
      </c>
      <c r="F5388" t="s">
        <v>16111</v>
      </c>
      <c r="G5388" t="s">
        <v>15973</v>
      </c>
      <c r="H5388" t="s">
        <v>18361</v>
      </c>
      <c r="I5388" t="s">
        <v>18362</v>
      </c>
    </row>
    <row r="5389" spans="1:9">
      <c r="A5389" t="str">
        <f>"0022526 "</f>
        <v xml:space="preserve">0022526 </v>
      </c>
      <c r="B5389" t="s">
        <v>15973</v>
      </c>
      <c r="C5389" t="s">
        <v>18363</v>
      </c>
      <c r="D5389" t="s">
        <v>18364</v>
      </c>
      <c r="E5389" t="s">
        <v>16</v>
      </c>
      <c r="F5389" t="s">
        <v>18365</v>
      </c>
      <c r="G5389" t="s">
        <v>15973</v>
      </c>
      <c r="H5389" t="s">
        <v>18366</v>
      </c>
      <c r="I5389" t="s">
        <v>18367</v>
      </c>
    </row>
    <row r="5390" spans="1:9">
      <c r="A5390" t="str">
        <f>"0022530 "</f>
        <v xml:space="preserve">0022530 </v>
      </c>
      <c r="B5390" t="s">
        <v>15973</v>
      </c>
      <c r="C5390" t="s">
        <v>18368</v>
      </c>
      <c r="D5390" t="s">
        <v>18369</v>
      </c>
      <c r="E5390">
        <v>2</v>
      </c>
      <c r="F5390" t="s">
        <v>16750</v>
      </c>
      <c r="G5390" t="s">
        <v>15973</v>
      </c>
      <c r="H5390" t="s">
        <v>18370</v>
      </c>
      <c r="I5390" t="s">
        <v>18371</v>
      </c>
    </row>
    <row r="5391" spans="1:9">
      <c r="A5391" t="str">
        <f>"0022550 "</f>
        <v xml:space="preserve">0022550 </v>
      </c>
      <c r="B5391" t="s">
        <v>15973</v>
      </c>
      <c r="C5391" t="s">
        <v>18372</v>
      </c>
      <c r="D5391" t="s">
        <v>18373</v>
      </c>
      <c r="E5391">
        <v>2</v>
      </c>
      <c r="F5391" t="s">
        <v>18374</v>
      </c>
      <c r="G5391" t="s">
        <v>15973</v>
      </c>
      <c r="H5391" t="s">
        <v>18375</v>
      </c>
      <c r="I5391" t="s">
        <v>18376</v>
      </c>
    </row>
    <row r="5392" spans="1:9">
      <c r="A5392" t="str">
        <f>"0022552 "</f>
        <v xml:space="preserve">0022552 </v>
      </c>
      <c r="B5392" t="s">
        <v>15973</v>
      </c>
      <c r="C5392" t="s">
        <v>18377</v>
      </c>
      <c r="D5392" t="s">
        <v>18378</v>
      </c>
      <c r="E5392">
        <v>4</v>
      </c>
      <c r="F5392" t="s">
        <v>16848</v>
      </c>
      <c r="G5392" t="s">
        <v>15973</v>
      </c>
      <c r="H5392" t="s">
        <v>18379</v>
      </c>
      <c r="I5392" t="s">
        <v>18380</v>
      </c>
    </row>
    <row r="5393" spans="1:9">
      <c r="A5393" t="str">
        <f>"0022565 "</f>
        <v xml:space="preserve">0022565 </v>
      </c>
      <c r="B5393" t="s">
        <v>15973</v>
      </c>
      <c r="C5393" t="s">
        <v>18381</v>
      </c>
      <c r="D5393" t="s">
        <v>18382</v>
      </c>
      <c r="E5393">
        <v>2</v>
      </c>
      <c r="F5393" t="s">
        <v>18383</v>
      </c>
      <c r="G5393" t="s">
        <v>15973</v>
      </c>
      <c r="H5393" t="s">
        <v>18384</v>
      </c>
      <c r="I5393" t="s">
        <v>18385</v>
      </c>
    </row>
    <row r="5394" spans="1:9">
      <c r="A5394" t="str">
        <f>"0022602 "</f>
        <v xml:space="preserve">0022602 </v>
      </c>
      <c r="B5394" t="s">
        <v>15973</v>
      </c>
      <c r="C5394" t="s">
        <v>18386</v>
      </c>
      <c r="D5394" t="s">
        <v>18387</v>
      </c>
      <c r="E5394">
        <v>4</v>
      </c>
      <c r="F5394" t="s">
        <v>18388</v>
      </c>
      <c r="G5394" t="s">
        <v>15973</v>
      </c>
      <c r="H5394" t="s">
        <v>18389</v>
      </c>
      <c r="I5394" t="s">
        <v>18390</v>
      </c>
    </row>
    <row r="5395" spans="1:9">
      <c r="A5395" t="str">
        <f>"0022611 "</f>
        <v xml:space="preserve">0022611 </v>
      </c>
      <c r="B5395" t="s">
        <v>15973</v>
      </c>
      <c r="C5395" t="s">
        <v>18391</v>
      </c>
      <c r="D5395" t="s">
        <v>18392</v>
      </c>
      <c r="E5395" t="s">
        <v>16</v>
      </c>
      <c r="F5395" t="s">
        <v>16625</v>
      </c>
      <c r="G5395" t="s">
        <v>15973</v>
      </c>
      <c r="H5395" t="s">
        <v>18393</v>
      </c>
      <c r="I5395" t="s">
        <v>18394</v>
      </c>
    </row>
    <row r="5396" spans="1:9">
      <c r="A5396" t="str">
        <f>"0022615 "</f>
        <v xml:space="preserve">0022615 </v>
      </c>
      <c r="B5396" t="s">
        <v>15973</v>
      </c>
      <c r="C5396" t="s">
        <v>18395</v>
      </c>
      <c r="D5396" t="s">
        <v>18396</v>
      </c>
      <c r="E5396">
        <v>2</v>
      </c>
      <c r="F5396" t="s">
        <v>18397</v>
      </c>
      <c r="G5396" t="s">
        <v>15973</v>
      </c>
      <c r="H5396" t="s">
        <v>18398</v>
      </c>
      <c r="I5396" t="s">
        <v>18399</v>
      </c>
    </row>
    <row r="5397" spans="1:9">
      <c r="A5397" t="str">
        <f>"0037410 "</f>
        <v xml:space="preserve">0037410 </v>
      </c>
      <c r="B5397" t="s">
        <v>15973</v>
      </c>
      <c r="C5397" t="s">
        <v>18400</v>
      </c>
      <c r="D5397" t="s">
        <v>18401</v>
      </c>
      <c r="E5397">
        <v>2</v>
      </c>
      <c r="F5397" t="s">
        <v>18402</v>
      </c>
      <c r="G5397" t="s">
        <v>15973</v>
      </c>
      <c r="H5397" t="s">
        <v>18403</v>
      </c>
      <c r="I5397" t="s">
        <v>18404</v>
      </c>
    </row>
    <row r="5398" spans="1:9">
      <c r="A5398" t="str">
        <f>"0022630 "</f>
        <v xml:space="preserve">0022630 </v>
      </c>
      <c r="B5398" t="s">
        <v>15973</v>
      </c>
      <c r="C5398" t="s">
        <v>18405</v>
      </c>
      <c r="D5398" t="s">
        <v>18406</v>
      </c>
      <c r="E5398">
        <v>2</v>
      </c>
      <c r="F5398" t="s">
        <v>18407</v>
      </c>
      <c r="G5398" t="s">
        <v>15973</v>
      </c>
      <c r="H5398" t="s">
        <v>18408</v>
      </c>
      <c r="I5398" t="s">
        <v>18409</v>
      </c>
    </row>
    <row r="5399" spans="1:9">
      <c r="A5399" t="str">
        <f>"0022641 "</f>
        <v xml:space="preserve">0022641 </v>
      </c>
      <c r="B5399" t="s">
        <v>15973</v>
      </c>
      <c r="C5399" t="s">
        <v>18410</v>
      </c>
      <c r="D5399" t="s">
        <v>18411</v>
      </c>
      <c r="E5399" t="s">
        <v>16</v>
      </c>
      <c r="F5399" t="s">
        <v>16515</v>
      </c>
      <c r="G5399" t="s">
        <v>15973</v>
      </c>
      <c r="H5399" t="s">
        <v>18412</v>
      </c>
      <c r="I5399" t="s">
        <v>18413</v>
      </c>
    </row>
    <row r="5400" spans="1:9">
      <c r="A5400" t="str">
        <f>"0022732 "</f>
        <v xml:space="preserve">0022732 </v>
      </c>
      <c r="B5400" t="s">
        <v>15973</v>
      </c>
      <c r="C5400" t="s">
        <v>18414</v>
      </c>
      <c r="D5400" t="s">
        <v>18415</v>
      </c>
      <c r="E5400">
        <v>2</v>
      </c>
      <c r="F5400" t="s">
        <v>18264</v>
      </c>
      <c r="G5400" t="s">
        <v>15973</v>
      </c>
      <c r="H5400" t="s">
        <v>18416</v>
      </c>
      <c r="I5400" t="s">
        <v>18417</v>
      </c>
    </row>
    <row r="5401" spans="1:9">
      <c r="A5401" t="str">
        <f>"0022871 "</f>
        <v xml:space="preserve">0022871 </v>
      </c>
      <c r="B5401" t="s">
        <v>15973</v>
      </c>
      <c r="C5401" t="s">
        <v>18418</v>
      </c>
      <c r="D5401" t="s">
        <v>18419</v>
      </c>
      <c r="E5401">
        <v>1</v>
      </c>
      <c r="F5401" t="s">
        <v>18420</v>
      </c>
      <c r="G5401" t="s">
        <v>15973</v>
      </c>
      <c r="H5401" t="s">
        <v>18421</v>
      </c>
      <c r="I5401" t="s">
        <v>18422</v>
      </c>
    </row>
    <row r="5402" spans="1:9">
      <c r="A5402" t="str">
        <f>"0022875 "</f>
        <v xml:space="preserve">0022875 </v>
      </c>
      <c r="B5402" t="s">
        <v>15973</v>
      </c>
      <c r="C5402" t="s">
        <v>18423</v>
      </c>
      <c r="D5402" t="s">
        <v>18424</v>
      </c>
      <c r="E5402">
        <v>2</v>
      </c>
      <c r="F5402" t="s">
        <v>16089</v>
      </c>
      <c r="G5402" t="s">
        <v>15973</v>
      </c>
      <c r="H5402" t="s">
        <v>18425</v>
      </c>
      <c r="I5402" t="s">
        <v>18426</v>
      </c>
    </row>
    <row r="5403" spans="1:9">
      <c r="A5403" t="str">
        <f>"0022879 "</f>
        <v xml:space="preserve">0022879 </v>
      </c>
      <c r="B5403" t="s">
        <v>15973</v>
      </c>
      <c r="C5403" t="s">
        <v>18427</v>
      </c>
      <c r="D5403" t="s">
        <v>18428</v>
      </c>
      <c r="E5403">
        <v>2</v>
      </c>
      <c r="F5403" t="s">
        <v>15980</v>
      </c>
      <c r="G5403" t="s">
        <v>15973</v>
      </c>
      <c r="H5403" t="s">
        <v>18429</v>
      </c>
      <c r="I5403" t="s">
        <v>18430</v>
      </c>
    </row>
    <row r="5404" spans="1:9">
      <c r="A5404" t="str">
        <f>"0022886 "</f>
        <v xml:space="preserve">0022886 </v>
      </c>
      <c r="B5404" t="s">
        <v>15973</v>
      </c>
      <c r="C5404" t="s">
        <v>18431</v>
      </c>
      <c r="D5404" t="s">
        <v>18432</v>
      </c>
      <c r="E5404">
        <v>2</v>
      </c>
      <c r="F5404" t="s">
        <v>16357</v>
      </c>
      <c r="G5404" t="s">
        <v>15973</v>
      </c>
      <c r="H5404" t="s">
        <v>18433</v>
      </c>
      <c r="I5404" t="s">
        <v>18434</v>
      </c>
    </row>
    <row r="5405" spans="1:9">
      <c r="A5405" t="str">
        <f>"0022898 "</f>
        <v xml:space="preserve">0022898 </v>
      </c>
      <c r="B5405" t="s">
        <v>15973</v>
      </c>
      <c r="C5405" t="s">
        <v>18435</v>
      </c>
      <c r="D5405" t="s">
        <v>18436</v>
      </c>
      <c r="E5405">
        <v>2</v>
      </c>
      <c r="F5405" t="s">
        <v>18437</v>
      </c>
      <c r="G5405" t="s">
        <v>15973</v>
      </c>
      <c r="H5405" t="s">
        <v>18438</v>
      </c>
      <c r="I5405" t="s">
        <v>18439</v>
      </c>
    </row>
    <row r="5406" spans="1:9">
      <c r="A5406" t="str">
        <f>"0022900 "</f>
        <v xml:space="preserve">0022900 </v>
      </c>
      <c r="B5406" t="s">
        <v>15973</v>
      </c>
      <c r="C5406" t="s">
        <v>18440</v>
      </c>
      <c r="D5406" t="s">
        <v>18441</v>
      </c>
      <c r="E5406">
        <v>2</v>
      </c>
      <c r="F5406" t="s">
        <v>16213</v>
      </c>
      <c r="G5406" t="s">
        <v>15973</v>
      </c>
      <c r="H5406" t="s">
        <v>18442</v>
      </c>
      <c r="I5406" t="s">
        <v>18443</v>
      </c>
    </row>
    <row r="5407" spans="1:9">
      <c r="A5407" t="str">
        <f>"0022901 "</f>
        <v xml:space="preserve">0022901 </v>
      </c>
      <c r="B5407" t="s">
        <v>15973</v>
      </c>
      <c r="C5407" t="s">
        <v>18444</v>
      </c>
      <c r="D5407" t="s">
        <v>18445</v>
      </c>
      <c r="E5407">
        <v>2</v>
      </c>
      <c r="F5407" t="s">
        <v>17010</v>
      </c>
      <c r="G5407" t="s">
        <v>15973</v>
      </c>
      <c r="H5407" t="s">
        <v>18446</v>
      </c>
      <c r="I5407" t="s">
        <v>18447</v>
      </c>
    </row>
    <row r="5408" spans="1:9">
      <c r="A5408" t="str">
        <f>"0022904 "</f>
        <v xml:space="preserve">0022904 </v>
      </c>
      <c r="B5408" t="s">
        <v>15973</v>
      </c>
      <c r="C5408" t="s">
        <v>18448</v>
      </c>
      <c r="D5408" t="s">
        <v>18449</v>
      </c>
      <c r="E5408">
        <v>2</v>
      </c>
      <c r="F5408" t="s">
        <v>18450</v>
      </c>
      <c r="G5408" t="s">
        <v>15973</v>
      </c>
      <c r="H5408" t="s">
        <v>18451</v>
      </c>
      <c r="I5408" t="s">
        <v>18452</v>
      </c>
    </row>
    <row r="5409" spans="1:9">
      <c r="A5409" t="str">
        <f>"0022912 "</f>
        <v xml:space="preserve">0022912 </v>
      </c>
      <c r="B5409" t="s">
        <v>15973</v>
      </c>
      <c r="C5409" t="s">
        <v>18453</v>
      </c>
      <c r="D5409" t="s">
        <v>18454</v>
      </c>
      <c r="E5409">
        <v>1</v>
      </c>
      <c r="F5409" t="s">
        <v>17284</v>
      </c>
      <c r="G5409" t="s">
        <v>15973</v>
      </c>
      <c r="H5409" t="s">
        <v>18455</v>
      </c>
      <c r="I5409" t="s">
        <v>18456</v>
      </c>
    </row>
    <row r="5410" spans="1:9">
      <c r="A5410" t="str">
        <f>"0022918 "</f>
        <v xml:space="preserve">0022918 </v>
      </c>
      <c r="B5410" t="s">
        <v>15973</v>
      </c>
      <c r="C5410" t="s">
        <v>18457</v>
      </c>
      <c r="D5410" t="s">
        <v>18458</v>
      </c>
      <c r="E5410">
        <v>1</v>
      </c>
      <c r="F5410" t="s">
        <v>18459</v>
      </c>
      <c r="G5410" t="s">
        <v>15973</v>
      </c>
      <c r="H5410" t="s">
        <v>18460</v>
      </c>
      <c r="I5410" t="s">
        <v>18461</v>
      </c>
    </row>
    <row r="5411" spans="1:9">
      <c r="A5411" t="str">
        <f>"0037511 "</f>
        <v xml:space="preserve">0037511 </v>
      </c>
      <c r="B5411" t="s">
        <v>15973</v>
      </c>
      <c r="C5411" t="s">
        <v>18462</v>
      </c>
      <c r="D5411" t="s">
        <v>18463</v>
      </c>
      <c r="E5411">
        <v>1</v>
      </c>
      <c r="F5411" t="s">
        <v>18464</v>
      </c>
      <c r="G5411" t="s">
        <v>15973</v>
      </c>
      <c r="H5411" t="s">
        <v>18465</v>
      </c>
      <c r="I5411" t="s">
        <v>18466</v>
      </c>
    </row>
    <row r="5412" spans="1:9">
      <c r="A5412" t="str">
        <f>"0037523 "</f>
        <v xml:space="preserve">0037523 </v>
      </c>
      <c r="B5412" t="s">
        <v>15973</v>
      </c>
      <c r="C5412" t="s">
        <v>18467</v>
      </c>
      <c r="D5412" t="s">
        <v>18468</v>
      </c>
      <c r="E5412">
        <v>1</v>
      </c>
      <c r="F5412" t="s">
        <v>18469</v>
      </c>
      <c r="G5412" t="s">
        <v>15973</v>
      </c>
      <c r="H5412" t="s">
        <v>18470</v>
      </c>
      <c r="I5412" t="s">
        <v>18471</v>
      </c>
    </row>
    <row r="5413" spans="1:9">
      <c r="A5413" t="str">
        <f>"0022929 "</f>
        <v xml:space="preserve">0022929 </v>
      </c>
      <c r="B5413" t="s">
        <v>15973</v>
      </c>
      <c r="C5413" t="s">
        <v>18472</v>
      </c>
      <c r="D5413" t="s">
        <v>18473</v>
      </c>
      <c r="E5413">
        <v>1</v>
      </c>
      <c r="F5413" t="s">
        <v>18474</v>
      </c>
      <c r="G5413" t="s">
        <v>15973</v>
      </c>
      <c r="H5413" t="s">
        <v>18475</v>
      </c>
      <c r="I5413" t="s">
        <v>18476</v>
      </c>
    </row>
    <row r="5414" spans="1:9">
      <c r="A5414" t="str">
        <f>"0022933 "</f>
        <v xml:space="preserve">0022933 </v>
      </c>
      <c r="B5414" t="s">
        <v>15973</v>
      </c>
      <c r="C5414" t="s">
        <v>18477</v>
      </c>
      <c r="D5414" t="s">
        <v>18478</v>
      </c>
      <c r="E5414">
        <v>2</v>
      </c>
      <c r="F5414" t="s">
        <v>18479</v>
      </c>
      <c r="G5414" t="s">
        <v>15973</v>
      </c>
      <c r="H5414" t="s">
        <v>18480</v>
      </c>
      <c r="I5414" t="s">
        <v>18481</v>
      </c>
    </row>
    <row r="5415" spans="1:9">
      <c r="A5415" t="str">
        <f>"0022938 "</f>
        <v xml:space="preserve">0022938 </v>
      </c>
      <c r="B5415" t="s">
        <v>15973</v>
      </c>
      <c r="C5415" t="s">
        <v>18482</v>
      </c>
      <c r="D5415" t="s">
        <v>18483</v>
      </c>
      <c r="E5415">
        <v>1</v>
      </c>
      <c r="F5415" t="s">
        <v>18484</v>
      </c>
      <c r="G5415" t="s">
        <v>15973</v>
      </c>
      <c r="H5415" t="s">
        <v>18485</v>
      </c>
      <c r="I5415" t="s">
        <v>18486</v>
      </c>
    </row>
    <row r="5416" spans="1:9">
      <c r="A5416" t="str">
        <f>"0022939 "</f>
        <v xml:space="preserve">0022939 </v>
      </c>
      <c r="B5416" t="s">
        <v>15973</v>
      </c>
      <c r="C5416" t="s">
        <v>18487</v>
      </c>
      <c r="D5416" t="s">
        <v>18488</v>
      </c>
      <c r="E5416">
        <v>1</v>
      </c>
      <c r="F5416" t="s">
        <v>18489</v>
      </c>
      <c r="G5416" t="s">
        <v>15973</v>
      </c>
      <c r="H5416" t="s">
        <v>18490</v>
      </c>
      <c r="I5416" t="s">
        <v>18491</v>
      </c>
    </row>
    <row r="5417" spans="1:9">
      <c r="A5417" t="str">
        <f>"0037584 "</f>
        <v xml:space="preserve">0037584 </v>
      </c>
      <c r="B5417" t="s">
        <v>15973</v>
      </c>
      <c r="C5417" t="s">
        <v>18492</v>
      </c>
      <c r="D5417" t="s">
        <v>18493</v>
      </c>
      <c r="E5417">
        <v>1</v>
      </c>
      <c r="F5417" t="s">
        <v>18494</v>
      </c>
      <c r="G5417" t="s">
        <v>15973</v>
      </c>
      <c r="H5417" t="s">
        <v>18495</v>
      </c>
      <c r="I5417" t="s">
        <v>18496</v>
      </c>
    </row>
    <row r="5418" spans="1:9">
      <c r="A5418" t="str">
        <f>"0022943 "</f>
        <v xml:space="preserve">0022943 </v>
      </c>
      <c r="B5418" t="s">
        <v>15973</v>
      </c>
      <c r="C5418" t="s">
        <v>18497</v>
      </c>
      <c r="D5418" t="s">
        <v>18498</v>
      </c>
      <c r="E5418">
        <v>1</v>
      </c>
      <c r="F5418" t="s">
        <v>18499</v>
      </c>
      <c r="G5418" t="s">
        <v>15973</v>
      </c>
      <c r="H5418" t="s">
        <v>18500</v>
      </c>
      <c r="I5418" t="s">
        <v>18501</v>
      </c>
    </row>
    <row r="5419" spans="1:9">
      <c r="A5419" t="str">
        <f>"0022947 "</f>
        <v xml:space="preserve">0022947 </v>
      </c>
      <c r="B5419" t="s">
        <v>15973</v>
      </c>
      <c r="C5419" t="s">
        <v>18502</v>
      </c>
      <c r="D5419" t="s">
        <v>18503</v>
      </c>
      <c r="E5419">
        <v>1</v>
      </c>
      <c r="F5419" t="s">
        <v>16251</v>
      </c>
      <c r="G5419" t="s">
        <v>15973</v>
      </c>
      <c r="H5419" t="s">
        <v>18504</v>
      </c>
      <c r="I5419" t="s">
        <v>18505</v>
      </c>
    </row>
    <row r="5420" spans="1:9">
      <c r="A5420" t="str">
        <f>"0022950 "</f>
        <v xml:space="preserve">0022950 </v>
      </c>
      <c r="B5420" t="s">
        <v>15973</v>
      </c>
      <c r="C5420" t="s">
        <v>18506</v>
      </c>
      <c r="D5420" t="s">
        <v>18507</v>
      </c>
      <c r="E5420">
        <v>1</v>
      </c>
      <c r="F5420" t="s">
        <v>2634</v>
      </c>
      <c r="G5420" t="s">
        <v>15973</v>
      </c>
      <c r="H5420" t="s">
        <v>18508</v>
      </c>
      <c r="I5420" t="s">
        <v>18509</v>
      </c>
    </row>
    <row r="5421" spans="1:9">
      <c r="A5421" t="str">
        <f>"0022953 "</f>
        <v xml:space="preserve">0022953 </v>
      </c>
      <c r="B5421" t="s">
        <v>15973</v>
      </c>
      <c r="C5421" t="s">
        <v>18510</v>
      </c>
      <c r="D5421" t="s">
        <v>18511</v>
      </c>
      <c r="E5421">
        <v>1</v>
      </c>
      <c r="F5421" t="s">
        <v>18512</v>
      </c>
      <c r="G5421" t="s">
        <v>15973</v>
      </c>
      <c r="H5421" t="s">
        <v>18513</v>
      </c>
      <c r="I5421" t="s">
        <v>18514</v>
      </c>
    </row>
    <row r="5422" spans="1:9">
      <c r="A5422" t="str">
        <f>"0022954 "</f>
        <v xml:space="preserve">0022954 </v>
      </c>
      <c r="B5422" t="s">
        <v>15973</v>
      </c>
      <c r="C5422" t="s">
        <v>18515</v>
      </c>
      <c r="D5422" t="s">
        <v>18516</v>
      </c>
      <c r="E5422">
        <v>1</v>
      </c>
      <c r="F5422" t="s">
        <v>18517</v>
      </c>
      <c r="G5422" t="s">
        <v>15973</v>
      </c>
      <c r="H5422" t="s">
        <v>18518</v>
      </c>
      <c r="I5422" t="s">
        <v>18519</v>
      </c>
    </row>
    <row r="5423" spans="1:9">
      <c r="A5423" t="str">
        <f>"0022961 "</f>
        <v xml:space="preserve">0022961 </v>
      </c>
      <c r="B5423" t="s">
        <v>15973</v>
      </c>
      <c r="C5423" t="s">
        <v>18520</v>
      </c>
      <c r="D5423" t="s">
        <v>18521</v>
      </c>
      <c r="E5423">
        <v>2</v>
      </c>
      <c r="F5423" t="s">
        <v>18522</v>
      </c>
      <c r="G5423" t="s">
        <v>15973</v>
      </c>
      <c r="H5423" t="s">
        <v>18523</v>
      </c>
      <c r="I5423" t="s">
        <v>18524</v>
      </c>
    </row>
    <row r="5424" spans="1:9">
      <c r="A5424" t="str">
        <f>"0022962 "</f>
        <v xml:space="preserve">0022962 </v>
      </c>
      <c r="B5424" t="s">
        <v>15973</v>
      </c>
      <c r="C5424" t="s">
        <v>18525</v>
      </c>
      <c r="D5424" t="s">
        <v>18526</v>
      </c>
      <c r="E5424">
        <v>1</v>
      </c>
      <c r="F5424" t="s">
        <v>18527</v>
      </c>
      <c r="G5424" t="s">
        <v>15973</v>
      </c>
      <c r="H5424" t="s">
        <v>18528</v>
      </c>
      <c r="I5424" t="s">
        <v>18529</v>
      </c>
    </row>
    <row r="5425" spans="1:9">
      <c r="A5425" t="str">
        <f>"0022963 "</f>
        <v xml:space="preserve">0022963 </v>
      </c>
      <c r="B5425" t="s">
        <v>15973</v>
      </c>
      <c r="C5425" t="s">
        <v>18530</v>
      </c>
      <c r="D5425" t="s">
        <v>18531</v>
      </c>
      <c r="E5425">
        <v>1</v>
      </c>
      <c r="F5425" t="s">
        <v>18532</v>
      </c>
      <c r="G5425" t="s">
        <v>15973</v>
      </c>
      <c r="H5425" t="s">
        <v>18533</v>
      </c>
      <c r="I5425" t="s">
        <v>18534</v>
      </c>
    </row>
    <row r="5426" spans="1:9">
      <c r="A5426" t="str">
        <f>"0022965 "</f>
        <v xml:space="preserve">0022965 </v>
      </c>
      <c r="B5426" t="s">
        <v>15973</v>
      </c>
      <c r="C5426" t="s">
        <v>18535</v>
      </c>
      <c r="D5426" t="s">
        <v>18536</v>
      </c>
      <c r="E5426">
        <v>1</v>
      </c>
      <c r="F5426" t="s">
        <v>17182</v>
      </c>
      <c r="G5426" t="s">
        <v>15973</v>
      </c>
      <c r="H5426" t="s">
        <v>18537</v>
      </c>
      <c r="I5426" t="s">
        <v>18538</v>
      </c>
    </row>
    <row r="5427" spans="1:9">
      <c r="A5427" t="str">
        <f>"0022967 "</f>
        <v xml:space="preserve">0022967 </v>
      </c>
      <c r="B5427" t="s">
        <v>15973</v>
      </c>
      <c r="C5427" t="s">
        <v>18539</v>
      </c>
      <c r="D5427" t="s">
        <v>18540</v>
      </c>
      <c r="E5427">
        <v>1</v>
      </c>
      <c r="F5427" t="s">
        <v>18541</v>
      </c>
      <c r="G5427" t="s">
        <v>15973</v>
      </c>
      <c r="H5427" t="s">
        <v>18542</v>
      </c>
      <c r="I5427" t="s">
        <v>18543</v>
      </c>
    </row>
    <row r="5428" spans="1:9">
      <c r="A5428" t="str">
        <f>"0022971 "</f>
        <v xml:space="preserve">0022971 </v>
      </c>
      <c r="B5428" t="s">
        <v>15973</v>
      </c>
      <c r="C5428" t="s">
        <v>18544</v>
      </c>
      <c r="D5428" t="s">
        <v>18545</v>
      </c>
      <c r="E5428">
        <v>1</v>
      </c>
      <c r="F5428" t="s">
        <v>18546</v>
      </c>
      <c r="G5428" t="s">
        <v>15973</v>
      </c>
      <c r="H5428" t="s">
        <v>18547</v>
      </c>
      <c r="I5428" t="s">
        <v>18548</v>
      </c>
    </row>
    <row r="5429" spans="1:9">
      <c r="A5429" t="str">
        <f>"0037693 "</f>
        <v xml:space="preserve">0037693 </v>
      </c>
      <c r="B5429" t="s">
        <v>15973</v>
      </c>
      <c r="C5429" t="s">
        <v>18549</v>
      </c>
      <c r="D5429" t="s">
        <v>18550</v>
      </c>
      <c r="E5429">
        <v>1</v>
      </c>
      <c r="F5429" t="s">
        <v>18551</v>
      </c>
      <c r="G5429" t="s">
        <v>15973</v>
      </c>
      <c r="H5429" t="s">
        <v>18552</v>
      </c>
      <c r="I5429" t="s">
        <v>18553</v>
      </c>
    </row>
    <row r="5430" spans="1:9">
      <c r="A5430" t="str">
        <f>"0022974 "</f>
        <v xml:space="preserve">0022974 </v>
      </c>
      <c r="B5430" t="s">
        <v>15973</v>
      </c>
      <c r="C5430" t="s">
        <v>18554</v>
      </c>
      <c r="D5430" t="s">
        <v>18555</v>
      </c>
      <c r="E5430">
        <v>1</v>
      </c>
      <c r="F5430" t="s">
        <v>18556</v>
      </c>
      <c r="G5430" t="s">
        <v>15973</v>
      </c>
      <c r="H5430" t="s">
        <v>18557</v>
      </c>
      <c r="I5430" t="s">
        <v>18558</v>
      </c>
    </row>
    <row r="5431" spans="1:9">
      <c r="A5431" t="str">
        <f>"0022978 "</f>
        <v xml:space="preserve">0022978 </v>
      </c>
      <c r="B5431" t="s">
        <v>15973</v>
      </c>
      <c r="C5431" t="s">
        <v>18559</v>
      </c>
      <c r="D5431" t="s">
        <v>18560</v>
      </c>
      <c r="E5431">
        <v>1</v>
      </c>
      <c r="F5431" t="s">
        <v>18561</v>
      </c>
      <c r="G5431" t="s">
        <v>15973</v>
      </c>
      <c r="H5431" t="s">
        <v>18562</v>
      </c>
      <c r="I5431" t="s">
        <v>18563</v>
      </c>
    </row>
    <row r="5432" spans="1:9">
      <c r="A5432" t="str">
        <f>"0022983 "</f>
        <v xml:space="preserve">0022983 </v>
      </c>
      <c r="B5432" t="s">
        <v>15973</v>
      </c>
      <c r="C5432" t="s">
        <v>18564</v>
      </c>
      <c r="D5432" t="s">
        <v>18565</v>
      </c>
      <c r="E5432">
        <v>2</v>
      </c>
      <c r="F5432" t="s">
        <v>18566</v>
      </c>
      <c r="G5432" t="s">
        <v>15973</v>
      </c>
      <c r="H5432" t="s">
        <v>18567</v>
      </c>
      <c r="I5432" t="s">
        <v>18568</v>
      </c>
    </row>
    <row r="5433" spans="1:9">
      <c r="A5433" t="str">
        <f>"0037763 "</f>
        <v xml:space="preserve">0037763 </v>
      </c>
      <c r="B5433" t="s">
        <v>15973</v>
      </c>
      <c r="C5433" t="s">
        <v>18569</v>
      </c>
      <c r="D5433" t="s">
        <v>18570</v>
      </c>
      <c r="E5433">
        <v>1</v>
      </c>
      <c r="F5433" t="s">
        <v>18571</v>
      </c>
      <c r="G5433" t="s">
        <v>15973</v>
      </c>
      <c r="H5433" t="s">
        <v>18572</v>
      </c>
      <c r="I5433" t="s">
        <v>18573</v>
      </c>
    </row>
    <row r="5434" spans="1:9">
      <c r="A5434" t="str">
        <f>"0022989 "</f>
        <v xml:space="preserve">0022989 </v>
      </c>
      <c r="B5434" t="s">
        <v>15973</v>
      </c>
      <c r="C5434" t="s">
        <v>18574</v>
      </c>
      <c r="D5434" t="s">
        <v>18575</v>
      </c>
      <c r="E5434">
        <v>1</v>
      </c>
      <c r="F5434" t="s">
        <v>18269</v>
      </c>
      <c r="G5434" t="s">
        <v>15973</v>
      </c>
      <c r="H5434" t="s">
        <v>18576</v>
      </c>
      <c r="I5434" t="s">
        <v>18577</v>
      </c>
    </row>
    <row r="5435" spans="1:9">
      <c r="A5435" t="str">
        <f>"0023001 "</f>
        <v xml:space="preserve">0023001 </v>
      </c>
      <c r="B5435" t="s">
        <v>15973</v>
      </c>
      <c r="C5435" t="s">
        <v>18578</v>
      </c>
      <c r="D5435" t="s">
        <v>18579</v>
      </c>
      <c r="E5435">
        <v>1</v>
      </c>
      <c r="F5435" t="s">
        <v>17182</v>
      </c>
      <c r="G5435" t="s">
        <v>15973</v>
      </c>
      <c r="H5435" t="s">
        <v>18580</v>
      </c>
      <c r="I5435" t="s">
        <v>18581</v>
      </c>
    </row>
    <row r="5436" spans="1:9">
      <c r="A5436" t="str">
        <f>"0037876 "</f>
        <v xml:space="preserve">0037876 </v>
      </c>
      <c r="B5436" t="s">
        <v>15973</v>
      </c>
      <c r="C5436" t="s">
        <v>18582</v>
      </c>
      <c r="D5436" t="s">
        <v>18583</v>
      </c>
      <c r="E5436">
        <v>1</v>
      </c>
      <c r="F5436" t="s">
        <v>18584</v>
      </c>
      <c r="G5436" t="s">
        <v>15973</v>
      </c>
      <c r="H5436" t="s">
        <v>18585</v>
      </c>
      <c r="I5436" t="s">
        <v>18586</v>
      </c>
    </row>
    <row r="5437" spans="1:9">
      <c r="A5437" t="str">
        <f>"0023009 "</f>
        <v xml:space="preserve">0023009 </v>
      </c>
      <c r="B5437" t="s">
        <v>15973</v>
      </c>
      <c r="C5437" t="s">
        <v>18587</v>
      </c>
      <c r="D5437" t="s">
        <v>18588</v>
      </c>
      <c r="E5437">
        <v>1</v>
      </c>
      <c r="F5437" t="s">
        <v>18274</v>
      </c>
      <c r="G5437" t="s">
        <v>15973</v>
      </c>
      <c r="H5437" t="s">
        <v>18589</v>
      </c>
      <c r="I5437" t="s">
        <v>18590</v>
      </c>
    </row>
    <row r="5438" spans="1:9">
      <c r="A5438" t="str">
        <f>"0023016 "</f>
        <v xml:space="preserve">0023016 </v>
      </c>
      <c r="B5438" t="s">
        <v>15973</v>
      </c>
      <c r="C5438" t="s">
        <v>18591</v>
      </c>
      <c r="D5438" t="s">
        <v>18592</v>
      </c>
      <c r="E5438">
        <v>1</v>
      </c>
      <c r="F5438" t="s">
        <v>17182</v>
      </c>
      <c r="G5438" t="s">
        <v>15973</v>
      </c>
      <c r="H5438" t="s">
        <v>18593</v>
      </c>
      <c r="I5438" t="s">
        <v>18594</v>
      </c>
    </row>
    <row r="5439" spans="1:9">
      <c r="A5439" t="str">
        <f>"0023020 "</f>
        <v xml:space="preserve">0023020 </v>
      </c>
      <c r="B5439" t="s">
        <v>15973</v>
      </c>
      <c r="C5439" t="s">
        <v>18595</v>
      </c>
      <c r="D5439" t="s">
        <v>18596</v>
      </c>
      <c r="E5439">
        <v>1</v>
      </c>
      <c r="F5439" t="s">
        <v>16213</v>
      </c>
      <c r="G5439" t="s">
        <v>15973</v>
      </c>
      <c r="H5439" t="s">
        <v>18597</v>
      </c>
      <c r="I5439" t="s">
        <v>18598</v>
      </c>
    </row>
    <row r="5440" spans="1:9">
      <c r="A5440" t="str">
        <f>"0037939 "</f>
        <v xml:space="preserve">0037939 </v>
      </c>
      <c r="B5440" t="s">
        <v>15973</v>
      </c>
      <c r="C5440" t="s">
        <v>18599</v>
      </c>
      <c r="D5440" t="s">
        <v>18600</v>
      </c>
      <c r="E5440">
        <v>1</v>
      </c>
      <c r="F5440" t="s">
        <v>18146</v>
      </c>
      <c r="G5440" t="s">
        <v>15973</v>
      </c>
      <c r="H5440" t="s">
        <v>18601</v>
      </c>
      <c r="I5440" t="s">
        <v>18602</v>
      </c>
    </row>
    <row r="5441" spans="1:9">
      <c r="A5441" t="str">
        <f>"0023022 "</f>
        <v xml:space="preserve">0023022 </v>
      </c>
      <c r="B5441" t="s">
        <v>15973</v>
      </c>
      <c r="C5441" t="s">
        <v>18603</v>
      </c>
      <c r="D5441" t="s">
        <v>18604</v>
      </c>
      <c r="E5441">
        <v>1</v>
      </c>
      <c r="F5441" t="s">
        <v>18605</v>
      </c>
      <c r="G5441" t="s">
        <v>15973</v>
      </c>
      <c r="H5441" t="s">
        <v>18606</v>
      </c>
      <c r="I5441" t="s">
        <v>18607</v>
      </c>
    </row>
    <row r="5442" spans="1:9">
      <c r="A5442" t="str">
        <f>"0023025 "</f>
        <v xml:space="preserve">0023025 </v>
      </c>
      <c r="B5442" t="s">
        <v>15973</v>
      </c>
      <c r="C5442" t="s">
        <v>18608</v>
      </c>
      <c r="D5442" t="s">
        <v>18609</v>
      </c>
      <c r="E5442">
        <v>2</v>
      </c>
      <c r="F5442" t="s">
        <v>18610</v>
      </c>
      <c r="G5442" t="s">
        <v>15973</v>
      </c>
      <c r="H5442" t="s">
        <v>18611</v>
      </c>
      <c r="I5442" t="s">
        <v>18612</v>
      </c>
    </row>
    <row r="5443" spans="1:9">
      <c r="A5443" t="str">
        <f>"0023027 "</f>
        <v xml:space="preserve">0023027 </v>
      </c>
      <c r="B5443" t="s">
        <v>15973</v>
      </c>
      <c r="C5443" t="s">
        <v>18613</v>
      </c>
      <c r="D5443" t="s">
        <v>18614</v>
      </c>
      <c r="E5443">
        <v>1</v>
      </c>
      <c r="F5443" t="s">
        <v>18615</v>
      </c>
      <c r="G5443" t="s">
        <v>15973</v>
      </c>
      <c r="H5443" t="s">
        <v>18616</v>
      </c>
      <c r="I5443" t="s">
        <v>18617</v>
      </c>
    </row>
    <row r="5444" spans="1:9">
      <c r="A5444" t="str">
        <f>"0023030 "</f>
        <v xml:space="preserve">0023030 </v>
      </c>
      <c r="B5444" t="s">
        <v>15973</v>
      </c>
      <c r="C5444" t="s">
        <v>18618</v>
      </c>
      <c r="D5444" t="s">
        <v>18619</v>
      </c>
      <c r="E5444">
        <v>2</v>
      </c>
      <c r="F5444" t="s">
        <v>18620</v>
      </c>
      <c r="G5444" t="s">
        <v>15973</v>
      </c>
      <c r="H5444" t="s">
        <v>18621</v>
      </c>
      <c r="I5444" t="s">
        <v>18622</v>
      </c>
    </row>
    <row r="5445" spans="1:9">
      <c r="A5445" t="str">
        <f>"0007975 "</f>
        <v xml:space="preserve">0007975 </v>
      </c>
      <c r="B5445" t="s">
        <v>18623</v>
      </c>
      <c r="C5445" t="s">
        <v>11387</v>
      </c>
      <c r="D5445" t="s">
        <v>18624</v>
      </c>
      <c r="E5445">
        <v>1</v>
      </c>
      <c r="F5445" t="s">
        <v>11389</v>
      </c>
      <c r="G5445" t="s">
        <v>18625</v>
      </c>
      <c r="H5445" t="s">
        <v>11387</v>
      </c>
      <c r="I5445" t="s">
        <v>11390</v>
      </c>
    </row>
    <row r="5446" spans="1:9">
      <c r="A5446" t="str">
        <f>"0007979 "</f>
        <v xml:space="preserve">0007979 </v>
      </c>
      <c r="B5446" t="s">
        <v>18623</v>
      </c>
      <c r="C5446" t="s">
        <v>11391</v>
      </c>
      <c r="D5446" t="s">
        <v>18626</v>
      </c>
      <c r="E5446">
        <v>1</v>
      </c>
      <c r="F5446" t="s">
        <v>11393</v>
      </c>
      <c r="G5446" t="s">
        <v>18625</v>
      </c>
      <c r="H5446" t="s">
        <v>11391</v>
      </c>
      <c r="I5446" t="s">
        <v>11394</v>
      </c>
    </row>
    <row r="5447" spans="1:9">
      <c r="A5447" t="str">
        <f>"0007982 "</f>
        <v xml:space="preserve">0007982 </v>
      </c>
      <c r="B5447" t="s">
        <v>18623</v>
      </c>
      <c r="C5447" t="s">
        <v>11395</v>
      </c>
      <c r="D5447" t="s">
        <v>18627</v>
      </c>
      <c r="E5447">
        <v>1</v>
      </c>
      <c r="F5447" t="s">
        <v>11397</v>
      </c>
      <c r="G5447" t="s">
        <v>18625</v>
      </c>
      <c r="H5447" t="s">
        <v>11395</v>
      </c>
      <c r="I5447" t="s">
        <v>11398</v>
      </c>
    </row>
    <row r="5448" spans="1:9">
      <c r="A5448" t="str">
        <f>"0007986 "</f>
        <v xml:space="preserve">0007986 </v>
      </c>
      <c r="B5448" t="s">
        <v>18623</v>
      </c>
      <c r="C5448" t="s">
        <v>11399</v>
      </c>
      <c r="D5448" t="s">
        <v>18628</v>
      </c>
      <c r="E5448">
        <v>1</v>
      </c>
      <c r="F5448" t="s">
        <v>11401</v>
      </c>
      <c r="G5448" t="s">
        <v>18625</v>
      </c>
      <c r="H5448" t="s">
        <v>11399</v>
      </c>
      <c r="I5448" t="s">
        <v>11402</v>
      </c>
    </row>
    <row r="5449" spans="1:9">
      <c r="A5449" t="str">
        <f>"0007988 "</f>
        <v xml:space="preserve">0007988 </v>
      </c>
      <c r="B5449" t="s">
        <v>18623</v>
      </c>
      <c r="C5449" t="s">
        <v>11403</v>
      </c>
      <c r="D5449" t="s">
        <v>18629</v>
      </c>
      <c r="E5449">
        <v>2</v>
      </c>
      <c r="F5449" t="s">
        <v>11405</v>
      </c>
      <c r="G5449" t="s">
        <v>18625</v>
      </c>
      <c r="H5449" t="s">
        <v>11403</v>
      </c>
      <c r="I5449" t="s">
        <v>18630</v>
      </c>
    </row>
    <row r="5450" spans="1:9">
      <c r="A5450" t="str">
        <f>"0007996 "</f>
        <v xml:space="preserve">0007996 </v>
      </c>
      <c r="B5450" t="s">
        <v>18623</v>
      </c>
      <c r="C5450" t="s">
        <v>11415</v>
      </c>
      <c r="D5450" t="s">
        <v>18631</v>
      </c>
      <c r="E5450">
        <v>1</v>
      </c>
      <c r="F5450" t="s">
        <v>11417</v>
      </c>
      <c r="G5450" t="s">
        <v>18625</v>
      </c>
      <c r="H5450" t="s">
        <v>11415</v>
      </c>
      <c r="I5450" t="s">
        <v>11418</v>
      </c>
    </row>
    <row r="5451" spans="1:9">
      <c r="A5451" t="str">
        <f>"0008001 "</f>
        <v xml:space="preserve">0008001 </v>
      </c>
      <c r="B5451" t="s">
        <v>18623</v>
      </c>
      <c r="C5451" t="s">
        <v>11419</v>
      </c>
      <c r="D5451" t="s">
        <v>18632</v>
      </c>
      <c r="E5451">
        <v>2</v>
      </c>
      <c r="F5451" t="s">
        <v>11421</v>
      </c>
      <c r="G5451" t="s">
        <v>18625</v>
      </c>
      <c r="H5451" t="s">
        <v>11419</v>
      </c>
      <c r="I5451" t="s">
        <v>11422</v>
      </c>
    </row>
    <row r="5452" spans="1:9">
      <c r="A5452" t="str">
        <f>"0008005 "</f>
        <v xml:space="preserve">0008005 </v>
      </c>
      <c r="B5452" t="s">
        <v>18623</v>
      </c>
      <c r="C5452" t="s">
        <v>11423</v>
      </c>
      <c r="D5452" t="s">
        <v>18633</v>
      </c>
      <c r="E5452">
        <v>1</v>
      </c>
      <c r="F5452" t="s">
        <v>11425</v>
      </c>
      <c r="G5452" t="s">
        <v>18625</v>
      </c>
      <c r="H5452" t="s">
        <v>11423</v>
      </c>
      <c r="I5452" t="s">
        <v>11426</v>
      </c>
    </row>
    <row r="5453" spans="1:9">
      <c r="A5453" t="str">
        <f>"0008013 "</f>
        <v xml:space="preserve">0008013 </v>
      </c>
      <c r="B5453" t="s">
        <v>18623</v>
      </c>
      <c r="C5453" t="s">
        <v>11431</v>
      </c>
      <c r="D5453" t="s">
        <v>18634</v>
      </c>
      <c r="E5453">
        <v>1</v>
      </c>
      <c r="F5453" t="s">
        <v>11433</v>
      </c>
      <c r="G5453" t="s">
        <v>18625</v>
      </c>
      <c r="H5453" t="s">
        <v>11431</v>
      </c>
      <c r="I5453" t="s">
        <v>11434</v>
      </c>
    </row>
    <row r="5454" spans="1:9">
      <c r="A5454" t="str">
        <f>"0008022 "</f>
        <v xml:space="preserve">0008022 </v>
      </c>
      <c r="B5454" t="s">
        <v>18623</v>
      </c>
      <c r="C5454" t="s">
        <v>11435</v>
      </c>
      <c r="D5454" t="s">
        <v>18635</v>
      </c>
      <c r="E5454">
        <v>2</v>
      </c>
      <c r="F5454" t="s">
        <v>1298</v>
      </c>
      <c r="G5454" t="s">
        <v>18625</v>
      </c>
      <c r="H5454" t="s">
        <v>11435</v>
      </c>
      <c r="I5454" t="s">
        <v>11437</v>
      </c>
    </row>
    <row r="5455" spans="1:9">
      <c r="A5455" t="str">
        <f>"0008030 "</f>
        <v xml:space="preserve">0008030 </v>
      </c>
      <c r="B5455" t="s">
        <v>18623</v>
      </c>
      <c r="C5455" t="s">
        <v>11446</v>
      </c>
      <c r="D5455" t="s">
        <v>18636</v>
      </c>
      <c r="E5455">
        <v>2</v>
      </c>
      <c r="F5455" t="s">
        <v>11448</v>
      </c>
      <c r="G5455" t="s">
        <v>18625</v>
      </c>
      <c r="H5455" t="s">
        <v>11446</v>
      </c>
      <c r="I5455" t="s">
        <v>11449</v>
      </c>
    </row>
    <row r="5456" spans="1:9">
      <c r="A5456" t="str">
        <f>"0008039 "</f>
        <v xml:space="preserve">0008039 </v>
      </c>
      <c r="B5456" t="s">
        <v>18623</v>
      </c>
      <c r="C5456" t="s">
        <v>11462</v>
      </c>
      <c r="D5456" t="s">
        <v>18637</v>
      </c>
      <c r="E5456">
        <v>2</v>
      </c>
      <c r="F5456" t="s">
        <v>11464</v>
      </c>
      <c r="G5456" t="s">
        <v>18625</v>
      </c>
      <c r="H5456" t="s">
        <v>11462</v>
      </c>
      <c r="I5456" t="s">
        <v>11465</v>
      </c>
    </row>
    <row r="5457" spans="1:9">
      <c r="A5457" t="str">
        <f>"0008048 "</f>
        <v xml:space="preserve">0008048 </v>
      </c>
      <c r="B5457" t="s">
        <v>18623</v>
      </c>
      <c r="C5457" t="s">
        <v>11470</v>
      </c>
      <c r="D5457" t="s">
        <v>18638</v>
      </c>
      <c r="E5457">
        <v>2</v>
      </c>
      <c r="F5457" t="s">
        <v>11472</v>
      </c>
      <c r="G5457" t="s">
        <v>18625</v>
      </c>
      <c r="H5457" t="s">
        <v>11470</v>
      </c>
      <c r="I5457" t="s">
        <v>11473</v>
      </c>
    </row>
    <row r="5458" spans="1:9">
      <c r="A5458" t="str">
        <f>"0008052 "</f>
        <v xml:space="preserve">0008052 </v>
      </c>
      <c r="B5458" t="s">
        <v>18623</v>
      </c>
      <c r="C5458" t="s">
        <v>11474</v>
      </c>
      <c r="D5458" t="s">
        <v>18639</v>
      </c>
      <c r="E5458">
        <v>2</v>
      </c>
      <c r="F5458" t="s">
        <v>11476</v>
      </c>
      <c r="G5458" t="s">
        <v>18625</v>
      </c>
      <c r="H5458" t="s">
        <v>11474</v>
      </c>
      <c r="I5458" t="s">
        <v>11477</v>
      </c>
    </row>
    <row r="5459" spans="1:9">
      <c r="A5459" t="str">
        <f>"0008069 "</f>
        <v xml:space="preserve">0008069 </v>
      </c>
      <c r="B5459" t="s">
        <v>18623</v>
      </c>
      <c r="C5459" t="s">
        <v>11486</v>
      </c>
      <c r="D5459" t="s">
        <v>18640</v>
      </c>
      <c r="E5459" t="s">
        <v>16</v>
      </c>
      <c r="F5459" t="s">
        <v>11488</v>
      </c>
      <c r="G5459" t="s">
        <v>18625</v>
      </c>
      <c r="H5459" t="s">
        <v>11486</v>
      </c>
      <c r="I5459" t="s">
        <v>11489</v>
      </c>
    </row>
    <row r="5460" spans="1:9">
      <c r="A5460" t="str">
        <f>"0008110 "</f>
        <v xml:space="preserve">0008110 </v>
      </c>
      <c r="B5460" t="s">
        <v>18623</v>
      </c>
      <c r="C5460" t="s">
        <v>11498</v>
      </c>
      <c r="D5460" t="s">
        <v>18641</v>
      </c>
      <c r="E5460">
        <v>1</v>
      </c>
      <c r="F5460" s="1">
        <v>42755</v>
      </c>
      <c r="G5460" t="s">
        <v>18625</v>
      </c>
      <c r="H5460" t="s">
        <v>11498</v>
      </c>
      <c r="I5460" t="s">
        <v>11500</v>
      </c>
    </row>
    <row r="5461" spans="1:9">
      <c r="A5461" t="str">
        <f>"0008120 "</f>
        <v xml:space="preserve">0008120 </v>
      </c>
      <c r="B5461" t="s">
        <v>18623</v>
      </c>
      <c r="C5461" t="s">
        <v>11501</v>
      </c>
      <c r="D5461" t="s">
        <v>18642</v>
      </c>
      <c r="E5461">
        <v>2</v>
      </c>
      <c r="F5461" t="s">
        <v>11503</v>
      </c>
      <c r="G5461" t="s">
        <v>18625</v>
      </c>
      <c r="H5461" t="s">
        <v>11501</v>
      </c>
      <c r="I5461" t="s">
        <v>11504</v>
      </c>
    </row>
    <row r="5462" spans="1:9">
      <c r="A5462" t="str">
        <f>"0008127 "</f>
        <v xml:space="preserve">0008127 </v>
      </c>
      <c r="B5462" t="s">
        <v>18623</v>
      </c>
      <c r="C5462" t="s">
        <v>11505</v>
      </c>
      <c r="D5462" t="s">
        <v>18643</v>
      </c>
      <c r="E5462">
        <v>4</v>
      </c>
      <c r="F5462" t="s">
        <v>11507</v>
      </c>
      <c r="G5462" t="s">
        <v>18625</v>
      </c>
      <c r="H5462" t="s">
        <v>11505</v>
      </c>
      <c r="I5462" t="s">
        <v>1481</v>
      </c>
    </row>
    <row r="5463" spans="1:9">
      <c r="A5463" t="str">
        <f>"0008131 "</f>
        <v xml:space="preserve">0008131 </v>
      </c>
      <c r="B5463" t="s">
        <v>18623</v>
      </c>
      <c r="C5463" t="s">
        <v>11509</v>
      </c>
      <c r="D5463" t="s">
        <v>18644</v>
      </c>
      <c r="E5463">
        <v>1</v>
      </c>
      <c r="F5463" t="s">
        <v>11511</v>
      </c>
      <c r="G5463" t="s">
        <v>18625</v>
      </c>
      <c r="H5463" t="s">
        <v>11509</v>
      </c>
      <c r="I5463" t="s">
        <v>11512</v>
      </c>
    </row>
    <row r="5464" spans="1:9">
      <c r="A5464" t="str">
        <f>"0008140 "</f>
        <v xml:space="preserve">0008140 </v>
      </c>
      <c r="B5464" t="s">
        <v>18623</v>
      </c>
      <c r="C5464" t="s">
        <v>11517</v>
      </c>
      <c r="D5464" t="s">
        <v>18645</v>
      </c>
      <c r="E5464">
        <v>2</v>
      </c>
      <c r="F5464" t="s">
        <v>11519</v>
      </c>
      <c r="G5464" t="s">
        <v>18625</v>
      </c>
      <c r="H5464" t="s">
        <v>11517</v>
      </c>
      <c r="I5464" t="s">
        <v>11520</v>
      </c>
    </row>
    <row r="5465" spans="1:9">
      <c r="A5465" t="str">
        <f>"0008157 "</f>
        <v xml:space="preserve">0008157 </v>
      </c>
      <c r="B5465" t="s">
        <v>18623</v>
      </c>
      <c r="C5465" t="s">
        <v>11521</v>
      </c>
      <c r="D5465" t="s">
        <v>18646</v>
      </c>
      <c r="E5465">
        <v>1</v>
      </c>
      <c r="F5465" t="s">
        <v>11523</v>
      </c>
      <c r="G5465" t="s">
        <v>18625</v>
      </c>
      <c r="H5465" t="s">
        <v>11521</v>
      </c>
      <c r="I5465" t="s">
        <v>11524</v>
      </c>
    </row>
    <row r="5466" spans="1:9">
      <c r="A5466" t="str">
        <f>"0008160 "</f>
        <v xml:space="preserve">0008160 </v>
      </c>
      <c r="B5466" t="s">
        <v>18623</v>
      </c>
      <c r="C5466" t="s">
        <v>11525</v>
      </c>
      <c r="D5466" t="s">
        <v>18647</v>
      </c>
      <c r="E5466">
        <v>1</v>
      </c>
      <c r="F5466" t="s">
        <v>11464</v>
      </c>
      <c r="G5466" t="s">
        <v>18625</v>
      </c>
      <c r="H5466" t="s">
        <v>11525</v>
      </c>
      <c r="I5466" t="s">
        <v>11527</v>
      </c>
    </row>
    <row r="5467" spans="1:9">
      <c r="A5467" t="str">
        <f>"0008171 "</f>
        <v xml:space="preserve">0008171 </v>
      </c>
      <c r="B5467" t="s">
        <v>18623</v>
      </c>
      <c r="C5467" t="s">
        <v>11528</v>
      </c>
      <c r="D5467" t="s">
        <v>18648</v>
      </c>
      <c r="E5467">
        <v>2</v>
      </c>
      <c r="F5467" t="s">
        <v>11530</v>
      </c>
      <c r="G5467" t="s">
        <v>18625</v>
      </c>
      <c r="H5467" t="s">
        <v>11528</v>
      </c>
      <c r="I5467" t="s">
        <v>11531</v>
      </c>
    </row>
    <row r="5468" spans="1:9">
      <c r="A5468" t="str">
        <f>"0008172 "</f>
        <v xml:space="preserve">0008172 </v>
      </c>
      <c r="B5468" t="s">
        <v>18623</v>
      </c>
      <c r="C5468" t="s">
        <v>11536</v>
      </c>
      <c r="D5468" t="s">
        <v>18649</v>
      </c>
      <c r="E5468">
        <v>2</v>
      </c>
      <c r="F5468" t="s">
        <v>11538</v>
      </c>
      <c r="G5468" t="s">
        <v>18625</v>
      </c>
      <c r="H5468" t="s">
        <v>11536</v>
      </c>
      <c r="I5468" t="s">
        <v>11539</v>
      </c>
    </row>
    <row r="5469" spans="1:9">
      <c r="A5469" t="str">
        <f>"0008197 "</f>
        <v xml:space="preserve">0008197 </v>
      </c>
      <c r="B5469" t="s">
        <v>18623</v>
      </c>
      <c r="C5469" t="s">
        <v>11552</v>
      </c>
      <c r="D5469" t="s">
        <v>18650</v>
      </c>
      <c r="E5469">
        <v>1</v>
      </c>
      <c r="F5469" t="s">
        <v>11554</v>
      </c>
      <c r="G5469" t="s">
        <v>18625</v>
      </c>
      <c r="H5469" t="s">
        <v>11552</v>
      </c>
      <c r="I5469" t="s">
        <v>11555</v>
      </c>
    </row>
    <row r="5470" spans="1:9">
      <c r="A5470" t="str">
        <f>"0039022 "</f>
        <v xml:space="preserve">0039022 </v>
      </c>
      <c r="B5470" t="s">
        <v>18623</v>
      </c>
      <c r="C5470" t="s">
        <v>11556</v>
      </c>
      <c r="D5470" t="s">
        <v>18651</v>
      </c>
      <c r="E5470">
        <v>1</v>
      </c>
      <c r="F5470" t="s">
        <v>11558</v>
      </c>
      <c r="G5470" t="s">
        <v>18625</v>
      </c>
      <c r="H5470" t="s">
        <v>11556</v>
      </c>
      <c r="I5470" t="s">
        <v>11559</v>
      </c>
    </row>
    <row r="5471" spans="1:9">
      <c r="A5471" t="str">
        <f>"0008209 "</f>
        <v xml:space="preserve">0008209 </v>
      </c>
      <c r="B5471" t="s">
        <v>18623</v>
      </c>
      <c r="C5471" t="s">
        <v>18652</v>
      </c>
      <c r="D5471" t="s">
        <v>18653</v>
      </c>
      <c r="E5471">
        <v>1</v>
      </c>
      <c r="F5471" t="s">
        <v>18654</v>
      </c>
      <c r="G5471" t="s">
        <v>18625</v>
      </c>
      <c r="H5471" t="s">
        <v>18652</v>
      </c>
      <c r="I5471" t="s">
        <v>18655</v>
      </c>
    </row>
    <row r="5472" spans="1:9">
      <c r="A5472" t="str">
        <f>"0117011 "</f>
        <v xml:space="preserve">0117011 </v>
      </c>
      <c r="B5472" t="s">
        <v>18623</v>
      </c>
      <c r="C5472" t="s">
        <v>18656</v>
      </c>
      <c r="D5472" t="s">
        <v>18657</v>
      </c>
      <c r="E5472">
        <v>1</v>
      </c>
      <c r="F5472" t="s">
        <v>18658</v>
      </c>
      <c r="G5472" t="s">
        <v>18625</v>
      </c>
      <c r="H5472" t="s">
        <v>18656</v>
      </c>
      <c r="I5472" t="s">
        <v>18659</v>
      </c>
    </row>
    <row r="5473" spans="1:9">
      <c r="A5473" t="str">
        <f>"0008231 "</f>
        <v xml:space="preserve">0008231 </v>
      </c>
      <c r="B5473" t="s">
        <v>18623</v>
      </c>
      <c r="C5473" t="s">
        <v>18660</v>
      </c>
      <c r="D5473" t="s">
        <v>18661</v>
      </c>
      <c r="E5473">
        <v>1</v>
      </c>
      <c r="F5473" t="s">
        <v>11480</v>
      </c>
      <c r="G5473" t="s">
        <v>18625</v>
      </c>
      <c r="H5473" t="s">
        <v>18660</v>
      </c>
      <c r="I5473" t="s">
        <v>18662</v>
      </c>
    </row>
    <row r="5474" spans="1:9">
      <c r="A5474" t="str">
        <f>"0008233 "</f>
        <v xml:space="preserve">0008233 </v>
      </c>
      <c r="B5474" t="s">
        <v>18623</v>
      </c>
      <c r="C5474" t="s">
        <v>11563</v>
      </c>
      <c r="D5474" t="s">
        <v>18663</v>
      </c>
      <c r="E5474">
        <v>1</v>
      </c>
      <c r="F5474" t="s">
        <v>11565</v>
      </c>
      <c r="G5474" t="s">
        <v>18625</v>
      </c>
      <c r="H5474" t="s">
        <v>11563</v>
      </c>
      <c r="I5474" t="s">
        <v>11566</v>
      </c>
    </row>
    <row r="5475" spans="1:9">
      <c r="A5475" t="str">
        <f>"0018764 "</f>
        <v xml:space="preserve">0018764 </v>
      </c>
      <c r="B5475" t="s">
        <v>18623</v>
      </c>
      <c r="C5475" t="s">
        <v>18664</v>
      </c>
      <c r="D5475" t="s">
        <v>18665</v>
      </c>
      <c r="E5475">
        <v>1</v>
      </c>
      <c r="F5475" t="s">
        <v>18666</v>
      </c>
      <c r="G5475" t="s">
        <v>18625</v>
      </c>
      <c r="H5475" t="s">
        <v>18664</v>
      </c>
      <c r="I5475" t="s">
        <v>18667</v>
      </c>
    </row>
    <row r="5476" spans="1:9">
      <c r="A5476" t="str">
        <f>"0008277 "</f>
        <v xml:space="preserve">0008277 </v>
      </c>
      <c r="B5476" t="s">
        <v>18623</v>
      </c>
      <c r="C5476" t="s">
        <v>11571</v>
      </c>
      <c r="D5476" t="s">
        <v>18668</v>
      </c>
      <c r="E5476">
        <v>1</v>
      </c>
      <c r="F5476" t="s">
        <v>11573</v>
      </c>
      <c r="G5476" t="s">
        <v>18625</v>
      </c>
      <c r="H5476" t="s">
        <v>11571</v>
      </c>
      <c r="I5476" t="s">
        <v>11574</v>
      </c>
    </row>
    <row r="5477" spans="1:9">
      <c r="A5477" t="str">
        <f>"0008281 "</f>
        <v xml:space="preserve">0008281 </v>
      </c>
      <c r="B5477" t="s">
        <v>18623</v>
      </c>
      <c r="C5477" t="s">
        <v>11575</v>
      </c>
      <c r="D5477" t="s">
        <v>18669</v>
      </c>
      <c r="E5477">
        <v>1</v>
      </c>
      <c r="F5477" t="s">
        <v>11577</v>
      </c>
      <c r="G5477" t="s">
        <v>18625</v>
      </c>
      <c r="H5477" t="s">
        <v>11575</v>
      </c>
      <c r="I5477" t="s">
        <v>11578</v>
      </c>
    </row>
    <row r="5478" spans="1:9">
      <c r="A5478" t="str">
        <f>"0018776 "</f>
        <v xml:space="preserve">0018776 </v>
      </c>
      <c r="B5478" t="s">
        <v>18623</v>
      </c>
      <c r="C5478" t="s">
        <v>11586</v>
      </c>
      <c r="D5478" t="s">
        <v>18670</v>
      </c>
      <c r="E5478">
        <v>1</v>
      </c>
      <c r="F5478" t="s">
        <v>11588</v>
      </c>
      <c r="G5478" t="s">
        <v>18625</v>
      </c>
      <c r="H5478" t="s">
        <v>11586</v>
      </c>
      <c r="I5478" t="s">
        <v>18671</v>
      </c>
    </row>
    <row r="5479" spans="1:9">
      <c r="A5479" t="str">
        <f>"0008289 "</f>
        <v xml:space="preserve">0008289 </v>
      </c>
      <c r="B5479" t="s">
        <v>18623</v>
      </c>
      <c r="C5479" t="s">
        <v>11590</v>
      </c>
      <c r="D5479" t="s">
        <v>18672</v>
      </c>
      <c r="E5479">
        <v>1</v>
      </c>
      <c r="F5479" t="s">
        <v>11592</v>
      </c>
      <c r="G5479" t="s">
        <v>18625</v>
      </c>
      <c r="H5479" t="s">
        <v>11590</v>
      </c>
      <c r="I5479" t="s">
        <v>18673</v>
      </c>
    </row>
    <row r="5480" spans="1:9">
      <c r="A5480" t="str">
        <f>"0019006 "</f>
        <v xml:space="preserve">0019006 </v>
      </c>
      <c r="B5480" t="s">
        <v>18623</v>
      </c>
      <c r="C5480" t="s">
        <v>11594</v>
      </c>
      <c r="D5480" t="s">
        <v>18674</v>
      </c>
      <c r="E5480">
        <v>1</v>
      </c>
      <c r="F5480" t="s">
        <v>11596</v>
      </c>
      <c r="G5480" t="s">
        <v>18625</v>
      </c>
      <c r="H5480" t="s">
        <v>11594</v>
      </c>
      <c r="I5480" t="s">
        <v>11597</v>
      </c>
    </row>
    <row r="5481" spans="1:9">
      <c r="A5481" t="str">
        <f>"0008295 "</f>
        <v xml:space="preserve">0008295 </v>
      </c>
      <c r="B5481" t="s">
        <v>18623</v>
      </c>
      <c r="C5481" t="s">
        <v>11598</v>
      </c>
      <c r="D5481" t="s">
        <v>18675</v>
      </c>
      <c r="E5481" t="s">
        <v>16</v>
      </c>
      <c r="F5481" t="s">
        <v>11600</v>
      </c>
      <c r="G5481" t="s">
        <v>18625</v>
      </c>
      <c r="H5481" t="s">
        <v>11598</v>
      </c>
      <c r="I5481" t="s">
        <v>11601</v>
      </c>
    </row>
    <row r="5482" spans="1:9">
      <c r="A5482" t="str">
        <f>"0038789 "</f>
        <v xml:space="preserve">0038789 </v>
      </c>
      <c r="B5482" t="s">
        <v>18623</v>
      </c>
      <c r="C5482" t="s">
        <v>11606</v>
      </c>
      <c r="D5482" t="s">
        <v>18676</v>
      </c>
      <c r="E5482">
        <v>1</v>
      </c>
      <c r="F5482" t="s">
        <v>11608</v>
      </c>
      <c r="G5482" t="s">
        <v>18625</v>
      </c>
      <c r="H5482" t="s">
        <v>11606</v>
      </c>
      <c r="I5482" t="s">
        <v>11609</v>
      </c>
    </row>
    <row r="5483" spans="1:9">
      <c r="A5483" t="str">
        <f>"0008298 "</f>
        <v xml:space="preserve">0008298 </v>
      </c>
      <c r="B5483" t="s">
        <v>18623</v>
      </c>
      <c r="C5483" t="s">
        <v>11610</v>
      </c>
      <c r="D5483" t="s">
        <v>18677</v>
      </c>
      <c r="E5483">
        <v>1</v>
      </c>
      <c r="F5483" t="s">
        <v>11612</v>
      </c>
      <c r="G5483" t="s">
        <v>18625</v>
      </c>
      <c r="H5483" t="s">
        <v>11610</v>
      </c>
      <c r="I5483" t="s">
        <v>11613</v>
      </c>
    </row>
    <row r="5484" spans="1:9">
      <c r="A5484" t="str">
        <f>"0008313 "</f>
        <v xml:space="preserve">0008313 </v>
      </c>
      <c r="B5484" t="s">
        <v>18623</v>
      </c>
      <c r="C5484" t="s">
        <v>18678</v>
      </c>
      <c r="D5484" t="s">
        <v>18679</v>
      </c>
      <c r="E5484">
        <v>2</v>
      </c>
      <c r="F5484" t="s">
        <v>18680</v>
      </c>
      <c r="G5484" t="s">
        <v>18625</v>
      </c>
      <c r="H5484" t="s">
        <v>18678</v>
      </c>
      <c r="I5484" t="s">
        <v>18681</v>
      </c>
    </row>
    <row r="5485" spans="1:9">
      <c r="A5485" t="str">
        <f>"0008327 "</f>
        <v xml:space="preserve">0008327 </v>
      </c>
      <c r="B5485" t="s">
        <v>18623</v>
      </c>
      <c r="C5485" t="s">
        <v>11622</v>
      </c>
      <c r="D5485" t="s">
        <v>18682</v>
      </c>
      <c r="E5485">
        <v>2</v>
      </c>
      <c r="F5485" t="s">
        <v>11624</v>
      </c>
      <c r="G5485" t="s">
        <v>18625</v>
      </c>
      <c r="H5485" t="s">
        <v>11622</v>
      </c>
      <c r="I5485" t="s">
        <v>11625</v>
      </c>
    </row>
    <row r="5486" spans="1:9">
      <c r="A5486" t="str">
        <f>"0008328 "</f>
        <v xml:space="preserve">0008328 </v>
      </c>
      <c r="B5486" t="s">
        <v>18623</v>
      </c>
      <c r="C5486" t="s">
        <v>11626</v>
      </c>
      <c r="D5486" t="s">
        <v>18683</v>
      </c>
      <c r="E5486">
        <v>1</v>
      </c>
      <c r="F5486" t="s">
        <v>11628</v>
      </c>
      <c r="G5486" t="s">
        <v>18625</v>
      </c>
      <c r="H5486" t="s">
        <v>11626</v>
      </c>
      <c r="I5486" t="s">
        <v>18684</v>
      </c>
    </row>
    <row r="5487" spans="1:9">
      <c r="A5487" t="str">
        <f>"0008333 "</f>
        <v xml:space="preserve">0008333 </v>
      </c>
      <c r="B5487" t="s">
        <v>18623</v>
      </c>
      <c r="C5487" t="s">
        <v>11630</v>
      </c>
      <c r="D5487" t="s">
        <v>18685</v>
      </c>
      <c r="E5487">
        <v>1</v>
      </c>
      <c r="F5487" t="s">
        <v>11632</v>
      </c>
      <c r="G5487" t="s">
        <v>18625</v>
      </c>
      <c r="H5487" t="s">
        <v>11630</v>
      </c>
      <c r="I5487" t="s">
        <v>11633</v>
      </c>
    </row>
    <row r="5488" spans="1:9">
      <c r="A5488" t="str">
        <f>"0008339 "</f>
        <v xml:space="preserve">0008339 </v>
      </c>
      <c r="B5488" t="s">
        <v>18623</v>
      </c>
      <c r="C5488" t="s">
        <v>11638</v>
      </c>
      <c r="D5488" t="s">
        <v>18686</v>
      </c>
      <c r="E5488">
        <v>4</v>
      </c>
      <c r="F5488" t="s">
        <v>11640</v>
      </c>
      <c r="G5488" t="s">
        <v>18625</v>
      </c>
      <c r="H5488" t="s">
        <v>11638</v>
      </c>
      <c r="I5488" t="s">
        <v>11641</v>
      </c>
    </row>
    <row r="5489" spans="1:9">
      <c r="A5489" t="str">
        <f>"0008340 "</f>
        <v xml:space="preserve">0008340 </v>
      </c>
      <c r="B5489" t="s">
        <v>18623</v>
      </c>
      <c r="C5489" t="s">
        <v>11642</v>
      </c>
      <c r="D5489" t="s">
        <v>18687</v>
      </c>
      <c r="E5489">
        <v>1</v>
      </c>
      <c r="F5489" t="s">
        <v>11644</v>
      </c>
      <c r="G5489" t="s">
        <v>18625</v>
      </c>
      <c r="H5489" t="s">
        <v>11642</v>
      </c>
      <c r="I5489" t="s">
        <v>11645</v>
      </c>
    </row>
    <row r="5490" spans="1:9">
      <c r="A5490" t="str">
        <f>"0008341 "</f>
        <v xml:space="preserve">0008341 </v>
      </c>
      <c r="B5490" t="s">
        <v>18623</v>
      </c>
      <c r="C5490" t="s">
        <v>11646</v>
      </c>
      <c r="D5490" t="s">
        <v>18688</v>
      </c>
      <c r="E5490">
        <v>2</v>
      </c>
      <c r="F5490" t="s">
        <v>11648</v>
      </c>
      <c r="G5490" t="s">
        <v>18625</v>
      </c>
      <c r="H5490" t="s">
        <v>11646</v>
      </c>
      <c r="I5490" t="s">
        <v>18689</v>
      </c>
    </row>
    <row r="5491" spans="1:9">
      <c r="A5491" t="str">
        <f>"0008347 "</f>
        <v xml:space="preserve">0008347 </v>
      </c>
      <c r="B5491" t="s">
        <v>18623</v>
      </c>
      <c r="C5491" t="s">
        <v>11658</v>
      </c>
      <c r="D5491" t="s">
        <v>18690</v>
      </c>
      <c r="E5491">
        <v>3</v>
      </c>
      <c r="F5491" t="s">
        <v>11660</v>
      </c>
      <c r="G5491" t="s">
        <v>18625</v>
      </c>
      <c r="H5491" t="s">
        <v>11658</v>
      </c>
      <c r="I5491" t="s">
        <v>11661</v>
      </c>
    </row>
    <row r="5492" spans="1:9">
      <c r="A5492" t="str">
        <f>"0015312 "</f>
        <v xml:space="preserve">0015312 </v>
      </c>
      <c r="B5492" t="s">
        <v>18623</v>
      </c>
      <c r="C5492" t="s">
        <v>11662</v>
      </c>
      <c r="D5492" t="s">
        <v>18691</v>
      </c>
      <c r="E5492">
        <v>2</v>
      </c>
      <c r="F5492" t="s">
        <v>11664</v>
      </c>
      <c r="G5492" t="s">
        <v>18625</v>
      </c>
      <c r="H5492" t="s">
        <v>11662</v>
      </c>
      <c r="I5492" t="s">
        <v>11665</v>
      </c>
    </row>
    <row r="5493" spans="1:9">
      <c r="A5493" t="str">
        <f>"0019008 "</f>
        <v xml:space="preserve">0019008 </v>
      </c>
      <c r="B5493" t="s">
        <v>18623</v>
      </c>
      <c r="C5493" t="s">
        <v>18692</v>
      </c>
      <c r="D5493" t="s">
        <v>18693</v>
      </c>
      <c r="E5493">
        <v>1</v>
      </c>
      <c r="F5493" t="s">
        <v>18694</v>
      </c>
      <c r="G5493" t="s">
        <v>18625</v>
      </c>
      <c r="H5493" t="s">
        <v>18692</v>
      </c>
      <c r="I5493" t="s">
        <v>18695</v>
      </c>
    </row>
    <row r="5494" spans="1:9">
      <c r="A5494" t="str">
        <f>"0008370 "</f>
        <v xml:space="preserve">0008370 </v>
      </c>
      <c r="B5494" t="s">
        <v>18623</v>
      </c>
      <c r="C5494" t="s">
        <v>11678</v>
      </c>
      <c r="D5494" t="s">
        <v>18696</v>
      </c>
      <c r="E5494">
        <v>1</v>
      </c>
      <c r="F5494" t="s">
        <v>11680</v>
      </c>
      <c r="G5494" t="s">
        <v>18625</v>
      </c>
      <c r="H5494" t="s">
        <v>11678</v>
      </c>
      <c r="I5494" t="s">
        <v>11681</v>
      </c>
    </row>
    <row r="5495" spans="1:9">
      <c r="A5495" t="str">
        <f>"0008371 "</f>
        <v xml:space="preserve">0008371 </v>
      </c>
      <c r="B5495" t="s">
        <v>18623</v>
      </c>
      <c r="C5495" t="s">
        <v>11682</v>
      </c>
      <c r="D5495" t="s">
        <v>18697</v>
      </c>
      <c r="E5495">
        <v>3</v>
      </c>
      <c r="F5495" t="s">
        <v>11684</v>
      </c>
      <c r="G5495" t="s">
        <v>18625</v>
      </c>
      <c r="H5495" t="s">
        <v>11682</v>
      </c>
      <c r="I5495" t="s">
        <v>11685</v>
      </c>
    </row>
    <row r="5496" spans="1:9">
      <c r="A5496" t="str">
        <f>"0008374 "</f>
        <v xml:space="preserve">0008374 </v>
      </c>
      <c r="B5496" t="s">
        <v>18623</v>
      </c>
      <c r="C5496" t="s">
        <v>11686</v>
      </c>
      <c r="D5496" t="s">
        <v>18698</v>
      </c>
      <c r="E5496">
        <v>2</v>
      </c>
      <c r="F5496" t="s">
        <v>11688</v>
      </c>
      <c r="G5496" t="s">
        <v>18625</v>
      </c>
      <c r="H5496" t="s">
        <v>11686</v>
      </c>
      <c r="I5496" t="s">
        <v>11689</v>
      </c>
    </row>
    <row r="5497" spans="1:9">
      <c r="A5497" t="str">
        <f>"0008376 "</f>
        <v xml:space="preserve">0008376 </v>
      </c>
      <c r="B5497" t="s">
        <v>18623</v>
      </c>
      <c r="C5497" t="s">
        <v>11690</v>
      </c>
      <c r="D5497" t="s">
        <v>18699</v>
      </c>
      <c r="E5497">
        <v>2</v>
      </c>
      <c r="F5497" t="s">
        <v>11692</v>
      </c>
      <c r="G5497" t="s">
        <v>18625</v>
      </c>
      <c r="H5497" t="s">
        <v>11690</v>
      </c>
      <c r="I5497" t="s">
        <v>11693</v>
      </c>
    </row>
    <row r="5498" spans="1:9">
      <c r="A5498" t="str">
        <f>"0008383 "</f>
        <v xml:space="preserve">0008383 </v>
      </c>
      <c r="B5498" t="s">
        <v>18623</v>
      </c>
      <c r="C5498" t="s">
        <v>11694</v>
      </c>
      <c r="D5498" t="s">
        <v>18700</v>
      </c>
      <c r="E5498">
        <v>1</v>
      </c>
      <c r="F5498" t="s">
        <v>11696</v>
      </c>
      <c r="G5498" t="s">
        <v>18625</v>
      </c>
      <c r="H5498" t="s">
        <v>11694</v>
      </c>
      <c r="I5498" t="s">
        <v>11697</v>
      </c>
    </row>
    <row r="5499" spans="1:9">
      <c r="A5499" t="str">
        <f>"0008386 "</f>
        <v xml:space="preserve">0008386 </v>
      </c>
      <c r="B5499" t="s">
        <v>18623</v>
      </c>
      <c r="C5499" t="s">
        <v>11698</v>
      </c>
      <c r="D5499" t="s">
        <v>18701</v>
      </c>
      <c r="E5499">
        <v>2</v>
      </c>
      <c r="F5499" t="s">
        <v>11700</v>
      </c>
      <c r="G5499" t="s">
        <v>18625</v>
      </c>
      <c r="H5499" t="s">
        <v>11698</v>
      </c>
      <c r="I5499" t="s">
        <v>11701</v>
      </c>
    </row>
    <row r="5500" spans="1:9">
      <c r="A5500" t="str">
        <f>"0008387 "</f>
        <v xml:space="preserve">0008387 </v>
      </c>
      <c r="B5500" t="s">
        <v>18623</v>
      </c>
      <c r="C5500" t="s">
        <v>18702</v>
      </c>
      <c r="D5500" t="s">
        <v>18703</v>
      </c>
      <c r="E5500">
        <v>2</v>
      </c>
      <c r="F5500" t="s">
        <v>18704</v>
      </c>
      <c r="G5500" t="s">
        <v>18625</v>
      </c>
      <c r="H5500" t="s">
        <v>18702</v>
      </c>
      <c r="I5500" t="s">
        <v>18705</v>
      </c>
    </row>
    <row r="5501" spans="1:9">
      <c r="A5501" t="str">
        <f>"0008402 "</f>
        <v xml:space="preserve">0008402 </v>
      </c>
      <c r="B5501" t="s">
        <v>18623</v>
      </c>
      <c r="C5501" t="s">
        <v>11710</v>
      </c>
      <c r="D5501" t="s">
        <v>18706</v>
      </c>
      <c r="E5501">
        <v>2</v>
      </c>
      <c r="F5501" t="s">
        <v>523</v>
      </c>
      <c r="G5501" t="s">
        <v>18625</v>
      </c>
      <c r="H5501" t="s">
        <v>11710</v>
      </c>
      <c r="I5501" t="s">
        <v>11712</v>
      </c>
    </row>
    <row r="5502" spans="1:9">
      <c r="A5502" t="str">
        <f>"0008419 "</f>
        <v xml:space="preserve">0008419 </v>
      </c>
      <c r="B5502" t="s">
        <v>18623</v>
      </c>
      <c r="C5502" t="s">
        <v>11713</v>
      </c>
      <c r="D5502" t="s">
        <v>18707</v>
      </c>
      <c r="E5502">
        <v>1</v>
      </c>
      <c r="F5502" t="s">
        <v>11715</v>
      </c>
      <c r="G5502" t="s">
        <v>18625</v>
      </c>
      <c r="H5502" t="s">
        <v>11713</v>
      </c>
      <c r="I5502" t="s">
        <v>11716</v>
      </c>
    </row>
    <row r="5503" spans="1:9">
      <c r="A5503" t="str">
        <f>"0008428 "</f>
        <v xml:space="preserve">0008428 </v>
      </c>
      <c r="B5503" t="s">
        <v>18623</v>
      </c>
      <c r="C5503" t="s">
        <v>11717</v>
      </c>
      <c r="D5503" t="s">
        <v>18708</v>
      </c>
      <c r="E5503">
        <v>1</v>
      </c>
      <c r="F5503" t="s">
        <v>11719</v>
      </c>
      <c r="G5503" t="s">
        <v>18625</v>
      </c>
      <c r="H5503" t="s">
        <v>11717</v>
      </c>
      <c r="I5503" t="s">
        <v>11720</v>
      </c>
    </row>
    <row r="5504" spans="1:9">
      <c r="A5504" t="str">
        <f>"0008429 "</f>
        <v xml:space="preserve">0008429 </v>
      </c>
      <c r="B5504" t="s">
        <v>18623</v>
      </c>
      <c r="C5504" t="s">
        <v>18709</v>
      </c>
      <c r="D5504" t="s">
        <v>18710</v>
      </c>
      <c r="E5504">
        <v>1</v>
      </c>
      <c r="F5504" t="s">
        <v>11860</v>
      </c>
      <c r="G5504" t="s">
        <v>18625</v>
      </c>
      <c r="H5504" t="s">
        <v>18709</v>
      </c>
      <c r="I5504" t="s">
        <v>18711</v>
      </c>
    </row>
    <row r="5505" spans="1:9">
      <c r="A5505" t="str">
        <f>"0008443 "</f>
        <v xml:space="preserve">0008443 </v>
      </c>
      <c r="B5505" t="s">
        <v>18623</v>
      </c>
      <c r="C5505" t="s">
        <v>11721</v>
      </c>
      <c r="D5505" t="s">
        <v>18712</v>
      </c>
      <c r="E5505">
        <v>1</v>
      </c>
      <c r="F5505" t="s">
        <v>11719</v>
      </c>
      <c r="G5505" t="s">
        <v>18625</v>
      </c>
      <c r="H5505" t="s">
        <v>11721</v>
      </c>
      <c r="I5505" t="s">
        <v>11723</v>
      </c>
    </row>
    <row r="5506" spans="1:9">
      <c r="A5506" t="str">
        <f>"0008462 "</f>
        <v xml:space="preserve">0008462 </v>
      </c>
      <c r="B5506" t="s">
        <v>18623</v>
      </c>
      <c r="C5506" t="s">
        <v>11728</v>
      </c>
      <c r="D5506" t="s">
        <v>18713</v>
      </c>
      <c r="E5506">
        <v>1</v>
      </c>
      <c r="F5506" t="s">
        <v>11730</v>
      </c>
      <c r="G5506" t="s">
        <v>18625</v>
      </c>
      <c r="H5506" t="s">
        <v>11728</v>
      </c>
      <c r="I5506" t="s">
        <v>11731</v>
      </c>
    </row>
    <row r="5507" spans="1:9">
      <c r="A5507" t="str">
        <f>"0008481 "</f>
        <v xml:space="preserve">0008481 </v>
      </c>
      <c r="B5507" t="s">
        <v>18623</v>
      </c>
      <c r="C5507" t="s">
        <v>11736</v>
      </c>
      <c r="D5507" t="s">
        <v>18714</v>
      </c>
      <c r="E5507">
        <v>1</v>
      </c>
      <c r="F5507" t="s">
        <v>11738</v>
      </c>
      <c r="G5507" t="s">
        <v>18625</v>
      </c>
      <c r="H5507" t="s">
        <v>11736</v>
      </c>
      <c r="I5507" t="s">
        <v>5080</v>
      </c>
    </row>
    <row r="5508" spans="1:9">
      <c r="A5508" t="str">
        <f>"0008488 "</f>
        <v xml:space="preserve">0008488 </v>
      </c>
      <c r="B5508" t="s">
        <v>18623</v>
      </c>
      <c r="C5508" t="s">
        <v>11747</v>
      </c>
      <c r="D5508" t="s">
        <v>18715</v>
      </c>
      <c r="E5508">
        <v>1</v>
      </c>
      <c r="F5508" t="s">
        <v>11749</v>
      </c>
      <c r="G5508" t="s">
        <v>18625</v>
      </c>
      <c r="H5508" t="s">
        <v>11747</v>
      </c>
      <c r="I5508" t="s">
        <v>11750</v>
      </c>
    </row>
    <row r="5509" spans="1:9">
      <c r="A5509" t="str">
        <f>"0008489 "</f>
        <v xml:space="preserve">0008489 </v>
      </c>
      <c r="B5509" t="s">
        <v>18623</v>
      </c>
      <c r="C5509" t="s">
        <v>11751</v>
      </c>
      <c r="D5509" t="s">
        <v>18716</v>
      </c>
      <c r="E5509">
        <v>2</v>
      </c>
      <c r="F5509" t="s">
        <v>11741</v>
      </c>
      <c r="G5509" t="s">
        <v>18625</v>
      </c>
      <c r="H5509" t="s">
        <v>11751</v>
      </c>
      <c r="I5509" t="s">
        <v>11753</v>
      </c>
    </row>
    <row r="5510" spans="1:9">
      <c r="A5510" t="str">
        <f>"0008492 "</f>
        <v xml:space="preserve">0008492 </v>
      </c>
      <c r="B5510" t="s">
        <v>18623</v>
      </c>
      <c r="C5510" t="s">
        <v>11754</v>
      </c>
      <c r="D5510" t="s">
        <v>18717</v>
      </c>
      <c r="E5510">
        <v>2</v>
      </c>
      <c r="F5510" t="s">
        <v>11756</v>
      </c>
      <c r="G5510" t="s">
        <v>18625</v>
      </c>
      <c r="H5510" t="s">
        <v>11754</v>
      </c>
      <c r="I5510" t="s">
        <v>11757</v>
      </c>
    </row>
    <row r="5511" spans="1:9">
      <c r="A5511" t="str">
        <f>"0008498 "</f>
        <v xml:space="preserve">0008498 </v>
      </c>
      <c r="B5511" t="s">
        <v>18623</v>
      </c>
      <c r="C5511" t="s">
        <v>11762</v>
      </c>
      <c r="D5511" t="s">
        <v>18718</v>
      </c>
      <c r="E5511">
        <v>1</v>
      </c>
      <c r="F5511" t="s">
        <v>11764</v>
      </c>
      <c r="G5511" t="s">
        <v>18625</v>
      </c>
      <c r="H5511" t="s">
        <v>11762</v>
      </c>
      <c r="I5511" t="s">
        <v>1194</v>
      </c>
    </row>
    <row r="5512" spans="1:9">
      <c r="A5512" t="str">
        <f>"0015313 "</f>
        <v xml:space="preserve">0015313 </v>
      </c>
      <c r="B5512" t="s">
        <v>18623</v>
      </c>
      <c r="C5512" t="s">
        <v>11769</v>
      </c>
      <c r="D5512" t="s">
        <v>18719</v>
      </c>
      <c r="E5512">
        <v>2</v>
      </c>
      <c r="F5512" t="s">
        <v>11771</v>
      </c>
      <c r="G5512" t="s">
        <v>18625</v>
      </c>
      <c r="H5512" t="s">
        <v>11769</v>
      </c>
      <c r="I5512" t="s">
        <v>11772</v>
      </c>
    </row>
    <row r="5513" spans="1:9">
      <c r="A5513" t="str">
        <f>"0008536 "</f>
        <v xml:space="preserve">0008536 </v>
      </c>
      <c r="B5513" t="s">
        <v>18623</v>
      </c>
      <c r="C5513" t="s">
        <v>11773</v>
      </c>
      <c r="D5513" t="s">
        <v>18720</v>
      </c>
      <c r="E5513">
        <v>1</v>
      </c>
      <c r="F5513" t="s">
        <v>11775</v>
      </c>
      <c r="G5513" t="s">
        <v>18625</v>
      </c>
      <c r="H5513" t="s">
        <v>11773</v>
      </c>
      <c r="I5513" t="s">
        <v>11776</v>
      </c>
    </row>
    <row r="5514" spans="1:9">
      <c r="A5514" t="str">
        <f>"0008537 "</f>
        <v xml:space="preserve">0008537 </v>
      </c>
      <c r="B5514" t="s">
        <v>18623</v>
      </c>
      <c r="C5514" t="s">
        <v>11777</v>
      </c>
      <c r="D5514" t="s">
        <v>18721</v>
      </c>
      <c r="E5514">
        <v>1</v>
      </c>
      <c r="F5514" t="s">
        <v>11779</v>
      </c>
      <c r="G5514" t="s">
        <v>18625</v>
      </c>
      <c r="H5514" t="s">
        <v>11777</v>
      </c>
      <c r="I5514" t="s">
        <v>11780</v>
      </c>
    </row>
    <row r="5515" spans="1:9">
      <c r="A5515" t="str">
        <f>"0008574 "</f>
        <v xml:space="preserve">0008574 </v>
      </c>
      <c r="B5515" t="s">
        <v>18623</v>
      </c>
      <c r="C5515" t="s">
        <v>18722</v>
      </c>
      <c r="D5515" t="s">
        <v>18723</v>
      </c>
      <c r="E5515">
        <v>1</v>
      </c>
      <c r="F5515" t="s">
        <v>11692</v>
      </c>
      <c r="G5515" t="s">
        <v>18625</v>
      </c>
      <c r="H5515" t="s">
        <v>18722</v>
      </c>
      <c r="I5515" t="s">
        <v>18724</v>
      </c>
    </row>
    <row r="5516" spans="1:9">
      <c r="A5516" t="str">
        <f>"0008579 "</f>
        <v xml:space="preserve">0008579 </v>
      </c>
      <c r="B5516" t="s">
        <v>18623</v>
      </c>
      <c r="C5516" t="s">
        <v>11785</v>
      </c>
      <c r="D5516" t="s">
        <v>18725</v>
      </c>
      <c r="E5516">
        <v>1</v>
      </c>
      <c r="F5516" t="s">
        <v>4960</v>
      </c>
      <c r="G5516" t="s">
        <v>18625</v>
      </c>
      <c r="H5516" t="s">
        <v>11785</v>
      </c>
      <c r="I5516" t="s">
        <v>11787</v>
      </c>
    </row>
    <row r="5517" spans="1:9">
      <c r="A5517" t="str">
        <f>"0160583 "</f>
        <v xml:space="preserve">0160583 </v>
      </c>
      <c r="B5517" t="s">
        <v>18623</v>
      </c>
      <c r="C5517" t="s">
        <v>18726</v>
      </c>
      <c r="D5517" t="s">
        <v>18727</v>
      </c>
      <c r="E5517">
        <v>1</v>
      </c>
      <c r="F5517" t="s">
        <v>18728</v>
      </c>
      <c r="G5517" t="s">
        <v>18625</v>
      </c>
      <c r="H5517" t="s">
        <v>18726</v>
      </c>
      <c r="I5517" t="s">
        <v>18729</v>
      </c>
    </row>
    <row r="5518" spans="1:9">
      <c r="A5518" t="str">
        <f>"0008614 "</f>
        <v xml:space="preserve">0008614 </v>
      </c>
      <c r="B5518" t="s">
        <v>18623</v>
      </c>
      <c r="C5518" t="s">
        <v>11800</v>
      </c>
      <c r="D5518" t="s">
        <v>18730</v>
      </c>
      <c r="E5518">
        <v>1</v>
      </c>
      <c r="F5518" t="s">
        <v>11802</v>
      </c>
      <c r="G5518" t="s">
        <v>18625</v>
      </c>
      <c r="H5518" t="s">
        <v>11800</v>
      </c>
      <c r="I5518" t="s">
        <v>11803</v>
      </c>
    </row>
    <row r="5519" spans="1:9">
      <c r="A5519" t="str">
        <f>"0008642 "</f>
        <v xml:space="preserve">0008642 </v>
      </c>
      <c r="B5519" t="s">
        <v>18623</v>
      </c>
      <c r="C5519" t="s">
        <v>11808</v>
      </c>
      <c r="D5519" t="s">
        <v>18731</v>
      </c>
      <c r="E5519">
        <v>1</v>
      </c>
      <c r="F5519" t="s">
        <v>11810</v>
      </c>
      <c r="G5519" t="s">
        <v>18625</v>
      </c>
      <c r="H5519" t="s">
        <v>11808</v>
      </c>
      <c r="I5519" t="s">
        <v>11811</v>
      </c>
    </row>
    <row r="5520" spans="1:9">
      <c r="A5520" t="str">
        <f>"0008668 "</f>
        <v xml:space="preserve">0008668 </v>
      </c>
      <c r="B5520" t="s">
        <v>18623</v>
      </c>
      <c r="C5520" t="s">
        <v>11812</v>
      </c>
      <c r="D5520" t="s">
        <v>18732</v>
      </c>
      <c r="E5520">
        <v>1</v>
      </c>
      <c r="F5520" t="s">
        <v>11814</v>
      </c>
      <c r="G5520" t="s">
        <v>18625</v>
      </c>
      <c r="H5520" t="s">
        <v>11812</v>
      </c>
      <c r="I5520" t="s">
        <v>18733</v>
      </c>
    </row>
    <row r="5521" spans="1:9">
      <c r="A5521" t="str">
        <f>"0018819 "</f>
        <v xml:space="preserve">0018819 </v>
      </c>
      <c r="B5521" t="s">
        <v>18623</v>
      </c>
      <c r="C5521" t="s">
        <v>18734</v>
      </c>
      <c r="D5521" t="s">
        <v>18735</v>
      </c>
      <c r="E5521">
        <v>1</v>
      </c>
      <c r="F5521" t="s">
        <v>11460</v>
      </c>
      <c r="G5521" t="s">
        <v>18625</v>
      </c>
      <c r="H5521" t="s">
        <v>18734</v>
      </c>
      <c r="I5521" t="s">
        <v>18736</v>
      </c>
    </row>
    <row r="5522" spans="1:9">
      <c r="A5522" t="str">
        <f>"0008741 "</f>
        <v xml:space="preserve">0008741 </v>
      </c>
      <c r="B5522" t="s">
        <v>18623</v>
      </c>
      <c r="C5522" t="s">
        <v>11832</v>
      </c>
      <c r="D5522" t="s">
        <v>18737</v>
      </c>
      <c r="E5522">
        <v>1</v>
      </c>
      <c r="F5522" t="s">
        <v>11834</v>
      </c>
      <c r="G5522" t="s">
        <v>18625</v>
      </c>
      <c r="H5522" t="s">
        <v>11832</v>
      </c>
      <c r="I5522" t="s">
        <v>18738</v>
      </c>
    </row>
    <row r="5523" spans="1:9">
      <c r="A5523" t="str">
        <f>"0008748 "</f>
        <v xml:space="preserve">0008748 </v>
      </c>
      <c r="B5523" t="s">
        <v>18623</v>
      </c>
      <c r="C5523" t="s">
        <v>18739</v>
      </c>
      <c r="D5523" t="s">
        <v>18740</v>
      </c>
      <c r="E5523">
        <v>1</v>
      </c>
      <c r="F5523" t="s">
        <v>18741</v>
      </c>
      <c r="G5523" t="s">
        <v>18625</v>
      </c>
      <c r="H5523" t="s">
        <v>18739</v>
      </c>
      <c r="I5523" t="s">
        <v>18742</v>
      </c>
    </row>
    <row r="5524" spans="1:9">
      <c r="A5524" t="str">
        <f>"0008775 "</f>
        <v xml:space="preserve">0008775 </v>
      </c>
      <c r="B5524" t="s">
        <v>18623</v>
      </c>
      <c r="C5524" t="s">
        <v>18743</v>
      </c>
      <c r="D5524" t="s">
        <v>18744</v>
      </c>
      <c r="E5524">
        <v>4</v>
      </c>
      <c r="F5524" t="s">
        <v>18745</v>
      </c>
      <c r="G5524" t="s">
        <v>18625</v>
      </c>
      <c r="H5524" t="s">
        <v>18743</v>
      </c>
      <c r="I5524" t="s">
        <v>18746</v>
      </c>
    </row>
    <row r="5525" spans="1:9">
      <c r="A5525" t="str">
        <f>"0008804 "</f>
        <v xml:space="preserve">0008804 </v>
      </c>
      <c r="B5525" t="s">
        <v>18623</v>
      </c>
      <c r="C5525" t="s">
        <v>11851</v>
      </c>
      <c r="D5525" t="s">
        <v>18747</v>
      </c>
      <c r="E5525">
        <v>4</v>
      </c>
      <c r="F5525" t="s">
        <v>11853</v>
      </c>
      <c r="G5525" t="s">
        <v>18625</v>
      </c>
      <c r="H5525" t="s">
        <v>11851</v>
      </c>
      <c r="I5525" t="s">
        <v>953</v>
      </c>
    </row>
    <row r="5526" spans="1:9">
      <c r="A5526" t="str">
        <f>"0008825 "</f>
        <v xml:space="preserve">0008825 </v>
      </c>
      <c r="B5526" t="s">
        <v>18623</v>
      </c>
      <c r="C5526" t="s">
        <v>18748</v>
      </c>
      <c r="D5526" t="s">
        <v>18749</v>
      </c>
      <c r="E5526">
        <v>1</v>
      </c>
      <c r="F5526" t="s">
        <v>18750</v>
      </c>
      <c r="G5526" t="s">
        <v>18625</v>
      </c>
      <c r="H5526" t="s">
        <v>18748</v>
      </c>
      <c r="I5526" t="s">
        <v>18751</v>
      </c>
    </row>
    <row r="5527" spans="1:9">
      <c r="A5527" t="str">
        <f>"0008852 "</f>
        <v xml:space="preserve">0008852 </v>
      </c>
      <c r="B5527" t="s">
        <v>18623</v>
      </c>
      <c r="C5527" t="s">
        <v>11858</v>
      </c>
      <c r="D5527" t="s">
        <v>18752</v>
      </c>
      <c r="E5527">
        <v>1</v>
      </c>
      <c r="F5527" t="s">
        <v>11860</v>
      </c>
      <c r="G5527" t="s">
        <v>18625</v>
      </c>
      <c r="H5527" t="s">
        <v>11858</v>
      </c>
      <c r="I5527" t="s">
        <v>11861</v>
      </c>
    </row>
    <row r="5528" spans="1:9">
      <c r="A5528" t="str">
        <f>"0008891 "</f>
        <v xml:space="preserve">0008891 </v>
      </c>
      <c r="B5528" t="s">
        <v>18623</v>
      </c>
      <c r="C5528" t="s">
        <v>11870</v>
      </c>
      <c r="D5528" t="s">
        <v>18753</v>
      </c>
      <c r="E5528">
        <v>1</v>
      </c>
      <c r="F5528" t="s">
        <v>11872</v>
      </c>
      <c r="G5528" t="s">
        <v>18625</v>
      </c>
      <c r="H5528" t="s">
        <v>11870</v>
      </c>
      <c r="I5528" t="s">
        <v>11873</v>
      </c>
    </row>
    <row r="5529" spans="1:9">
      <c r="A5529" t="str">
        <f>"0008915 "</f>
        <v xml:space="preserve">0008915 </v>
      </c>
      <c r="B5529" t="s">
        <v>18623</v>
      </c>
      <c r="C5529" t="s">
        <v>11881</v>
      </c>
      <c r="D5529" t="s">
        <v>18754</v>
      </c>
      <c r="E5529">
        <v>3</v>
      </c>
      <c r="F5529" t="s">
        <v>11883</v>
      </c>
      <c r="G5529" t="s">
        <v>18625</v>
      </c>
      <c r="H5529" t="s">
        <v>11881</v>
      </c>
      <c r="I5529" t="s">
        <v>11884</v>
      </c>
    </row>
    <row r="5530" spans="1:9">
      <c r="A5530" t="str">
        <f>"0008921 "</f>
        <v xml:space="preserve">0008921 </v>
      </c>
      <c r="B5530" t="s">
        <v>18623</v>
      </c>
      <c r="C5530" t="s">
        <v>18755</v>
      </c>
      <c r="D5530" t="s">
        <v>18756</v>
      </c>
      <c r="E5530">
        <v>2</v>
      </c>
      <c r="F5530" t="s">
        <v>11393</v>
      </c>
      <c r="G5530" t="s">
        <v>18625</v>
      </c>
      <c r="H5530" t="s">
        <v>18755</v>
      </c>
      <c r="I5530" t="s">
        <v>18757</v>
      </c>
    </row>
    <row r="5531" spans="1:9">
      <c r="A5531" t="str">
        <f>"0008922 "</f>
        <v xml:space="preserve">0008922 </v>
      </c>
      <c r="B5531" t="s">
        <v>18623</v>
      </c>
      <c r="C5531" t="s">
        <v>11885</v>
      </c>
      <c r="D5531" t="s">
        <v>18758</v>
      </c>
      <c r="E5531">
        <v>1</v>
      </c>
      <c r="F5531" t="s">
        <v>11887</v>
      </c>
      <c r="G5531" t="s">
        <v>18625</v>
      </c>
      <c r="H5531" t="s">
        <v>11885</v>
      </c>
      <c r="I5531" t="s">
        <v>18759</v>
      </c>
    </row>
    <row r="5532" spans="1:9">
      <c r="A5532" t="str">
        <f>"0008942 "</f>
        <v xml:space="preserve">0008942 </v>
      </c>
      <c r="B5532" t="s">
        <v>18623</v>
      </c>
      <c r="C5532" t="s">
        <v>18760</v>
      </c>
      <c r="D5532" t="s">
        <v>18761</v>
      </c>
      <c r="E5532">
        <v>1</v>
      </c>
      <c r="F5532" t="s">
        <v>18762</v>
      </c>
      <c r="G5532" t="s">
        <v>18625</v>
      </c>
      <c r="H5532" t="s">
        <v>18760</v>
      </c>
      <c r="I5532" t="s">
        <v>18763</v>
      </c>
    </row>
    <row r="5533" spans="1:9">
      <c r="A5533" t="str">
        <f>"0008966 "</f>
        <v xml:space="preserve">0008966 </v>
      </c>
      <c r="B5533" t="s">
        <v>18623</v>
      </c>
      <c r="C5533" t="s">
        <v>11889</v>
      </c>
      <c r="D5533" t="s">
        <v>18764</v>
      </c>
      <c r="E5533">
        <v>1</v>
      </c>
      <c r="F5533" t="s">
        <v>11891</v>
      </c>
      <c r="G5533" t="s">
        <v>18625</v>
      </c>
      <c r="H5533" t="s">
        <v>11889</v>
      </c>
      <c r="I5533" t="s">
        <v>11892</v>
      </c>
    </row>
    <row r="5534" spans="1:9">
      <c r="A5534" t="str">
        <f>"0008990 "</f>
        <v xml:space="preserve">0008990 </v>
      </c>
      <c r="B5534" t="s">
        <v>18623</v>
      </c>
      <c r="C5534" t="s">
        <v>11893</v>
      </c>
      <c r="D5534" t="s">
        <v>18765</v>
      </c>
      <c r="E5534">
        <v>3</v>
      </c>
      <c r="F5534" t="s">
        <v>11895</v>
      </c>
      <c r="G5534" t="s">
        <v>18625</v>
      </c>
      <c r="H5534" t="s">
        <v>11893</v>
      </c>
      <c r="I5534" t="s">
        <v>11896</v>
      </c>
    </row>
    <row r="5535" spans="1:9">
      <c r="A5535" t="str">
        <f>"0009009 "</f>
        <v xml:space="preserve">0009009 </v>
      </c>
      <c r="B5535" t="s">
        <v>18623</v>
      </c>
      <c r="C5535" t="s">
        <v>11904</v>
      </c>
      <c r="D5535" t="s">
        <v>18766</v>
      </c>
      <c r="E5535">
        <v>2</v>
      </c>
      <c r="F5535" t="s">
        <v>11906</v>
      </c>
      <c r="G5535" t="s">
        <v>18625</v>
      </c>
      <c r="H5535" t="s">
        <v>11904</v>
      </c>
      <c r="I5535" t="s">
        <v>11907</v>
      </c>
    </row>
    <row r="5536" spans="1:9">
      <c r="A5536" t="str">
        <f>"0009021 "</f>
        <v xml:space="preserve">0009021 </v>
      </c>
      <c r="B5536" t="s">
        <v>18623</v>
      </c>
      <c r="C5536" t="s">
        <v>11908</v>
      </c>
      <c r="D5536" t="s">
        <v>18767</v>
      </c>
      <c r="E5536">
        <v>1</v>
      </c>
      <c r="F5536" t="s">
        <v>11910</v>
      </c>
      <c r="G5536" t="s">
        <v>18625</v>
      </c>
      <c r="H5536" t="s">
        <v>11908</v>
      </c>
      <c r="I5536" t="s">
        <v>11911</v>
      </c>
    </row>
    <row r="5537" spans="1:9">
      <c r="A5537" t="str">
        <f>"0009042 "</f>
        <v xml:space="preserve">0009042 </v>
      </c>
      <c r="B5537" t="s">
        <v>18623</v>
      </c>
      <c r="C5537" t="s">
        <v>11916</v>
      </c>
      <c r="D5537" t="s">
        <v>18768</v>
      </c>
      <c r="E5537">
        <v>3</v>
      </c>
      <c r="F5537" t="s">
        <v>11918</v>
      </c>
      <c r="G5537" t="s">
        <v>18625</v>
      </c>
      <c r="H5537" t="s">
        <v>11916</v>
      </c>
      <c r="I5537" t="s">
        <v>11919</v>
      </c>
    </row>
    <row r="5538" spans="1:9">
      <c r="A5538" t="str">
        <f>"0039039 "</f>
        <v xml:space="preserve">0039039 </v>
      </c>
      <c r="B5538" t="s">
        <v>18623</v>
      </c>
      <c r="C5538" t="s">
        <v>11924</v>
      </c>
      <c r="D5538" t="s">
        <v>18769</v>
      </c>
      <c r="E5538">
        <v>1</v>
      </c>
      <c r="F5538" t="s">
        <v>11926</v>
      </c>
      <c r="G5538" t="s">
        <v>18625</v>
      </c>
      <c r="H5538" t="s">
        <v>11924</v>
      </c>
      <c r="I5538" t="s">
        <v>18770</v>
      </c>
    </row>
    <row r="5539" spans="1:9">
      <c r="A5539" t="str">
        <f>"0038051 "</f>
        <v xml:space="preserve">0038051 </v>
      </c>
      <c r="B5539" t="s">
        <v>18623</v>
      </c>
      <c r="C5539" t="s">
        <v>11928</v>
      </c>
      <c r="D5539" t="s">
        <v>18771</v>
      </c>
      <c r="E5539">
        <v>1</v>
      </c>
      <c r="F5539" t="s">
        <v>11604</v>
      </c>
      <c r="G5539" t="s">
        <v>18625</v>
      </c>
      <c r="H5539" t="s">
        <v>11928</v>
      </c>
      <c r="I5539" t="s">
        <v>11930</v>
      </c>
    </row>
    <row r="5540" spans="1:9">
      <c r="A5540" t="str">
        <f>"0009053 "</f>
        <v xml:space="preserve">0009053 </v>
      </c>
      <c r="B5540" t="s">
        <v>18623</v>
      </c>
      <c r="C5540" t="s">
        <v>11931</v>
      </c>
      <c r="D5540" t="s">
        <v>18772</v>
      </c>
      <c r="E5540">
        <v>1</v>
      </c>
      <c r="F5540" t="s">
        <v>11933</v>
      </c>
      <c r="G5540" t="s">
        <v>18625</v>
      </c>
      <c r="H5540" t="s">
        <v>11931</v>
      </c>
      <c r="I5540" t="s">
        <v>11934</v>
      </c>
    </row>
    <row r="5541" spans="1:9">
      <c r="A5541" t="str">
        <f>"0009065 "</f>
        <v xml:space="preserve">0009065 </v>
      </c>
      <c r="B5541" t="s">
        <v>18623</v>
      </c>
      <c r="C5541" t="s">
        <v>11939</v>
      </c>
      <c r="D5541" t="s">
        <v>18773</v>
      </c>
      <c r="E5541">
        <v>2</v>
      </c>
      <c r="F5541" t="s">
        <v>11941</v>
      </c>
      <c r="G5541" t="s">
        <v>18625</v>
      </c>
      <c r="H5541" t="s">
        <v>11939</v>
      </c>
      <c r="I5541" t="s">
        <v>11942</v>
      </c>
    </row>
    <row r="5542" spans="1:9">
      <c r="A5542" t="str">
        <f>"0033784 "</f>
        <v xml:space="preserve">0033784 </v>
      </c>
      <c r="B5542" t="s">
        <v>18623</v>
      </c>
      <c r="C5542" t="s">
        <v>11943</v>
      </c>
      <c r="D5542" t="s">
        <v>18774</v>
      </c>
      <c r="E5542">
        <v>1</v>
      </c>
      <c r="F5542" t="s">
        <v>11945</v>
      </c>
      <c r="G5542" t="s">
        <v>18625</v>
      </c>
      <c r="H5542" t="s">
        <v>11943</v>
      </c>
      <c r="I5542" t="s">
        <v>11946</v>
      </c>
    </row>
    <row r="5543" spans="1:9">
      <c r="A5543" t="str">
        <f>"0009081 "</f>
        <v xml:space="preserve">0009081 </v>
      </c>
      <c r="B5543" t="s">
        <v>18623</v>
      </c>
      <c r="C5543" t="s">
        <v>11947</v>
      </c>
      <c r="D5543" t="s">
        <v>18775</v>
      </c>
      <c r="E5543">
        <v>1</v>
      </c>
      <c r="F5543" t="s">
        <v>11949</v>
      </c>
      <c r="G5543" t="s">
        <v>18625</v>
      </c>
      <c r="H5543" t="s">
        <v>11947</v>
      </c>
      <c r="I5543" t="s">
        <v>11950</v>
      </c>
    </row>
    <row r="5544" spans="1:9">
      <c r="A5544" t="str">
        <f>"0015288 "</f>
        <v xml:space="preserve">0015288 </v>
      </c>
      <c r="B5544" t="s">
        <v>18623</v>
      </c>
      <c r="C5544" t="s">
        <v>18776</v>
      </c>
      <c r="D5544" t="s">
        <v>18777</v>
      </c>
      <c r="E5544">
        <v>1</v>
      </c>
      <c r="F5544" t="s">
        <v>18778</v>
      </c>
      <c r="G5544" t="s">
        <v>18625</v>
      </c>
      <c r="H5544" t="s">
        <v>18776</v>
      </c>
      <c r="I5544" t="s">
        <v>18779</v>
      </c>
    </row>
    <row r="5545" spans="1:9">
      <c r="A5545" t="str">
        <f>"0009097 "</f>
        <v xml:space="preserve">0009097 </v>
      </c>
      <c r="B5545" t="s">
        <v>18623</v>
      </c>
      <c r="C5545" t="s">
        <v>11955</v>
      </c>
      <c r="D5545" t="s">
        <v>18780</v>
      </c>
      <c r="E5545">
        <v>1</v>
      </c>
      <c r="F5545" t="s">
        <v>11957</v>
      </c>
      <c r="G5545" t="s">
        <v>18625</v>
      </c>
      <c r="H5545" t="s">
        <v>11955</v>
      </c>
      <c r="I5545" t="s">
        <v>707</v>
      </c>
    </row>
    <row r="5546" spans="1:9">
      <c r="A5546" t="str">
        <f>"0009100 "</f>
        <v xml:space="preserve">0009100 </v>
      </c>
      <c r="B5546" t="s">
        <v>18623</v>
      </c>
      <c r="C5546" t="s">
        <v>11958</v>
      </c>
      <c r="D5546" t="s">
        <v>18781</v>
      </c>
      <c r="E5546">
        <v>1</v>
      </c>
      <c r="F5546" t="s">
        <v>11960</v>
      </c>
      <c r="G5546" t="s">
        <v>18625</v>
      </c>
      <c r="H5546" t="s">
        <v>11958</v>
      </c>
      <c r="I5546" t="s">
        <v>18782</v>
      </c>
    </row>
    <row r="5547" spans="1:9">
      <c r="A5547" t="str">
        <f>"0015345 "</f>
        <v xml:space="preserve">0015345 </v>
      </c>
      <c r="B5547" t="s">
        <v>18623</v>
      </c>
      <c r="C5547" t="s">
        <v>11962</v>
      </c>
      <c r="D5547" t="s">
        <v>18783</v>
      </c>
      <c r="E5547">
        <v>1</v>
      </c>
      <c r="F5547" t="s">
        <v>11802</v>
      </c>
      <c r="G5547" t="s">
        <v>18625</v>
      </c>
      <c r="H5547" t="s">
        <v>11962</v>
      </c>
      <c r="I5547" t="s">
        <v>11964</v>
      </c>
    </row>
    <row r="5548" spans="1:9">
      <c r="A5548" t="str">
        <f>"0015349 "</f>
        <v xml:space="preserve">0015349 </v>
      </c>
      <c r="B5548" t="s">
        <v>18623</v>
      </c>
      <c r="C5548" t="s">
        <v>11969</v>
      </c>
      <c r="D5548" t="s">
        <v>18784</v>
      </c>
      <c r="E5548">
        <v>2</v>
      </c>
      <c r="F5548" t="s">
        <v>11971</v>
      </c>
      <c r="G5548" t="s">
        <v>18625</v>
      </c>
      <c r="H5548" t="s">
        <v>11969</v>
      </c>
      <c r="I5548" t="s">
        <v>11972</v>
      </c>
    </row>
    <row r="5549" spans="1:9">
      <c r="A5549" t="str">
        <f>"0009142 "</f>
        <v xml:space="preserve">0009142 </v>
      </c>
      <c r="B5549" t="s">
        <v>18623</v>
      </c>
      <c r="C5549" t="s">
        <v>11977</v>
      </c>
      <c r="D5549" t="s">
        <v>18785</v>
      </c>
      <c r="E5549">
        <v>1</v>
      </c>
      <c r="F5549" t="s">
        <v>11979</v>
      </c>
      <c r="G5549" t="s">
        <v>18625</v>
      </c>
      <c r="H5549" t="s">
        <v>11977</v>
      </c>
      <c r="I5549" t="s">
        <v>11980</v>
      </c>
    </row>
    <row r="5550" spans="1:9">
      <c r="A5550" t="str">
        <f>"0018856 "</f>
        <v xml:space="preserve">0018856 </v>
      </c>
      <c r="B5550" t="s">
        <v>18623</v>
      </c>
      <c r="C5550" t="s">
        <v>18786</v>
      </c>
      <c r="D5550" t="s">
        <v>18787</v>
      </c>
      <c r="E5550">
        <v>2</v>
      </c>
      <c r="F5550" t="s">
        <v>18788</v>
      </c>
      <c r="G5550" t="s">
        <v>18625</v>
      </c>
      <c r="H5550" t="s">
        <v>18786</v>
      </c>
      <c r="I5550" t="s">
        <v>18789</v>
      </c>
    </row>
    <row r="5551" spans="1:9">
      <c r="A5551" t="str">
        <f>"0018860 "</f>
        <v xml:space="preserve">0018860 </v>
      </c>
      <c r="B5551" t="s">
        <v>18623</v>
      </c>
      <c r="C5551" t="s">
        <v>11981</v>
      </c>
      <c r="D5551" t="s">
        <v>18790</v>
      </c>
      <c r="E5551">
        <v>1</v>
      </c>
      <c r="F5551" t="s">
        <v>11983</v>
      </c>
      <c r="G5551" t="s">
        <v>18625</v>
      </c>
      <c r="H5551" t="s">
        <v>11981</v>
      </c>
      <c r="I5551" t="s">
        <v>18791</v>
      </c>
    </row>
    <row r="5552" spans="1:9">
      <c r="A5552" t="str">
        <f>"0019020 "</f>
        <v xml:space="preserve">0019020 </v>
      </c>
      <c r="B5552" t="s">
        <v>18623</v>
      </c>
      <c r="C5552" t="s">
        <v>18792</v>
      </c>
      <c r="D5552" t="s">
        <v>18793</v>
      </c>
      <c r="E5552">
        <v>1</v>
      </c>
      <c r="F5552" t="s">
        <v>18794</v>
      </c>
      <c r="G5552" t="s">
        <v>18625</v>
      </c>
      <c r="H5552" t="s">
        <v>18792</v>
      </c>
      <c r="I5552" t="s">
        <v>18795</v>
      </c>
    </row>
    <row r="5553" spans="1:9">
      <c r="A5553" t="str">
        <f>"0018871 "</f>
        <v xml:space="preserve">0018871 </v>
      </c>
      <c r="B5553" t="s">
        <v>18623</v>
      </c>
      <c r="C5553" t="s">
        <v>11985</v>
      </c>
      <c r="D5553" t="s">
        <v>18796</v>
      </c>
      <c r="E5553">
        <v>2</v>
      </c>
      <c r="F5553" t="s">
        <v>11987</v>
      </c>
      <c r="G5553" t="s">
        <v>18625</v>
      </c>
      <c r="H5553" t="s">
        <v>11985</v>
      </c>
      <c r="I5553" t="s">
        <v>11988</v>
      </c>
    </row>
    <row r="5554" spans="1:9">
      <c r="A5554" t="str">
        <f>"0039043 "</f>
        <v xml:space="preserve">0039043 </v>
      </c>
      <c r="B5554" t="s">
        <v>18623</v>
      </c>
      <c r="C5554" t="s">
        <v>11997</v>
      </c>
      <c r="D5554" t="s">
        <v>18797</v>
      </c>
      <c r="E5554">
        <v>1</v>
      </c>
      <c r="F5554" t="s">
        <v>11741</v>
      </c>
      <c r="G5554" t="s">
        <v>18625</v>
      </c>
      <c r="H5554" t="s">
        <v>11997</v>
      </c>
      <c r="I5554" t="s">
        <v>11999</v>
      </c>
    </row>
    <row r="5555" spans="1:9">
      <c r="A5555" t="str">
        <f>"0038061 "</f>
        <v xml:space="preserve">0038061 </v>
      </c>
      <c r="B5555" t="s">
        <v>18623</v>
      </c>
      <c r="C5555" t="s">
        <v>12004</v>
      </c>
      <c r="D5555" t="s">
        <v>18798</v>
      </c>
      <c r="E5555">
        <v>1</v>
      </c>
      <c r="F5555" t="s">
        <v>11941</v>
      </c>
      <c r="G5555" t="s">
        <v>18625</v>
      </c>
      <c r="H5555" t="s">
        <v>12004</v>
      </c>
      <c r="I5555" t="s">
        <v>1053</v>
      </c>
    </row>
    <row r="5556" spans="1:9">
      <c r="A5556" t="str">
        <f>"0033792 "</f>
        <v xml:space="preserve">0033792 </v>
      </c>
      <c r="B5556" t="s">
        <v>18623</v>
      </c>
      <c r="C5556" t="s">
        <v>12006</v>
      </c>
      <c r="D5556" t="s">
        <v>18799</v>
      </c>
      <c r="E5556">
        <v>1</v>
      </c>
      <c r="F5556" t="s">
        <v>11991</v>
      </c>
      <c r="G5556" t="s">
        <v>18625</v>
      </c>
      <c r="H5556" t="s">
        <v>12006</v>
      </c>
      <c r="I5556" t="s">
        <v>12008</v>
      </c>
    </row>
    <row r="5557" spans="1:9">
      <c r="A5557" t="str">
        <f>"0009168 "</f>
        <v xml:space="preserve">0009168 </v>
      </c>
      <c r="B5557" t="s">
        <v>18623</v>
      </c>
      <c r="C5557" t="s">
        <v>12009</v>
      </c>
      <c r="D5557" t="s">
        <v>18800</v>
      </c>
      <c r="E5557">
        <v>2</v>
      </c>
      <c r="F5557" t="s">
        <v>12011</v>
      </c>
      <c r="G5557" t="s">
        <v>18625</v>
      </c>
      <c r="H5557" t="s">
        <v>12009</v>
      </c>
      <c r="I5557" t="s">
        <v>12012</v>
      </c>
    </row>
    <row r="5558" spans="1:9">
      <c r="A5558" t="str">
        <f>"0009226 "</f>
        <v xml:space="preserve">0009226 </v>
      </c>
      <c r="B5558" t="s">
        <v>18623</v>
      </c>
      <c r="C5558" t="s">
        <v>18801</v>
      </c>
      <c r="D5558" t="s">
        <v>18802</v>
      </c>
      <c r="E5558">
        <v>2</v>
      </c>
      <c r="F5558" t="s">
        <v>18803</v>
      </c>
      <c r="G5558" t="s">
        <v>18625</v>
      </c>
      <c r="H5558" t="s">
        <v>18801</v>
      </c>
      <c r="I5558" t="s">
        <v>18804</v>
      </c>
    </row>
    <row r="5559" spans="1:9">
      <c r="A5559" t="str">
        <f>"0009312 "</f>
        <v xml:space="preserve">0009312 </v>
      </c>
      <c r="B5559" t="s">
        <v>18623</v>
      </c>
      <c r="C5559" t="s">
        <v>12029</v>
      </c>
      <c r="D5559" t="s">
        <v>18805</v>
      </c>
      <c r="E5559" t="s">
        <v>16</v>
      </c>
      <c r="F5559" t="s">
        <v>12031</v>
      </c>
      <c r="G5559" t="s">
        <v>18625</v>
      </c>
      <c r="H5559" t="s">
        <v>12029</v>
      </c>
      <c r="I5559" t="s">
        <v>12032</v>
      </c>
    </row>
    <row r="5560" spans="1:9">
      <c r="A5560" t="str">
        <f>"0009338 "</f>
        <v xml:space="preserve">0009338 </v>
      </c>
      <c r="B5560" t="s">
        <v>18623</v>
      </c>
      <c r="C5560" t="s">
        <v>12033</v>
      </c>
      <c r="D5560" t="s">
        <v>18806</v>
      </c>
      <c r="E5560">
        <v>1</v>
      </c>
      <c r="F5560" t="s">
        <v>12035</v>
      </c>
      <c r="G5560" t="s">
        <v>18625</v>
      </c>
      <c r="H5560" t="s">
        <v>12033</v>
      </c>
      <c r="I5560" t="s">
        <v>12036</v>
      </c>
    </row>
    <row r="5561" spans="1:9">
      <c r="A5561" t="str">
        <f>"0009341 "</f>
        <v xml:space="preserve">0009341 </v>
      </c>
      <c r="B5561" t="s">
        <v>18623</v>
      </c>
      <c r="C5561" t="s">
        <v>18807</v>
      </c>
      <c r="D5561" t="s">
        <v>18808</v>
      </c>
      <c r="E5561">
        <v>1</v>
      </c>
      <c r="F5561" t="s">
        <v>18809</v>
      </c>
      <c r="G5561" t="s">
        <v>18625</v>
      </c>
      <c r="H5561" t="s">
        <v>18807</v>
      </c>
      <c r="I5561" t="s">
        <v>18810</v>
      </c>
    </row>
    <row r="5562" spans="1:9">
      <c r="A5562" t="str">
        <f>"0009343 "</f>
        <v xml:space="preserve">0009343 </v>
      </c>
      <c r="B5562" t="s">
        <v>18623</v>
      </c>
      <c r="C5562" t="s">
        <v>12037</v>
      </c>
      <c r="D5562" t="s">
        <v>18811</v>
      </c>
      <c r="E5562">
        <v>1</v>
      </c>
      <c r="F5562" t="s">
        <v>4953</v>
      </c>
      <c r="G5562" t="s">
        <v>18625</v>
      </c>
      <c r="H5562" t="s">
        <v>12037</v>
      </c>
      <c r="I5562" t="s">
        <v>12039</v>
      </c>
    </row>
    <row r="5563" spans="1:9">
      <c r="A5563" t="str">
        <f>"0009411 "</f>
        <v xml:space="preserve">0009411 </v>
      </c>
      <c r="B5563" t="s">
        <v>18623</v>
      </c>
      <c r="C5563" t="s">
        <v>18812</v>
      </c>
      <c r="D5563" t="s">
        <v>18813</v>
      </c>
      <c r="E5563">
        <v>3</v>
      </c>
      <c r="F5563" t="s">
        <v>18814</v>
      </c>
      <c r="G5563" t="s">
        <v>18625</v>
      </c>
      <c r="H5563" t="s">
        <v>18812</v>
      </c>
      <c r="I5563" t="s">
        <v>18815</v>
      </c>
    </row>
    <row r="5564" spans="1:9">
      <c r="A5564" t="str">
        <f>"0009487 "</f>
        <v xml:space="preserve">0009487 </v>
      </c>
      <c r="B5564" t="s">
        <v>18623</v>
      </c>
      <c r="C5564" t="s">
        <v>12047</v>
      </c>
      <c r="D5564" t="s">
        <v>18816</v>
      </c>
      <c r="E5564">
        <v>1</v>
      </c>
      <c r="F5564" t="s">
        <v>12049</v>
      </c>
      <c r="G5564" t="s">
        <v>18625</v>
      </c>
      <c r="H5564" t="s">
        <v>12047</v>
      </c>
      <c r="I5564" t="s">
        <v>12050</v>
      </c>
    </row>
    <row r="5565" spans="1:9">
      <c r="A5565" t="str">
        <f>"0009561 "</f>
        <v xml:space="preserve">0009561 </v>
      </c>
      <c r="B5565" t="s">
        <v>18623</v>
      </c>
      <c r="C5565" t="s">
        <v>12054</v>
      </c>
      <c r="D5565" t="s">
        <v>18817</v>
      </c>
      <c r="E5565">
        <v>2</v>
      </c>
      <c r="F5565" t="s">
        <v>12056</v>
      </c>
      <c r="G5565" t="s">
        <v>18625</v>
      </c>
      <c r="H5565" t="s">
        <v>12054</v>
      </c>
      <c r="I5565" t="s">
        <v>969</v>
      </c>
    </row>
    <row r="5566" spans="1:9">
      <c r="A5566" t="str">
        <f>"0009567 "</f>
        <v xml:space="preserve">0009567 </v>
      </c>
      <c r="B5566" t="s">
        <v>18623</v>
      </c>
      <c r="C5566" t="s">
        <v>18818</v>
      </c>
      <c r="D5566" t="s">
        <v>18819</v>
      </c>
      <c r="E5566">
        <v>1</v>
      </c>
      <c r="F5566" t="s">
        <v>12183</v>
      </c>
      <c r="G5566" t="s">
        <v>18625</v>
      </c>
      <c r="H5566" t="s">
        <v>18818</v>
      </c>
      <c r="I5566" t="s">
        <v>18820</v>
      </c>
    </row>
    <row r="5567" spans="1:9">
      <c r="A5567" t="str">
        <f>"0009581 "</f>
        <v xml:space="preserve">0009581 </v>
      </c>
      <c r="B5567" t="s">
        <v>18623</v>
      </c>
      <c r="C5567" t="s">
        <v>18821</v>
      </c>
      <c r="D5567" t="s">
        <v>18822</v>
      </c>
      <c r="E5567">
        <v>2</v>
      </c>
      <c r="F5567" t="s">
        <v>18823</v>
      </c>
      <c r="G5567" t="s">
        <v>18625</v>
      </c>
      <c r="H5567" t="s">
        <v>18821</v>
      </c>
      <c r="I5567" t="s">
        <v>18824</v>
      </c>
    </row>
    <row r="5568" spans="1:9">
      <c r="A5568" t="str">
        <f>"0009597 "</f>
        <v xml:space="preserve">0009597 </v>
      </c>
      <c r="B5568" t="s">
        <v>18623</v>
      </c>
      <c r="C5568" t="s">
        <v>18825</v>
      </c>
      <c r="D5568" t="s">
        <v>18826</v>
      </c>
      <c r="E5568">
        <v>1</v>
      </c>
      <c r="F5568" t="s">
        <v>18827</v>
      </c>
      <c r="G5568" t="s">
        <v>18625</v>
      </c>
      <c r="H5568" t="s">
        <v>18825</v>
      </c>
      <c r="I5568" t="s">
        <v>18828</v>
      </c>
    </row>
    <row r="5569" spans="1:9">
      <c r="A5569" t="str">
        <f>"0009656 "</f>
        <v xml:space="preserve">0009656 </v>
      </c>
      <c r="B5569" t="s">
        <v>18623</v>
      </c>
      <c r="C5569" t="s">
        <v>18829</v>
      </c>
      <c r="D5569" t="s">
        <v>18830</v>
      </c>
      <c r="E5569">
        <v>1</v>
      </c>
      <c r="F5569" t="s">
        <v>18831</v>
      </c>
      <c r="G5569" t="s">
        <v>18625</v>
      </c>
      <c r="H5569" t="s">
        <v>18829</v>
      </c>
      <c r="I5569" t="s">
        <v>921</v>
      </c>
    </row>
    <row r="5570" spans="1:9">
      <c r="A5570" t="str">
        <f>"0009789 "</f>
        <v xml:space="preserve">0009789 </v>
      </c>
      <c r="B5570" t="s">
        <v>18623</v>
      </c>
      <c r="C5570" t="s">
        <v>18832</v>
      </c>
      <c r="D5570" t="s">
        <v>18833</v>
      </c>
      <c r="E5570">
        <v>5</v>
      </c>
      <c r="F5570" t="s">
        <v>18834</v>
      </c>
      <c r="G5570" t="s">
        <v>18625</v>
      </c>
      <c r="H5570" t="s">
        <v>18832</v>
      </c>
      <c r="I5570" t="s">
        <v>18835</v>
      </c>
    </row>
    <row r="5571" spans="1:9">
      <c r="A5571" t="str">
        <f>"0009793 "</f>
        <v xml:space="preserve">0009793 </v>
      </c>
      <c r="B5571" t="s">
        <v>18623</v>
      </c>
      <c r="C5571" t="s">
        <v>12069</v>
      </c>
      <c r="D5571" t="s">
        <v>18836</v>
      </c>
      <c r="E5571" t="s">
        <v>16</v>
      </c>
      <c r="F5571" t="s">
        <v>12071</v>
      </c>
      <c r="G5571" t="s">
        <v>18625</v>
      </c>
      <c r="H5571" t="s">
        <v>12069</v>
      </c>
      <c r="I5571" t="s">
        <v>12072</v>
      </c>
    </row>
    <row r="5572" spans="1:9">
      <c r="A5572" t="str">
        <f>"0090685 "</f>
        <v xml:space="preserve">0090685 </v>
      </c>
      <c r="B5572" t="s">
        <v>18623</v>
      </c>
      <c r="C5572" t="s">
        <v>12081</v>
      </c>
      <c r="D5572" t="s">
        <v>18837</v>
      </c>
      <c r="E5572">
        <v>3</v>
      </c>
      <c r="F5572" t="s">
        <v>12083</v>
      </c>
      <c r="G5572" t="s">
        <v>18625</v>
      </c>
      <c r="H5572" t="s">
        <v>12081</v>
      </c>
      <c r="I5572" t="s">
        <v>12084</v>
      </c>
    </row>
    <row r="5573" spans="1:9">
      <c r="A5573" t="str">
        <f>"0009799 "</f>
        <v xml:space="preserve">0009799 </v>
      </c>
      <c r="B5573" t="s">
        <v>18623</v>
      </c>
      <c r="C5573" t="s">
        <v>12089</v>
      </c>
      <c r="D5573" t="s">
        <v>18838</v>
      </c>
      <c r="E5573">
        <v>1</v>
      </c>
      <c r="F5573" t="s">
        <v>12091</v>
      </c>
      <c r="G5573" t="s">
        <v>18625</v>
      </c>
      <c r="H5573" t="s">
        <v>12089</v>
      </c>
      <c r="I5573" t="s">
        <v>12088</v>
      </c>
    </row>
    <row r="5574" spans="1:9">
      <c r="A5574" t="str">
        <f>"0009801 "</f>
        <v xml:space="preserve">0009801 </v>
      </c>
      <c r="B5574" t="s">
        <v>18623</v>
      </c>
      <c r="C5574" t="s">
        <v>18839</v>
      </c>
      <c r="D5574" t="s">
        <v>18840</v>
      </c>
      <c r="E5574">
        <v>2</v>
      </c>
      <c r="F5574" t="s">
        <v>18841</v>
      </c>
      <c r="G5574" t="s">
        <v>18625</v>
      </c>
      <c r="H5574" t="s">
        <v>18839</v>
      </c>
      <c r="I5574" t="s">
        <v>18842</v>
      </c>
    </row>
    <row r="5575" spans="1:9">
      <c r="A5575" t="str">
        <f>"0009805 "</f>
        <v xml:space="preserve">0009805 </v>
      </c>
      <c r="B5575" t="s">
        <v>18623</v>
      </c>
      <c r="C5575" t="s">
        <v>12096</v>
      </c>
      <c r="D5575" t="s">
        <v>18843</v>
      </c>
      <c r="E5575" t="s">
        <v>16</v>
      </c>
      <c r="F5575" t="s">
        <v>12098</v>
      </c>
      <c r="G5575" t="s">
        <v>18625</v>
      </c>
      <c r="H5575" t="s">
        <v>12096</v>
      </c>
      <c r="I5575" t="s">
        <v>12099</v>
      </c>
    </row>
    <row r="5576" spans="1:9">
      <c r="A5576" t="str">
        <f>"0009825 "</f>
        <v xml:space="preserve">0009825 </v>
      </c>
      <c r="B5576" t="s">
        <v>18623</v>
      </c>
      <c r="C5576" t="s">
        <v>12100</v>
      </c>
      <c r="D5576" t="s">
        <v>18844</v>
      </c>
      <c r="E5576">
        <v>2</v>
      </c>
      <c r="F5576" t="s">
        <v>12102</v>
      </c>
      <c r="G5576" t="s">
        <v>18625</v>
      </c>
      <c r="H5576" t="s">
        <v>12100</v>
      </c>
      <c r="I5576" t="s">
        <v>12103</v>
      </c>
    </row>
    <row r="5577" spans="1:9">
      <c r="A5577" t="str">
        <f>"0009833 "</f>
        <v xml:space="preserve">0009833 </v>
      </c>
      <c r="B5577" t="s">
        <v>18623</v>
      </c>
      <c r="C5577" t="s">
        <v>12108</v>
      </c>
      <c r="D5577" t="s">
        <v>18845</v>
      </c>
      <c r="E5577">
        <v>1</v>
      </c>
      <c r="F5577" t="s">
        <v>12110</v>
      </c>
      <c r="G5577" t="s">
        <v>18625</v>
      </c>
      <c r="H5577" t="s">
        <v>12108</v>
      </c>
      <c r="I5577" t="s">
        <v>12111</v>
      </c>
    </row>
    <row r="5578" spans="1:9">
      <c r="A5578" t="str">
        <f>"0009839 "</f>
        <v xml:space="preserve">0009839 </v>
      </c>
      <c r="B5578" t="s">
        <v>18623</v>
      </c>
      <c r="C5578" t="s">
        <v>18846</v>
      </c>
      <c r="D5578" t="s">
        <v>18847</v>
      </c>
      <c r="E5578">
        <v>1</v>
      </c>
      <c r="F5578" t="s">
        <v>18848</v>
      </c>
      <c r="G5578" t="s">
        <v>18625</v>
      </c>
      <c r="H5578" t="s">
        <v>18846</v>
      </c>
      <c r="I5578" t="s">
        <v>18849</v>
      </c>
    </row>
    <row r="5579" spans="1:9">
      <c r="A5579" t="str">
        <f>"0009840 "</f>
        <v xml:space="preserve">0009840 </v>
      </c>
      <c r="B5579" t="s">
        <v>18623</v>
      </c>
      <c r="C5579" t="s">
        <v>12116</v>
      </c>
      <c r="D5579" t="s">
        <v>18850</v>
      </c>
      <c r="E5579" t="s">
        <v>16</v>
      </c>
      <c r="F5579" t="s">
        <v>12118</v>
      </c>
      <c r="G5579" t="s">
        <v>18625</v>
      </c>
      <c r="H5579" t="s">
        <v>12116</v>
      </c>
      <c r="I5579" t="s">
        <v>18851</v>
      </c>
    </row>
    <row r="5580" spans="1:9">
      <c r="A5580" t="str">
        <f>"0009845 "</f>
        <v xml:space="preserve">0009845 </v>
      </c>
      <c r="B5580" t="s">
        <v>18623</v>
      </c>
      <c r="C5580" t="s">
        <v>18852</v>
      </c>
      <c r="D5580" t="s">
        <v>18853</v>
      </c>
      <c r="E5580">
        <v>3</v>
      </c>
      <c r="F5580" t="s">
        <v>7619</v>
      </c>
      <c r="G5580" t="s">
        <v>18625</v>
      </c>
      <c r="H5580" t="s">
        <v>18852</v>
      </c>
      <c r="I5580" t="s">
        <v>18854</v>
      </c>
    </row>
    <row r="5581" spans="1:9">
      <c r="A5581" t="str">
        <f>"0009847 "</f>
        <v xml:space="preserve">0009847 </v>
      </c>
      <c r="B5581" t="s">
        <v>18623</v>
      </c>
      <c r="C5581" t="s">
        <v>12120</v>
      </c>
      <c r="D5581" t="s">
        <v>18855</v>
      </c>
      <c r="E5581">
        <v>1</v>
      </c>
      <c r="F5581" t="s">
        <v>12122</v>
      </c>
      <c r="G5581" t="s">
        <v>18625</v>
      </c>
      <c r="H5581" t="s">
        <v>12120</v>
      </c>
      <c r="I5581" t="s">
        <v>12123</v>
      </c>
    </row>
    <row r="5582" spans="1:9">
      <c r="A5582" t="str">
        <f>"0009852 "</f>
        <v xml:space="preserve">0009852 </v>
      </c>
      <c r="B5582" t="s">
        <v>18623</v>
      </c>
      <c r="C5582" t="s">
        <v>12124</v>
      </c>
      <c r="D5582" t="s">
        <v>18856</v>
      </c>
      <c r="E5582" t="s">
        <v>16</v>
      </c>
      <c r="F5582" t="s">
        <v>12126</v>
      </c>
      <c r="G5582" t="s">
        <v>18625</v>
      </c>
      <c r="H5582" t="s">
        <v>12124</v>
      </c>
      <c r="I5582" t="s">
        <v>12127</v>
      </c>
    </row>
    <row r="5583" spans="1:9">
      <c r="A5583" t="str">
        <f>"0009861 "</f>
        <v xml:space="preserve">0009861 </v>
      </c>
      <c r="B5583" t="s">
        <v>18623</v>
      </c>
      <c r="C5583" t="s">
        <v>18857</v>
      </c>
      <c r="D5583" t="s">
        <v>18858</v>
      </c>
      <c r="E5583">
        <v>3</v>
      </c>
      <c r="F5583" t="s">
        <v>18859</v>
      </c>
      <c r="G5583" t="s">
        <v>18625</v>
      </c>
      <c r="H5583" t="s">
        <v>18857</v>
      </c>
      <c r="I5583" t="s">
        <v>18860</v>
      </c>
    </row>
    <row r="5584" spans="1:9">
      <c r="A5584" t="str">
        <f>"0009868 "</f>
        <v xml:space="preserve">0009868 </v>
      </c>
      <c r="B5584" t="s">
        <v>18623</v>
      </c>
      <c r="C5584" t="s">
        <v>18861</v>
      </c>
      <c r="D5584" t="s">
        <v>18862</v>
      </c>
      <c r="E5584">
        <v>1</v>
      </c>
      <c r="F5584" t="s">
        <v>18863</v>
      </c>
      <c r="G5584" t="s">
        <v>18625</v>
      </c>
      <c r="H5584" t="s">
        <v>18861</v>
      </c>
      <c r="I5584" t="s">
        <v>18864</v>
      </c>
    </row>
    <row r="5585" spans="1:9">
      <c r="A5585" t="str">
        <f>"0009877 "</f>
        <v xml:space="preserve">0009877 </v>
      </c>
      <c r="B5585" t="s">
        <v>18623</v>
      </c>
      <c r="C5585" t="s">
        <v>18865</v>
      </c>
      <c r="D5585" t="s">
        <v>18866</v>
      </c>
      <c r="E5585">
        <v>1</v>
      </c>
      <c r="F5585" t="s">
        <v>12302</v>
      </c>
      <c r="G5585" t="s">
        <v>18625</v>
      </c>
      <c r="H5585" t="s">
        <v>18865</v>
      </c>
      <c r="I5585" t="s">
        <v>18867</v>
      </c>
    </row>
    <row r="5586" spans="1:9">
      <c r="A5586" t="str">
        <f>"0009878 "</f>
        <v xml:space="preserve">0009878 </v>
      </c>
      <c r="B5586" t="s">
        <v>18623</v>
      </c>
      <c r="C5586" t="s">
        <v>12139</v>
      </c>
      <c r="D5586" t="s">
        <v>18868</v>
      </c>
      <c r="E5586" t="s">
        <v>16</v>
      </c>
      <c r="F5586" t="s">
        <v>12141</v>
      </c>
      <c r="G5586" t="s">
        <v>18625</v>
      </c>
      <c r="H5586" t="s">
        <v>12139</v>
      </c>
      <c r="I5586" t="s">
        <v>12142</v>
      </c>
    </row>
    <row r="5587" spans="1:9">
      <c r="A5587" t="str">
        <f>"0009881 "</f>
        <v xml:space="preserve">0009881 </v>
      </c>
      <c r="B5587" t="s">
        <v>18623</v>
      </c>
      <c r="C5587" t="s">
        <v>18869</v>
      </c>
      <c r="D5587" t="s">
        <v>18870</v>
      </c>
      <c r="E5587">
        <v>2</v>
      </c>
      <c r="F5587" t="s">
        <v>18871</v>
      </c>
      <c r="G5587" t="s">
        <v>18625</v>
      </c>
      <c r="H5587" t="s">
        <v>18869</v>
      </c>
      <c r="I5587" t="s">
        <v>18872</v>
      </c>
    </row>
    <row r="5588" spans="1:9">
      <c r="A5588" t="str">
        <f>"0009885 "</f>
        <v xml:space="preserve">0009885 </v>
      </c>
      <c r="B5588" t="s">
        <v>18623</v>
      </c>
      <c r="C5588" t="s">
        <v>12143</v>
      </c>
      <c r="D5588" t="s">
        <v>18873</v>
      </c>
      <c r="E5588">
        <v>1</v>
      </c>
      <c r="F5588" t="s">
        <v>12145</v>
      </c>
      <c r="G5588" t="s">
        <v>18625</v>
      </c>
      <c r="H5588" t="s">
        <v>12143</v>
      </c>
      <c r="I5588" t="s">
        <v>12146</v>
      </c>
    </row>
    <row r="5589" spans="1:9">
      <c r="A5589" t="str">
        <f>"0009887 "</f>
        <v xml:space="preserve">0009887 </v>
      </c>
      <c r="B5589" t="s">
        <v>18623</v>
      </c>
      <c r="C5589" t="s">
        <v>12151</v>
      </c>
      <c r="D5589" t="s">
        <v>18874</v>
      </c>
      <c r="E5589">
        <v>1</v>
      </c>
      <c r="F5589" t="s">
        <v>10048</v>
      </c>
      <c r="G5589" t="s">
        <v>18625</v>
      </c>
      <c r="H5589" t="s">
        <v>12151</v>
      </c>
      <c r="I5589" t="s">
        <v>12153</v>
      </c>
    </row>
    <row r="5590" spans="1:9">
      <c r="A5590" t="str">
        <f>"0012257 "</f>
        <v xml:space="preserve">0012257 </v>
      </c>
      <c r="B5590" t="s">
        <v>18623</v>
      </c>
      <c r="C5590" t="s">
        <v>18875</v>
      </c>
      <c r="D5590" t="s">
        <v>18876</v>
      </c>
      <c r="E5590" t="s">
        <v>16</v>
      </c>
      <c r="F5590" t="s">
        <v>18877</v>
      </c>
      <c r="G5590" t="s">
        <v>18625</v>
      </c>
      <c r="H5590" t="s">
        <v>18875</v>
      </c>
      <c r="I5590" t="s">
        <v>18878</v>
      </c>
    </row>
    <row r="5591" spans="1:9">
      <c r="A5591" t="str">
        <f>"0012258 "</f>
        <v xml:space="preserve">0012258 </v>
      </c>
      <c r="B5591" t="s">
        <v>18623</v>
      </c>
      <c r="C5591" t="s">
        <v>12162</v>
      </c>
      <c r="D5591" t="s">
        <v>18879</v>
      </c>
      <c r="E5591" t="s">
        <v>16</v>
      </c>
      <c r="F5591" t="s">
        <v>12164</v>
      </c>
      <c r="G5591" t="s">
        <v>18625</v>
      </c>
      <c r="H5591" t="s">
        <v>12162</v>
      </c>
      <c r="I5591" t="s">
        <v>12165</v>
      </c>
    </row>
    <row r="5592" spans="1:9">
      <c r="A5592" t="str">
        <f>"0009936 "</f>
        <v xml:space="preserve">0009936 </v>
      </c>
      <c r="B5592" t="s">
        <v>18623</v>
      </c>
      <c r="C5592" t="s">
        <v>12166</v>
      </c>
      <c r="D5592" t="s">
        <v>18880</v>
      </c>
      <c r="E5592">
        <v>1</v>
      </c>
      <c r="F5592" t="s">
        <v>12168</v>
      </c>
      <c r="G5592" t="s">
        <v>18625</v>
      </c>
      <c r="H5592" t="s">
        <v>12166</v>
      </c>
      <c r="I5592" t="s">
        <v>12169</v>
      </c>
    </row>
    <row r="5593" spans="1:9">
      <c r="A5593" t="str">
        <f>"0009937 "</f>
        <v xml:space="preserve">0009937 </v>
      </c>
      <c r="B5593" t="s">
        <v>18623</v>
      </c>
      <c r="C5593" t="s">
        <v>18881</v>
      </c>
      <c r="D5593" t="s">
        <v>18882</v>
      </c>
      <c r="E5593">
        <v>2</v>
      </c>
      <c r="F5593" t="s">
        <v>18883</v>
      </c>
      <c r="G5593" t="s">
        <v>18625</v>
      </c>
      <c r="H5593" t="s">
        <v>18881</v>
      </c>
      <c r="I5593" t="s">
        <v>18884</v>
      </c>
    </row>
    <row r="5594" spans="1:9">
      <c r="A5594" t="str">
        <f>"0020209 "</f>
        <v xml:space="preserve">0020209 </v>
      </c>
      <c r="B5594" t="s">
        <v>18623</v>
      </c>
      <c r="C5594" t="s">
        <v>18885</v>
      </c>
      <c r="D5594" t="s">
        <v>18886</v>
      </c>
      <c r="E5594">
        <v>4</v>
      </c>
      <c r="F5594" t="s">
        <v>18887</v>
      </c>
      <c r="G5594" t="s">
        <v>18625</v>
      </c>
      <c r="H5594" t="s">
        <v>18885</v>
      </c>
      <c r="I5594" t="s">
        <v>1753</v>
      </c>
    </row>
    <row r="5595" spans="1:9">
      <c r="A5595" t="str">
        <f>"0009944 "</f>
        <v xml:space="preserve">0009944 </v>
      </c>
      <c r="B5595" t="s">
        <v>18623</v>
      </c>
      <c r="C5595" t="s">
        <v>12170</v>
      </c>
      <c r="D5595" t="s">
        <v>18888</v>
      </c>
      <c r="E5595">
        <v>1</v>
      </c>
      <c r="F5595" t="s">
        <v>11957</v>
      </c>
      <c r="G5595" t="s">
        <v>18625</v>
      </c>
      <c r="H5595" t="s">
        <v>12170</v>
      </c>
      <c r="I5595" t="s">
        <v>12172</v>
      </c>
    </row>
    <row r="5596" spans="1:9">
      <c r="A5596" t="str">
        <f>"0009950 "</f>
        <v xml:space="preserve">0009950 </v>
      </c>
      <c r="B5596" t="s">
        <v>18623</v>
      </c>
      <c r="C5596" t="s">
        <v>18889</v>
      </c>
      <c r="D5596" t="s">
        <v>18890</v>
      </c>
      <c r="E5596">
        <v>2</v>
      </c>
      <c r="F5596" t="s">
        <v>18891</v>
      </c>
      <c r="G5596" t="s">
        <v>18625</v>
      </c>
      <c r="H5596" t="s">
        <v>18889</v>
      </c>
      <c r="I5596" t="s">
        <v>18892</v>
      </c>
    </row>
    <row r="5597" spans="1:9">
      <c r="A5597" t="str">
        <f>"0009961 "</f>
        <v xml:space="preserve">0009961 </v>
      </c>
      <c r="B5597" t="s">
        <v>18623</v>
      </c>
      <c r="C5597" t="s">
        <v>12173</v>
      </c>
      <c r="D5597" t="s">
        <v>18893</v>
      </c>
      <c r="E5597">
        <v>2</v>
      </c>
      <c r="F5597" t="s">
        <v>12175</v>
      </c>
      <c r="G5597" t="s">
        <v>18625</v>
      </c>
      <c r="H5597" t="s">
        <v>12173</v>
      </c>
      <c r="I5597" t="s">
        <v>12176</v>
      </c>
    </row>
    <row r="5598" spans="1:9">
      <c r="A5598" t="str">
        <f>"0009967 "</f>
        <v xml:space="preserve">0009967 </v>
      </c>
      <c r="B5598" t="s">
        <v>18623</v>
      </c>
      <c r="C5598" t="s">
        <v>12181</v>
      </c>
      <c r="D5598" t="s">
        <v>18894</v>
      </c>
      <c r="E5598">
        <v>1</v>
      </c>
      <c r="F5598" t="s">
        <v>12183</v>
      </c>
      <c r="G5598" t="s">
        <v>18625</v>
      </c>
      <c r="H5598" t="s">
        <v>12181</v>
      </c>
      <c r="I5598" t="s">
        <v>12184</v>
      </c>
    </row>
    <row r="5599" spans="1:9">
      <c r="A5599" t="str">
        <f>"0009968 "</f>
        <v xml:space="preserve">0009968 </v>
      </c>
      <c r="B5599" t="s">
        <v>18623</v>
      </c>
      <c r="C5599" t="s">
        <v>12185</v>
      </c>
      <c r="D5599" t="s">
        <v>18895</v>
      </c>
      <c r="E5599">
        <v>1</v>
      </c>
      <c r="F5599" t="s">
        <v>12187</v>
      </c>
      <c r="G5599" t="s">
        <v>18625</v>
      </c>
      <c r="H5599" t="s">
        <v>12185</v>
      </c>
      <c r="I5599" t="s">
        <v>12188</v>
      </c>
    </row>
    <row r="5600" spans="1:9">
      <c r="A5600" t="str">
        <f>"0009992 "</f>
        <v xml:space="preserve">0009992 </v>
      </c>
      <c r="B5600" t="s">
        <v>18623</v>
      </c>
      <c r="C5600" t="s">
        <v>12196</v>
      </c>
      <c r="D5600" t="s">
        <v>18896</v>
      </c>
      <c r="E5600">
        <v>1</v>
      </c>
      <c r="F5600" t="s">
        <v>12198</v>
      </c>
      <c r="G5600" t="s">
        <v>18625</v>
      </c>
      <c r="H5600" t="s">
        <v>12196</v>
      </c>
      <c r="I5600" t="s">
        <v>12199</v>
      </c>
    </row>
    <row r="5601" spans="1:9">
      <c r="A5601" t="str">
        <f>"0020212 "</f>
        <v xml:space="preserve">0020212 </v>
      </c>
      <c r="B5601" t="s">
        <v>18623</v>
      </c>
      <c r="C5601" t="s">
        <v>18897</v>
      </c>
      <c r="D5601" t="s">
        <v>18898</v>
      </c>
      <c r="E5601">
        <v>2</v>
      </c>
      <c r="F5601" t="s">
        <v>12272</v>
      </c>
      <c r="G5601" t="s">
        <v>18625</v>
      </c>
      <c r="H5601" t="s">
        <v>18897</v>
      </c>
      <c r="I5601" t="s">
        <v>18899</v>
      </c>
    </row>
    <row r="5602" spans="1:9">
      <c r="A5602" t="str">
        <f>"0020375 "</f>
        <v xml:space="preserve">0020375 </v>
      </c>
      <c r="B5602" t="s">
        <v>18623</v>
      </c>
      <c r="C5602" t="s">
        <v>12208</v>
      </c>
      <c r="D5602" t="s">
        <v>18900</v>
      </c>
      <c r="E5602">
        <v>3</v>
      </c>
      <c r="F5602" t="s">
        <v>12210</v>
      </c>
      <c r="G5602" t="s">
        <v>18625</v>
      </c>
      <c r="H5602" t="s">
        <v>12208</v>
      </c>
      <c r="I5602" t="s">
        <v>12211</v>
      </c>
    </row>
    <row r="5603" spans="1:9">
      <c r="A5603" t="str">
        <f>"0018875 "</f>
        <v xml:space="preserve">0018875 </v>
      </c>
      <c r="B5603" t="s">
        <v>18623</v>
      </c>
      <c r="C5603" t="s">
        <v>18901</v>
      </c>
      <c r="D5603" t="s">
        <v>18902</v>
      </c>
      <c r="E5603">
        <v>2</v>
      </c>
      <c r="F5603" t="s">
        <v>18859</v>
      </c>
      <c r="G5603" t="s">
        <v>18625</v>
      </c>
      <c r="H5603" t="s">
        <v>18901</v>
      </c>
      <c r="I5603" t="s">
        <v>18903</v>
      </c>
    </row>
    <row r="5604" spans="1:9">
      <c r="A5604" t="str">
        <f>"0010030 "</f>
        <v xml:space="preserve">0010030 </v>
      </c>
      <c r="B5604" t="s">
        <v>18623</v>
      </c>
      <c r="C5604" t="s">
        <v>18904</v>
      </c>
      <c r="D5604" t="s">
        <v>18905</v>
      </c>
      <c r="E5604" t="s">
        <v>16</v>
      </c>
      <c r="F5604" t="s">
        <v>18906</v>
      </c>
      <c r="G5604" t="s">
        <v>18625</v>
      </c>
      <c r="H5604" t="s">
        <v>18904</v>
      </c>
      <c r="I5604" t="s">
        <v>18907</v>
      </c>
    </row>
    <row r="5605" spans="1:9">
      <c r="A5605" t="str">
        <f>"0201642 "</f>
        <v xml:space="preserve">0201642 </v>
      </c>
      <c r="B5605" t="s">
        <v>18623</v>
      </c>
      <c r="C5605" t="s">
        <v>12216</v>
      </c>
      <c r="D5605" t="s">
        <v>18908</v>
      </c>
      <c r="E5605">
        <v>2</v>
      </c>
      <c r="F5605" t="s">
        <v>12218</v>
      </c>
      <c r="G5605" t="s">
        <v>18625</v>
      </c>
      <c r="H5605" t="s">
        <v>12216</v>
      </c>
      <c r="I5605" t="s">
        <v>18909</v>
      </c>
    </row>
    <row r="5606" spans="1:9">
      <c r="A5606" t="str">
        <f>"0020216 "</f>
        <v xml:space="preserve">0020216 </v>
      </c>
      <c r="B5606" t="s">
        <v>18623</v>
      </c>
      <c r="C5606" t="s">
        <v>12220</v>
      </c>
      <c r="D5606" t="s">
        <v>18910</v>
      </c>
      <c r="E5606">
        <v>1</v>
      </c>
      <c r="F5606" t="s">
        <v>12222</v>
      </c>
      <c r="G5606" t="s">
        <v>18625</v>
      </c>
      <c r="H5606" t="s">
        <v>12220</v>
      </c>
      <c r="I5606" t="s">
        <v>12223</v>
      </c>
    </row>
    <row r="5607" spans="1:9">
      <c r="A5607" t="str">
        <f>"0020218 "</f>
        <v xml:space="preserve">0020218 </v>
      </c>
      <c r="B5607" t="s">
        <v>18623</v>
      </c>
      <c r="C5607" t="s">
        <v>12224</v>
      </c>
      <c r="D5607" t="s">
        <v>18911</v>
      </c>
      <c r="E5607">
        <v>2</v>
      </c>
      <c r="F5607" t="s">
        <v>12226</v>
      </c>
      <c r="G5607" t="s">
        <v>18625</v>
      </c>
      <c r="H5607" t="s">
        <v>12224</v>
      </c>
      <c r="I5607" t="s">
        <v>12227</v>
      </c>
    </row>
    <row r="5608" spans="1:9">
      <c r="A5608" t="str">
        <f>"0010040 "</f>
        <v xml:space="preserve">0010040 </v>
      </c>
      <c r="B5608" t="s">
        <v>18623</v>
      </c>
      <c r="C5608" t="s">
        <v>12235</v>
      </c>
      <c r="D5608" t="s">
        <v>18912</v>
      </c>
      <c r="E5608">
        <v>1</v>
      </c>
      <c r="F5608" t="s">
        <v>12237</v>
      </c>
      <c r="G5608" t="s">
        <v>18625</v>
      </c>
      <c r="H5608" t="s">
        <v>12235</v>
      </c>
      <c r="I5608" t="s">
        <v>12238</v>
      </c>
    </row>
    <row r="5609" spans="1:9">
      <c r="A5609" t="str">
        <f>"0010055 "</f>
        <v xml:space="preserve">0010055 </v>
      </c>
      <c r="B5609" t="s">
        <v>18623</v>
      </c>
      <c r="C5609" t="s">
        <v>12242</v>
      </c>
      <c r="D5609" t="s">
        <v>18913</v>
      </c>
      <c r="E5609">
        <v>1</v>
      </c>
      <c r="F5609" t="s">
        <v>12244</v>
      </c>
      <c r="G5609" t="s">
        <v>18625</v>
      </c>
      <c r="H5609" t="s">
        <v>12242</v>
      </c>
      <c r="I5609" t="s">
        <v>12245</v>
      </c>
    </row>
    <row r="5610" spans="1:9">
      <c r="A5610" t="str">
        <f>"0010056 "</f>
        <v xml:space="preserve">0010056 </v>
      </c>
      <c r="B5610" t="s">
        <v>18623</v>
      </c>
      <c r="C5610" t="s">
        <v>12246</v>
      </c>
      <c r="D5610" t="s">
        <v>18914</v>
      </c>
      <c r="E5610" t="s">
        <v>16</v>
      </c>
      <c r="F5610" t="s">
        <v>12248</v>
      </c>
      <c r="G5610" t="s">
        <v>18625</v>
      </c>
      <c r="H5610" t="s">
        <v>12246</v>
      </c>
      <c r="I5610" t="s">
        <v>12249</v>
      </c>
    </row>
    <row r="5611" spans="1:9">
      <c r="A5611" t="str">
        <f>"0010057 "</f>
        <v xml:space="preserve">0010057 </v>
      </c>
      <c r="B5611" t="s">
        <v>18623</v>
      </c>
      <c r="C5611" t="s">
        <v>12250</v>
      </c>
      <c r="D5611" t="s">
        <v>18915</v>
      </c>
      <c r="E5611">
        <v>1</v>
      </c>
      <c r="F5611" t="s">
        <v>12252</v>
      </c>
      <c r="G5611" t="s">
        <v>18625</v>
      </c>
      <c r="H5611" t="s">
        <v>12250</v>
      </c>
      <c r="I5611" t="s">
        <v>12253</v>
      </c>
    </row>
    <row r="5612" spans="1:9">
      <c r="A5612" t="str">
        <f>"0010071 "</f>
        <v xml:space="preserve">0010071 </v>
      </c>
      <c r="B5612" t="s">
        <v>18623</v>
      </c>
      <c r="C5612" t="s">
        <v>18916</v>
      </c>
      <c r="D5612" t="s">
        <v>18917</v>
      </c>
      <c r="E5612">
        <v>1</v>
      </c>
      <c r="F5612" t="s">
        <v>18918</v>
      </c>
      <c r="G5612" t="s">
        <v>18625</v>
      </c>
      <c r="H5612" t="s">
        <v>18916</v>
      </c>
      <c r="I5612" t="s">
        <v>18919</v>
      </c>
    </row>
    <row r="5613" spans="1:9">
      <c r="A5613" t="str">
        <f>"0010076 "</f>
        <v xml:space="preserve">0010076 </v>
      </c>
      <c r="B5613" t="s">
        <v>18623</v>
      </c>
      <c r="C5613" t="s">
        <v>18920</v>
      </c>
      <c r="D5613" t="s">
        <v>18921</v>
      </c>
      <c r="E5613">
        <v>1</v>
      </c>
      <c r="F5613" t="s">
        <v>18922</v>
      </c>
      <c r="G5613" t="s">
        <v>18625</v>
      </c>
      <c r="H5613" t="s">
        <v>18920</v>
      </c>
      <c r="I5613" t="s">
        <v>18923</v>
      </c>
    </row>
    <row r="5614" spans="1:9">
      <c r="A5614" t="str">
        <f>"0010082 "</f>
        <v xml:space="preserve">0010082 </v>
      </c>
      <c r="B5614" t="s">
        <v>18623</v>
      </c>
      <c r="C5614" t="s">
        <v>18924</v>
      </c>
      <c r="D5614" t="s">
        <v>18925</v>
      </c>
      <c r="E5614">
        <v>1</v>
      </c>
      <c r="F5614" t="s">
        <v>2903</v>
      </c>
      <c r="G5614" t="s">
        <v>18625</v>
      </c>
      <c r="H5614" t="s">
        <v>18924</v>
      </c>
      <c r="I5614" t="s">
        <v>18926</v>
      </c>
    </row>
    <row r="5615" spans="1:9">
      <c r="A5615" t="str">
        <f>"0010084 "</f>
        <v xml:space="preserve">0010084 </v>
      </c>
      <c r="B5615" t="s">
        <v>18623</v>
      </c>
      <c r="C5615" t="s">
        <v>12266</v>
      </c>
      <c r="D5615" t="s">
        <v>18927</v>
      </c>
      <c r="E5615">
        <v>1</v>
      </c>
      <c r="F5615" t="s">
        <v>12268</v>
      </c>
      <c r="G5615" t="s">
        <v>18625</v>
      </c>
      <c r="H5615" t="s">
        <v>12266</v>
      </c>
      <c r="I5615" t="s">
        <v>12269</v>
      </c>
    </row>
    <row r="5616" spans="1:9">
      <c r="A5616" t="str">
        <f>"0010085 "</f>
        <v xml:space="preserve">0010085 </v>
      </c>
      <c r="B5616" t="s">
        <v>18623</v>
      </c>
      <c r="C5616" t="s">
        <v>12270</v>
      </c>
      <c r="D5616" t="s">
        <v>18928</v>
      </c>
      <c r="E5616">
        <v>1</v>
      </c>
      <c r="F5616" t="s">
        <v>12272</v>
      </c>
      <c r="G5616" t="s">
        <v>18625</v>
      </c>
      <c r="H5616" t="s">
        <v>12270</v>
      </c>
      <c r="I5616" t="s">
        <v>12273</v>
      </c>
    </row>
    <row r="5617" spans="1:9">
      <c r="A5617" t="str">
        <f>"0010086 "</f>
        <v xml:space="preserve">0010086 </v>
      </c>
      <c r="B5617" t="s">
        <v>18623</v>
      </c>
      <c r="C5617" t="s">
        <v>12274</v>
      </c>
      <c r="D5617" t="s">
        <v>18929</v>
      </c>
      <c r="E5617" t="s">
        <v>16</v>
      </c>
      <c r="F5617" t="s">
        <v>12276</v>
      </c>
      <c r="G5617" t="s">
        <v>18625</v>
      </c>
      <c r="H5617" t="s">
        <v>12274</v>
      </c>
      <c r="I5617" t="s">
        <v>1631</v>
      </c>
    </row>
    <row r="5618" spans="1:9">
      <c r="A5618" t="str">
        <f>"0010087 "</f>
        <v xml:space="preserve">0010087 </v>
      </c>
      <c r="B5618" t="s">
        <v>18623</v>
      </c>
      <c r="C5618" t="s">
        <v>12277</v>
      </c>
      <c r="D5618" t="s">
        <v>18930</v>
      </c>
      <c r="E5618">
        <v>1</v>
      </c>
      <c r="F5618" t="s">
        <v>12279</v>
      </c>
      <c r="G5618" t="s">
        <v>18625</v>
      </c>
      <c r="H5618" t="s">
        <v>12277</v>
      </c>
      <c r="I5618" t="s">
        <v>12280</v>
      </c>
    </row>
    <row r="5619" spans="1:9">
      <c r="A5619" t="str">
        <f>"0010094 "</f>
        <v xml:space="preserve">0010094 </v>
      </c>
      <c r="B5619" t="s">
        <v>18623</v>
      </c>
      <c r="C5619" t="s">
        <v>12289</v>
      </c>
      <c r="D5619" t="s">
        <v>18931</v>
      </c>
      <c r="E5619">
        <v>2</v>
      </c>
      <c r="F5619" t="s">
        <v>12291</v>
      </c>
      <c r="G5619" t="s">
        <v>18625</v>
      </c>
      <c r="H5619" t="s">
        <v>12289</v>
      </c>
      <c r="I5619" t="s">
        <v>12292</v>
      </c>
    </row>
    <row r="5620" spans="1:9">
      <c r="A5620" t="str">
        <f>"0010100 "</f>
        <v xml:space="preserve">0010100 </v>
      </c>
      <c r="B5620" t="s">
        <v>18623</v>
      </c>
      <c r="C5620" t="s">
        <v>12297</v>
      </c>
      <c r="D5620" t="s">
        <v>18932</v>
      </c>
      <c r="E5620">
        <v>1</v>
      </c>
      <c r="F5620" t="s">
        <v>12299</v>
      </c>
      <c r="G5620" t="s">
        <v>18625</v>
      </c>
      <c r="H5620" t="s">
        <v>12297</v>
      </c>
      <c r="I5620" t="s">
        <v>11681</v>
      </c>
    </row>
    <row r="5621" spans="1:9">
      <c r="A5621" t="str">
        <f>"0015289 "</f>
        <v xml:space="preserve">0015289 </v>
      </c>
      <c r="B5621" t="s">
        <v>18623</v>
      </c>
      <c r="C5621" t="s">
        <v>12300</v>
      </c>
      <c r="D5621" t="s">
        <v>18933</v>
      </c>
      <c r="E5621">
        <v>1</v>
      </c>
      <c r="F5621" t="s">
        <v>12302</v>
      </c>
      <c r="G5621" t="s">
        <v>18625</v>
      </c>
      <c r="H5621" t="s">
        <v>12300</v>
      </c>
      <c r="I5621" t="s">
        <v>12303</v>
      </c>
    </row>
    <row r="5622" spans="1:9">
      <c r="A5622" t="str">
        <f>"0010105 "</f>
        <v xml:space="preserve">0010105 </v>
      </c>
      <c r="B5622" t="s">
        <v>18623</v>
      </c>
      <c r="C5622" t="s">
        <v>18934</v>
      </c>
      <c r="D5622" t="s">
        <v>18935</v>
      </c>
      <c r="E5622">
        <v>1</v>
      </c>
      <c r="F5622" t="s">
        <v>18936</v>
      </c>
      <c r="G5622" t="s">
        <v>18625</v>
      </c>
      <c r="H5622" t="s">
        <v>18934</v>
      </c>
      <c r="I5622" t="s">
        <v>18937</v>
      </c>
    </row>
    <row r="5623" spans="1:9">
      <c r="A5623" t="str">
        <f>"0010107 "</f>
        <v xml:space="preserve">0010107 </v>
      </c>
      <c r="B5623" t="s">
        <v>18623</v>
      </c>
      <c r="C5623" t="s">
        <v>12307</v>
      </c>
      <c r="D5623" t="s">
        <v>18938</v>
      </c>
      <c r="E5623">
        <v>1</v>
      </c>
      <c r="F5623" t="s">
        <v>784</v>
      </c>
      <c r="G5623" t="s">
        <v>18625</v>
      </c>
      <c r="H5623" t="s">
        <v>12307</v>
      </c>
      <c r="I5623" t="s">
        <v>12309</v>
      </c>
    </row>
    <row r="5624" spans="1:9">
      <c r="A5624" t="str">
        <f>"0010112 "</f>
        <v xml:space="preserve">0010112 </v>
      </c>
      <c r="B5624" t="s">
        <v>18623</v>
      </c>
      <c r="C5624" t="s">
        <v>18939</v>
      </c>
      <c r="D5624" t="s">
        <v>18940</v>
      </c>
      <c r="E5624">
        <v>1</v>
      </c>
      <c r="F5624" t="s">
        <v>18941</v>
      </c>
      <c r="G5624" t="s">
        <v>18625</v>
      </c>
      <c r="H5624" t="s">
        <v>18939</v>
      </c>
      <c r="I5624" t="s">
        <v>18942</v>
      </c>
    </row>
    <row r="5625" spans="1:9">
      <c r="A5625" t="str">
        <f>"0010115 "</f>
        <v xml:space="preserve">0010115 </v>
      </c>
      <c r="B5625" t="s">
        <v>18623</v>
      </c>
      <c r="C5625" t="s">
        <v>18943</v>
      </c>
      <c r="D5625" t="s">
        <v>18944</v>
      </c>
      <c r="E5625">
        <v>1</v>
      </c>
      <c r="F5625" t="s">
        <v>335</v>
      </c>
      <c r="G5625" t="s">
        <v>18625</v>
      </c>
      <c r="H5625" t="s">
        <v>18943</v>
      </c>
      <c r="I5625" t="s">
        <v>18945</v>
      </c>
    </row>
    <row r="5626" spans="1:9">
      <c r="A5626" t="str">
        <f>"0153068 "</f>
        <v xml:space="preserve">0153068 </v>
      </c>
      <c r="B5626" t="s">
        <v>18623</v>
      </c>
      <c r="C5626" t="s">
        <v>18946</v>
      </c>
      <c r="D5626" t="s">
        <v>18947</v>
      </c>
      <c r="E5626">
        <v>1</v>
      </c>
      <c r="F5626" t="s">
        <v>11860</v>
      </c>
      <c r="G5626" t="s">
        <v>18625</v>
      </c>
      <c r="H5626" t="s">
        <v>18946</v>
      </c>
      <c r="I5626" t="s">
        <v>18948</v>
      </c>
    </row>
    <row r="5627" spans="1:9">
      <c r="A5627" t="str">
        <f>"0010119 "</f>
        <v xml:space="preserve">0010119 </v>
      </c>
      <c r="B5627" t="s">
        <v>18623</v>
      </c>
      <c r="C5627" t="s">
        <v>12322</v>
      </c>
      <c r="D5627" t="s">
        <v>18949</v>
      </c>
      <c r="E5627">
        <v>2</v>
      </c>
      <c r="F5627" t="s">
        <v>12324</v>
      </c>
      <c r="G5627" t="s">
        <v>18625</v>
      </c>
      <c r="H5627" t="s">
        <v>12322</v>
      </c>
      <c r="I5627" t="s">
        <v>1687</v>
      </c>
    </row>
    <row r="5628" spans="1:9">
      <c r="A5628" t="str">
        <f>"0010122 "</f>
        <v xml:space="preserve">0010122 </v>
      </c>
      <c r="B5628" t="s">
        <v>18623</v>
      </c>
      <c r="C5628" t="s">
        <v>12325</v>
      </c>
      <c r="D5628" t="s">
        <v>18950</v>
      </c>
      <c r="E5628">
        <v>1</v>
      </c>
      <c r="F5628" t="s">
        <v>12327</v>
      </c>
      <c r="G5628" t="s">
        <v>18625</v>
      </c>
      <c r="H5628" t="s">
        <v>12325</v>
      </c>
      <c r="I5628" t="s">
        <v>12328</v>
      </c>
    </row>
    <row r="5629" spans="1:9">
      <c r="A5629" t="str">
        <f>"0010123 "</f>
        <v xml:space="preserve">0010123 </v>
      </c>
      <c r="B5629" t="s">
        <v>18623</v>
      </c>
      <c r="C5629" t="s">
        <v>12329</v>
      </c>
      <c r="D5629" t="s">
        <v>18951</v>
      </c>
      <c r="E5629">
        <v>2</v>
      </c>
      <c r="F5629" t="s">
        <v>2057</v>
      </c>
      <c r="G5629" t="s">
        <v>18625</v>
      </c>
      <c r="H5629" t="s">
        <v>12329</v>
      </c>
      <c r="I5629" t="s">
        <v>12331</v>
      </c>
    </row>
    <row r="5630" spans="1:9">
      <c r="A5630" t="str">
        <f>"0010130 "</f>
        <v xml:space="preserve">0010130 </v>
      </c>
      <c r="B5630" t="s">
        <v>18623</v>
      </c>
      <c r="C5630" t="s">
        <v>12336</v>
      </c>
      <c r="D5630" t="s">
        <v>18952</v>
      </c>
      <c r="E5630">
        <v>2</v>
      </c>
      <c r="F5630" t="s">
        <v>12338</v>
      </c>
      <c r="G5630" t="s">
        <v>18625</v>
      </c>
      <c r="H5630" t="s">
        <v>12336</v>
      </c>
      <c r="I5630" t="s">
        <v>12339</v>
      </c>
    </row>
    <row r="5631" spans="1:9">
      <c r="A5631" t="str">
        <f>"0010159 "</f>
        <v xml:space="preserve">0010159 </v>
      </c>
      <c r="B5631" t="s">
        <v>18623</v>
      </c>
      <c r="C5631" t="s">
        <v>18953</v>
      </c>
      <c r="D5631" t="s">
        <v>18954</v>
      </c>
      <c r="E5631">
        <v>1</v>
      </c>
      <c r="F5631" t="s">
        <v>18955</v>
      </c>
      <c r="G5631" t="s">
        <v>18625</v>
      </c>
      <c r="H5631" t="s">
        <v>18953</v>
      </c>
      <c r="I5631" t="s">
        <v>18956</v>
      </c>
    </row>
    <row r="5632" spans="1:9">
      <c r="A5632" t="str">
        <f>"0010167 "</f>
        <v xml:space="preserve">0010167 </v>
      </c>
      <c r="B5632" t="s">
        <v>18623</v>
      </c>
      <c r="C5632" t="s">
        <v>18957</v>
      </c>
      <c r="D5632" t="s">
        <v>18958</v>
      </c>
      <c r="E5632">
        <v>1</v>
      </c>
      <c r="F5632" t="s">
        <v>18959</v>
      </c>
      <c r="G5632" t="s">
        <v>18625</v>
      </c>
      <c r="H5632" t="s">
        <v>18957</v>
      </c>
      <c r="I5632" t="s">
        <v>18960</v>
      </c>
    </row>
    <row r="5633" spans="1:9">
      <c r="A5633" t="str">
        <f>"0010171 "</f>
        <v xml:space="preserve">0010171 </v>
      </c>
      <c r="B5633" t="s">
        <v>18623</v>
      </c>
      <c r="C5633" t="s">
        <v>12350</v>
      </c>
      <c r="D5633" t="s">
        <v>18961</v>
      </c>
      <c r="E5633">
        <v>1</v>
      </c>
      <c r="F5633" t="s">
        <v>12352</v>
      </c>
      <c r="G5633" t="s">
        <v>18625</v>
      </c>
      <c r="H5633" t="s">
        <v>12350</v>
      </c>
      <c r="I5633" t="s">
        <v>12353</v>
      </c>
    </row>
    <row r="5634" spans="1:9">
      <c r="A5634" t="str">
        <f>"0033805 "</f>
        <v xml:space="preserve">0033805 </v>
      </c>
      <c r="B5634" t="s">
        <v>18623</v>
      </c>
      <c r="C5634" t="s">
        <v>12354</v>
      </c>
      <c r="D5634" t="s">
        <v>18962</v>
      </c>
      <c r="E5634">
        <v>2</v>
      </c>
      <c r="F5634" t="s">
        <v>11895</v>
      </c>
      <c r="G5634" t="s">
        <v>18625</v>
      </c>
      <c r="H5634" t="s">
        <v>12354</v>
      </c>
      <c r="I5634" t="s">
        <v>12356</v>
      </c>
    </row>
    <row r="5635" spans="1:9">
      <c r="A5635" t="str">
        <f>"0010175 "</f>
        <v xml:space="preserve">0010175 </v>
      </c>
      <c r="B5635" t="s">
        <v>18623</v>
      </c>
      <c r="C5635" t="s">
        <v>12357</v>
      </c>
      <c r="D5635" t="s">
        <v>18963</v>
      </c>
      <c r="E5635" t="s">
        <v>16</v>
      </c>
      <c r="F5635" t="s">
        <v>12359</v>
      </c>
      <c r="G5635" t="s">
        <v>18625</v>
      </c>
      <c r="H5635" t="s">
        <v>12357</v>
      </c>
      <c r="I5635" t="s">
        <v>12360</v>
      </c>
    </row>
    <row r="5636" spans="1:9">
      <c r="A5636" t="str">
        <f>"0010179 "</f>
        <v xml:space="preserve">0010179 </v>
      </c>
      <c r="B5636" t="s">
        <v>18623</v>
      </c>
      <c r="C5636" t="s">
        <v>12365</v>
      </c>
      <c r="D5636" t="s">
        <v>18964</v>
      </c>
      <c r="E5636">
        <v>1</v>
      </c>
      <c r="F5636" t="s">
        <v>12295</v>
      </c>
      <c r="G5636" t="s">
        <v>18625</v>
      </c>
      <c r="H5636" t="s">
        <v>12365</v>
      </c>
      <c r="I5636" t="s">
        <v>12367</v>
      </c>
    </row>
    <row r="5637" spans="1:9">
      <c r="A5637" t="str">
        <f>"0018883 "</f>
        <v xml:space="preserve">0018883 </v>
      </c>
      <c r="B5637" t="s">
        <v>18623</v>
      </c>
      <c r="C5637" t="s">
        <v>12368</v>
      </c>
      <c r="D5637" t="s">
        <v>18965</v>
      </c>
      <c r="E5637">
        <v>4</v>
      </c>
      <c r="F5637" t="s">
        <v>12370</v>
      </c>
      <c r="G5637" t="s">
        <v>18625</v>
      </c>
      <c r="H5637" t="s">
        <v>12368</v>
      </c>
      <c r="I5637" t="s">
        <v>12371</v>
      </c>
    </row>
    <row r="5638" spans="1:9">
      <c r="A5638" t="str">
        <f>"0020221 "</f>
        <v xml:space="preserve">0020221 </v>
      </c>
      <c r="B5638" t="s">
        <v>18623</v>
      </c>
      <c r="C5638" t="s">
        <v>12379</v>
      </c>
      <c r="D5638" t="s">
        <v>18966</v>
      </c>
      <c r="E5638">
        <v>1</v>
      </c>
      <c r="F5638" t="s">
        <v>12222</v>
      </c>
      <c r="G5638" t="s">
        <v>18625</v>
      </c>
      <c r="H5638" t="s">
        <v>12379</v>
      </c>
      <c r="I5638" t="s">
        <v>12381</v>
      </c>
    </row>
    <row r="5639" spans="1:9">
      <c r="A5639" t="str">
        <f>"0010193 "</f>
        <v xml:space="preserve">0010193 </v>
      </c>
      <c r="B5639" t="s">
        <v>18623</v>
      </c>
      <c r="C5639" t="s">
        <v>12386</v>
      </c>
      <c r="D5639" t="s">
        <v>18967</v>
      </c>
      <c r="E5639">
        <v>2</v>
      </c>
      <c r="F5639" t="s">
        <v>12388</v>
      </c>
      <c r="G5639" t="s">
        <v>18625</v>
      </c>
      <c r="H5639" t="s">
        <v>12386</v>
      </c>
      <c r="I5639" t="s">
        <v>12389</v>
      </c>
    </row>
    <row r="5640" spans="1:9">
      <c r="A5640" t="str">
        <f>"0038082 "</f>
        <v xml:space="preserve">0038082 </v>
      </c>
      <c r="B5640" t="s">
        <v>18623</v>
      </c>
      <c r="C5640" t="s">
        <v>18968</v>
      </c>
      <c r="D5640" t="s">
        <v>18969</v>
      </c>
      <c r="E5640">
        <v>1</v>
      </c>
      <c r="F5640" t="s">
        <v>4953</v>
      </c>
      <c r="G5640" t="s">
        <v>18625</v>
      </c>
      <c r="H5640" t="s">
        <v>18968</v>
      </c>
      <c r="I5640" t="s">
        <v>18970</v>
      </c>
    </row>
    <row r="5641" spans="1:9">
      <c r="A5641" t="str">
        <f>"0020223 "</f>
        <v xml:space="preserve">0020223 </v>
      </c>
      <c r="B5641" t="s">
        <v>18623</v>
      </c>
      <c r="C5641" t="s">
        <v>12390</v>
      </c>
      <c r="D5641" t="s">
        <v>18971</v>
      </c>
      <c r="E5641">
        <v>2</v>
      </c>
      <c r="F5641" t="s">
        <v>11719</v>
      </c>
      <c r="G5641" t="s">
        <v>18625</v>
      </c>
      <c r="H5641" t="s">
        <v>12390</v>
      </c>
      <c r="I5641" t="s">
        <v>12392</v>
      </c>
    </row>
    <row r="5642" spans="1:9">
      <c r="A5642" t="str">
        <f>"0018891 "</f>
        <v xml:space="preserve">0018891 </v>
      </c>
      <c r="B5642" t="s">
        <v>18623</v>
      </c>
      <c r="C5642" t="s">
        <v>18972</v>
      </c>
      <c r="D5642" t="s">
        <v>18973</v>
      </c>
      <c r="E5642">
        <v>5</v>
      </c>
      <c r="F5642" t="s">
        <v>18974</v>
      </c>
      <c r="G5642" t="s">
        <v>18625</v>
      </c>
      <c r="H5642" t="s">
        <v>18972</v>
      </c>
      <c r="I5642" t="s">
        <v>18975</v>
      </c>
    </row>
    <row r="5643" spans="1:9">
      <c r="A5643" t="str">
        <f>"0019029 "</f>
        <v xml:space="preserve">0019029 </v>
      </c>
      <c r="B5643" t="s">
        <v>18623</v>
      </c>
      <c r="C5643" t="s">
        <v>12393</v>
      </c>
      <c r="D5643" t="s">
        <v>18976</v>
      </c>
      <c r="E5643">
        <v>1</v>
      </c>
      <c r="F5643" t="s">
        <v>12395</v>
      </c>
      <c r="G5643" t="s">
        <v>18625</v>
      </c>
      <c r="H5643" t="s">
        <v>12393</v>
      </c>
      <c r="I5643" t="s">
        <v>12396</v>
      </c>
    </row>
    <row r="5644" spans="1:9">
      <c r="A5644" t="str">
        <f>"0010216 "</f>
        <v xml:space="preserve">0010216 </v>
      </c>
      <c r="B5644" t="s">
        <v>18623</v>
      </c>
      <c r="C5644" t="s">
        <v>12397</v>
      </c>
      <c r="D5644" t="s">
        <v>18977</v>
      </c>
      <c r="E5644">
        <v>2</v>
      </c>
      <c r="F5644" t="s">
        <v>12399</v>
      </c>
      <c r="G5644" t="s">
        <v>18625</v>
      </c>
      <c r="H5644" t="s">
        <v>12397</v>
      </c>
      <c r="I5644" t="s">
        <v>12400</v>
      </c>
    </row>
    <row r="5645" spans="1:9">
      <c r="A5645" t="str">
        <f>"0162909 "</f>
        <v xml:space="preserve">0162909 </v>
      </c>
      <c r="B5645" t="s">
        <v>18978</v>
      </c>
      <c r="C5645" t="s">
        <v>18979</v>
      </c>
      <c r="D5645" t="s">
        <v>18980</v>
      </c>
      <c r="E5645">
        <v>1</v>
      </c>
      <c r="F5645" t="s">
        <v>18981</v>
      </c>
      <c r="G5645" t="s">
        <v>18625</v>
      </c>
      <c r="H5645" t="s">
        <v>18982</v>
      </c>
      <c r="I5645" t="s">
        <v>18983</v>
      </c>
    </row>
    <row r="5646" spans="1:9">
      <c r="A5646" t="str">
        <f>"0162922 "</f>
        <v xml:space="preserve">0162922 </v>
      </c>
      <c r="B5646" t="s">
        <v>18978</v>
      </c>
      <c r="C5646" t="s">
        <v>18984</v>
      </c>
      <c r="D5646" t="s">
        <v>18985</v>
      </c>
      <c r="E5646">
        <v>1</v>
      </c>
      <c r="F5646" t="s">
        <v>18986</v>
      </c>
      <c r="G5646" t="s">
        <v>18625</v>
      </c>
      <c r="H5646" t="s">
        <v>18987</v>
      </c>
      <c r="I5646" t="s">
        <v>18988</v>
      </c>
    </row>
    <row r="5647" spans="1:9">
      <c r="A5647" t="str">
        <f>"0162958 "</f>
        <v xml:space="preserve">0162958 </v>
      </c>
      <c r="B5647" t="s">
        <v>18978</v>
      </c>
      <c r="C5647" t="s">
        <v>18989</v>
      </c>
      <c r="D5647" t="s">
        <v>18990</v>
      </c>
      <c r="E5647">
        <v>1</v>
      </c>
      <c r="F5647" t="s">
        <v>18991</v>
      </c>
      <c r="G5647" t="s">
        <v>18625</v>
      </c>
      <c r="H5647" t="s">
        <v>18992</v>
      </c>
      <c r="I5647" t="s">
        <v>18993</v>
      </c>
    </row>
    <row r="5648" spans="1:9">
      <c r="A5648" t="str">
        <f>"0162984 "</f>
        <v xml:space="preserve">0162984 </v>
      </c>
      <c r="B5648" t="s">
        <v>18978</v>
      </c>
      <c r="C5648" t="s">
        <v>18994</v>
      </c>
      <c r="D5648" t="s">
        <v>18995</v>
      </c>
      <c r="E5648">
        <v>1</v>
      </c>
      <c r="F5648" t="s">
        <v>18996</v>
      </c>
      <c r="G5648" t="s">
        <v>18625</v>
      </c>
      <c r="H5648" t="s">
        <v>18997</v>
      </c>
      <c r="I5648" t="s">
        <v>18998</v>
      </c>
    </row>
    <row r="5649" spans="1:9">
      <c r="A5649" t="str">
        <f>"0162965 "</f>
        <v xml:space="preserve">0162965 </v>
      </c>
      <c r="B5649" t="s">
        <v>18978</v>
      </c>
      <c r="C5649" t="s">
        <v>18999</v>
      </c>
      <c r="D5649" t="s">
        <v>19000</v>
      </c>
      <c r="E5649">
        <v>1</v>
      </c>
      <c r="F5649" t="s">
        <v>4004</v>
      </c>
      <c r="G5649" t="s">
        <v>18625</v>
      </c>
      <c r="H5649" t="s">
        <v>19001</v>
      </c>
      <c r="I5649" t="s">
        <v>19002</v>
      </c>
    </row>
    <row r="5650" spans="1:9">
      <c r="A5650" t="str">
        <f>"0162967 "</f>
        <v xml:space="preserve">0162967 </v>
      </c>
      <c r="B5650" t="s">
        <v>18978</v>
      </c>
      <c r="C5650" t="s">
        <v>19003</v>
      </c>
      <c r="D5650" t="s">
        <v>19004</v>
      </c>
      <c r="E5650">
        <v>1</v>
      </c>
      <c r="F5650" t="s">
        <v>19005</v>
      </c>
      <c r="G5650" t="s">
        <v>18625</v>
      </c>
      <c r="H5650" t="s">
        <v>19006</v>
      </c>
      <c r="I5650" t="s">
        <v>19007</v>
      </c>
    </row>
    <row r="5651" spans="1:9">
      <c r="A5651" t="str">
        <f>"0163170 "</f>
        <v xml:space="preserve">0163170 </v>
      </c>
      <c r="B5651" t="s">
        <v>18978</v>
      </c>
      <c r="C5651" t="s">
        <v>19008</v>
      </c>
      <c r="D5651" t="s">
        <v>19009</v>
      </c>
      <c r="E5651">
        <v>1</v>
      </c>
      <c r="F5651" t="s">
        <v>19010</v>
      </c>
      <c r="G5651" t="s">
        <v>18625</v>
      </c>
      <c r="H5651" t="s">
        <v>19011</v>
      </c>
      <c r="I5651" t="s">
        <v>19012</v>
      </c>
    </row>
    <row r="5652" spans="1:9">
      <c r="A5652" t="str">
        <f>"0163171 "</f>
        <v xml:space="preserve">0163171 </v>
      </c>
      <c r="B5652" t="s">
        <v>18978</v>
      </c>
      <c r="C5652" t="s">
        <v>19013</v>
      </c>
      <c r="D5652" t="s">
        <v>19014</v>
      </c>
      <c r="E5652">
        <v>1</v>
      </c>
      <c r="F5652" t="s">
        <v>19015</v>
      </c>
      <c r="G5652" t="s">
        <v>18625</v>
      </c>
      <c r="H5652" t="s">
        <v>19016</v>
      </c>
      <c r="I5652" t="s">
        <v>19017</v>
      </c>
    </row>
    <row r="5653" spans="1:9">
      <c r="A5653" t="str">
        <f>"0163321 "</f>
        <v xml:space="preserve">0163321 </v>
      </c>
      <c r="B5653" t="s">
        <v>18978</v>
      </c>
      <c r="C5653" t="s">
        <v>19018</v>
      </c>
      <c r="D5653" t="s">
        <v>19019</v>
      </c>
      <c r="E5653">
        <v>1</v>
      </c>
      <c r="F5653" t="s">
        <v>19020</v>
      </c>
      <c r="G5653" t="s">
        <v>18625</v>
      </c>
      <c r="H5653" t="s">
        <v>19021</v>
      </c>
      <c r="I5653" t="s">
        <v>19022</v>
      </c>
    </row>
    <row r="5654" spans="1:9">
      <c r="A5654" t="str">
        <f>"0163332 "</f>
        <v xml:space="preserve">0163332 </v>
      </c>
      <c r="B5654" t="s">
        <v>18978</v>
      </c>
      <c r="C5654" t="s">
        <v>19023</v>
      </c>
      <c r="D5654" t="s">
        <v>19024</v>
      </c>
      <c r="E5654">
        <v>1</v>
      </c>
      <c r="F5654" t="s">
        <v>19025</v>
      </c>
      <c r="G5654" t="s">
        <v>18625</v>
      </c>
      <c r="H5654" t="s">
        <v>19026</v>
      </c>
      <c r="I5654" t="s">
        <v>19027</v>
      </c>
    </row>
    <row r="5655" spans="1:9">
      <c r="A5655" t="str">
        <f>"0203755 "</f>
        <v xml:space="preserve">0203755 </v>
      </c>
      <c r="B5655" t="s">
        <v>18978</v>
      </c>
      <c r="C5655" t="s">
        <v>19028</v>
      </c>
      <c r="D5655" t="s">
        <v>19029</v>
      </c>
      <c r="E5655">
        <v>1</v>
      </c>
      <c r="F5655" t="s">
        <v>19030</v>
      </c>
      <c r="G5655" t="s">
        <v>18625</v>
      </c>
      <c r="H5655" t="s">
        <v>19031</v>
      </c>
      <c r="I5655" t="s">
        <v>19032</v>
      </c>
    </row>
    <row r="5656" spans="1:9">
      <c r="A5656" t="str">
        <f>"0015227 "</f>
        <v xml:space="preserve">0015227 </v>
      </c>
      <c r="B5656" t="s">
        <v>19033</v>
      </c>
      <c r="C5656" t="str">
        <f>"0015227"</f>
        <v>0015227</v>
      </c>
      <c r="D5656" t="s">
        <v>19034</v>
      </c>
      <c r="E5656" t="s">
        <v>16</v>
      </c>
      <c r="F5656" t="s">
        <v>19035</v>
      </c>
      <c r="G5656" t="s">
        <v>19036</v>
      </c>
      <c r="H5656" t="str">
        <f>"0015227"</f>
        <v>0015227</v>
      </c>
    </row>
    <row r="5657" spans="1:9">
      <c r="A5657" t="str">
        <f>"0015277 "</f>
        <v xml:space="preserve">0015277 </v>
      </c>
      <c r="B5657" t="s">
        <v>19033</v>
      </c>
      <c r="C5657" t="str">
        <f>"0015277"</f>
        <v>0015277</v>
      </c>
      <c r="D5657" t="s">
        <v>19037</v>
      </c>
      <c r="E5657" t="s">
        <v>16</v>
      </c>
      <c r="F5657" t="s">
        <v>19038</v>
      </c>
      <c r="G5657" t="s">
        <v>19036</v>
      </c>
      <c r="H5657" t="str">
        <f>"0015277"</f>
        <v>0015277</v>
      </c>
    </row>
    <row r="5658" spans="1:9">
      <c r="A5658" t="str">
        <f>"0015278 "</f>
        <v xml:space="preserve">0015278 </v>
      </c>
      <c r="B5658" t="s">
        <v>19033</v>
      </c>
      <c r="C5658" t="str">
        <f>"0015278"</f>
        <v>0015278</v>
      </c>
      <c r="D5658" t="s">
        <v>19039</v>
      </c>
      <c r="E5658">
        <v>2</v>
      </c>
      <c r="F5658" t="s">
        <v>19040</v>
      </c>
      <c r="G5658" t="s">
        <v>19036</v>
      </c>
      <c r="H5658" t="str">
        <f>"0015278"</f>
        <v>0015278</v>
      </c>
    </row>
    <row r="5659" spans="1:9">
      <c r="A5659" t="str">
        <f>"0018923 "</f>
        <v xml:space="preserve">0018923 </v>
      </c>
      <c r="B5659" t="s">
        <v>19033</v>
      </c>
      <c r="C5659" t="str">
        <f>"0018923"</f>
        <v>0018923</v>
      </c>
      <c r="D5659" t="s">
        <v>19041</v>
      </c>
      <c r="E5659" t="s">
        <v>16</v>
      </c>
      <c r="F5659" t="s">
        <v>19042</v>
      </c>
      <c r="G5659" t="s">
        <v>19036</v>
      </c>
      <c r="H5659" t="str">
        <f>"0018923"</f>
        <v>0018923</v>
      </c>
    </row>
    <row r="5660" spans="1:9">
      <c r="A5660" t="str">
        <f>"0018924 "</f>
        <v xml:space="preserve">0018924 </v>
      </c>
      <c r="B5660" t="s">
        <v>19033</v>
      </c>
      <c r="C5660" t="str">
        <f>"0018924"</f>
        <v>0018924</v>
      </c>
      <c r="D5660" t="s">
        <v>19043</v>
      </c>
      <c r="E5660" t="s">
        <v>16</v>
      </c>
      <c r="F5660" t="s">
        <v>19044</v>
      </c>
      <c r="G5660" t="s">
        <v>19036</v>
      </c>
      <c r="H5660" t="str">
        <f>"0018924"</f>
        <v>0018924</v>
      </c>
    </row>
    <row r="5661" spans="1:9">
      <c r="A5661" t="str">
        <f>"0018925 "</f>
        <v xml:space="preserve">0018925 </v>
      </c>
      <c r="B5661" t="s">
        <v>19033</v>
      </c>
      <c r="C5661" t="str">
        <f>"0018925"</f>
        <v>0018925</v>
      </c>
      <c r="D5661" t="s">
        <v>19045</v>
      </c>
      <c r="E5661" t="s">
        <v>16</v>
      </c>
      <c r="F5661" t="s">
        <v>19046</v>
      </c>
      <c r="G5661" t="s">
        <v>19036</v>
      </c>
      <c r="H5661" t="str">
        <f>"0018925"</f>
        <v>0018925</v>
      </c>
    </row>
    <row r="5662" spans="1:9">
      <c r="A5662" t="str">
        <f>"0018926 "</f>
        <v xml:space="preserve">0018926 </v>
      </c>
      <c r="B5662" t="s">
        <v>19033</v>
      </c>
      <c r="C5662" t="str">
        <f>"0018926"</f>
        <v>0018926</v>
      </c>
      <c r="D5662" t="s">
        <v>19047</v>
      </c>
      <c r="E5662" t="s">
        <v>16</v>
      </c>
      <c r="F5662" t="s">
        <v>19048</v>
      </c>
      <c r="G5662" t="s">
        <v>19036</v>
      </c>
      <c r="H5662" t="str">
        <f>"0018926"</f>
        <v>0018926</v>
      </c>
    </row>
    <row r="5663" spans="1:9">
      <c r="A5663" t="str">
        <f>"0018927 "</f>
        <v xml:space="preserve">0018927 </v>
      </c>
      <c r="B5663" t="s">
        <v>19033</v>
      </c>
      <c r="C5663" t="str">
        <f>"0018927"</f>
        <v>0018927</v>
      </c>
      <c r="D5663" t="s">
        <v>19049</v>
      </c>
      <c r="E5663" t="s">
        <v>16</v>
      </c>
      <c r="F5663" t="s">
        <v>19050</v>
      </c>
      <c r="G5663" t="s">
        <v>19036</v>
      </c>
      <c r="H5663" t="str">
        <f>"0018927"</f>
        <v>0018927</v>
      </c>
    </row>
    <row r="5664" spans="1:9">
      <c r="A5664" t="str">
        <f>"0018928 "</f>
        <v xml:space="preserve">0018928 </v>
      </c>
      <c r="B5664" t="s">
        <v>19033</v>
      </c>
      <c r="C5664" t="str">
        <f>"0018928"</f>
        <v>0018928</v>
      </c>
      <c r="D5664" t="s">
        <v>19051</v>
      </c>
      <c r="E5664" t="s">
        <v>16</v>
      </c>
      <c r="F5664" t="s">
        <v>19052</v>
      </c>
      <c r="G5664" t="s">
        <v>19036</v>
      </c>
      <c r="H5664" t="str">
        <f>"0018928"</f>
        <v>0018928</v>
      </c>
    </row>
    <row r="5665" spans="1:8">
      <c r="A5665" t="str">
        <f>"0019132 "</f>
        <v xml:space="preserve">0019132 </v>
      </c>
      <c r="B5665" t="s">
        <v>19033</v>
      </c>
      <c r="C5665" t="str">
        <f>"0019132"</f>
        <v>0019132</v>
      </c>
      <c r="D5665" t="s">
        <v>19053</v>
      </c>
      <c r="E5665">
        <v>4</v>
      </c>
      <c r="F5665" t="s">
        <v>19054</v>
      </c>
      <c r="G5665" t="s">
        <v>19036</v>
      </c>
      <c r="H5665" t="str">
        <f>"0019132"</f>
        <v>0019132</v>
      </c>
    </row>
    <row r="5666" spans="1:8">
      <c r="A5666" t="str">
        <f>"0033742 "</f>
        <v xml:space="preserve">0033742 </v>
      </c>
      <c r="B5666" t="s">
        <v>19033</v>
      </c>
      <c r="C5666" t="str">
        <f>"0033742"</f>
        <v>0033742</v>
      </c>
      <c r="D5666" t="s">
        <v>19055</v>
      </c>
      <c r="E5666" t="s">
        <v>16</v>
      </c>
      <c r="F5666" t="s">
        <v>19056</v>
      </c>
      <c r="G5666" t="s">
        <v>19036</v>
      </c>
      <c r="H5666" t="str">
        <f>"0033742"</f>
        <v>0033742</v>
      </c>
    </row>
    <row r="5667" spans="1:8">
      <c r="A5667" t="str">
        <f>"0038481 "</f>
        <v xml:space="preserve">0038481 </v>
      </c>
      <c r="B5667" t="s">
        <v>19033</v>
      </c>
      <c r="C5667" t="str">
        <f>"0038481"</f>
        <v>0038481</v>
      </c>
      <c r="D5667" t="s">
        <v>19057</v>
      </c>
      <c r="E5667" t="s">
        <v>16</v>
      </c>
      <c r="F5667" t="s">
        <v>4740</v>
      </c>
      <c r="G5667" t="s">
        <v>19036</v>
      </c>
      <c r="H5667" t="str">
        <f>"0038481"</f>
        <v>0038481</v>
      </c>
    </row>
    <row r="5668" spans="1:8">
      <c r="A5668" t="str">
        <f>"0038482 "</f>
        <v xml:space="preserve">0038482 </v>
      </c>
      <c r="B5668" t="s">
        <v>19033</v>
      </c>
      <c r="C5668" t="str">
        <f>"0038482"</f>
        <v>0038482</v>
      </c>
      <c r="D5668" t="s">
        <v>19058</v>
      </c>
      <c r="E5668" t="s">
        <v>16</v>
      </c>
      <c r="F5668" t="s">
        <v>19059</v>
      </c>
      <c r="G5668" t="s">
        <v>19036</v>
      </c>
      <c r="H5668" t="str">
        <f>"0038482"</f>
        <v>0038482</v>
      </c>
    </row>
    <row r="5669" spans="1:8">
      <c r="A5669" t="str">
        <f>"0038716 "</f>
        <v xml:space="preserve">0038716 </v>
      </c>
      <c r="B5669" t="s">
        <v>19033</v>
      </c>
      <c r="C5669" t="str">
        <f>"0038716"</f>
        <v>0038716</v>
      </c>
      <c r="D5669" t="s">
        <v>19060</v>
      </c>
      <c r="E5669">
        <v>1</v>
      </c>
      <c r="F5669" t="s">
        <v>19061</v>
      </c>
      <c r="G5669" t="s">
        <v>19036</v>
      </c>
      <c r="H5669" t="str">
        <f>"0038716"</f>
        <v>0038716</v>
      </c>
    </row>
    <row r="5670" spans="1:8">
      <c r="A5670" t="str">
        <f>"0038917 "</f>
        <v xml:space="preserve">0038917 </v>
      </c>
      <c r="B5670" t="s">
        <v>19033</v>
      </c>
      <c r="C5670" t="str">
        <f>"0038917"</f>
        <v>0038917</v>
      </c>
      <c r="D5670" t="s">
        <v>19062</v>
      </c>
      <c r="E5670" t="s">
        <v>16</v>
      </c>
      <c r="F5670" t="s">
        <v>254</v>
      </c>
      <c r="G5670" t="s">
        <v>19036</v>
      </c>
      <c r="H5670" t="str">
        <f>"0038917"</f>
        <v>0038917</v>
      </c>
    </row>
    <row r="5671" spans="1:8">
      <c r="A5671" t="str">
        <f>"0050750 "</f>
        <v xml:space="preserve">0050750 </v>
      </c>
      <c r="B5671" t="s">
        <v>19033</v>
      </c>
      <c r="C5671" t="str">
        <f>"0050750"</f>
        <v>0050750</v>
      </c>
      <c r="D5671" t="s">
        <v>19063</v>
      </c>
      <c r="E5671" t="s">
        <v>16</v>
      </c>
      <c r="F5671" t="s">
        <v>19064</v>
      </c>
      <c r="G5671" t="s">
        <v>19036</v>
      </c>
      <c r="H5671" t="str">
        <f>"0050750"</f>
        <v>0050750</v>
      </c>
    </row>
    <row r="5672" spans="1:8">
      <c r="A5672" t="str">
        <f>"0050754 "</f>
        <v xml:space="preserve">0050754 </v>
      </c>
      <c r="B5672" t="s">
        <v>19033</v>
      </c>
      <c r="C5672" t="str">
        <f>"0050754"</f>
        <v>0050754</v>
      </c>
      <c r="D5672" t="s">
        <v>19065</v>
      </c>
      <c r="E5672">
        <v>3</v>
      </c>
      <c r="F5672" t="s">
        <v>19066</v>
      </c>
      <c r="G5672" t="s">
        <v>19036</v>
      </c>
      <c r="H5672" t="str">
        <f>"0050754"</f>
        <v>0050754</v>
      </c>
    </row>
    <row r="5673" spans="1:8">
      <c r="A5673" t="str">
        <f>"0050756 "</f>
        <v xml:space="preserve">0050756 </v>
      </c>
      <c r="B5673" t="s">
        <v>19033</v>
      </c>
      <c r="C5673" t="str">
        <f>"0050756"</f>
        <v>0050756</v>
      </c>
      <c r="D5673" t="s">
        <v>19067</v>
      </c>
      <c r="E5673">
        <v>2</v>
      </c>
      <c r="F5673" t="s">
        <v>19068</v>
      </c>
      <c r="G5673" t="s">
        <v>19036</v>
      </c>
      <c r="H5673" t="str">
        <f>"0050756"</f>
        <v>0050756</v>
      </c>
    </row>
    <row r="5674" spans="1:8">
      <c r="A5674" t="str">
        <f>"0137369 "</f>
        <v xml:space="preserve">0137369 </v>
      </c>
      <c r="B5674" t="s">
        <v>19033</v>
      </c>
      <c r="C5674" t="str">
        <f>"0137369"</f>
        <v>0137369</v>
      </c>
      <c r="D5674" t="s">
        <v>19069</v>
      </c>
      <c r="E5674" t="s">
        <v>16</v>
      </c>
      <c r="F5674" t="s">
        <v>19070</v>
      </c>
      <c r="G5674" t="s">
        <v>19036</v>
      </c>
      <c r="H5674" t="str">
        <f>"0137369"</f>
        <v>0137369</v>
      </c>
    </row>
    <row r="5675" spans="1:8">
      <c r="A5675" t="str">
        <f>"0153917 "</f>
        <v xml:space="preserve">0153917 </v>
      </c>
      <c r="B5675" t="s">
        <v>19033</v>
      </c>
      <c r="C5675" t="str">
        <f>"0153917"</f>
        <v>0153917</v>
      </c>
      <c r="D5675" t="s">
        <v>19071</v>
      </c>
      <c r="E5675">
        <v>3</v>
      </c>
      <c r="F5675" t="s">
        <v>19072</v>
      </c>
      <c r="G5675" t="s">
        <v>19036</v>
      </c>
      <c r="H5675" t="str">
        <f>"0153917"</f>
        <v>0153917</v>
      </c>
    </row>
    <row r="5676" spans="1:8">
      <c r="A5676" t="str">
        <f>"0153918 "</f>
        <v xml:space="preserve">0153918 </v>
      </c>
      <c r="B5676" t="s">
        <v>19033</v>
      </c>
      <c r="C5676" t="str">
        <f>"0153918"</f>
        <v>0153918</v>
      </c>
      <c r="D5676" t="s">
        <v>19073</v>
      </c>
      <c r="E5676">
        <v>4</v>
      </c>
      <c r="F5676" t="s">
        <v>19074</v>
      </c>
      <c r="G5676" t="s">
        <v>19036</v>
      </c>
      <c r="H5676" t="str">
        <f>"0153918"</f>
        <v>0153918</v>
      </c>
    </row>
    <row r="5677" spans="1:8">
      <c r="A5677" t="str">
        <f>"0012274 "</f>
        <v xml:space="preserve">0012274 </v>
      </c>
      <c r="B5677" t="s">
        <v>19033</v>
      </c>
      <c r="C5677">
        <v>150017</v>
      </c>
      <c r="D5677" t="s">
        <v>19075</v>
      </c>
      <c r="E5677" t="s">
        <v>16</v>
      </c>
      <c r="F5677" t="s">
        <v>19076</v>
      </c>
      <c r="G5677" t="s">
        <v>19077</v>
      </c>
      <c r="H5677">
        <v>150017</v>
      </c>
    </row>
    <row r="5678" spans="1:8">
      <c r="A5678" t="str">
        <f>"0153937 "</f>
        <v xml:space="preserve">0153937 </v>
      </c>
      <c r="B5678" t="s">
        <v>19033</v>
      </c>
      <c r="C5678" t="s">
        <v>19078</v>
      </c>
      <c r="D5678" t="s">
        <v>19079</v>
      </c>
      <c r="E5678">
        <v>1</v>
      </c>
      <c r="F5678" t="s">
        <v>4967</v>
      </c>
      <c r="G5678" t="s">
        <v>19077</v>
      </c>
      <c r="H5678" t="s">
        <v>19078</v>
      </c>
    </row>
    <row r="5679" spans="1:8">
      <c r="A5679" t="str">
        <f>"0012269 "</f>
        <v xml:space="preserve">0012269 </v>
      </c>
      <c r="B5679" t="s">
        <v>19033</v>
      </c>
      <c r="C5679">
        <v>150030</v>
      </c>
      <c r="D5679" t="s">
        <v>19080</v>
      </c>
      <c r="E5679" t="s">
        <v>16</v>
      </c>
      <c r="F5679" t="s">
        <v>19081</v>
      </c>
      <c r="G5679" t="s">
        <v>19077</v>
      </c>
      <c r="H5679">
        <v>150030</v>
      </c>
    </row>
    <row r="5680" spans="1:8">
      <c r="A5680" t="str">
        <f>"0203629 "</f>
        <v xml:space="preserve">0203629 </v>
      </c>
      <c r="B5680" t="s">
        <v>19033</v>
      </c>
      <c r="C5680">
        <v>203629</v>
      </c>
      <c r="D5680" t="s">
        <v>19082</v>
      </c>
      <c r="E5680">
        <v>1</v>
      </c>
      <c r="F5680" t="s">
        <v>19083</v>
      </c>
      <c r="G5680" t="s">
        <v>19036</v>
      </c>
      <c r="H5680">
        <v>203629</v>
      </c>
    </row>
    <row r="5681" spans="1:9">
      <c r="A5681" t="str">
        <f>"0231291 "</f>
        <v xml:space="preserve">0231291 </v>
      </c>
      <c r="B5681" t="s">
        <v>19033</v>
      </c>
      <c r="C5681">
        <v>231291</v>
      </c>
      <c r="D5681" t="s">
        <v>19084</v>
      </c>
      <c r="E5681">
        <v>1</v>
      </c>
      <c r="F5681" t="s">
        <v>19085</v>
      </c>
      <c r="G5681" t="s">
        <v>19036</v>
      </c>
      <c r="H5681">
        <v>231291</v>
      </c>
    </row>
    <row r="5682" spans="1:9">
      <c r="A5682" t="str">
        <f>"0153284 "</f>
        <v xml:space="preserve">0153284 </v>
      </c>
      <c r="B5682" t="s">
        <v>19033</v>
      </c>
      <c r="C5682" t="s">
        <v>19086</v>
      </c>
      <c r="D5682" t="s">
        <v>19087</v>
      </c>
      <c r="E5682" t="s">
        <v>16</v>
      </c>
      <c r="F5682" t="s">
        <v>19088</v>
      </c>
      <c r="G5682" t="s">
        <v>19036</v>
      </c>
      <c r="H5682" t="s">
        <v>19086</v>
      </c>
    </row>
    <row r="5683" spans="1:9">
      <c r="A5683" t="str">
        <f>"0153285 "</f>
        <v xml:space="preserve">0153285 </v>
      </c>
      <c r="B5683" t="s">
        <v>19033</v>
      </c>
      <c r="C5683" t="s">
        <v>19089</v>
      </c>
      <c r="D5683" t="s">
        <v>19090</v>
      </c>
      <c r="E5683" t="s">
        <v>16</v>
      </c>
      <c r="F5683" t="s">
        <v>19091</v>
      </c>
      <c r="G5683" t="s">
        <v>19036</v>
      </c>
      <c r="H5683" t="s">
        <v>19089</v>
      </c>
    </row>
    <row r="5684" spans="1:9">
      <c r="A5684" t="str">
        <f>"0257662 "</f>
        <v xml:space="preserve">0257662 </v>
      </c>
      <c r="B5684" t="s">
        <v>19092</v>
      </c>
      <c r="C5684" t="s">
        <v>19093</v>
      </c>
      <c r="D5684" t="s">
        <v>19094</v>
      </c>
      <c r="E5684">
        <v>4</v>
      </c>
      <c r="F5684" t="s">
        <v>19095</v>
      </c>
      <c r="G5684" t="s">
        <v>19092</v>
      </c>
      <c r="H5684" t="s">
        <v>19093</v>
      </c>
      <c r="I5684" t="s">
        <v>19096</v>
      </c>
    </row>
    <row r="5685" spans="1:9">
      <c r="A5685" t="str">
        <f>"0257685 "</f>
        <v xml:space="preserve">0257685 </v>
      </c>
      <c r="B5685" t="s">
        <v>19092</v>
      </c>
      <c r="C5685" t="s">
        <v>19097</v>
      </c>
      <c r="D5685" t="s">
        <v>19098</v>
      </c>
      <c r="E5685">
        <v>1</v>
      </c>
      <c r="F5685" t="s">
        <v>19099</v>
      </c>
      <c r="G5685" t="s">
        <v>19092</v>
      </c>
      <c r="H5685" t="s">
        <v>19097</v>
      </c>
      <c r="I5685" t="s">
        <v>19100</v>
      </c>
    </row>
    <row r="5686" spans="1:9">
      <c r="A5686" t="str">
        <f>"0257671 "</f>
        <v xml:space="preserve">0257671 </v>
      </c>
      <c r="B5686" t="s">
        <v>19092</v>
      </c>
      <c r="C5686" t="s">
        <v>19101</v>
      </c>
      <c r="D5686" t="s">
        <v>19102</v>
      </c>
      <c r="E5686">
        <v>5</v>
      </c>
      <c r="F5686" t="s">
        <v>19103</v>
      </c>
      <c r="G5686" t="s">
        <v>19092</v>
      </c>
      <c r="H5686" t="s">
        <v>19101</v>
      </c>
      <c r="I5686" t="s">
        <v>19104</v>
      </c>
    </row>
    <row r="5687" spans="1:9">
      <c r="A5687" t="str">
        <f>"0257688 "</f>
        <v xml:space="preserve">0257688 </v>
      </c>
      <c r="B5687" t="s">
        <v>19092</v>
      </c>
      <c r="C5687" t="s">
        <v>19105</v>
      </c>
      <c r="D5687" t="s">
        <v>19106</v>
      </c>
      <c r="E5687">
        <v>2</v>
      </c>
      <c r="F5687" t="s">
        <v>19107</v>
      </c>
      <c r="G5687" t="s">
        <v>19092</v>
      </c>
      <c r="H5687" t="s">
        <v>19105</v>
      </c>
      <c r="I5687" t="s">
        <v>19108</v>
      </c>
    </row>
    <row r="5688" spans="1:9">
      <c r="A5688" t="str">
        <f>"0257692 "</f>
        <v xml:space="preserve">0257692 </v>
      </c>
      <c r="B5688" t="s">
        <v>19092</v>
      </c>
      <c r="C5688" t="s">
        <v>19109</v>
      </c>
      <c r="D5688" t="s">
        <v>19110</v>
      </c>
      <c r="E5688">
        <v>2</v>
      </c>
      <c r="F5688" t="s">
        <v>19111</v>
      </c>
      <c r="G5688" t="s">
        <v>19092</v>
      </c>
      <c r="H5688" t="s">
        <v>19109</v>
      </c>
      <c r="I5688" t="s">
        <v>19112</v>
      </c>
    </row>
    <row r="5689" spans="1:9">
      <c r="A5689" t="str">
        <f>"0257686 "</f>
        <v xml:space="preserve">0257686 </v>
      </c>
      <c r="B5689" t="s">
        <v>19092</v>
      </c>
      <c r="C5689" t="s">
        <v>19113</v>
      </c>
      <c r="D5689" t="s">
        <v>19114</v>
      </c>
      <c r="E5689">
        <v>1</v>
      </c>
      <c r="F5689" t="s">
        <v>19115</v>
      </c>
      <c r="G5689" t="s">
        <v>19092</v>
      </c>
      <c r="H5689" t="s">
        <v>19113</v>
      </c>
      <c r="I5689" t="s">
        <v>19116</v>
      </c>
    </row>
    <row r="5690" spans="1:9">
      <c r="A5690" t="str">
        <f>"0257661 "</f>
        <v xml:space="preserve">0257661 </v>
      </c>
      <c r="B5690" t="s">
        <v>19092</v>
      </c>
      <c r="C5690" t="s">
        <v>19117</v>
      </c>
      <c r="D5690" t="s">
        <v>19118</v>
      </c>
      <c r="E5690" t="s">
        <v>16</v>
      </c>
      <c r="F5690" t="s">
        <v>19119</v>
      </c>
      <c r="G5690" t="s">
        <v>19092</v>
      </c>
      <c r="H5690" t="s">
        <v>19117</v>
      </c>
      <c r="I5690" t="s">
        <v>19120</v>
      </c>
    </row>
    <row r="5691" spans="1:9">
      <c r="A5691" t="str">
        <f>"0269169 "</f>
        <v xml:space="preserve">0269169 </v>
      </c>
      <c r="B5691" t="s">
        <v>19092</v>
      </c>
      <c r="C5691" t="s">
        <v>19121</v>
      </c>
      <c r="D5691" t="s">
        <v>19122</v>
      </c>
      <c r="E5691" t="s">
        <v>16</v>
      </c>
      <c r="F5691" t="s">
        <v>19123</v>
      </c>
      <c r="G5691" t="s">
        <v>19092</v>
      </c>
      <c r="H5691" t="s">
        <v>19121</v>
      </c>
      <c r="I5691" t="s">
        <v>19124</v>
      </c>
    </row>
    <row r="5692" spans="1:9">
      <c r="A5692" t="str">
        <f>"0257673 "</f>
        <v xml:space="preserve">0257673 </v>
      </c>
      <c r="B5692" t="s">
        <v>19092</v>
      </c>
      <c r="C5692" t="s">
        <v>19125</v>
      </c>
      <c r="D5692" t="s">
        <v>19126</v>
      </c>
      <c r="E5692">
        <v>3</v>
      </c>
      <c r="F5692" t="s">
        <v>19127</v>
      </c>
      <c r="G5692" t="s">
        <v>19092</v>
      </c>
      <c r="H5692" t="s">
        <v>19125</v>
      </c>
      <c r="I5692" t="s">
        <v>19128</v>
      </c>
    </row>
    <row r="5693" spans="1:9">
      <c r="A5693" t="str">
        <f>"0257663 "</f>
        <v xml:space="preserve">0257663 </v>
      </c>
      <c r="B5693" t="s">
        <v>19092</v>
      </c>
      <c r="C5693" t="s">
        <v>19129</v>
      </c>
      <c r="D5693" t="s">
        <v>19130</v>
      </c>
      <c r="E5693">
        <v>4</v>
      </c>
      <c r="F5693" t="s">
        <v>19131</v>
      </c>
      <c r="G5693" t="s">
        <v>19092</v>
      </c>
      <c r="H5693" t="s">
        <v>19129</v>
      </c>
      <c r="I5693" t="s">
        <v>19132</v>
      </c>
    </row>
    <row r="5694" spans="1:9">
      <c r="A5694" t="str">
        <f>"0257683 "</f>
        <v xml:space="preserve">0257683 </v>
      </c>
      <c r="B5694" t="s">
        <v>19092</v>
      </c>
      <c r="C5694" t="s">
        <v>19133</v>
      </c>
      <c r="D5694" t="s">
        <v>19134</v>
      </c>
      <c r="E5694">
        <v>2</v>
      </c>
      <c r="F5694" t="s">
        <v>19135</v>
      </c>
      <c r="G5694" t="s">
        <v>19092</v>
      </c>
      <c r="H5694" t="s">
        <v>19133</v>
      </c>
      <c r="I5694" t="s">
        <v>19136</v>
      </c>
    </row>
    <row r="5695" spans="1:9">
      <c r="A5695" t="str">
        <f>"0257675 "</f>
        <v xml:space="preserve">0257675 </v>
      </c>
      <c r="B5695" t="s">
        <v>19092</v>
      </c>
      <c r="C5695" t="s">
        <v>19137</v>
      </c>
      <c r="D5695" t="s">
        <v>19138</v>
      </c>
      <c r="E5695">
        <v>4</v>
      </c>
      <c r="F5695" t="s">
        <v>19139</v>
      </c>
      <c r="G5695" t="s">
        <v>19092</v>
      </c>
      <c r="H5695" t="s">
        <v>19137</v>
      </c>
      <c r="I5695" t="s">
        <v>19140</v>
      </c>
    </row>
    <row r="5696" spans="1:9">
      <c r="A5696" t="str">
        <f>"0257684 "</f>
        <v xml:space="preserve">0257684 </v>
      </c>
      <c r="B5696" t="s">
        <v>19092</v>
      </c>
      <c r="C5696" t="s">
        <v>19141</v>
      </c>
      <c r="D5696" t="s">
        <v>19142</v>
      </c>
      <c r="E5696">
        <v>1</v>
      </c>
      <c r="F5696" t="s">
        <v>19143</v>
      </c>
      <c r="G5696" t="s">
        <v>19092</v>
      </c>
      <c r="H5696" t="s">
        <v>19141</v>
      </c>
      <c r="I5696" t="s">
        <v>19144</v>
      </c>
    </row>
    <row r="5697" spans="1:9">
      <c r="A5697" t="str">
        <f>"0257690 "</f>
        <v xml:space="preserve">0257690 </v>
      </c>
      <c r="B5697" t="s">
        <v>19092</v>
      </c>
      <c r="C5697" t="s">
        <v>19145</v>
      </c>
      <c r="D5697" t="s">
        <v>19146</v>
      </c>
      <c r="E5697">
        <v>3</v>
      </c>
      <c r="F5697" t="s">
        <v>19147</v>
      </c>
      <c r="G5697" t="s">
        <v>19092</v>
      </c>
      <c r="H5697" t="s">
        <v>19145</v>
      </c>
      <c r="I5697" t="s">
        <v>19148</v>
      </c>
    </row>
    <row r="5698" spans="1:9">
      <c r="A5698" t="str">
        <f>"0257691 "</f>
        <v xml:space="preserve">0257691 </v>
      </c>
      <c r="B5698" t="s">
        <v>19092</v>
      </c>
      <c r="C5698" t="s">
        <v>19149</v>
      </c>
      <c r="D5698" t="s">
        <v>19150</v>
      </c>
      <c r="E5698">
        <v>3</v>
      </c>
      <c r="F5698" t="s">
        <v>19151</v>
      </c>
      <c r="G5698" t="s">
        <v>19092</v>
      </c>
      <c r="H5698" t="s">
        <v>19149</v>
      </c>
      <c r="I5698" t="s">
        <v>19152</v>
      </c>
    </row>
    <row r="5699" spans="1:9">
      <c r="A5699" t="str">
        <f>"0257674 "</f>
        <v xml:space="preserve">0257674 </v>
      </c>
      <c r="B5699" t="s">
        <v>19092</v>
      </c>
      <c r="C5699" t="s">
        <v>19153</v>
      </c>
      <c r="D5699" t="s">
        <v>19154</v>
      </c>
      <c r="E5699">
        <v>4</v>
      </c>
      <c r="F5699" t="s">
        <v>19155</v>
      </c>
      <c r="G5699" t="s">
        <v>19092</v>
      </c>
      <c r="H5699" t="s">
        <v>19153</v>
      </c>
      <c r="I5699" t="s">
        <v>19156</v>
      </c>
    </row>
    <row r="5700" spans="1:9">
      <c r="A5700" t="str">
        <f>"0257639 "</f>
        <v xml:space="preserve">0257639 </v>
      </c>
      <c r="B5700" t="s">
        <v>19092</v>
      </c>
      <c r="C5700" t="s">
        <v>19157</v>
      </c>
      <c r="D5700" t="s">
        <v>19158</v>
      </c>
      <c r="E5700">
        <v>3</v>
      </c>
      <c r="F5700" t="s">
        <v>15199</v>
      </c>
      <c r="G5700" t="s">
        <v>19092</v>
      </c>
      <c r="H5700" t="s">
        <v>19157</v>
      </c>
      <c r="I5700" t="s">
        <v>19159</v>
      </c>
    </row>
    <row r="5701" spans="1:9">
      <c r="A5701" t="str">
        <f>"0267437 "</f>
        <v xml:space="preserve">0267437 </v>
      </c>
      <c r="B5701" t="s">
        <v>19092</v>
      </c>
      <c r="C5701" t="s">
        <v>19160</v>
      </c>
      <c r="D5701" t="s">
        <v>19094</v>
      </c>
      <c r="E5701">
        <v>2</v>
      </c>
      <c r="F5701" t="s">
        <v>19161</v>
      </c>
      <c r="G5701" t="s">
        <v>19092</v>
      </c>
      <c r="H5701" t="s">
        <v>19160</v>
      </c>
      <c r="I5701" t="s">
        <v>19162</v>
      </c>
    </row>
    <row r="5702" spans="1:9">
      <c r="A5702" t="str">
        <f>"0257670 "</f>
        <v xml:space="preserve">0257670 </v>
      </c>
      <c r="B5702" t="s">
        <v>19092</v>
      </c>
      <c r="C5702" t="s">
        <v>19163</v>
      </c>
      <c r="D5702" t="s">
        <v>19164</v>
      </c>
      <c r="E5702">
        <v>2</v>
      </c>
      <c r="F5702" t="s">
        <v>19165</v>
      </c>
      <c r="G5702" t="s">
        <v>19092</v>
      </c>
      <c r="H5702" t="s">
        <v>19163</v>
      </c>
      <c r="I5702" t="s">
        <v>19166</v>
      </c>
    </row>
    <row r="5703" spans="1:9">
      <c r="A5703" t="str">
        <f>"0257681 "</f>
        <v xml:space="preserve">0257681 </v>
      </c>
      <c r="B5703" t="s">
        <v>19092</v>
      </c>
      <c r="C5703" t="s">
        <v>19167</v>
      </c>
      <c r="D5703" t="s">
        <v>19168</v>
      </c>
      <c r="E5703">
        <v>2</v>
      </c>
      <c r="F5703" t="s">
        <v>19169</v>
      </c>
      <c r="G5703" t="s">
        <v>19092</v>
      </c>
      <c r="H5703" t="s">
        <v>19167</v>
      </c>
      <c r="I5703" t="s">
        <v>19170</v>
      </c>
    </row>
    <row r="5704" spans="1:9">
      <c r="A5704" t="str">
        <f>"0257669 "</f>
        <v xml:space="preserve">0257669 </v>
      </c>
      <c r="B5704" t="s">
        <v>19092</v>
      </c>
      <c r="C5704" t="s">
        <v>19171</v>
      </c>
      <c r="D5704" t="s">
        <v>19172</v>
      </c>
      <c r="E5704">
        <v>5</v>
      </c>
      <c r="F5704" t="s">
        <v>19155</v>
      </c>
      <c r="G5704" t="s">
        <v>19092</v>
      </c>
      <c r="H5704" t="s">
        <v>19171</v>
      </c>
      <c r="I5704" t="s">
        <v>19173</v>
      </c>
    </row>
    <row r="5705" spans="1:9">
      <c r="A5705" t="str">
        <f>"0257640 "</f>
        <v xml:space="preserve">0257640 </v>
      </c>
      <c r="B5705" t="s">
        <v>19092</v>
      </c>
      <c r="C5705" t="s">
        <v>19174</v>
      </c>
      <c r="D5705" t="s">
        <v>19175</v>
      </c>
      <c r="E5705">
        <v>5</v>
      </c>
      <c r="F5705" t="s">
        <v>19176</v>
      </c>
      <c r="G5705" t="s">
        <v>19092</v>
      </c>
      <c r="H5705" t="s">
        <v>19174</v>
      </c>
      <c r="I5705" t="s">
        <v>19177</v>
      </c>
    </row>
    <row r="5706" spans="1:9">
      <c r="A5706" t="str">
        <f>"0257687 "</f>
        <v xml:space="preserve">0257687 </v>
      </c>
      <c r="B5706" t="s">
        <v>19092</v>
      </c>
      <c r="C5706" t="s">
        <v>19178</v>
      </c>
      <c r="D5706" t="s">
        <v>19179</v>
      </c>
      <c r="E5706">
        <v>1</v>
      </c>
      <c r="F5706" t="s">
        <v>19180</v>
      </c>
      <c r="G5706" t="s">
        <v>19092</v>
      </c>
      <c r="H5706" t="s">
        <v>19178</v>
      </c>
      <c r="I5706" t="s">
        <v>19181</v>
      </c>
    </row>
    <row r="5707" spans="1:9">
      <c r="A5707" t="str">
        <f>"0257665 "</f>
        <v xml:space="preserve">0257665 </v>
      </c>
      <c r="B5707" t="s">
        <v>19092</v>
      </c>
      <c r="C5707" t="s">
        <v>19182</v>
      </c>
      <c r="D5707" t="s">
        <v>19183</v>
      </c>
      <c r="E5707">
        <v>2</v>
      </c>
      <c r="F5707" t="s">
        <v>19184</v>
      </c>
      <c r="G5707" t="s">
        <v>19092</v>
      </c>
      <c r="H5707" t="s">
        <v>19182</v>
      </c>
      <c r="I5707" t="s">
        <v>19185</v>
      </c>
    </row>
    <row r="5708" spans="1:9">
      <c r="A5708" t="str">
        <f>"0257708 "</f>
        <v xml:space="preserve">0257708 </v>
      </c>
      <c r="B5708" t="s">
        <v>19092</v>
      </c>
      <c r="C5708" t="s">
        <v>19186</v>
      </c>
      <c r="D5708" t="s">
        <v>19187</v>
      </c>
      <c r="E5708">
        <v>1</v>
      </c>
      <c r="F5708" t="s">
        <v>19188</v>
      </c>
      <c r="G5708" t="s">
        <v>19092</v>
      </c>
      <c r="H5708" t="s">
        <v>19186</v>
      </c>
      <c r="I5708" t="s">
        <v>19189</v>
      </c>
    </row>
    <row r="5709" spans="1:9">
      <c r="A5709" t="str">
        <f>"0257704 "</f>
        <v xml:space="preserve">0257704 </v>
      </c>
      <c r="B5709" t="s">
        <v>19092</v>
      </c>
      <c r="C5709" t="s">
        <v>19190</v>
      </c>
      <c r="D5709" t="s">
        <v>19191</v>
      </c>
      <c r="E5709">
        <v>2</v>
      </c>
      <c r="F5709" t="s">
        <v>19192</v>
      </c>
      <c r="G5709" t="s">
        <v>19092</v>
      </c>
      <c r="H5709" t="s">
        <v>19190</v>
      </c>
      <c r="I5709" t="s">
        <v>19193</v>
      </c>
    </row>
    <row r="5710" spans="1:9">
      <c r="A5710" t="str">
        <f>"0257668 "</f>
        <v xml:space="preserve">0257668 </v>
      </c>
      <c r="B5710" t="s">
        <v>19092</v>
      </c>
      <c r="C5710" t="s">
        <v>19194</v>
      </c>
      <c r="D5710" t="s">
        <v>19195</v>
      </c>
      <c r="E5710">
        <v>1</v>
      </c>
      <c r="F5710" t="s">
        <v>19196</v>
      </c>
      <c r="G5710" t="s">
        <v>19092</v>
      </c>
      <c r="H5710" t="s">
        <v>19194</v>
      </c>
      <c r="I5710" t="s">
        <v>19197</v>
      </c>
    </row>
    <row r="5711" spans="1:9">
      <c r="A5711" t="str">
        <f>"0257709 "</f>
        <v xml:space="preserve">0257709 </v>
      </c>
      <c r="B5711" t="s">
        <v>19092</v>
      </c>
      <c r="C5711" t="s">
        <v>19198</v>
      </c>
      <c r="D5711" t="s">
        <v>19199</v>
      </c>
      <c r="E5711">
        <v>2</v>
      </c>
      <c r="F5711" t="s">
        <v>19200</v>
      </c>
      <c r="G5711" t="s">
        <v>19092</v>
      </c>
      <c r="H5711" t="s">
        <v>19198</v>
      </c>
      <c r="I5711" t="s">
        <v>19201</v>
      </c>
    </row>
    <row r="5712" spans="1:9">
      <c r="A5712" t="str">
        <f>"0257698 "</f>
        <v xml:space="preserve">0257698 </v>
      </c>
      <c r="B5712" t="s">
        <v>19092</v>
      </c>
      <c r="C5712" t="s">
        <v>19202</v>
      </c>
      <c r="D5712" t="s">
        <v>19203</v>
      </c>
      <c r="E5712">
        <v>2</v>
      </c>
      <c r="F5712" t="s">
        <v>19204</v>
      </c>
      <c r="G5712" t="s">
        <v>19092</v>
      </c>
      <c r="H5712" t="s">
        <v>19202</v>
      </c>
      <c r="I5712" t="s">
        <v>19205</v>
      </c>
    </row>
    <row r="5713" spans="1:9">
      <c r="A5713" t="str">
        <f>"0257706 "</f>
        <v xml:space="preserve">0257706 </v>
      </c>
      <c r="B5713" t="s">
        <v>19092</v>
      </c>
      <c r="C5713" t="s">
        <v>19206</v>
      </c>
      <c r="D5713" t="s">
        <v>19207</v>
      </c>
      <c r="E5713">
        <v>2</v>
      </c>
      <c r="F5713" t="s">
        <v>19208</v>
      </c>
      <c r="G5713" t="s">
        <v>19092</v>
      </c>
      <c r="H5713" t="s">
        <v>19206</v>
      </c>
      <c r="I5713" t="s">
        <v>19209</v>
      </c>
    </row>
    <row r="5714" spans="1:9">
      <c r="A5714" t="str">
        <f>"0257694 "</f>
        <v xml:space="preserve">0257694 </v>
      </c>
      <c r="B5714" t="s">
        <v>19092</v>
      </c>
      <c r="C5714" t="s">
        <v>19210</v>
      </c>
      <c r="D5714" t="s">
        <v>19211</v>
      </c>
      <c r="E5714">
        <v>1</v>
      </c>
      <c r="F5714" t="s">
        <v>19212</v>
      </c>
      <c r="G5714" t="s">
        <v>19092</v>
      </c>
      <c r="H5714" t="s">
        <v>19210</v>
      </c>
      <c r="I5714" t="s">
        <v>19213</v>
      </c>
    </row>
    <row r="5715" spans="1:9">
      <c r="A5715" t="str">
        <f>"0257707 "</f>
        <v xml:space="preserve">0257707 </v>
      </c>
      <c r="B5715" t="s">
        <v>19092</v>
      </c>
      <c r="C5715" t="s">
        <v>19214</v>
      </c>
      <c r="D5715" t="s">
        <v>19215</v>
      </c>
      <c r="E5715">
        <v>1</v>
      </c>
      <c r="F5715" t="s">
        <v>1302</v>
      </c>
      <c r="G5715" t="s">
        <v>19092</v>
      </c>
      <c r="H5715" t="s">
        <v>19214</v>
      </c>
      <c r="I5715" t="s">
        <v>19216</v>
      </c>
    </row>
    <row r="5716" spans="1:9">
      <c r="A5716" t="str">
        <f>"0257700 "</f>
        <v xml:space="preserve">0257700 </v>
      </c>
      <c r="B5716" t="s">
        <v>19092</v>
      </c>
      <c r="C5716" t="s">
        <v>19217</v>
      </c>
      <c r="D5716" t="s">
        <v>19218</v>
      </c>
      <c r="E5716">
        <v>2</v>
      </c>
      <c r="F5716" t="s">
        <v>15053</v>
      </c>
      <c r="G5716" t="s">
        <v>19092</v>
      </c>
      <c r="H5716" t="s">
        <v>19217</v>
      </c>
      <c r="I5716" t="s">
        <v>19219</v>
      </c>
    </row>
    <row r="5717" spans="1:9">
      <c r="A5717" t="str">
        <f>"0257702 "</f>
        <v xml:space="preserve">0257702 </v>
      </c>
      <c r="B5717" t="s">
        <v>19092</v>
      </c>
      <c r="C5717" t="s">
        <v>19220</v>
      </c>
      <c r="D5717" t="s">
        <v>19221</v>
      </c>
      <c r="E5717">
        <v>1</v>
      </c>
      <c r="F5717" t="s">
        <v>19222</v>
      </c>
      <c r="G5717" t="s">
        <v>19092</v>
      </c>
      <c r="H5717" t="s">
        <v>19220</v>
      </c>
      <c r="I5717" t="s">
        <v>19223</v>
      </c>
    </row>
    <row r="5718" spans="1:9">
      <c r="A5718" t="str">
        <f>"0257696 "</f>
        <v xml:space="preserve">0257696 </v>
      </c>
      <c r="B5718" t="s">
        <v>19092</v>
      </c>
      <c r="C5718" t="s">
        <v>19224</v>
      </c>
      <c r="D5718" t="s">
        <v>19225</v>
      </c>
      <c r="E5718">
        <v>2</v>
      </c>
      <c r="F5718" t="s">
        <v>19226</v>
      </c>
      <c r="G5718" t="s">
        <v>19092</v>
      </c>
      <c r="H5718" t="s">
        <v>19224</v>
      </c>
      <c r="I5718" t="s">
        <v>19227</v>
      </c>
    </row>
    <row r="5719" spans="1:9">
      <c r="A5719" t="str">
        <f>"0257697 "</f>
        <v xml:space="preserve">0257697 </v>
      </c>
      <c r="B5719" t="s">
        <v>19092</v>
      </c>
      <c r="C5719" t="s">
        <v>19228</v>
      </c>
      <c r="D5719" t="s">
        <v>19229</v>
      </c>
      <c r="E5719">
        <v>2</v>
      </c>
      <c r="F5719" t="s">
        <v>19230</v>
      </c>
      <c r="G5719" t="s">
        <v>19092</v>
      </c>
      <c r="H5719" t="s">
        <v>19228</v>
      </c>
      <c r="I5719" t="s">
        <v>19231</v>
      </c>
    </row>
    <row r="5720" spans="1:9">
      <c r="A5720" t="str">
        <f>"0257693 "</f>
        <v xml:space="preserve">0257693 </v>
      </c>
      <c r="B5720" t="s">
        <v>19092</v>
      </c>
      <c r="C5720" t="s">
        <v>19232</v>
      </c>
      <c r="D5720" t="s">
        <v>19233</v>
      </c>
      <c r="E5720">
        <v>2</v>
      </c>
      <c r="F5720" t="s">
        <v>19234</v>
      </c>
      <c r="G5720" t="s">
        <v>19092</v>
      </c>
      <c r="H5720" t="s">
        <v>19232</v>
      </c>
      <c r="I5720" t="s">
        <v>19235</v>
      </c>
    </row>
    <row r="5721" spans="1:9">
      <c r="A5721" t="str">
        <f>"0257703 "</f>
        <v xml:space="preserve">0257703 </v>
      </c>
      <c r="B5721" t="s">
        <v>19092</v>
      </c>
      <c r="C5721" t="s">
        <v>19236</v>
      </c>
      <c r="D5721" t="s">
        <v>19237</v>
      </c>
      <c r="E5721">
        <v>1</v>
      </c>
      <c r="F5721" t="s">
        <v>19238</v>
      </c>
      <c r="G5721" t="s">
        <v>19092</v>
      </c>
      <c r="H5721" t="s">
        <v>19236</v>
      </c>
      <c r="I5721" t="s">
        <v>19239</v>
      </c>
    </row>
    <row r="5722" spans="1:9">
      <c r="A5722" t="str">
        <f>"0257732 "</f>
        <v xml:space="preserve">0257732 </v>
      </c>
      <c r="B5722" t="s">
        <v>19092</v>
      </c>
      <c r="C5722" t="s">
        <v>19240</v>
      </c>
      <c r="D5722" t="s">
        <v>19241</v>
      </c>
      <c r="E5722" t="s">
        <v>16</v>
      </c>
      <c r="F5722" t="s">
        <v>19242</v>
      </c>
      <c r="G5722" t="s">
        <v>19092</v>
      </c>
      <c r="H5722" t="s">
        <v>19240</v>
      </c>
      <c r="I5722" t="s">
        <v>19243</v>
      </c>
    </row>
    <row r="5723" spans="1:9">
      <c r="A5723" t="str">
        <f>"0258011 "</f>
        <v xml:space="preserve">0258011 </v>
      </c>
      <c r="B5723" t="s">
        <v>19092</v>
      </c>
      <c r="C5723" t="s">
        <v>19244</v>
      </c>
      <c r="D5723" t="s">
        <v>19245</v>
      </c>
      <c r="E5723">
        <v>3</v>
      </c>
      <c r="F5723" t="s">
        <v>5109</v>
      </c>
      <c r="G5723" t="s">
        <v>19092</v>
      </c>
      <c r="H5723" t="s">
        <v>19244</v>
      </c>
      <c r="I5723" t="s">
        <v>19246</v>
      </c>
    </row>
    <row r="5724" spans="1:9">
      <c r="A5724" t="str">
        <f>"0258016 "</f>
        <v xml:space="preserve">0258016 </v>
      </c>
      <c r="B5724" t="s">
        <v>19092</v>
      </c>
      <c r="C5724" t="s">
        <v>19247</v>
      </c>
      <c r="D5724" t="s">
        <v>19248</v>
      </c>
      <c r="E5724">
        <v>1</v>
      </c>
      <c r="F5724" t="s">
        <v>19249</v>
      </c>
      <c r="G5724" t="s">
        <v>19092</v>
      </c>
      <c r="H5724" t="s">
        <v>19247</v>
      </c>
      <c r="I5724" t="s">
        <v>19250</v>
      </c>
    </row>
    <row r="5725" spans="1:9">
      <c r="A5725" t="str">
        <f>"0258037 "</f>
        <v xml:space="preserve">0258037 </v>
      </c>
      <c r="B5725" t="s">
        <v>19092</v>
      </c>
      <c r="C5725" t="s">
        <v>19251</v>
      </c>
      <c r="D5725" t="s">
        <v>19252</v>
      </c>
      <c r="E5725">
        <v>2</v>
      </c>
      <c r="F5725" t="s">
        <v>19253</v>
      </c>
      <c r="G5725" t="s">
        <v>19092</v>
      </c>
      <c r="H5725" t="s">
        <v>19251</v>
      </c>
      <c r="I5725" t="s">
        <v>19254</v>
      </c>
    </row>
    <row r="5726" spans="1:9">
      <c r="A5726" t="str">
        <f>"0258063 "</f>
        <v xml:space="preserve">0258063 </v>
      </c>
      <c r="B5726" t="s">
        <v>19092</v>
      </c>
      <c r="C5726" t="s">
        <v>19255</v>
      </c>
      <c r="D5726" t="s">
        <v>19256</v>
      </c>
      <c r="E5726">
        <v>5</v>
      </c>
      <c r="F5726" t="s">
        <v>19257</v>
      </c>
      <c r="G5726" t="s">
        <v>19092</v>
      </c>
      <c r="H5726" t="s">
        <v>19255</v>
      </c>
      <c r="I5726" t="s">
        <v>19258</v>
      </c>
    </row>
    <row r="5727" spans="1:9">
      <c r="A5727" t="str">
        <f>"0257731 "</f>
        <v xml:space="preserve">0257731 </v>
      </c>
      <c r="B5727" t="s">
        <v>19092</v>
      </c>
      <c r="C5727" t="s">
        <v>19259</v>
      </c>
      <c r="D5727" t="s">
        <v>19260</v>
      </c>
      <c r="E5727">
        <v>1</v>
      </c>
      <c r="F5727" t="s">
        <v>19261</v>
      </c>
      <c r="G5727" t="s">
        <v>19092</v>
      </c>
      <c r="H5727" t="s">
        <v>19259</v>
      </c>
      <c r="I5727" t="s">
        <v>19262</v>
      </c>
    </row>
    <row r="5728" spans="1:9">
      <c r="A5728" t="str">
        <f>"0258021 "</f>
        <v xml:space="preserve">0258021 </v>
      </c>
      <c r="B5728" t="s">
        <v>19092</v>
      </c>
      <c r="C5728" t="s">
        <v>19263</v>
      </c>
      <c r="D5728" t="s">
        <v>19264</v>
      </c>
      <c r="E5728">
        <v>1</v>
      </c>
      <c r="F5728" t="s">
        <v>19265</v>
      </c>
      <c r="G5728" t="s">
        <v>19092</v>
      </c>
      <c r="H5728" t="s">
        <v>19263</v>
      </c>
      <c r="I5728" t="s">
        <v>19266</v>
      </c>
    </row>
    <row r="5729" spans="1:9">
      <c r="A5729" t="str">
        <f>"0258008 "</f>
        <v xml:space="preserve">0258008 </v>
      </c>
      <c r="B5729" t="s">
        <v>19092</v>
      </c>
      <c r="C5729" t="s">
        <v>19267</v>
      </c>
      <c r="D5729" t="s">
        <v>19268</v>
      </c>
      <c r="E5729">
        <v>3</v>
      </c>
      <c r="F5729" t="s">
        <v>19269</v>
      </c>
      <c r="G5729" t="s">
        <v>19092</v>
      </c>
      <c r="H5729" t="s">
        <v>19267</v>
      </c>
      <c r="I5729" t="s">
        <v>19270</v>
      </c>
    </row>
    <row r="5730" spans="1:9">
      <c r="A5730" t="str">
        <f>"0258045 "</f>
        <v xml:space="preserve">0258045 </v>
      </c>
      <c r="B5730" t="s">
        <v>19092</v>
      </c>
      <c r="C5730" t="s">
        <v>19271</v>
      </c>
      <c r="D5730" t="s">
        <v>19272</v>
      </c>
      <c r="E5730">
        <v>5</v>
      </c>
      <c r="F5730" t="s">
        <v>19273</v>
      </c>
      <c r="G5730" t="s">
        <v>19092</v>
      </c>
      <c r="H5730" t="s">
        <v>19271</v>
      </c>
      <c r="I5730" t="s">
        <v>19274</v>
      </c>
    </row>
    <row r="5731" spans="1:9">
      <c r="A5731" t="str">
        <f>"0258024 "</f>
        <v xml:space="preserve">0258024 </v>
      </c>
      <c r="B5731" t="s">
        <v>19092</v>
      </c>
      <c r="C5731" t="s">
        <v>19275</v>
      </c>
      <c r="D5731" t="s">
        <v>19276</v>
      </c>
      <c r="E5731">
        <v>5</v>
      </c>
      <c r="F5731" t="s">
        <v>19277</v>
      </c>
      <c r="G5731" t="s">
        <v>19092</v>
      </c>
      <c r="H5731" t="s">
        <v>19275</v>
      </c>
      <c r="I5731" t="s">
        <v>19278</v>
      </c>
    </row>
    <row r="5732" spans="1:9">
      <c r="A5732" t="str">
        <f>"0258033 "</f>
        <v xml:space="preserve">0258033 </v>
      </c>
      <c r="B5732" t="s">
        <v>19092</v>
      </c>
      <c r="C5732" t="s">
        <v>19279</v>
      </c>
      <c r="D5732" t="s">
        <v>19280</v>
      </c>
      <c r="E5732">
        <v>2</v>
      </c>
      <c r="F5732" t="s">
        <v>19281</v>
      </c>
      <c r="G5732" t="s">
        <v>19092</v>
      </c>
      <c r="H5732" t="s">
        <v>19279</v>
      </c>
      <c r="I5732" t="s">
        <v>19282</v>
      </c>
    </row>
    <row r="5733" spans="1:9">
      <c r="A5733" t="str">
        <f>"0258057 "</f>
        <v xml:space="preserve">0258057 </v>
      </c>
      <c r="B5733" t="s">
        <v>19092</v>
      </c>
      <c r="C5733" t="s">
        <v>19283</v>
      </c>
      <c r="D5733" t="s">
        <v>19284</v>
      </c>
      <c r="E5733">
        <v>2</v>
      </c>
      <c r="F5733" t="s">
        <v>19285</v>
      </c>
      <c r="G5733" t="s">
        <v>19092</v>
      </c>
      <c r="H5733" t="s">
        <v>19283</v>
      </c>
      <c r="I5733" t="s">
        <v>19286</v>
      </c>
    </row>
    <row r="5734" spans="1:9">
      <c r="A5734" t="str">
        <f>"0258030 "</f>
        <v xml:space="preserve">0258030 </v>
      </c>
      <c r="B5734" t="s">
        <v>19092</v>
      </c>
      <c r="C5734" t="s">
        <v>19287</v>
      </c>
      <c r="D5734" t="s">
        <v>19288</v>
      </c>
      <c r="E5734">
        <v>2</v>
      </c>
      <c r="F5734" t="s">
        <v>19289</v>
      </c>
      <c r="G5734" t="s">
        <v>19092</v>
      </c>
      <c r="H5734" t="s">
        <v>19287</v>
      </c>
      <c r="I5734" t="s">
        <v>19290</v>
      </c>
    </row>
    <row r="5735" spans="1:9">
      <c r="A5735" t="str">
        <f>"0258034 "</f>
        <v xml:space="preserve">0258034 </v>
      </c>
      <c r="B5735" t="s">
        <v>19092</v>
      </c>
      <c r="C5735" t="s">
        <v>19291</v>
      </c>
      <c r="D5735" t="s">
        <v>19292</v>
      </c>
      <c r="E5735">
        <v>3</v>
      </c>
      <c r="F5735" t="s">
        <v>19293</v>
      </c>
      <c r="G5735" t="s">
        <v>19092</v>
      </c>
      <c r="H5735" t="s">
        <v>19291</v>
      </c>
      <c r="I5735" t="s">
        <v>19294</v>
      </c>
    </row>
    <row r="5736" spans="1:9">
      <c r="A5736" t="str">
        <f>"0258031 "</f>
        <v xml:space="preserve">0258031 </v>
      </c>
      <c r="B5736" t="s">
        <v>19092</v>
      </c>
      <c r="C5736" t="s">
        <v>19295</v>
      </c>
      <c r="D5736" t="s">
        <v>19296</v>
      </c>
      <c r="E5736">
        <v>5</v>
      </c>
      <c r="F5736" t="s">
        <v>19297</v>
      </c>
      <c r="G5736" t="s">
        <v>19092</v>
      </c>
      <c r="H5736" t="s">
        <v>19295</v>
      </c>
      <c r="I5736" t="s">
        <v>19298</v>
      </c>
    </row>
    <row r="5737" spans="1:9">
      <c r="A5737" t="str">
        <f>"0258036 "</f>
        <v xml:space="preserve">0258036 </v>
      </c>
      <c r="B5737" t="s">
        <v>19092</v>
      </c>
      <c r="C5737" t="s">
        <v>19299</v>
      </c>
      <c r="D5737" t="s">
        <v>19300</v>
      </c>
      <c r="E5737">
        <v>2</v>
      </c>
      <c r="F5737" t="s">
        <v>19301</v>
      </c>
      <c r="G5737" t="s">
        <v>19092</v>
      </c>
      <c r="H5737" t="s">
        <v>19299</v>
      </c>
      <c r="I5737" t="s">
        <v>19302</v>
      </c>
    </row>
    <row r="5738" spans="1:9">
      <c r="A5738" t="str">
        <f>"0258006 "</f>
        <v xml:space="preserve">0258006 </v>
      </c>
      <c r="B5738" t="s">
        <v>19092</v>
      </c>
      <c r="C5738" t="s">
        <v>19303</v>
      </c>
      <c r="D5738" t="s">
        <v>19304</v>
      </c>
      <c r="E5738">
        <v>1</v>
      </c>
      <c r="F5738" t="s">
        <v>19249</v>
      </c>
      <c r="G5738" t="s">
        <v>19092</v>
      </c>
      <c r="H5738" t="s">
        <v>19303</v>
      </c>
      <c r="I5738" t="s">
        <v>19305</v>
      </c>
    </row>
    <row r="5739" spans="1:9">
      <c r="A5739" t="str">
        <f>"0258040 "</f>
        <v xml:space="preserve">0258040 </v>
      </c>
      <c r="B5739" t="s">
        <v>19092</v>
      </c>
      <c r="C5739" t="s">
        <v>19306</v>
      </c>
      <c r="D5739" t="s">
        <v>19307</v>
      </c>
      <c r="E5739">
        <v>3</v>
      </c>
      <c r="F5739" t="s">
        <v>19308</v>
      </c>
      <c r="G5739" t="s">
        <v>19092</v>
      </c>
      <c r="H5739" t="s">
        <v>19306</v>
      </c>
      <c r="I5739" t="s">
        <v>19309</v>
      </c>
    </row>
    <row r="5740" spans="1:9">
      <c r="A5740" t="str">
        <f>"0258038 "</f>
        <v xml:space="preserve">0258038 </v>
      </c>
      <c r="B5740" t="s">
        <v>19092</v>
      </c>
      <c r="C5740" t="s">
        <v>19310</v>
      </c>
      <c r="D5740" t="s">
        <v>19311</v>
      </c>
      <c r="E5740">
        <v>2</v>
      </c>
      <c r="F5740" t="s">
        <v>19312</v>
      </c>
      <c r="G5740" t="s">
        <v>19092</v>
      </c>
      <c r="H5740" t="s">
        <v>19310</v>
      </c>
      <c r="I5740" t="s">
        <v>19313</v>
      </c>
    </row>
    <row r="5741" spans="1:9">
      <c r="A5741" t="str">
        <f>"0258039 "</f>
        <v xml:space="preserve">0258039 </v>
      </c>
      <c r="B5741" t="s">
        <v>19092</v>
      </c>
      <c r="C5741" t="s">
        <v>19314</v>
      </c>
      <c r="D5741" t="s">
        <v>19315</v>
      </c>
      <c r="E5741">
        <v>4</v>
      </c>
      <c r="F5741" t="s">
        <v>19095</v>
      </c>
      <c r="G5741" t="s">
        <v>19092</v>
      </c>
      <c r="H5741" t="s">
        <v>19314</v>
      </c>
      <c r="I5741" t="s">
        <v>19316</v>
      </c>
    </row>
    <row r="5742" spans="1:9">
      <c r="A5742" t="str">
        <f>"0258041 "</f>
        <v xml:space="preserve">0258041 </v>
      </c>
      <c r="B5742" t="s">
        <v>19092</v>
      </c>
      <c r="C5742" t="s">
        <v>19317</v>
      </c>
      <c r="D5742" t="s">
        <v>19318</v>
      </c>
      <c r="E5742" t="s">
        <v>16</v>
      </c>
      <c r="F5742" t="s">
        <v>19319</v>
      </c>
      <c r="G5742" t="s">
        <v>19092</v>
      </c>
      <c r="H5742" t="s">
        <v>19317</v>
      </c>
      <c r="I5742" t="s">
        <v>19320</v>
      </c>
    </row>
    <row r="5743" spans="1:9">
      <c r="A5743" t="str">
        <f>"0258023 "</f>
        <v xml:space="preserve">0258023 </v>
      </c>
      <c r="B5743" t="s">
        <v>19092</v>
      </c>
      <c r="C5743" t="s">
        <v>19321</v>
      </c>
      <c r="D5743" t="s">
        <v>19322</v>
      </c>
      <c r="E5743" t="s">
        <v>16</v>
      </c>
      <c r="F5743" t="s">
        <v>19176</v>
      </c>
      <c r="G5743" t="s">
        <v>19092</v>
      </c>
      <c r="H5743" t="s">
        <v>19321</v>
      </c>
      <c r="I5743" t="s">
        <v>19323</v>
      </c>
    </row>
    <row r="5744" spans="1:9">
      <c r="A5744" t="str">
        <f>"0258059 "</f>
        <v xml:space="preserve">0258059 </v>
      </c>
      <c r="B5744" t="s">
        <v>19092</v>
      </c>
      <c r="C5744" t="s">
        <v>19324</v>
      </c>
      <c r="D5744" t="s">
        <v>19325</v>
      </c>
      <c r="E5744">
        <v>2</v>
      </c>
      <c r="F5744" t="s">
        <v>19326</v>
      </c>
      <c r="G5744" t="s">
        <v>19092</v>
      </c>
      <c r="H5744" t="s">
        <v>19324</v>
      </c>
      <c r="I5744" t="s">
        <v>19327</v>
      </c>
    </row>
    <row r="5745" spans="1:9">
      <c r="A5745" t="str">
        <f>"0258013 "</f>
        <v xml:space="preserve">0258013 </v>
      </c>
      <c r="B5745" t="s">
        <v>19092</v>
      </c>
      <c r="C5745" t="s">
        <v>19328</v>
      </c>
      <c r="D5745" t="s">
        <v>19329</v>
      </c>
      <c r="E5745" t="s">
        <v>16</v>
      </c>
      <c r="F5745" t="s">
        <v>19330</v>
      </c>
      <c r="G5745" t="s">
        <v>19092</v>
      </c>
      <c r="H5745" t="s">
        <v>19328</v>
      </c>
      <c r="I5745" t="s">
        <v>19331</v>
      </c>
    </row>
    <row r="5746" spans="1:9">
      <c r="A5746" t="str">
        <f>"0258035 "</f>
        <v xml:space="preserve">0258035 </v>
      </c>
      <c r="B5746" t="s">
        <v>19092</v>
      </c>
      <c r="C5746" t="s">
        <v>19332</v>
      </c>
      <c r="D5746" t="s">
        <v>19333</v>
      </c>
      <c r="E5746">
        <v>2</v>
      </c>
      <c r="F5746" t="s">
        <v>19334</v>
      </c>
      <c r="G5746" t="s">
        <v>19092</v>
      </c>
      <c r="H5746" t="s">
        <v>19332</v>
      </c>
      <c r="I5746" t="s">
        <v>19335</v>
      </c>
    </row>
    <row r="5747" spans="1:9">
      <c r="A5747" t="str">
        <f>"0258019 "</f>
        <v xml:space="preserve">0258019 </v>
      </c>
      <c r="B5747" t="s">
        <v>19092</v>
      </c>
      <c r="C5747" t="s">
        <v>19336</v>
      </c>
      <c r="D5747" t="s">
        <v>19337</v>
      </c>
      <c r="E5747">
        <v>2</v>
      </c>
      <c r="F5747" t="s">
        <v>19338</v>
      </c>
      <c r="G5747" t="s">
        <v>19092</v>
      </c>
      <c r="H5747" t="s">
        <v>19336</v>
      </c>
      <c r="I5747" t="s">
        <v>19339</v>
      </c>
    </row>
    <row r="5748" spans="1:9">
      <c r="A5748" t="str">
        <f>"0258032 "</f>
        <v xml:space="preserve">0258032 </v>
      </c>
      <c r="B5748" t="s">
        <v>19092</v>
      </c>
      <c r="C5748" t="s">
        <v>19340</v>
      </c>
      <c r="D5748" t="s">
        <v>19341</v>
      </c>
      <c r="E5748" t="s">
        <v>16</v>
      </c>
      <c r="F5748" t="s">
        <v>19342</v>
      </c>
      <c r="G5748" t="s">
        <v>19092</v>
      </c>
      <c r="H5748" t="s">
        <v>19340</v>
      </c>
      <c r="I5748" t="s">
        <v>19343</v>
      </c>
    </row>
    <row r="5749" spans="1:9">
      <c r="A5749" t="str">
        <f>"0258043 "</f>
        <v xml:space="preserve">0258043 </v>
      </c>
      <c r="B5749" t="s">
        <v>19092</v>
      </c>
      <c r="C5749" t="s">
        <v>19344</v>
      </c>
      <c r="D5749" t="s">
        <v>19345</v>
      </c>
      <c r="E5749">
        <v>2</v>
      </c>
      <c r="F5749" t="s">
        <v>19200</v>
      </c>
      <c r="G5749" t="s">
        <v>19092</v>
      </c>
      <c r="H5749" t="s">
        <v>19344</v>
      </c>
      <c r="I5749" t="s">
        <v>19346</v>
      </c>
    </row>
    <row r="5750" spans="1:9">
      <c r="A5750" t="str">
        <f>"0258062 "</f>
        <v xml:space="preserve">0258062 </v>
      </c>
      <c r="B5750" t="s">
        <v>19092</v>
      </c>
      <c r="C5750" t="s">
        <v>19347</v>
      </c>
      <c r="D5750" t="s">
        <v>19348</v>
      </c>
      <c r="E5750">
        <v>2</v>
      </c>
      <c r="F5750" t="s">
        <v>19349</v>
      </c>
      <c r="G5750" t="s">
        <v>19092</v>
      </c>
      <c r="H5750" t="s">
        <v>19347</v>
      </c>
      <c r="I5750" t="s">
        <v>19350</v>
      </c>
    </row>
    <row r="5751" spans="1:9">
      <c r="A5751" t="str">
        <f>"0257733 "</f>
        <v xml:space="preserve">0257733 </v>
      </c>
      <c r="B5751" t="s">
        <v>19092</v>
      </c>
      <c r="C5751" t="s">
        <v>19351</v>
      </c>
      <c r="D5751" t="s">
        <v>19352</v>
      </c>
      <c r="E5751">
        <v>4</v>
      </c>
      <c r="F5751" t="s">
        <v>14764</v>
      </c>
      <c r="G5751" t="s">
        <v>19092</v>
      </c>
      <c r="H5751" t="s">
        <v>19351</v>
      </c>
      <c r="I5751" t="s">
        <v>19353</v>
      </c>
    </row>
    <row r="5752" spans="1:9">
      <c r="A5752" t="str">
        <f>"0258025 "</f>
        <v xml:space="preserve">0258025 </v>
      </c>
      <c r="B5752" t="s">
        <v>19092</v>
      </c>
      <c r="C5752" t="s">
        <v>19354</v>
      </c>
      <c r="D5752" t="s">
        <v>19355</v>
      </c>
      <c r="E5752">
        <v>3</v>
      </c>
      <c r="F5752" t="s">
        <v>19356</v>
      </c>
      <c r="G5752" t="s">
        <v>19092</v>
      </c>
      <c r="H5752" t="s">
        <v>19354</v>
      </c>
      <c r="I5752" t="s">
        <v>19357</v>
      </c>
    </row>
    <row r="5753" spans="1:9">
      <c r="A5753" t="str">
        <f>"0258009 "</f>
        <v xml:space="preserve">0258009 </v>
      </c>
      <c r="B5753" t="s">
        <v>19092</v>
      </c>
      <c r="C5753" t="s">
        <v>19358</v>
      </c>
      <c r="D5753" t="s">
        <v>19359</v>
      </c>
      <c r="E5753">
        <v>5</v>
      </c>
      <c r="F5753" t="s">
        <v>1705</v>
      </c>
      <c r="G5753" t="s">
        <v>19092</v>
      </c>
      <c r="H5753" t="s">
        <v>19358</v>
      </c>
      <c r="I5753" t="s">
        <v>19360</v>
      </c>
    </row>
    <row r="5754" spans="1:9">
      <c r="A5754" t="str">
        <f>"0258022 "</f>
        <v xml:space="preserve">0258022 </v>
      </c>
      <c r="B5754" t="s">
        <v>19092</v>
      </c>
      <c r="C5754" t="s">
        <v>19361</v>
      </c>
      <c r="D5754" t="s">
        <v>19362</v>
      </c>
      <c r="E5754">
        <v>5</v>
      </c>
      <c r="F5754" t="s">
        <v>19363</v>
      </c>
      <c r="G5754" t="s">
        <v>19092</v>
      </c>
      <c r="H5754" t="s">
        <v>19361</v>
      </c>
      <c r="I5754" t="s">
        <v>19364</v>
      </c>
    </row>
    <row r="5755" spans="1:9">
      <c r="A5755" t="str">
        <f>"0258007 "</f>
        <v xml:space="preserve">0258007 </v>
      </c>
      <c r="B5755" t="s">
        <v>19092</v>
      </c>
      <c r="C5755" t="s">
        <v>19365</v>
      </c>
      <c r="D5755" t="s">
        <v>19366</v>
      </c>
      <c r="E5755">
        <v>4</v>
      </c>
      <c r="F5755" t="s">
        <v>19123</v>
      </c>
      <c r="G5755" t="s">
        <v>19092</v>
      </c>
      <c r="H5755" t="s">
        <v>19365</v>
      </c>
      <c r="I5755" t="s">
        <v>19367</v>
      </c>
    </row>
    <row r="5756" spans="1:9">
      <c r="A5756" t="str">
        <f>"0258060 "</f>
        <v xml:space="preserve">0258060 </v>
      </c>
      <c r="B5756" t="s">
        <v>19092</v>
      </c>
      <c r="C5756" t="s">
        <v>19368</v>
      </c>
      <c r="D5756" t="s">
        <v>19369</v>
      </c>
      <c r="E5756">
        <v>1</v>
      </c>
      <c r="F5756" t="s">
        <v>19370</v>
      </c>
      <c r="G5756" t="s">
        <v>19092</v>
      </c>
      <c r="H5756" t="s">
        <v>19368</v>
      </c>
      <c r="I5756" t="s">
        <v>19371</v>
      </c>
    </row>
    <row r="5757" spans="1:9">
      <c r="A5757" t="str">
        <f>"0258014 "</f>
        <v xml:space="preserve">0258014 </v>
      </c>
      <c r="B5757" t="s">
        <v>19092</v>
      </c>
      <c r="C5757" t="s">
        <v>19372</v>
      </c>
      <c r="D5757" t="s">
        <v>19373</v>
      </c>
      <c r="E5757">
        <v>3</v>
      </c>
      <c r="F5757" t="s">
        <v>19374</v>
      </c>
      <c r="G5757" t="s">
        <v>19092</v>
      </c>
      <c r="H5757" t="s">
        <v>19372</v>
      </c>
      <c r="I5757" t="s">
        <v>19375</v>
      </c>
    </row>
    <row r="5758" spans="1:9">
      <c r="A5758" t="str">
        <f>"0258010 "</f>
        <v xml:space="preserve">0258010 </v>
      </c>
      <c r="B5758" t="s">
        <v>19092</v>
      </c>
      <c r="C5758" t="s">
        <v>19376</v>
      </c>
      <c r="D5758" t="s">
        <v>19377</v>
      </c>
      <c r="E5758" t="s">
        <v>16</v>
      </c>
      <c r="F5758" t="s">
        <v>19378</v>
      </c>
      <c r="G5758" t="s">
        <v>19092</v>
      </c>
      <c r="H5758" t="s">
        <v>19376</v>
      </c>
      <c r="I5758" t="s">
        <v>19379</v>
      </c>
    </row>
    <row r="5759" spans="1:9">
      <c r="A5759" t="str">
        <f>"0258018 "</f>
        <v xml:space="preserve">0258018 </v>
      </c>
      <c r="B5759" t="s">
        <v>19092</v>
      </c>
      <c r="C5759" t="s">
        <v>19380</v>
      </c>
      <c r="D5759" t="s">
        <v>19381</v>
      </c>
      <c r="E5759">
        <v>5</v>
      </c>
      <c r="F5759" t="s">
        <v>19382</v>
      </c>
      <c r="G5759" t="s">
        <v>19092</v>
      </c>
      <c r="H5759" t="s">
        <v>19380</v>
      </c>
      <c r="I5759" t="s">
        <v>19383</v>
      </c>
    </row>
    <row r="5760" spans="1:9">
      <c r="A5760" t="str">
        <f>"0258015 "</f>
        <v xml:space="preserve">0258015 </v>
      </c>
      <c r="B5760" t="s">
        <v>19092</v>
      </c>
      <c r="C5760" t="s">
        <v>19384</v>
      </c>
      <c r="D5760" t="s">
        <v>19385</v>
      </c>
      <c r="E5760">
        <v>5</v>
      </c>
      <c r="F5760" t="s">
        <v>19386</v>
      </c>
      <c r="G5760" t="s">
        <v>19092</v>
      </c>
      <c r="H5760" t="s">
        <v>19384</v>
      </c>
      <c r="I5760" t="s">
        <v>19387</v>
      </c>
    </row>
    <row r="5761" spans="1:9">
      <c r="A5761" t="str">
        <f>"0258026 "</f>
        <v xml:space="preserve">0258026 </v>
      </c>
      <c r="B5761" t="s">
        <v>19092</v>
      </c>
      <c r="C5761" t="s">
        <v>19388</v>
      </c>
      <c r="D5761" t="s">
        <v>19389</v>
      </c>
      <c r="E5761" t="s">
        <v>16</v>
      </c>
      <c r="F5761" t="s">
        <v>19390</v>
      </c>
      <c r="G5761" t="s">
        <v>19092</v>
      </c>
      <c r="H5761" t="s">
        <v>19388</v>
      </c>
      <c r="I5761" t="s">
        <v>19391</v>
      </c>
    </row>
    <row r="5762" spans="1:9">
      <c r="A5762" t="str">
        <f>"0258052 "</f>
        <v xml:space="preserve">0258052 </v>
      </c>
      <c r="B5762" t="s">
        <v>19092</v>
      </c>
      <c r="C5762" t="s">
        <v>19392</v>
      </c>
      <c r="D5762" t="s">
        <v>19393</v>
      </c>
      <c r="E5762">
        <v>1</v>
      </c>
      <c r="F5762" t="s">
        <v>19394</v>
      </c>
      <c r="G5762" t="s">
        <v>19092</v>
      </c>
      <c r="H5762" t="s">
        <v>19392</v>
      </c>
      <c r="I5762" t="s">
        <v>19395</v>
      </c>
    </row>
    <row r="5763" spans="1:9">
      <c r="A5763" t="str">
        <f>"0258005 "</f>
        <v xml:space="preserve">0258005 </v>
      </c>
      <c r="B5763" t="s">
        <v>19092</v>
      </c>
      <c r="C5763" t="s">
        <v>19396</v>
      </c>
      <c r="D5763" t="s">
        <v>19397</v>
      </c>
      <c r="E5763" t="s">
        <v>16</v>
      </c>
      <c r="F5763" t="s">
        <v>19398</v>
      </c>
      <c r="G5763" t="s">
        <v>19092</v>
      </c>
      <c r="H5763" t="s">
        <v>19396</v>
      </c>
      <c r="I5763" t="s">
        <v>19399</v>
      </c>
    </row>
    <row r="5764" spans="1:9">
      <c r="A5764" t="str">
        <f>"0258049 "</f>
        <v xml:space="preserve">0258049 </v>
      </c>
      <c r="B5764" t="s">
        <v>19092</v>
      </c>
      <c r="C5764" t="s">
        <v>19400</v>
      </c>
      <c r="D5764" t="s">
        <v>19401</v>
      </c>
      <c r="E5764">
        <v>5</v>
      </c>
      <c r="F5764" t="s">
        <v>1705</v>
      </c>
      <c r="G5764" t="s">
        <v>19092</v>
      </c>
      <c r="H5764" t="s">
        <v>19400</v>
      </c>
      <c r="I5764" t="s">
        <v>19402</v>
      </c>
    </row>
    <row r="5765" spans="1:9">
      <c r="A5765" t="str">
        <f>"0258054 "</f>
        <v xml:space="preserve">0258054 </v>
      </c>
      <c r="B5765" t="s">
        <v>19092</v>
      </c>
      <c r="C5765" t="s">
        <v>19403</v>
      </c>
      <c r="D5765" t="s">
        <v>19404</v>
      </c>
      <c r="E5765">
        <v>2</v>
      </c>
      <c r="F5765" t="s">
        <v>19405</v>
      </c>
      <c r="G5765" t="s">
        <v>19092</v>
      </c>
      <c r="H5765" t="s">
        <v>19403</v>
      </c>
      <c r="I5765" t="s">
        <v>19406</v>
      </c>
    </row>
    <row r="5766" spans="1:9">
      <c r="A5766" t="str">
        <f>"0258056 "</f>
        <v xml:space="preserve">0258056 </v>
      </c>
      <c r="B5766" t="s">
        <v>19092</v>
      </c>
      <c r="C5766" t="s">
        <v>19407</v>
      </c>
      <c r="D5766" t="s">
        <v>19408</v>
      </c>
      <c r="E5766">
        <v>5</v>
      </c>
      <c r="F5766" t="s">
        <v>19409</v>
      </c>
      <c r="G5766" t="s">
        <v>19092</v>
      </c>
      <c r="H5766" t="s">
        <v>19407</v>
      </c>
      <c r="I5766" t="s">
        <v>19410</v>
      </c>
    </row>
    <row r="5767" spans="1:9">
      <c r="A5767" t="str">
        <f>"0258061 "</f>
        <v xml:space="preserve">0258061 </v>
      </c>
      <c r="B5767" t="s">
        <v>19092</v>
      </c>
      <c r="C5767" t="s">
        <v>19411</v>
      </c>
      <c r="D5767" t="s">
        <v>19412</v>
      </c>
      <c r="E5767">
        <v>2</v>
      </c>
      <c r="F5767" t="s">
        <v>19413</v>
      </c>
      <c r="G5767" t="s">
        <v>19092</v>
      </c>
      <c r="H5767" t="s">
        <v>19411</v>
      </c>
      <c r="I5767" t="s">
        <v>19414</v>
      </c>
    </row>
    <row r="5768" spans="1:9">
      <c r="A5768" t="str">
        <f>"0258027 "</f>
        <v xml:space="preserve">0258027 </v>
      </c>
      <c r="B5768" t="s">
        <v>19092</v>
      </c>
      <c r="C5768" t="s">
        <v>19415</v>
      </c>
      <c r="D5768" t="s">
        <v>19416</v>
      </c>
      <c r="E5768">
        <v>5</v>
      </c>
      <c r="F5768" t="s">
        <v>19417</v>
      </c>
      <c r="G5768" t="s">
        <v>19092</v>
      </c>
      <c r="H5768" t="s">
        <v>19415</v>
      </c>
      <c r="I5768" t="s">
        <v>19418</v>
      </c>
    </row>
    <row r="5769" spans="1:9">
      <c r="A5769" t="str">
        <f>"0258044 "</f>
        <v xml:space="preserve">0258044 </v>
      </c>
      <c r="B5769" t="s">
        <v>19092</v>
      </c>
      <c r="C5769" t="s">
        <v>19419</v>
      </c>
      <c r="D5769" t="s">
        <v>19420</v>
      </c>
      <c r="E5769">
        <v>1</v>
      </c>
      <c r="F5769" t="s">
        <v>19421</v>
      </c>
      <c r="G5769" t="s">
        <v>19092</v>
      </c>
      <c r="H5769" t="s">
        <v>19419</v>
      </c>
      <c r="I5769" t="s">
        <v>19422</v>
      </c>
    </row>
    <row r="5770" spans="1:9">
      <c r="A5770" t="str">
        <f>"0258055 "</f>
        <v xml:space="preserve">0258055 </v>
      </c>
      <c r="B5770" t="s">
        <v>19092</v>
      </c>
      <c r="C5770" t="s">
        <v>19423</v>
      </c>
      <c r="D5770" t="s">
        <v>19424</v>
      </c>
      <c r="E5770">
        <v>1</v>
      </c>
      <c r="F5770" t="s">
        <v>19425</v>
      </c>
      <c r="G5770" t="s">
        <v>19092</v>
      </c>
      <c r="H5770" t="s">
        <v>19423</v>
      </c>
      <c r="I5770" t="s">
        <v>19426</v>
      </c>
    </row>
    <row r="5771" spans="1:9">
      <c r="A5771" t="str">
        <f>"0258017 "</f>
        <v xml:space="preserve">0258017 </v>
      </c>
      <c r="B5771" t="s">
        <v>19092</v>
      </c>
      <c r="C5771" t="s">
        <v>19427</v>
      </c>
      <c r="D5771" t="s">
        <v>19428</v>
      </c>
      <c r="E5771">
        <v>3</v>
      </c>
      <c r="F5771" t="s">
        <v>19429</v>
      </c>
      <c r="G5771" t="s">
        <v>19092</v>
      </c>
      <c r="H5771" t="s">
        <v>19427</v>
      </c>
      <c r="I5771" t="s">
        <v>19430</v>
      </c>
    </row>
    <row r="5772" spans="1:9">
      <c r="A5772" t="str">
        <f>"0257723 "</f>
        <v xml:space="preserve">0257723 </v>
      </c>
      <c r="B5772" t="s">
        <v>19092</v>
      </c>
      <c r="C5772" t="s">
        <v>19431</v>
      </c>
      <c r="D5772" t="s">
        <v>19432</v>
      </c>
      <c r="E5772">
        <v>4</v>
      </c>
      <c r="F5772" t="s">
        <v>19433</v>
      </c>
      <c r="G5772" t="s">
        <v>19092</v>
      </c>
      <c r="H5772" t="s">
        <v>19431</v>
      </c>
      <c r="I5772" t="s">
        <v>19434</v>
      </c>
    </row>
    <row r="5773" spans="1:9">
      <c r="A5773" t="str">
        <f>"0257720 "</f>
        <v xml:space="preserve">0257720 </v>
      </c>
      <c r="B5773" t="s">
        <v>19092</v>
      </c>
      <c r="C5773" t="s">
        <v>19435</v>
      </c>
      <c r="D5773" t="s">
        <v>19436</v>
      </c>
      <c r="E5773">
        <v>3</v>
      </c>
      <c r="F5773" t="s">
        <v>19342</v>
      </c>
      <c r="G5773" t="s">
        <v>19092</v>
      </c>
      <c r="H5773" t="s">
        <v>19435</v>
      </c>
      <c r="I5773" t="s">
        <v>19437</v>
      </c>
    </row>
    <row r="5774" spans="1:9">
      <c r="A5774" t="str">
        <f>"0257721 "</f>
        <v xml:space="preserve">0257721 </v>
      </c>
      <c r="B5774" t="s">
        <v>19092</v>
      </c>
      <c r="C5774" t="s">
        <v>19438</v>
      </c>
      <c r="D5774" t="s">
        <v>19439</v>
      </c>
      <c r="E5774">
        <v>1</v>
      </c>
      <c r="F5774" t="s">
        <v>19440</v>
      </c>
      <c r="G5774" t="s">
        <v>19092</v>
      </c>
      <c r="H5774" t="s">
        <v>19438</v>
      </c>
      <c r="I5774" t="s">
        <v>19441</v>
      </c>
    </row>
    <row r="5775" spans="1:9">
      <c r="A5775" t="str">
        <f>"0257727 "</f>
        <v xml:space="preserve">0257727 </v>
      </c>
      <c r="B5775" t="s">
        <v>19092</v>
      </c>
      <c r="C5775" t="s">
        <v>19442</v>
      </c>
      <c r="D5775" t="s">
        <v>19443</v>
      </c>
      <c r="E5775">
        <v>2</v>
      </c>
      <c r="F5775" t="s">
        <v>19444</v>
      </c>
      <c r="G5775" t="s">
        <v>19092</v>
      </c>
      <c r="H5775" t="s">
        <v>19442</v>
      </c>
      <c r="I5775" t="s">
        <v>19445</v>
      </c>
    </row>
    <row r="5776" spans="1:9">
      <c r="A5776" t="str">
        <f>"0257728 "</f>
        <v xml:space="preserve">0257728 </v>
      </c>
      <c r="B5776" t="s">
        <v>19092</v>
      </c>
      <c r="C5776" t="s">
        <v>19446</v>
      </c>
      <c r="D5776" t="s">
        <v>19447</v>
      </c>
      <c r="E5776">
        <v>1</v>
      </c>
      <c r="F5776" t="s">
        <v>19448</v>
      </c>
      <c r="G5776" t="s">
        <v>19092</v>
      </c>
      <c r="H5776" t="s">
        <v>19446</v>
      </c>
      <c r="I5776" t="s">
        <v>19449</v>
      </c>
    </row>
    <row r="5777" spans="1:9">
      <c r="A5777" t="str">
        <f>"0257726 "</f>
        <v xml:space="preserve">0257726 </v>
      </c>
      <c r="B5777" t="s">
        <v>19092</v>
      </c>
      <c r="C5777" t="s">
        <v>19450</v>
      </c>
      <c r="D5777" t="s">
        <v>19451</v>
      </c>
      <c r="E5777">
        <v>2</v>
      </c>
      <c r="F5777" t="s">
        <v>19452</v>
      </c>
      <c r="G5777" t="s">
        <v>19092</v>
      </c>
      <c r="H5777" t="s">
        <v>19450</v>
      </c>
      <c r="I5777" t="s">
        <v>19453</v>
      </c>
    </row>
    <row r="5778" spans="1:9">
      <c r="A5778" t="str">
        <f>"0257729 "</f>
        <v xml:space="preserve">0257729 </v>
      </c>
      <c r="B5778" t="s">
        <v>19092</v>
      </c>
      <c r="C5778" t="s">
        <v>19454</v>
      </c>
      <c r="D5778" t="s">
        <v>19455</v>
      </c>
      <c r="E5778">
        <v>3</v>
      </c>
      <c r="F5778" t="s">
        <v>19456</v>
      </c>
      <c r="G5778" t="s">
        <v>19092</v>
      </c>
      <c r="H5778" t="s">
        <v>19454</v>
      </c>
      <c r="I5778" t="s">
        <v>19457</v>
      </c>
    </row>
    <row r="5779" spans="1:9">
      <c r="A5779" t="str">
        <f>"0257718 "</f>
        <v xml:space="preserve">0257718 </v>
      </c>
      <c r="B5779" t="s">
        <v>19092</v>
      </c>
      <c r="C5779" t="s">
        <v>19458</v>
      </c>
      <c r="D5779" t="s">
        <v>19459</v>
      </c>
      <c r="E5779">
        <v>3</v>
      </c>
      <c r="F5779" t="s">
        <v>19460</v>
      </c>
      <c r="G5779" t="s">
        <v>19092</v>
      </c>
      <c r="H5779" t="s">
        <v>19458</v>
      </c>
      <c r="I5779" t="s">
        <v>19461</v>
      </c>
    </row>
    <row r="5780" spans="1:9">
      <c r="A5780" t="str">
        <f>"0257719 "</f>
        <v xml:space="preserve">0257719 </v>
      </c>
      <c r="B5780" t="s">
        <v>19092</v>
      </c>
      <c r="C5780" t="s">
        <v>19462</v>
      </c>
      <c r="D5780" t="s">
        <v>19463</v>
      </c>
      <c r="E5780">
        <v>3</v>
      </c>
      <c r="F5780" t="s">
        <v>19464</v>
      </c>
      <c r="G5780" t="s">
        <v>19092</v>
      </c>
      <c r="H5780" t="s">
        <v>19462</v>
      </c>
      <c r="I5780" t="s">
        <v>19465</v>
      </c>
    </row>
    <row r="5781" spans="1:9">
      <c r="A5781" t="str">
        <f>"0257724 "</f>
        <v xml:space="preserve">0257724 </v>
      </c>
      <c r="B5781" t="s">
        <v>19092</v>
      </c>
      <c r="C5781" t="s">
        <v>19466</v>
      </c>
      <c r="D5781" t="s">
        <v>19467</v>
      </c>
      <c r="E5781">
        <v>1</v>
      </c>
      <c r="F5781" t="s">
        <v>19468</v>
      </c>
      <c r="G5781" t="s">
        <v>19092</v>
      </c>
      <c r="H5781" t="s">
        <v>19466</v>
      </c>
      <c r="I5781" t="s">
        <v>19469</v>
      </c>
    </row>
    <row r="5782" spans="1:9">
      <c r="A5782" t="str">
        <f>"0257572 "</f>
        <v xml:space="preserve">0257572 </v>
      </c>
      <c r="B5782" t="s">
        <v>19092</v>
      </c>
      <c r="C5782" t="s">
        <v>19470</v>
      </c>
      <c r="D5782" t="s">
        <v>19471</v>
      </c>
      <c r="E5782">
        <v>2</v>
      </c>
      <c r="F5782" t="s">
        <v>19119</v>
      </c>
      <c r="G5782" t="s">
        <v>19092</v>
      </c>
      <c r="H5782" t="s">
        <v>19470</v>
      </c>
      <c r="I5782" t="s">
        <v>19472</v>
      </c>
    </row>
    <row r="5783" spans="1:9">
      <c r="A5783" t="str">
        <f>"0257555 "</f>
        <v xml:space="preserve">0257555 </v>
      </c>
      <c r="B5783" t="s">
        <v>19092</v>
      </c>
      <c r="C5783" t="s">
        <v>19473</v>
      </c>
      <c r="D5783" t="s">
        <v>19474</v>
      </c>
      <c r="E5783">
        <v>2</v>
      </c>
      <c r="F5783" t="s">
        <v>19475</v>
      </c>
      <c r="G5783" t="s">
        <v>19092</v>
      </c>
      <c r="H5783" t="s">
        <v>19473</v>
      </c>
      <c r="I5783" t="s">
        <v>19476</v>
      </c>
    </row>
    <row r="5784" spans="1:9">
      <c r="A5784" t="str">
        <f>"0257584 "</f>
        <v xml:space="preserve">0257584 </v>
      </c>
      <c r="B5784" t="s">
        <v>19092</v>
      </c>
      <c r="C5784" t="s">
        <v>19477</v>
      </c>
      <c r="D5784" t="s">
        <v>19478</v>
      </c>
      <c r="E5784">
        <v>3</v>
      </c>
      <c r="F5784" t="s">
        <v>19479</v>
      </c>
      <c r="G5784" t="s">
        <v>19092</v>
      </c>
      <c r="H5784" t="s">
        <v>19477</v>
      </c>
      <c r="I5784" t="s">
        <v>19480</v>
      </c>
    </row>
    <row r="5785" spans="1:9">
      <c r="A5785" t="str">
        <f>"0257541 "</f>
        <v xml:space="preserve">0257541 </v>
      </c>
      <c r="B5785" t="s">
        <v>19092</v>
      </c>
      <c r="C5785" t="s">
        <v>19481</v>
      </c>
      <c r="D5785" t="s">
        <v>19482</v>
      </c>
      <c r="E5785">
        <v>3</v>
      </c>
      <c r="F5785" t="s">
        <v>19483</v>
      </c>
      <c r="G5785" t="s">
        <v>19092</v>
      </c>
      <c r="H5785" t="s">
        <v>19481</v>
      </c>
      <c r="I5785" t="s">
        <v>19484</v>
      </c>
    </row>
    <row r="5786" spans="1:9">
      <c r="A5786" t="str">
        <f>"0257552 "</f>
        <v xml:space="preserve">0257552 </v>
      </c>
      <c r="B5786" t="s">
        <v>19092</v>
      </c>
      <c r="C5786" t="s">
        <v>19485</v>
      </c>
      <c r="D5786" t="s">
        <v>19486</v>
      </c>
      <c r="E5786">
        <v>2</v>
      </c>
      <c r="F5786" t="s">
        <v>614</v>
      </c>
      <c r="G5786" t="s">
        <v>19092</v>
      </c>
      <c r="H5786" t="s">
        <v>19485</v>
      </c>
      <c r="I5786" t="s">
        <v>19487</v>
      </c>
    </row>
    <row r="5787" spans="1:9">
      <c r="A5787" t="str">
        <f>"0257550 "</f>
        <v xml:space="preserve">0257550 </v>
      </c>
      <c r="B5787" t="s">
        <v>19092</v>
      </c>
      <c r="C5787" t="s">
        <v>19488</v>
      </c>
      <c r="D5787" t="s">
        <v>19489</v>
      </c>
      <c r="E5787">
        <v>2</v>
      </c>
      <c r="F5787" t="s">
        <v>19490</v>
      </c>
      <c r="G5787" t="s">
        <v>19092</v>
      </c>
      <c r="H5787" t="s">
        <v>19488</v>
      </c>
      <c r="I5787" t="s">
        <v>19491</v>
      </c>
    </row>
    <row r="5788" spans="1:9">
      <c r="A5788" t="str">
        <f>"0257546 "</f>
        <v xml:space="preserve">0257546 </v>
      </c>
      <c r="B5788" t="s">
        <v>19092</v>
      </c>
      <c r="C5788" t="s">
        <v>19492</v>
      </c>
      <c r="D5788" t="s">
        <v>19493</v>
      </c>
      <c r="E5788" t="s">
        <v>16</v>
      </c>
      <c r="F5788" t="s">
        <v>19483</v>
      </c>
      <c r="G5788" t="s">
        <v>19092</v>
      </c>
      <c r="H5788" t="s">
        <v>19492</v>
      </c>
      <c r="I5788" t="s">
        <v>19494</v>
      </c>
    </row>
    <row r="5789" spans="1:9">
      <c r="A5789" t="str">
        <f>"0257559 "</f>
        <v xml:space="preserve">0257559 </v>
      </c>
      <c r="B5789" t="s">
        <v>19092</v>
      </c>
      <c r="C5789" t="s">
        <v>19495</v>
      </c>
      <c r="D5789" t="s">
        <v>19496</v>
      </c>
      <c r="E5789">
        <v>2</v>
      </c>
      <c r="F5789" t="s">
        <v>19497</v>
      </c>
      <c r="G5789" t="s">
        <v>19092</v>
      </c>
      <c r="H5789" t="s">
        <v>19495</v>
      </c>
      <c r="I5789" t="s">
        <v>19498</v>
      </c>
    </row>
    <row r="5790" spans="1:9">
      <c r="A5790" t="str">
        <f>"0257563 "</f>
        <v xml:space="preserve">0257563 </v>
      </c>
      <c r="B5790" t="s">
        <v>19092</v>
      </c>
      <c r="C5790" t="s">
        <v>19499</v>
      </c>
      <c r="D5790" t="s">
        <v>19500</v>
      </c>
      <c r="E5790">
        <v>2</v>
      </c>
      <c r="F5790" t="s">
        <v>19501</v>
      </c>
      <c r="G5790" t="s">
        <v>19092</v>
      </c>
      <c r="H5790" t="s">
        <v>19499</v>
      </c>
      <c r="I5790" t="s">
        <v>19502</v>
      </c>
    </row>
    <row r="5791" spans="1:9">
      <c r="A5791" t="str">
        <f>"0257583 "</f>
        <v xml:space="preserve">0257583 </v>
      </c>
      <c r="B5791" t="s">
        <v>19092</v>
      </c>
      <c r="C5791" t="s">
        <v>19503</v>
      </c>
      <c r="D5791" t="s">
        <v>19504</v>
      </c>
      <c r="E5791">
        <v>1</v>
      </c>
      <c r="F5791" t="s">
        <v>19378</v>
      </c>
      <c r="G5791" t="s">
        <v>19092</v>
      </c>
      <c r="H5791" t="s">
        <v>19503</v>
      </c>
      <c r="I5791" t="s">
        <v>19505</v>
      </c>
    </row>
    <row r="5792" spans="1:9">
      <c r="A5792" t="str">
        <f>"0257554 "</f>
        <v xml:space="preserve">0257554 </v>
      </c>
      <c r="B5792" t="s">
        <v>19092</v>
      </c>
      <c r="C5792" t="s">
        <v>19506</v>
      </c>
      <c r="D5792" t="s">
        <v>19507</v>
      </c>
      <c r="E5792" t="s">
        <v>16</v>
      </c>
      <c r="F5792" t="s">
        <v>19508</v>
      </c>
      <c r="G5792" t="s">
        <v>19092</v>
      </c>
      <c r="H5792" t="s">
        <v>19506</v>
      </c>
      <c r="I5792" t="s">
        <v>19509</v>
      </c>
    </row>
    <row r="5793" spans="1:9">
      <c r="A5793" t="str">
        <f>"0257535 "</f>
        <v xml:space="preserve">0257535 </v>
      </c>
      <c r="B5793" t="s">
        <v>19092</v>
      </c>
      <c r="C5793" t="s">
        <v>19510</v>
      </c>
      <c r="D5793" t="s">
        <v>19511</v>
      </c>
      <c r="E5793" t="s">
        <v>16</v>
      </c>
      <c r="F5793" t="s">
        <v>19512</v>
      </c>
      <c r="G5793" t="s">
        <v>19092</v>
      </c>
      <c r="H5793" t="s">
        <v>19510</v>
      </c>
      <c r="I5793" t="s">
        <v>19513</v>
      </c>
    </row>
    <row r="5794" spans="1:9">
      <c r="A5794" t="str">
        <f>"0257534 "</f>
        <v xml:space="preserve">0257534 </v>
      </c>
      <c r="B5794" t="s">
        <v>19092</v>
      </c>
      <c r="C5794" t="s">
        <v>19514</v>
      </c>
      <c r="D5794" t="s">
        <v>19515</v>
      </c>
      <c r="E5794" t="s">
        <v>16</v>
      </c>
      <c r="F5794" t="s">
        <v>19516</v>
      </c>
      <c r="G5794" t="s">
        <v>19092</v>
      </c>
      <c r="H5794" t="s">
        <v>19514</v>
      </c>
      <c r="I5794" t="s">
        <v>19517</v>
      </c>
    </row>
    <row r="5795" spans="1:9">
      <c r="A5795" t="str">
        <f>"0257579 "</f>
        <v xml:space="preserve">0257579 </v>
      </c>
      <c r="B5795" t="s">
        <v>19092</v>
      </c>
      <c r="C5795" t="s">
        <v>19518</v>
      </c>
      <c r="D5795" t="s">
        <v>19519</v>
      </c>
      <c r="E5795">
        <v>5</v>
      </c>
      <c r="F5795" t="s">
        <v>19520</v>
      </c>
      <c r="G5795" t="s">
        <v>19092</v>
      </c>
      <c r="H5795" t="s">
        <v>19518</v>
      </c>
      <c r="I5795" t="s">
        <v>19521</v>
      </c>
    </row>
    <row r="5796" spans="1:9">
      <c r="A5796" t="str">
        <f>"0257564 "</f>
        <v xml:space="preserve">0257564 </v>
      </c>
      <c r="B5796" t="s">
        <v>19092</v>
      </c>
      <c r="C5796" t="s">
        <v>19522</v>
      </c>
      <c r="D5796" t="s">
        <v>19523</v>
      </c>
      <c r="E5796">
        <v>2</v>
      </c>
      <c r="F5796" t="s">
        <v>19524</v>
      </c>
      <c r="G5796" t="s">
        <v>19092</v>
      </c>
      <c r="H5796" t="s">
        <v>19522</v>
      </c>
      <c r="I5796" t="s">
        <v>19525</v>
      </c>
    </row>
    <row r="5797" spans="1:9">
      <c r="A5797" t="str">
        <f>"0257536 "</f>
        <v xml:space="preserve">0257536 </v>
      </c>
      <c r="B5797" t="s">
        <v>19092</v>
      </c>
      <c r="C5797" t="s">
        <v>19526</v>
      </c>
      <c r="D5797" t="s">
        <v>19527</v>
      </c>
      <c r="E5797">
        <v>2</v>
      </c>
      <c r="F5797" t="s">
        <v>19528</v>
      </c>
      <c r="G5797" t="s">
        <v>19092</v>
      </c>
      <c r="H5797" t="s">
        <v>19526</v>
      </c>
      <c r="I5797" t="s">
        <v>19529</v>
      </c>
    </row>
    <row r="5798" spans="1:9">
      <c r="A5798" t="str">
        <f>"0257581 "</f>
        <v xml:space="preserve">0257581 </v>
      </c>
      <c r="B5798" t="s">
        <v>19092</v>
      </c>
      <c r="C5798" t="s">
        <v>19530</v>
      </c>
      <c r="D5798" t="s">
        <v>19531</v>
      </c>
      <c r="E5798">
        <v>4</v>
      </c>
      <c r="F5798" t="s">
        <v>19532</v>
      </c>
      <c r="G5798" t="s">
        <v>19092</v>
      </c>
      <c r="H5798" t="s">
        <v>19530</v>
      </c>
      <c r="I5798" t="s">
        <v>19533</v>
      </c>
    </row>
    <row r="5799" spans="1:9">
      <c r="A5799" t="str">
        <f>"0257549 "</f>
        <v xml:space="preserve">0257549 </v>
      </c>
      <c r="B5799" t="s">
        <v>19092</v>
      </c>
      <c r="C5799" t="s">
        <v>19534</v>
      </c>
      <c r="D5799" t="s">
        <v>19535</v>
      </c>
      <c r="E5799">
        <v>5</v>
      </c>
      <c r="F5799" t="s">
        <v>19536</v>
      </c>
      <c r="G5799" t="s">
        <v>19092</v>
      </c>
      <c r="H5799" t="s">
        <v>19534</v>
      </c>
      <c r="I5799" t="s">
        <v>19537</v>
      </c>
    </row>
    <row r="5800" spans="1:9">
      <c r="A5800" t="str">
        <f>"0257538 "</f>
        <v xml:space="preserve">0257538 </v>
      </c>
      <c r="B5800" t="s">
        <v>19092</v>
      </c>
      <c r="C5800" t="s">
        <v>19538</v>
      </c>
      <c r="D5800" t="s">
        <v>19539</v>
      </c>
      <c r="E5800" t="s">
        <v>16</v>
      </c>
      <c r="F5800" t="s">
        <v>5072</v>
      </c>
      <c r="G5800" t="s">
        <v>19092</v>
      </c>
      <c r="H5800" t="s">
        <v>19538</v>
      </c>
      <c r="I5800" t="s">
        <v>19540</v>
      </c>
    </row>
    <row r="5801" spans="1:9">
      <c r="A5801" t="str">
        <f>"0257574 "</f>
        <v xml:space="preserve">0257574 </v>
      </c>
      <c r="B5801" t="s">
        <v>19092</v>
      </c>
      <c r="C5801" t="s">
        <v>19541</v>
      </c>
      <c r="D5801" t="s">
        <v>19542</v>
      </c>
      <c r="E5801">
        <v>3</v>
      </c>
      <c r="F5801" t="s">
        <v>19363</v>
      </c>
      <c r="G5801" t="s">
        <v>19092</v>
      </c>
      <c r="H5801" t="s">
        <v>19541</v>
      </c>
      <c r="I5801" t="s">
        <v>19543</v>
      </c>
    </row>
    <row r="5802" spans="1:9">
      <c r="A5802" t="str">
        <f>"0257571 "</f>
        <v xml:space="preserve">0257571 </v>
      </c>
      <c r="B5802" t="s">
        <v>19092</v>
      </c>
      <c r="C5802" t="s">
        <v>19544</v>
      </c>
      <c r="D5802" t="s">
        <v>19545</v>
      </c>
      <c r="E5802">
        <v>2</v>
      </c>
      <c r="F5802" t="s">
        <v>718</v>
      </c>
      <c r="G5802" t="s">
        <v>19092</v>
      </c>
      <c r="H5802" t="s">
        <v>19544</v>
      </c>
      <c r="I5802" t="s">
        <v>19546</v>
      </c>
    </row>
    <row r="5803" spans="1:9">
      <c r="A5803" t="str">
        <f>"0257543 "</f>
        <v xml:space="preserve">0257543 </v>
      </c>
      <c r="B5803" t="s">
        <v>19092</v>
      </c>
      <c r="C5803" t="s">
        <v>19547</v>
      </c>
      <c r="D5803" t="s">
        <v>19548</v>
      </c>
      <c r="E5803" t="s">
        <v>16</v>
      </c>
      <c r="F5803" t="s">
        <v>19549</v>
      </c>
      <c r="G5803" t="s">
        <v>19092</v>
      </c>
      <c r="H5803" t="s">
        <v>19547</v>
      </c>
      <c r="I5803" t="s">
        <v>19550</v>
      </c>
    </row>
    <row r="5804" spans="1:9">
      <c r="A5804" t="str">
        <f>"0257553 "</f>
        <v xml:space="preserve">0257553 </v>
      </c>
      <c r="B5804" t="s">
        <v>19092</v>
      </c>
      <c r="C5804" t="s">
        <v>19551</v>
      </c>
      <c r="D5804" t="s">
        <v>19552</v>
      </c>
      <c r="E5804">
        <v>3</v>
      </c>
      <c r="F5804" t="s">
        <v>19553</v>
      </c>
      <c r="G5804" t="s">
        <v>19092</v>
      </c>
      <c r="H5804" t="s">
        <v>19551</v>
      </c>
      <c r="I5804" t="s">
        <v>19554</v>
      </c>
    </row>
    <row r="5805" spans="1:9">
      <c r="A5805" t="str">
        <f>"0257570 "</f>
        <v xml:space="preserve">0257570 </v>
      </c>
      <c r="B5805" t="s">
        <v>19092</v>
      </c>
      <c r="C5805" t="s">
        <v>19555</v>
      </c>
      <c r="D5805" t="s">
        <v>19556</v>
      </c>
      <c r="E5805">
        <v>3</v>
      </c>
      <c r="F5805" t="s">
        <v>19483</v>
      </c>
      <c r="G5805" t="s">
        <v>19092</v>
      </c>
      <c r="H5805" t="s">
        <v>19555</v>
      </c>
      <c r="I5805" t="s">
        <v>19557</v>
      </c>
    </row>
    <row r="5806" spans="1:9">
      <c r="A5806" t="str">
        <f>"0257576 "</f>
        <v xml:space="preserve">0257576 </v>
      </c>
      <c r="B5806" t="s">
        <v>19092</v>
      </c>
      <c r="C5806" t="s">
        <v>19558</v>
      </c>
      <c r="D5806" t="s">
        <v>19559</v>
      </c>
      <c r="E5806">
        <v>3</v>
      </c>
      <c r="F5806" t="s">
        <v>19212</v>
      </c>
      <c r="G5806" t="s">
        <v>19092</v>
      </c>
      <c r="H5806" t="s">
        <v>19558</v>
      </c>
      <c r="I5806" t="s">
        <v>19560</v>
      </c>
    </row>
    <row r="5807" spans="1:9">
      <c r="A5807" t="str">
        <f>"0257556 "</f>
        <v xml:space="preserve">0257556 </v>
      </c>
      <c r="B5807" t="s">
        <v>19092</v>
      </c>
      <c r="C5807" t="s">
        <v>19561</v>
      </c>
      <c r="D5807" t="s">
        <v>19562</v>
      </c>
      <c r="E5807">
        <v>2</v>
      </c>
      <c r="F5807" t="s">
        <v>19563</v>
      </c>
      <c r="G5807" t="s">
        <v>19092</v>
      </c>
      <c r="H5807" t="s">
        <v>19561</v>
      </c>
      <c r="I5807" t="s">
        <v>19564</v>
      </c>
    </row>
    <row r="5808" spans="1:9">
      <c r="A5808" t="str">
        <f>"0257537 "</f>
        <v xml:space="preserve">0257537 </v>
      </c>
      <c r="B5808" t="s">
        <v>19092</v>
      </c>
      <c r="C5808" t="s">
        <v>19565</v>
      </c>
      <c r="D5808" t="s">
        <v>19566</v>
      </c>
      <c r="E5808" t="s">
        <v>16</v>
      </c>
      <c r="F5808" t="s">
        <v>19567</v>
      </c>
      <c r="G5808" t="s">
        <v>19092</v>
      </c>
      <c r="H5808" t="s">
        <v>19565</v>
      </c>
      <c r="I5808" t="s">
        <v>19568</v>
      </c>
    </row>
    <row r="5809" spans="1:9">
      <c r="A5809" t="str">
        <f>"0257577 "</f>
        <v xml:space="preserve">0257577 </v>
      </c>
      <c r="B5809" t="s">
        <v>19092</v>
      </c>
      <c r="C5809" t="s">
        <v>19569</v>
      </c>
      <c r="D5809" t="s">
        <v>19570</v>
      </c>
      <c r="E5809">
        <v>4</v>
      </c>
      <c r="F5809" t="s">
        <v>19293</v>
      </c>
      <c r="G5809" t="s">
        <v>19092</v>
      </c>
      <c r="H5809" t="s">
        <v>19569</v>
      </c>
      <c r="I5809" t="s">
        <v>19571</v>
      </c>
    </row>
    <row r="5810" spans="1:9">
      <c r="A5810" t="str">
        <f>"0257548 "</f>
        <v xml:space="preserve">0257548 </v>
      </c>
      <c r="B5810" t="s">
        <v>19092</v>
      </c>
      <c r="C5810" t="s">
        <v>19572</v>
      </c>
      <c r="D5810" t="s">
        <v>19573</v>
      </c>
      <c r="E5810">
        <v>5</v>
      </c>
      <c r="F5810" t="s">
        <v>19574</v>
      </c>
      <c r="G5810" t="s">
        <v>19092</v>
      </c>
      <c r="H5810" t="s">
        <v>19572</v>
      </c>
      <c r="I5810" t="s">
        <v>19575</v>
      </c>
    </row>
    <row r="5811" spans="1:9">
      <c r="A5811" t="str">
        <f>"0257539 "</f>
        <v xml:space="preserve">0257539 </v>
      </c>
      <c r="B5811" t="s">
        <v>19092</v>
      </c>
      <c r="C5811" t="s">
        <v>19576</v>
      </c>
      <c r="D5811" t="s">
        <v>19577</v>
      </c>
      <c r="E5811" t="s">
        <v>16</v>
      </c>
      <c r="F5811" t="s">
        <v>19417</v>
      </c>
      <c r="G5811" t="s">
        <v>19092</v>
      </c>
      <c r="H5811" t="s">
        <v>19576</v>
      </c>
      <c r="I5811" t="s">
        <v>19578</v>
      </c>
    </row>
    <row r="5812" spans="1:9">
      <c r="A5812" t="str">
        <f>"0257551 "</f>
        <v xml:space="preserve">0257551 </v>
      </c>
      <c r="B5812" t="s">
        <v>19092</v>
      </c>
      <c r="C5812" t="s">
        <v>19579</v>
      </c>
      <c r="D5812" t="s">
        <v>19580</v>
      </c>
      <c r="E5812">
        <v>3</v>
      </c>
      <c r="F5812" t="s">
        <v>19581</v>
      </c>
      <c r="G5812" t="s">
        <v>19092</v>
      </c>
      <c r="H5812" t="s">
        <v>19579</v>
      </c>
      <c r="I5812" t="s">
        <v>19582</v>
      </c>
    </row>
    <row r="5813" spans="1:9">
      <c r="A5813" t="str">
        <f>"0257561 "</f>
        <v xml:space="preserve">0257561 </v>
      </c>
      <c r="B5813" t="s">
        <v>19092</v>
      </c>
      <c r="C5813" t="s">
        <v>19583</v>
      </c>
      <c r="D5813" t="s">
        <v>19584</v>
      </c>
      <c r="E5813">
        <v>2</v>
      </c>
      <c r="F5813" t="s">
        <v>19222</v>
      </c>
      <c r="G5813" t="s">
        <v>19092</v>
      </c>
      <c r="H5813" t="s">
        <v>19583</v>
      </c>
      <c r="I5813" t="s">
        <v>19585</v>
      </c>
    </row>
    <row r="5814" spans="1:9">
      <c r="A5814" t="str">
        <f>"0257573 "</f>
        <v xml:space="preserve">0257573 </v>
      </c>
      <c r="B5814" t="s">
        <v>19092</v>
      </c>
      <c r="C5814" t="s">
        <v>19586</v>
      </c>
      <c r="D5814" t="s">
        <v>19587</v>
      </c>
      <c r="E5814">
        <v>1</v>
      </c>
      <c r="F5814" t="s">
        <v>19378</v>
      </c>
      <c r="G5814" t="s">
        <v>19092</v>
      </c>
      <c r="H5814" t="s">
        <v>19586</v>
      </c>
      <c r="I5814" t="s">
        <v>19588</v>
      </c>
    </row>
    <row r="5815" spans="1:9">
      <c r="A5815" t="str">
        <f>"0257578 "</f>
        <v xml:space="preserve">0257578 </v>
      </c>
      <c r="B5815" t="s">
        <v>19092</v>
      </c>
      <c r="C5815" t="s">
        <v>19589</v>
      </c>
      <c r="D5815" t="s">
        <v>19590</v>
      </c>
      <c r="E5815">
        <v>2</v>
      </c>
      <c r="F5815" t="s">
        <v>19591</v>
      </c>
      <c r="G5815" t="s">
        <v>19092</v>
      </c>
      <c r="H5815" t="s">
        <v>19589</v>
      </c>
      <c r="I5815" t="s">
        <v>19592</v>
      </c>
    </row>
    <row r="5816" spans="1:9">
      <c r="A5816" t="str">
        <f>"0257542 "</f>
        <v xml:space="preserve">0257542 </v>
      </c>
      <c r="B5816" t="s">
        <v>19092</v>
      </c>
      <c r="C5816" t="s">
        <v>19593</v>
      </c>
      <c r="D5816" t="s">
        <v>19594</v>
      </c>
      <c r="E5816" t="s">
        <v>16</v>
      </c>
      <c r="F5816" t="s">
        <v>19595</v>
      </c>
      <c r="G5816" t="s">
        <v>19092</v>
      </c>
      <c r="H5816" t="s">
        <v>19593</v>
      </c>
      <c r="I5816" t="s">
        <v>19596</v>
      </c>
    </row>
    <row r="5817" spans="1:9">
      <c r="A5817" t="str">
        <f>"0257580 "</f>
        <v xml:space="preserve">0257580 </v>
      </c>
      <c r="B5817" t="s">
        <v>19092</v>
      </c>
      <c r="C5817" t="s">
        <v>19597</v>
      </c>
      <c r="D5817" t="s">
        <v>19598</v>
      </c>
      <c r="E5817">
        <v>1</v>
      </c>
      <c r="F5817" t="s">
        <v>19483</v>
      </c>
      <c r="G5817" t="s">
        <v>19092</v>
      </c>
      <c r="H5817" t="s">
        <v>19597</v>
      </c>
      <c r="I5817" t="s">
        <v>19599</v>
      </c>
    </row>
    <row r="5818" spans="1:9">
      <c r="A5818" t="str">
        <f>"0257540 "</f>
        <v xml:space="preserve">0257540 </v>
      </c>
      <c r="B5818" t="s">
        <v>19092</v>
      </c>
      <c r="C5818" t="s">
        <v>19600</v>
      </c>
      <c r="D5818" t="s">
        <v>19601</v>
      </c>
      <c r="E5818" t="s">
        <v>16</v>
      </c>
      <c r="F5818" t="s">
        <v>7337</v>
      </c>
      <c r="G5818" t="s">
        <v>19092</v>
      </c>
      <c r="H5818" t="s">
        <v>19600</v>
      </c>
      <c r="I5818" t="s">
        <v>19602</v>
      </c>
    </row>
    <row r="5819" spans="1:9">
      <c r="A5819" t="str">
        <f>"0257582 "</f>
        <v xml:space="preserve">0257582 </v>
      </c>
      <c r="B5819" t="s">
        <v>19092</v>
      </c>
      <c r="C5819" t="s">
        <v>19603</v>
      </c>
      <c r="D5819" t="s">
        <v>19604</v>
      </c>
      <c r="E5819">
        <v>3</v>
      </c>
      <c r="F5819" t="s">
        <v>19095</v>
      </c>
      <c r="G5819" t="s">
        <v>19092</v>
      </c>
      <c r="H5819" t="s">
        <v>19603</v>
      </c>
      <c r="I5819" t="s">
        <v>19605</v>
      </c>
    </row>
    <row r="5820" spans="1:9">
      <c r="A5820" t="str">
        <f>"0257558 "</f>
        <v xml:space="preserve">0257558 </v>
      </c>
      <c r="B5820" t="s">
        <v>19092</v>
      </c>
      <c r="C5820" t="s">
        <v>19606</v>
      </c>
      <c r="D5820" t="s">
        <v>19607</v>
      </c>
      <c r="E5820">
        <v>1</v>
      </c>
      <c r="F5820" t="s">
        <v>19608</v>
      </c>
      <c r="G5820" t="s">
        <v>19092</v>
      </c>
      <c r="H5820" t="s">
        <v>19606</v>
      </c>
      <c r="I5820" t="s">
        <v>19609</v>
      </c>
    </row>
    <row r="5821" spans="1:9">
      <c r="A5821" t="str">
        <f>"0257596 "</f>
        <v xml:space="preserve">0257596 </v>
      </c>
      <c r="B5821" t="s">
        <v>19092</v>
      </c>
      <c r="C5821" t="s">
        <v>19610</v>
      </c>
      <c r="D5821" t="s">
        <v>19611</v>
      </c>
      <c r="E5821">
        <v>3</v>
      </c>
      <c r="F5821" t="s">
        <v>19612</v>
      </c>
      <c r="G5821" t="s">
        <v>19092</v>
      </c>
      <c r="H5821" t="s">
        <v>19610</v>
      </c>
      <c r="I5821" t="s">
        <v>19613</v>
      </c>
    </row>
    <row r="5822" spans="1:9">
      <c r="A5822" t="str">
        <f>"0257586 "</f>
        <v xml:space="preserve">0257586 </v>
      </c>
      <c r="B5822" t="s">
        <v>19092</v>
      </c>
      <c r="C5822" t="s">
        <v>19614</v>
      </c>
      <c r="D5822" t="s">
        <v>19615</v>
      </c>
      <c r="E5822">
        <v>4</v>
      </c>
      <c r="F5822" t="s">
        <v>19616</v>
      </c>
      <c r="G5822" t="s">
        <v>19092</v>
      </c>
      <c r="H5822" t="s">
        <v>19614</v>
      </c>
      <c r="I5822" t="s">
        <v>19617</v>
      </c>
    </row>
    <row r="5823" spans="1:9">
      <c r="A5823" t="str">
        <f>"0257605 "</f>
        <v xml:space="preserve">0257605 </v>
      </c>
      <c r="B5823" t="s">
        <v>19092</v>
      </c>
      <c r="C5823" t="s">
        <v>19618</v>
      </c>
      <c r="D5823" t="s">
        <v>19619</v>
      </c>
      <c r="E5823">
        <v>2</v>
      </c>
      <c r="F5823" t="s">
        <v>19620</v>
      </c>
      <c r="G5823" t="s">
        <v>19092</v>
      </c>
      <c r="H5823" t="s">
        <v>19618</v>
      </c>
      <c r="I5823" t="s">
        <v>19621</v>
      </c>
    </row>
    <row r="5824" spans="1:9">
      <c r="A5824" t="str">
        <f>"0257590 "</f>
        <v xml:space="preserve">0257590 </v>
      </c>
      <c r="B5824" t="s">
        <v>19092</v>
      </c>
      <c r="C5824" t="s">
        <v>19622</v>
      </c>
      <c r="D5824" t="s">
        <v>19623</v>
      </c>
      <c r="E5824">
        <v>3</v>
      </c>
      <c r="F5824" t="s">
        <v>19624</v>
      </c>
      <c r="G5824" t="s">
        <v>19092</v>
      </c>
      <c r="H5824" t="s">
        <v>19622</v>
      </c>
      <c r="I5824" t="s">
        <v>19625</v>
      </c>
    </row>
    <row r="5825" spans="1:9">
      <c r="A5825" t="str">
        <f>"0257597 "</f>
        <v xml:space="preserve">0257597 </v>
      </c>
      <c r="B5825" t="s">
        <v>19092</v>
      </c>
      <c r="C5825" t="s">
        <v>19626</v>
      </c>
      <c r="D5825" t="s">
        <v>19627</v>
      </c>
      <c r="E5825">
        <v>4</v>
      </c>
      <c r="F5825" t="s">
        <v>19628</v>
      </c>
      <c r="G5825" t="s">
        <v>19092</v>
      </c>
      <c r="H5825" t="s">
        <v>19626</v>
      </c>
      <c r="I5825" t="s">
        <v>19629</v>
      </c>
    </row>
    <row r="5826" spans="1:9">
      <c r="A5826" t="str">
        <f>"0257598 "</f>
        <v xml:space="preserve">0257598 </v>
      </c>
      <c r="B5826" t="s">
        <v>19092</v>
      </c>
      <c r="C5826" t="s">
        <v>19630</v>
      </c>
      <c r="D5826" t="s">
        <v>19631</v>
      </c>
      <c r="E5826">
        <v>2</v>
      </c>
      <c r="F5826" t="s">
        <v>19338</v>
      </c>
      <c r="G5826" t="s">
        <v>19092</v>
      </c>
      <c r="H5826" t="s">
        <v>19630</v>
      </c>
      <c r="I5826" t="s">
        <v>19632</v>
      </c>
    </row>
    <row r="5827" spans="1:9">
      <c r="A5827" t="str">
        <f>"0257592 "</f>
        <v xml:space="preserve">0257592 </v>
      </c>
      <c r="B5827" t="s">
        <v>19092</v>
      </c>
      <c r="C5827" t="s">
        <v>19633</v>
      </c>
      <c r="D5827" t="s">
        <v>19634</v>
      </c>
      <c r="E5827">
        <v>2</v>
      </c>
      <c r="F5827" t="s">
        <v>19390</v>
      </c>
      <c r="G5827" t="s">
        <v>19092</v>
      </c>
      <c r="H5827" t="s">
        <v>19633</v>
      </c>
      <c r="I5827" t="s">
        <v>19635</v>
      </c>
    </row>
    <row r="5828" spans="1:9">
      <c r="A5828" t="str">
        <f>"0257604 "</f>
        <v xml:space="preserve">0257604 </v>
      </c>
      <c r="B5828" t="s">
        <v>19092</v>
      </c>
      <c r="C5828" t="s">
        <v>19636</v>
      </c>
      <c r="D5828" t="s">
        <v>19637</v>
      </c>
      <c r="E5828">
        <v>2</v>
      </c>
      <c r="F5828" t="s">
        <v>19638</v>
      </c>
      <c r="G5828" t="s">
        <v>19092</v>
      </c>
      <c r="H5828" t="s">
        <v>19636</v>
      </c>
      <c r="I5828" t="s">
        <v>19639</v>
      </c>
    </row>
    <row r="5829" spans="1:9">
      <c r="A5829" t="str">
        <f>"0257595 "</f>
        <v xml:space="preserve">0257595 </v>
      </c>
      <c r="B5829" t="s">
        <v>19092</v>
      </c>
      <c r="C5829" t="s">
        <v>19640</v>
      </c>
      <c r="D5829" t="s">
        <v>19641</v>
      </c>
      <c r="E5829">
        <v>1</v>
      </c>
      <c r="F5829" t="s">
        <v>19642</v>
      </c>
      <c r="G5829" t="s">
        <v>19092</v>
      </c>
      <c r="H5829" t="s">
        <v>19640</v>
      </c>
      <c r="I5829" t="s">
        <v>19643</v>
      </c>
    </row>
    <row r="5830" spans="1:9">
      <c r="A5830" t="str">
        <f>"0257607 "</f>
        <v xml:space="preserve">0257607 </v>
      </c>
      <c r="B5830" t="s">
        <v>19092</v>
      </c>
      <c r="C5830" t="s">
        <v>19644</v>
      </c>
      <c r="D5830" t="s">
        <v>19645</v>
      </c>
      <c r="E5830">
        <v>3</v>
      </c>
      <c r="F5830" t="s">
        <v>19646</v>
      </c>
      <c r="G5830" t="s">
        <v>19092</v>
      </c>
      <c r="H5830" t="s">
        <v>19644</v>
      </c>
      <c r="I5830" t="s">
        <v>19647</v>
      </c>
    </row>
    <row r="5831" spans="1:9">
      <c r="A5831" t="str">
        <f>"0257591 "</f>
        <v xml:space="preserve">0257591 </v>
      </c>
      <c r="B5831" t="s">
        <v>19092</v>
      </c>
      <c r="C5831" t="s">
        <v>19648</v>
      </c>
      <c r="D5831" t="s">
        <v>19649</v>
      </c>
      <c r="E5831">
        <v>3</v>
      </c>
      <c r="F5831" t="s">
        <v>19650</v>
      </c>
      <c r="G5831" t="s">
        <v>19092</v>
      </c>
      <c r="H5831" t="s">
        <v>19648</v>
      </c>
      <c r="I5831" t="s">
        <v>19651</v>
      </c>
    </row>
    <row r="5832" spans="1:9">
      <c r="A5832" t="str">
        <f>"0257588 "</f>
        <v xml:space="preserve">0257588 </v>
      </c>
      <c r="B5832" t="s">
        <v>19092</v>
      </c>
      <c r="C5832" t="s">
        <v>19652</v>
      </c>
      <c r="D5832" t="s">
        <v>19653</v>
      </c>
      <c r="E5832">
        <v>4</v>
      </c>
      <c r="F5832" t="s">
        <v>15199</v>
      </c>
      <c r="G5832" t="s">
        <v>19092</v>
      </c>
      <c r="H5832" t="s">
        <v>19652</v>
      </c>
      <c r="I5832" t="s">
        <v>19654</v>
      </c>
    </row>
    <row r="5833" spans="1:9">
      <c r="A5833" t="str">
        <f>"0257587 "</f>
        <v xml:space="preserve">0257587 </v>
      </c>
      <c r="B5833" t="s">
        <v>19092</v>
      </c>
      <c r="C5833" t="s">
        <v>19655</v>
      </c>
      <c r="D5833" t="s">
        <v>19656</v>
      </c>
      <c r="E5833">
        <v>2</v>
      </c>
      <c r="F5833" t="s">
        <v>19378</v>
      </c>
      <c r="G5833" t="s">
        <v>19092</v>
      </c>
      <c r="H5833" t="s">
        <v>19655</v>
      </c>
      <c r="I5833" t="s">
        <v>19657</v>
      </c>
    </row>
    <row r="5834" spans="1:9">
      <c r="A5834" t="str">
        <f>"0257599 "</f>
        <v xml:space="preserve">0257599 </v>
      </c>
      <c r="B5834" t="s">
        <v>19092</v>
      </c>
      <c r="C5834" t="s">
        <v>19658</v>
      </c>
      <c r="D5834" t="s">
        <v>19659</v>
      </c>
      <c r="E5834">
        <v>5</v>
      </c>
      <c r="F5834" t="s">
        <v>19660</v>
      </c>
      <c r="G5834" t="s">
        <v>19092</v>
      </c>
      <c r="H5834" t="s">
        <v>19658</v>
      </c>
      <c r="I5834" t="s">
        <v>19661</v>
      </c>
    </row>
    <row r="5835" spans="1:9">
      <c r="A5835" t="str">
        <f>"0257610 "</f>
        <v xml:space="preserve">0257610 </v>
      </c>
      <c r="B5835" t="s">
        <v>19092</v>
      </c>
      <c r="C5835" t="s">
        <v>19662</v>
      </c>
      <c r="D5835" t="s">
        <v>19663</v>
      </c>
      <c r="E5835">
        <v>2</v>
      </c>
      <c r="F5835" t="s">
        <v>19234</v>
      </c>
      <c r="G5835" t="s">
        <v>19092</v>
      </c>
      <c r="H5835" t="s">
        <v>19662</v>
      </c>
      <c r="I5835" t="s">
        <v>19664</v>
      </c>
    </row>
    <row r="5836" spans="1:9">
      <c r="A5836" t="str">
        <f>"0257585 "</f>
        <v xml:space="preserve">0257585 </v>
      </c>
      <c r="B5836" t="s">
        <v>19092</v>
      </c>
      <c r="C5836" t="s">
        <v>19665</v>
      </c>
      <c r="D5836" t="s">
        <v>19666</v>
      </c>
      <c r="E5836">
        <v>2</v>
      </c>
      <c r="F5836" t="s">
        <v>10813</v>
      </c>
      <c r="G5836" t="s">
        <v>19092</v>
      </c>
      <c r="H5836" t="s">
        <v>19665</v>
      </c>
      <c r="I5836" t="s">
        <v>19667</v>
      </c>
    </row>
    <row r="5837" spans="1:9">
      <c r="A5837" t="str">
        <f>"0257609 "</f>
        <v xml:space="preserve">0257609 </v>
      </c>
      <c r="B5837" t="s">
        <v>19092</v>
      </c>
      <c r="C5837" t="s">
        <v>19668</v>
      </c>
      <c r="D5837" t="s">
        <v>19669</v>
      </c>
      <c r="E5837">
        <v>1</v>
      </c>
      <c r="F5837" t="s">
        <v>19670</v>
      </c>
      <c r="G5837" t="s">
        <v>19092</v>
      </c>
      <c r="H5837" t="s">
        <v>19668</v>
      </c>
      <c r="I5837" t="s">
        <v>19671</v>
      </c>
    </row>
    <row r="5838" spans="1:9">
      <c r="A5838" t="str">
        <f>"0257600 "</f>
        <v xml:space="preserve">0257600 </v>
      </c>
      <c r="B5838" t="s">
        <v>19092</v>
      </c>
      <c r="C5838" t="s">
        <v>19672</v>
      </c>
      <c r="D5838" t="s">
        <v>19673</v>
      </c>
      <c r="E5838">
        <v>2</v>
      </c>
      <c r="F5838" t="s">
        <v>19312</v>
      </c>
      <c r="G5838" t="s">
        <v>19092</v>
      </c>
      <c r="H5838" t="s">
        <v>19672</v>
      </c>
      <c r="I5838" t="s">
        <v>19674</v>
      </c>
    </row>
    <row r="5839" spans="1:9">
      <c r="A5839" t="str">
        <f>"0257593 "</f>
        <v xml:space="preserve">0257593 </v>
      </c>
      <c r="B5839" t="s">
        <v>19092</v>
      </c>
      <c r="C5839" t="s">
        <v>19675</v>
      </c>
      <c r="D5839" t="s">
        <v>19676</v>
      </c>
      <c r="E5839">
        <v>5</v>
      </c>
      <c r="F5839" t="s">
        <v>19289</v>
      </c>
      <c r="G5839" t="s">
        <v>19092</v>
      </c>
      <c r="H5839" t="s">
        <v>19675</v>
      </c>
      <c r="I5839" t="s">
        <v>19677</v>
      </c>
    </row>
    <row r="5840" spans="1:9">
      <c r="A5840" t="str">
        <f>"0257601 "</f>
        <v xml:space="preserve">0257601 </v>
      </c>
      <c r="B5840" t="s">
        <v>19092</v>
      </c>
      <c r="C5840" t="s">
        <v>19678</v>
      </c>
      <c r="D5840" t="s">
        <v>19679</v>
      </c>
      <c r="E5840">
        <v>2</v>
      </c>
      <c r="F5840" t="s">
        <v>19680</v>
      </c>
      <c r="G5840" t="s">
        <v>19092</v>
      </c>
      <c r="H5840" t="s">
        <v>19678</v>
      </c>
      <c r="I5840" t="s">
        <v>19681</v>
      </c>
    </row>
    <row r="5841" spans="1:9">
      <c r="A5841" t="str">
        <f>"0257589 "</f>
        <v xml:space="preserve">0257589 </v>
      </c>
      <c r="B5841" t="s">
        <v>19092</v>
      </c>
      <c r="C5841" t="s">
        <v>19682</v>
      </c>
      <c r="D5841" t="s">
        <v>19683</v>
      </c>
      <c r="E5841">
        <v>3</v>
      </c>
      <c r="F5841" t="s">
        <v>19386</v>
      </c>
      <c r="G5841" t="s">
        <v>19092</v>
      </c>
      <c r="H5841" t="s">
        <v>19682</v>
      </c>
      <c r="I5841" t="s">
        <v>19684</v>
      </c>
    </row>
    <row r="5842" spans="1:9">
      <c r="A5842" t="str">
        <f>"0257594 "</f>
        <v xml:space="preserve">0257594 </v>
      </c>
      <c r="B5842" t="s">
        <v>19092</v>
      </c>
      <c r="C5842" t="s">
        <v>19685</v>
      </c>
      <c r="D5842" t="s">
        <v>19686</v>
      </c>
      <c r="E5842">
        <v>2</v>
      </c>
      <c r="F5842" t="s">
        <v>19687</v>
      </c>
      <c r="G5842" t="s">
        <v>19092</v>
      </c>
      <c r="H5842" t="s">
        <v>19685</v>
      </c>
      <c r="I5842" t="s">
        <v>19688</v>
      </c>
    </row>
    <row r="5843" spans="1:9">
      <c r="A5843" t="str">
        <f>"0270477 "</f>
        <v xml:space="preserve">0270477 </v>
      </c>
      <c r="B5843" t="s">
        <v>19689</v>
      </c>
      <c r="C5843" t="s">
        <v>19690</v>
      </c>
      <c r="D5843" t="s">
        <v>19691</v>
      </c>
      <c r="E5843">
        <v>5</v>
      </c>
      <c r="F5843" t="str">
        <f>"0.00"</f>
        <v>0.00</v>
      </c>
      <c r="G5843" t="s">
        <v>1818</v>
      </c>
      <c r="H5843" t="s">
        <v>19690</v>
      </c>
    </row>
    <row r="5844" spans="1:9">
      <c r="A5844" t="str">
        <f>"0270478 "</f>
        <v xml:space="preserve">0270478 </v>
      </c>
      <c r="B5844" t="s">
        <v>19689</v>
      </c>
      <c r="C5844" t="s">
        <v>19692</v>
      </c>
      <c r="D5844" t="s">
        <v>19693</v>
      </c>
      <c r="E5844">
        <v>5</v>
      </c>
      <c r="F5844" t="str">
        <f>"0.00"</f>
        <v>0.00</v>
      </c>
      <c r="G5844" t="s">
        <v>1818</v>
      </c>
      <c r="H5844" t="s">
        <v>19692</v>
      </c>
    </row>
    <row r="5845" spans="1:9">
      <c r="A5845" t="str">
        <f>"0218116 "</f>
        <v xml:space="preserve">0218116 </v>
      </c>
      <c r="B5845" t="s">
        <v>19689</v>
      </c>
      <c r="C5845" t="s">
        <v>19694</v>
      </c>
      <c r="D5845" t="s">
        <v>19695</v>
      </c>
      <c r="E5845" t="s">
        <v>16</v>
      </c>
      <c r="F5845" t="s">
        <v>19696</v>
      </c>
      <c r="G5845" t="s">
        <v>1818</v>
      </c>
      <c r="H5845" t="s">
        <v>19694</v>
      </c>
    </row>
    <row r="5846" spans="1:9">
      <c r="A5846" t="str">
        <f>"0218117 "</f>
        <v xml:space="preserve">0218117 </v>
      </c>
      <c r="B5846" t="s">
        <v>19689</v>
      </c>
      <c r="C5846" t="s">
        <v>19697</v>
      </c>
      <c r="D5846" t="s">
        <v>19698</v>
      </c>
      <c r="E5846" t="s">
        <v>16</v>
      </c>
      <c r="F5846" t="s">
        <v>19696</v>
      </c>
      <c r="G5846" t="s">
        <v>1818</v>
      </c>
      <c r="H5846" t="s">
        <v>19697</v>
      </c>
    </row>
    <row r="5847" spans="1:9">
      <c r="A5847" t="str">
        <f>"0218118 "</f>
        <v xml:space="preserve">0218118 </v>
      </c>
      <c r="B5847" t="s">
        <v>19689</v>
      </c>
      <c r="C5847" t="s">
        <v>19699</v>
      </c>
      <c r="D5847" t="s">
        <v>19700</v>
      </c>
      <c r="E5847" t="s">
        <v>16</v>
      </c>
      <c r="F5847" t="s">
        <v>19696</v>
      </c>
      <c r="G5847" t="s">
        <v>1818</v>
      </c>
      <c r="H5847" t="s">
        <v>19699</v>
      </c>
    </row>
    <row r="5848" spans="1:9">
      <c r="A5848" t="str">
        <f>"0218119 "</f>
        <v xml:space="preserve">0218119 </v>
      </c>
      <c r="B5848" t="s">
        <v>19689</v>
      </c>
      <c r="C5848" t="s">
        <v>19701</v>
      </c>
      <c r="D5848" t="s">
        <v>19702</v>
      </c>
      <c r="E5848" t="s">
        <v>16</v>
      </c>
      <c r="F5848" t="s">
        <v>19696</v>
      </c>
      <c r="G5848" t="s">
        <v>1818</v>
      </c>
      <c r="H5848" t="s">
        <v>19701</v>
      </c>
    </row>
    <row r="5849" spans="1:9">
      <c r="A5849" t="str">
        <f>"0218120 "</f>
        <v xml:space="preserve">0218120 </v>
      </c>
      <c r="B5849" t="s">
        <v>19689</v>
      </c>
      <c r="C5849" t="s">
        <v>19703</v>
      </c>
      <c r="D5849" t="s">
        <v>19704</v>
      </c>
      <c r="E5849" t="s">
        <v>16</v>
      </c>
      <c r="F5849" t="s">
        <v>19696</v>
      </c>
      <c r="G5849" t="s">
        <v>1818</v>
      </c>
      <c r="H5849" t="s">
        <v>19703</v>
      </c>
    </row>
    <row r="5850" spans="1:9">
      <c r="A5850" t="str">
        <f>"0248031 "</f>
        <v xml:space="preserve">0248031 </v>
      </c>
      <c r="B5850" t="s">
        <v>19689</v>
      </c>
      <c r="C5850" t="s">
        <v>19705</v>
      </c>
      <c r="D5850" t="s">
        <v>19706</v>
      </c>
      <c r="E5850" t="s">
        <v>16</v>
      </c>
      <c r="F5850" t="s">
        <v>19696</v>
      </c>
      <c r="G5850" t="s">
        <v>1818</v>
      </c>
      <c r="H5850" t="s">
        <v>19705</v>
      </c>
    </row>
    <row r="5851" spans="1:9">
      <c r="A5851" t="str">
        <f>"0218122 "</f>
        <v xml:space="preserve">0218122 </v>
      </c>
      <c r="B5851" t="s">
        <v>19689</v>
      </c>
      <c r="C5851" t="s">
        <v>19707</v>
      </c>
      <c r="D5851" t="s">
        <v>19708</v>
      </c>
      <c r="E5851" t="s">
        <v>16</v>
      </c>
      <c r="F5851" t="s">
        <v>19709</v>
      </c>
      <c r="G5851" t="s">
        <v>1818</v>
      </c>
      <c r="H5851" t="s">
        <v>19707</v>
      </c>
    </row>
    <row r="5852" spans="1:9">
      <c r="A5852" t="str">
        <f>"0218123 "</f>
        <v xml:space="preserve">0218123 </v>
      </c>
      <c r="B5852" t="s">
        <v>19689</v>
      </c>
      <c r="C5852" t="s">
        <v>19710</v>
      </c>
      <c r="D5852" t="s">
        <v>19711</v>
      </c>
      <c r="E5852">
        <v>5</v>
      </c>
      <c r="F5852" t="s">
        <v>19709</v>
      </c>
      <c r="G5852" t="s">
        <v>1818</v>
      </c>
      <c r="H5852" t="s">
        <v>19710</v>
      </c>
    </row>
    <row r="5853" spans="1:9">
      <c r="A5853" t="str">
        <f>"0218124 "</f>
        <v xml:space="preserve">0218124 </v>
      </c>
      <c r="B5853" t="s">
        <v>19689</v>
      </c>
      <c r="C5853" t="s">
        <v>19712</v>
      </c>
      <c r="D5853" t="s">
        <v>19713</v>
      </c>
      <c r="E5853" t="s">
        <v>16</v>
      </c>
      <c r="F5853" t="s">
        <v>19709</v>
      </c>
      <c r="G5853" t="s">
        <v>1818</v>
      </c>
      <c r="H5853" t="s">
        <v>19712</v>
      </c>
    </row>
    <row r="5854" spans="1:9">
      <c r="A5854" t="str">
        <f>"0218125 "</f>
        <v xml:space="preserve">0218125 </v>
      </c>
      <c r="B5854" t="s">
        <v>19689</v>
      </c>
      <c r="C5854" t="s">
        <v>19714</v>
      </c>
      <c r="D5854" t="s">
        <v>19715</v>
      </c>
      <c r="E5854" t="s">
        <v>16</v>
      </c>
      <c r="F5854" t="s">
        <v>19709</v>
      </c>
      <c r="G5854" t="s">
        <v>1818</v>
      </c>
      <c r="H5854" t="s">
        <v>19714</v>
      </c>
    </row>
    <row r="5855" spans="1:9">
      <c r="A5855" t="str">
        <f>"0218126 "</f>
        <v xml:space="preserve">0218126 </v>
      </c>
      <c r="B5855" t="s">
        <v>19689</v>
      </c>
      <c r="C5855" t="s">
        <v>19716</v>
      </c>
      <c r="D5855" t="s">
        <v>19717</v>
      </c>
      <c r="E5855" t="s">
        <v>16</v>
      </c>
      <c r="F5855" t="s">
        <v>19709</v>
      </c>
      <c r="G5855" t="s">
        <v>1818</v>
      </c>
      <c r="H5855" t="s">
        <v>19716</v>
      </c>
    </row>
    <row r="5856" spans="1:9">
      <c r="A5856" t="str">
        <f>"0218127 "</f>
        <v xml:space="preserve">0218127 </v>
      </c>
      <c r="B5856" t="s">
        <v>19689</v>
      </c>
      <c r="C5856" t="s">
        <v>19718</v>
      </c>
      <c r="D5856" t="s">
        <v>19719</v>
      </c>
      <c r="E5856" t="s">
        <v>16</v>
      </c>
      <c r="F5856" t="s">
        <v>19709</v>
      </c>
      <c r="G5856" t="s">
        <v>1818</v>
      </c>
      <c r="H5856" t="s">
        <v>19718</v>
      </c>
    </row>
    <row r="5857" spans="1:8">
      <c r="A5857" t="str">
        <f>"0248030 "</f>
        <v xml:space="preserve">0248030 </v>
      </c>
      <c r="B5857" t="s">
        <v>19689</v>
      </c>
      <c r="C5857" t="s">
        <v>19720</v>
      </c>
      <c r="D5857" t="s">
        <v>19721</v>
      </c>
      <c r="E5857" t="s">
        <v>16</v>
      </c>
      <c r="F5857" t="s">
        <v>19709</v>
      </c>
      <c r="G5857" t="s">
        <v>1818</v>
      </c>
      <c r="H5857" t="s">
        <v>19720</v>
      </c>
    </row>
    <row r="5858" spans="1:8">
      <c r="A5858" t="str">
        <f>"0249572 "</f>
        <v xml:space="preserve">0249572 </v>
      </c>
      <c r="B5858" t="s">
        <v>19689</v>
      </c>
      <c r="C5858" t="s">
        <v>19722</v>
      </c>
      <c r="D5858" t="s">
        <v>19723</v>
      </c>
      <c r="E5858" t="s">
        <v>16</v>
      </c>
      <c r="F5858" t="s">
        <v>19724</v>
      </c>
      <c r="G5858" t="s">
        <v>1818</v>
      </c>
      <c r="H5858" t="s">
        <v>19722</v>
      </c>
    </row>
    <row r="5859" spans="1:8">
      <c r="A5859" t="str">
        <f>"0249574 "</f>
        <v xml:space="preserve">0249574 </v>
      </c>
      <c r="B5859" t="s">
        <v>19689</v>
      </c>
      <c r="C5859" t="s">
        <v>19725</v>
      </c>
      <c r="D5859" t="s">
        <v>19726</v>
      </c>
      <c r="E5859">
        <v>4</v>
      </c>
      <c r="F5859" s="1">
        <v>42849</v>
      </c>
      <c r="G5859" t="s">
        <v>1818</v>
      </c>
      <c r="H5859" t="s">
        <v>19725</v>
      </c>
    </row>
    <row r="5860" spans="1:8">
      <c r="A5860" t="str">
        <f>"0248032 "</f>
        <v xml:space="preserve">0248032 </v>
      </c>
      <c r="B5860" t="s">
        <v>19689</v>
      </c>
      <c r="C5860" t="s">
        <v>19727</v>
      </c>
      <c r="D5860" t="s">
        <v>19728</v>
      </c>
      <c r="E5860">
        <v>2</v>
      </c>
      <c r="F5860" t="s">
        <v>19729</v>
      </c>
      <c r="G5860" t="s">
        <v>1818</v>
      </c>
      <c r="H5860" t="s">
        <v>19727</v>
      </c>
    </row>
    <row r="5861" spans="1:8">
      <c r="A5861" t="str">
        <f>"0248035 "</f>
        <v xml:space="preserve">0248035 </v>
      </c>
      <c r="B5861" t="s">
        <v>19689</v>
      </c>
      <c r="C5861" t="s">
        <v>19730</v>
      </c>
      <c r="D5861" t="s">
        <v>19731</v>
      </c>
      <c r="E5861">
        <v>5</v>
      </c>
      <c r="F5861" t="s">
        <v>19729</v>
      </c>
      <c r="G5861" t="s">
        <v>1818</v>
      </c>
      <c r="H5861" t="s">
        <v>19730</v>
      </c>
    </row>
    <row r="5862" spans="1:8">
      <c r="A5862" t="str">
        <f>"0248037 "</f>
        <v xml:space="preserve">0248037 </v>
      </c>
      <c r="B5862" t="s">
        <v>19689</v>
      </c>
      <c r="C5862" t="s">
        <v>19732</v>
      </c>
      <c r="D5862" t="s">
        <v>19733</v>
      </c>
      <c r="E5862" t="s">
        <v>16</v>
      </c>
      <c r="F5862" t="s">
        <v>19729</v>
      </c>
      <c r="G5862" t="s">
        <v>1818</v>
      </c>
      <c r="H5862" t="s">
        <v>19732</v>
      </c>
    </row>
    <row r="5863" spans="1:8">
      <c r="A5863" t="str">
        <f>"0248034 "</f>
        <v xml:space="preserve">0248034 </v>
      </c>
      <c r="B5863" t="s">
        <v>19689</v>
      </c>
      <c r="C5863" t="s">
        <v>19734</v>
      </c>
      <c r="D5863" t="s">
        <v>19735</v>
      </c>
      <c r="E5863" t="s">
        <v>16</v>
      </c>
      <c r="F5863" t="s">
        <v>19729</v>
      </c>
      <c r="G5863" t="s">
        <v>1818</v>
      </c>
      <c r="H5863" t="s">
        <v>19734</v>
      </c>
    </row>
    <row r="5864" spans="1:8">
      <c r="A5864" t="str">
        <f>"0248033 "</f>
        <v xml:space="preserve">0248033 </v>
      </c>
      <c r="B5864" t="s">
        <v>19689</v>
      </c>
      <c r="C5864" t="s">
        <v>19736</v>
      </c>
      <c r="D5864" t="s">
        <v>19737</v>
      </c>
      <c r="E5864" t="s">
        <v>16</v>
      </c>
      <c r="F5864" t="s">
        <v>19729</v>
      </c>
      <c r="G5864" t="s">
        <v>1818</v>
      </c>
      <c r="H5864" t="s">
        <v>19736</v>
      </c>
    </row>
    <row r="5865" spans="1:8">
      <c r="A5865" t="str">
        <f>"0248036 "</f>
        <v xml:space="preserve">0248036 </v>
      </c>
      <c r="B5865" t="s">
        <v>19689</v>
      </c>
      <c r="C5865" t="s">
        <v>19738</v>
      </c>
      <c r="D5865" t="s">
        <v>19739</v>
      </c>
      <c r="E5865" t="s">
        <v>16</v>
      </c>
      <c r="F5865" t="s">
        <v>19729</v>
      </c>
      <c r="G5865" t="s">
        <v>1818</v>
      </c>
      <c r="H5865" t="s">
        <v>19738</v>
      </c>
    </row>
    <row r="5866" spans="1:8">
      <c r="A5866" t="str">
        <f>"0248038 "</f>
        <v xml:space="preserve">0248038 </v>
      </c>
      <c r="B5866" t="s">
        <v>19689</v>
      </c>
      <c r="C5866" t="s">
        <v>19740</v>
      </c>
      <c r="D5866" t="s">
        <v>19741</v>
      </c>
      <c r="E5866" t="s">
        <v>16</v>
      </c>
      <c r="F5866" t="s">
        <v>19729</v>
      </c>
      <c r="G5866" t="s">
        <v>1818</v>
      </c>
      <c r="H5866" t="s">
        <v>19740</v>
      </c>
    </row>
    <row r="5867" spans="1:8">
      <c r="A5867" t="str">
        <f>"0249571 "</f>
        <v xml:space="preserve">0249571 </v>
      </c>
      <c r="B5867" t="s">
        <v>19689</v>
      </c>
      <c r="C5867" t="s">
        <v>19742</v>
      </c>
      <c r="D5867" t="s">
        <v>19743</v>
      </c>
      <c r="E5867" t="s">
        <v>16</v>
      </c>
      <c r="F5867" t="s">
        <v>19744</v>
      </c>
      <c r="G5867" t="s">
        <v>19689</v>
      </c>
      <c r="H5867" t="s">
        <v>19742</v>
      </c>
    </row>
    <row r="5868" spans="1:8">
      <c r="A5868" t="str">
        <f>"0249573 "</f>
        <v xml:space="preserve">0249573 </v>
      </c>
      <c r="B5868" t="s">
        <v>19689</v>
      </c>
      <c r="C5868" t="s">
        <v>19745</v>
      </c>
      <c r="D5868" t="s">
        <v>19746</v>
      </c>
      <c r="E5868" t="s">
        <v>16</v>
      </c>
      <c r="F5868" t="s">
        <v>19747</v>
      </c>
      <c r="G5868" t="s">
        <v>19689</v>
      </c>
      <c r="H5868" t="s">
        <v>19745</v>
      </c>
    </row>
    <row r="5869" spans="1:8">
      <c r="A5869" t="str">
        <f>"0252361 "</f>
        <v xml:space="preserve">0252361 </v>
      </c>
      <c r="B5869" t="s">
        <v>19689</v>
      </c>
      <c r="C5869" t="s">
        <v>19748</v>
      </c>
      <c r="D5869" t="s">
        <v>19749</v>
      </c>
      <c r="E5869" t="s">
        <v>16</v>
      </c>
      <c r="F5869" t="s">
        <v>19750</v>
      </c>
      <c r="G5869" t="s">
        <v>19689</v>
      </c>
      <c r="H5869" t="s">
        <v>19748</v>
      </c>
    </row>
    <row r="5870" spans="1:8">
      <c r="A5870" t="str">
        <f>"0267438 "</f>
        <v xml:space="preserve">0267438 </v>
      </c>
      <c r="B5870" t="s">
        <v>19689</v>
      </c>
      <c r="C5870" t="s">
        <v>19751</v>
      </c>
      <c r="D5870" t="s">
        <v>19752</v>
      </c>
      <c r="E5870" t="s">
        <v>16</v>
      </c>
      <c r="F5870" t="s">
        <v>19753</v>
      </c>
      <c r="G5870" t="s">
        <v>19689</v>
      </c>
      <c r="H5870" t="s">
        <v>19751</v>
      </c>
    </row>
    <row r="5871" spans="1:8">
      <c r="A5871" t="str">
        <f>"0269098 "</f>
        <v xml:space="preserve">0269098 </v>
      </c>
      <c r="B5871" t="s">
        <v>19689</v>
      </c>
      <c r="C5871" t="s">
        <v>19754</v>
      </c>
      <c r="D5871" t="s">
        <v>19755</v>
      </c>
      <c r="E5871" t="s">
        <v>16</v>
      </c>
      <c r="F5871" t="s">
        <v>19756</v>
      </c>
      <c r="G5871" t="s">
        <v>637</v>
      </c>
      <c r="H5871" t="s">
        <v>19754</v>
      </c>
    </row>
    <row r="5872" spans="1:8">
      <c r="A5872" t="str">
        <f>"0267323 "</f>
        <v xml:space="preserve">0267323 </v>
      </c>
      <c r="B5872" t="s">
        <v>19689</v>
      </c>
      <c r="C5872" t="s">
        <v>19757</v>
      </c>
      <c r="D5872" t="s">
        <v>19758</v>
      </c>
      <c r="E5872">
        <v>2</v>
      </c>
      <c r="F5872" t="s">
        <v>19759</v>
      </c>
      <c r="G5872" t="s">
        <v>637</v>
      </c>
      <c r="H5872" t="s">
        <v>19757</v>
      </c>
    </row>
    <row r="5873" spans="1:8">
      <c r="A5873" t="str">
        <f>"0249598 "</f>
        <v xml:space="preserve">0249598 </v>
      </c>
      <c r="B5873" t="s">
        <v>19689</v>
      </c>
      <c r="C5873" t="s">
        <v>19760</v>
      </c>
      <c r="D5873" t="s">
        <v>19761</v>
      </c>
      <c r="E5873">
        <v>4</v>
      </c>
      <c r="F5873" t="s">
        <v>19762</v>
      </c>
      <c r="G5873" t="s">
        <v>19689</v>
      </c>
      <c r="H5873" t="s">
        <v>19760</v>
      </c>
    </row>
    <row r="5874" spans="1:8">
      <c r="A5874" t="str">
        <f>"0252541 "</f>
        <v xml:space="preserve">0252541 </v>
      </c>
      <c r="B5874" t="s">
        <v>19689</v>
      </c>
      <c r="C5874" t="s">
        <v>19763</v>
      </c>
      <c r="D5874" t="s">
        <v>19764</v>
      </c>
      <c r="E5874">
        <v>2</v>
      </c>
      <c r="F5874" t="s">
        <v>19765</v>
      </c>
      <c r="G5874" t="s">
        <v>19689</v>
      </c>
      <c r="H5874" t="s">
        <v>19763</v>
      </c>
    </row>
    <row r="5875" spans="1:8">
      <c r="A5875" t="str">
        <f>"0258293 "</f>
        <v xml:space="preserve">0258293 </v>
      </c>
      <c r="B5875" t="s">
        <v>19689</v>
      </c>
      <c r="C5875" t="s">
        <v>19766</v>
      </c>
      <c r="D5875" t="s">
        <v>19767</v>
      </c>
      <c r="E5875">
        <v>4</v>
      </c>
      <c r="F5875" t="s">
        <v>19768</v>
      </c>
      <c r="G5875" t="s">
        <v>19689</v>
      </c>
      <c r="H5875" t="s">
        <v>19766</v>
      </c>
    </row>
    <row r="5876" spans="1:8">
      <c r="A5876" t="str">
        <f>"0218138 "</f>
        <v xml:space="preserve">0218138 </v>
      </c>
      <c r="B5876" t="s">
        <v>19689</v>
      </c>
      <c r="C5876" t="s">
        <v>19769</v>
      </c>
      <c r="D5876" t="s">
        <v>19770</v>
      </c>
      <c r="E5876" t="s">
        <v>16</v>
      </c>
      <c r="F5876" t="s">
        <v>4999</v>
      </c>
      <c r="G5876" t="s">
        <v>1818</v>
      </c>
      <c r="H5876" t="s">
        <v>19769</v>
      </c>
    </row>
    <row r="5877" spans="1:8">
      <c r="A5877" t="str">
        <f>"0240869 "</f>
        <v xml:space="preserve">0240869 </v>
      </c>
      <c r="B5877" t="s">
        <v>19689</v>
      </c>
      <c r="C5877" t="s">
        <v>19771</v>
      </c>
      <c r="D5877" t="s">
        <v>19772</v>
      </c>
      <c r="E5877">
        <v>3</v>
      </c>
      <c r="F5877" t="s">
        <v>19773</v>
      </c>
      <c r="G5877" t="s">
        <v>1818</v>
      </c>
      <c r="H5877" t="s">
        <v>19771</v>
      </c>
    </row>
    <row r="5878" spans="1:8">
      <c r="A5878" t="str">
        <f>"0252539 "</f>
        <v xml:space="preserve">0252539 </v>
      </c>
      <c r="B5878" t="s">
        <v>19689</v>
      </c>
      <c r="C5878" t="s">
        <v>19774</v>
      </c>
      <c r="D5878" t="s">
        <v>19775</v>
      </c>
      <c r="E5878" t="s">
        <v>16</v>
      </c>
      <c r="F5878" t="s">
        <v>5434</v>
      </c>
      <c r="G5878" t="s">
        <v>1818</v>
      </c>
      <c r="H5878" t="s">
        <v>19774</v>
      </c>
    </row>
    <row r="5879" spans="1:8">
      <c r="A5879" t="str">
        <f>"0252540 "</f>
        <v xml:space="preserve">0252540 </v>
      </c>
      <c r="B5879" t="s">
        <v>19689</v>
      </c>
      <c r="C5879" t="s">
        <v>19776</v>
      </c>
      <c r="D5879" t="s">
        <v>19777</v>
      </c>
      <c r="E5879" t="s">
        <v>16</v>
      </c>
      <c r="F5879" s="1">
        <v>42970</v>
      </c>
      <c r="G5879" t="s">
        <v>1818</v>
      </c>
      <c r="H5879" t="s">
        <v>19776</v>
      </c>
    </row>
    <row r="5880" spans="1:8">
      <c r="A5880" t="str">
        <f>"0270346 "</f>
        <v xml:space="preserve">0270346 </v>
      </c>
      <c r="B5880" t="s">
        <v>19689</v>
      </c>
      <c r="C5880" t="s">
        <v>19778</v>
      </c>
      <c r="D5880" t="s">
        <v>19779</v>
      </c>
      <c r="E5880">
        <v>2</v>
      </c>
      <c r="F5880" t="s">
        <v>19780</v>
      </c>
      <c r="G5880" t="s">
        <v>1818</v>
      </c>
      <c r="H5880" t="s">
        <v>19778</v>
      </c>
    </row>
    <row r="5881" spans="1:8">
      <c r="A5881" t="str">
        <f>"0270352 "</f>
        <v xml:space="preserve">0270352 </v>
      </c>
      <c r="B5881" t="s">
        <v>19689</v>
      </c>
      <c r="C5881" t="s">
        <v>19781</v>
      </c>
      <c r="D5881" t="s">
        <v>19782</v>
      </c>
      <c r="E5881">
        <v>2</v>
      </c>
      <c r="F5881" t="s">
        <v>19783</v>
      </c>
      <c r="G5881" t="s">
        <v>1818</v>
      </c>
      <c r="H5881" t="s">
        <v>19781</v>
      </c>
    </row>
    <row r="5882" spans="1:8">
      <c r="A5882" t="str">
        <f>"0270353 "</f>
        <v xml:space="preserve">0270353 </v>
      </c>
      <c r="B5882" t="s">
        <v>19689</v>
      </c>
      <c r="C5882" t="s">
        <v>19784</v>
      </c>
      <c r="D5882" t="s">
        <v>19785</v>
      </c>
      <c r="E5882" t="s">
        <v>16</v>
      </c>
      <c r="F5882" t="s">
        <v>19786</v>
      </c>
      <c r="G5882" t="s">
        <v>1818</v>
      </c>
      <c r="H5882" t="s">
        <v>19784</v>
      </c>
    </row>
    <row r="5883" spans="1:8">
      <c r="A5883" t="str">
        <f>"0258290 "</f>
        <v xml:space="preserve">0258290 </v>
      </c>
      <c r="B5883" t="s">
        <v>19689</v>
      </c>
      <c r="C5883" t="s">
        <v>19787</v>
      </c>
      <c r="D5883" t="s">
        <v>19788</v>
      </c>
      <c r="E5883" t="s">
        <v>16</v>
      </c>
      <c r="F5883" t="s">
        <v>19789</v>
      </c>
      <c r="G5883" t="s">
        <v>1818</v>
      </c>
      <c r="H5883" t="s">
        <v>19787</v>
      </c>
    </row>
    <row r="5884" spans="1:8">
      <c r="A5884" t="str">
        <f>"0232817 "</f>
        <v xml:space="preserve">0232817 </v>
      </c>
      <c r="B5884" t="s">
        <v>19689</v>
      </c>
      <c r="C5884" t="s">
        <v>19790</v>
      </c>
      <c r="D5884" t="s">
        <v>19791</v>
      </c>
      <c r="E5884" t="s">
        <v>16</v>
      </c>
      <c r="F5884" t="s">
        <v>19789</v>
      </c>
      <c r="G5884" t="s">
        <v>1818</v>
      </c>
      <c r="H5884" t="s">
        <v>19790</v>
      </c>
    </row>
    <row r="5885" spans="1:8">
      <c r="A5885" t="str">
        <f>"0232816 "</f>
        <v xml:space="preserve">0232816 </v>
      </c>
      <c r="B5885" t="s">
        <v>19689</v>
      </c>
      <c r="C5885" t="s">
        <v>19792</v>
      </c>
      <c r="D5885" t="s">
        <v>19793</v>
      </c>
      <c r="E5885" t="s">
        <v>16</v>
      </c>
      <c r="F5885" t="s">
        <v>19789</v>
      </c>
      <c r="G5885" t="s">
        <v>1818</v>
      </c>
      <c r="H5885" t="s">
        <v>19792</v>
      </c>
    </row>
    <row r="5886" spans="1:8">
      <c r="A5886" t="str">
        <f>"0241277 "</f>
        <v xml:space="preserve">0241277 </v>
      </c>
      <c r="B5886" t="s">
        <v>19689</v>
      </c>
      <c r="C5886" t="s">
        <v>19794</v>
      </c>
      <c r="D5886" t="s">
        <v>19795</v>
      </c>
      <c r="E5886" t="s">
        <v>16</v>
      </c>
      <c r="F5886" t="s">
        <v>19796</v>
      </c>
      <c r="G5886" t="s">
        <v>1818</v>
      </c>
      <c r="H5886" t="s">
        <v>19794</v>
      </c>
    </row>
    <row r="5887" spans="1:8">
      <c r="A5887" t="str">
        <f>"0241276 "</f>
        <v xml:space="preserve">0241276 </v>
      </c>
      <c r="B5887" t="s">
        <v>19689</v>
      </c>
      <c r="C5887" t="s">
        <v>19797</v>
      </c>
      <c r="D5887" t="s">
        <v>19798</v>
      </c>
      <c r="E5887">
        <v>3</v>
      </c>
      <c r="F5887" t="s">
        <v>19796</v>
      </c>
      <c r="G5887" t="s">
        <v>1818</v>
      </c>
      <c r="H5887" t="s">
        <v>19797</v>
      </c>
    </row>
    <row r="5888" spans="1:8">
      <c r="A5888" t="str">
        <f>"0241278 "</f>
        <v xml:space="preserve">0241278 </v>
      </c>
      <c r="B5888" t="s">
        <v>19689</v>
      </c>
      <c r="C5888" t="s">
        <v>19799</v>
      </c>
      <c r="D5888" t="s">
        <v>19800</v>
      </c>
      <c r="E5888">
        <v>2</v>
      </c>
      <c r="F5888" t="s">
        <v>19796</v>
      </c>
      <c r="G5888" t="s">
        <v>1818</v>
      </c>
      <c r="H5888" t="s">
        <v>19799</v>
      </c>
    </row>
    <row r="5889" spans="1:8">
      <c r="A5889" t="str">
        <f>"0241281 "</f>
        <v xml:space="preserve">0241281 </v>
      </c>
      <c r="B5889" t="s">
        <v>19689</v>
      </c>
      <c r="C5889" t="s">
        <v>19801</v>
      </c>
      <c r="D5889" t="s">
        <v>19802</v>
      </c>
      <c r="E5889">
        <v>3</v>
      </c>
      <c r="F5889" t="s">
        <v>10516</v>
      </c>
      <c r="G5889" t="s">
        <v>1818</v>
      </c>
      <c r="H5889" t="s">
        <v>19801</v>
      </c>
    </row>
    <row r="5890" spans="1:8">
      <c r="A5890" t="str">
        <f>"0241282 "</f>
        <v xml:space="preserve">0241282 </v>
      </c>
      <c r="B5890" t="s">
        <v>19689</v>
      </c>
      <c r="C5890" t="s">
        <v>19803</v>
      </c>
      <c r="D5890" t="s">
        <v>19804</v>
      </c>
      <c r="E5890" t="s">
        <v>16</v>
      </c>
      <c r="F5890" t="s">
        <v>19805</v>
      </c>
      <c r="G5890" t="s">
        <v>1818</v>
      </c>
      <c r="H5890" t="s">
        <v>19803</v>
      </c>
    </row>
    <row r="5891" spans="1:8">
      <c r="A5891" t="str">
        <f>"0241279 "</f>
        <v xml:space="preserve">0241279 </v>
      </c>
      <c r="B5891" t="s">
        <v>19689</v>
      </c>
      <c r="C5891" t="s">
        <v>19806</v>
      </c>
      <c r="D5891" t="s">
        <v>19807</v>
      </c>
      <c r="E5891" t="s">
        <v>16</v>
      </c>
      <c r="F5891" t="s">
        <v>19796</v>
      </c>
      <c r="G5891" t="s">
        <v>1818</v>
      </c>
      <c r="H5891" t="s">
        <v>19806</v>
      </c>
    </row>
    <row r="5892" spans="1:8">
      <c r="A5892" t="str">
        <f>"0241280 "</f>
        <v xml:space="preserve">0241280 </v>
      </c>
      <c r="B5892" t="s">
        <v>19689</v>
      </c>
      <c r="C5892" t="s">
        <v>19808</v>
      </c>
      <c r="D5892" t="s">
        <v>19809</v>
      </c>
      <c r="E5892" t="s">
        <v>16</v>
      </c>
      <c r="F5892" t="s">
        <v>19810</v>
      </c>
      <c r="G5892" t="s">
        <v>1818</v>
      </c>
      <c r="H5892" t="s">
        <v>19808</v>
      </c>
    </row>
    <row r="5893" spans="1:8">
      <c r="A5893" t="str">
        <f>"0269074 "</f>
        <v xml:space="preserve">0269074 </v>
      </c>
      <c r="B5893" t="s">
        <v>19689</v>
      </c>
      <c r="C5893" t="s">
        <v>19811</v>
      </c>
      <c r="D5893" t="s">
        <v>19812</v>
      </c>
      <c r="E5893" t="s">
        <v>16</v>
      </c>
      <c r="F5893" t="s">
        <v>5434</v>
      </c>
      <c r="G5893" t="s">
        <v>1818</v>
      </c>
      <c r="H5893" t="s">
        <v>19811</v>
      </c>
    </row>
    <row r="5894" spans="1:8">
      <c r="A5894" t="str">
        <f>"0218128 "</f>
        <v xml:space="preserve">0218128 </v>
      </c>
      <c r="B5894" t="s">
        <v>19689</v>
      </c>
      <c r="C5894" t="s">
        <v>19813</v>
      </c>
      <c r="D5894" t="s">
        <v>19814</v>
      </c>
      <c r="E5894" t="s">
        <v>16</v>
      </c>
      <c r="F5894" t="s">
        <v>15053</v>
      </c>
      <c r="G5894" t="s">
        <v>1818</v>
      </c>
      <c r="H5894" t="s">
        <v>19813</v>
      </c>
    </row>
    <row r="5895" spans="1:8">
      <c r="A5895" t="str">
        <f>"0218130 "</f>
        <v xml:space="preserve">0218130 </v>
      </c>
      <c r="B5895" t="s">
        <v>19689</v>
      </c>
      <c r="C5895" t="s">
        <v>19815</v>
      </c>
      <c r="D5895" t="s">
        <v>19816</v>
      </c>
      <c r="E5895" t="s">
        <v>16</v>
      </c>
      <c r="F5895" t="s">
        <v>19817</v>
      </c>
      <c r="G5895" t="s">
        <v>1818</v>
      </c>
      <c r="H5895" t="s">
        <v>19815</v>
      </c>
    </row>
    <row r="5896" spans="1:8">
      <c r="A5896" t="str">
        <f>"0248029 "</f>
        <v xml:space="preserve">0248029 </v>
      </c>
      <c r="B5896" t="s">
        <v>19689</v>
      </c>
      <c r="C5896" t="s">
        <v>19818</v>
      </c>
      <c r="D5896" t="s">
        <v>19819</v>
      </c>
      <c r="E5896" t="s">
        <v>16</v>
      </c>
      <c r="F5896" t="s">
        <v>19820</v>
      </c>
      <c r="G5896" t="s">
        <v>1818</v>
      </c>
      <c r="H5896" t="s">
        <v>19818</v>
      </c>
    </row>
    <row r="5897" spans="1:8">
      <c r="A5897" t="str">
        <f>"0218137 "</f>
        <v xml:space="preserve">0218137 </v>
      </c>
      <c r="B5897" t="s">
        <v>19689</v>
      </c>
      <c r="C5897" t="s">
        <v>19821</v>
      </c>
      <c r="D5897" t="s">
        <v>19822</v>
      </c>
      <c r="E5897" t="s">
        <v>16</v>
      </c>
      <c r="F5897" t="s">
        <v>19823</v>
      </c>
      <c r="G5897" t="s">
        <v>1818</v>
      </c>
      <c r="H5897" t="s">
        <v>19821</v>
      </c>
    </row>
    <row r="5898" spans="1:8">
      <c r="A5898" t="str">
        <f>"0218134 "</f>
        <v xml:space="preserve">0218134 </v>
      </c>
      <c r="B5898" t="s">
        <v>19689</v>
      </c>
      <c r="C5898" t="s">
        <v>19824</v>
      </c>
      <c r="D5898" t="s">
        <v>19825</v>
      </c>
      <c r="E5898" t="s">
        <v>16</v>
      </c>
      <c r="F5898" t="s">
        <v>19817</v>
      </c>
      <c r="G5898" t="s">
        <v>1818</v>
      </c>
      <c r="H5898" t="s">
        <v>19824</v>
      </c>
    </row>
    <row r="5899" spans="1:8">
      <c r="A5899" t="str">
        <f>"0218112 "</f>
        <v xml:space="preserve">0218112 </v>
      </c>
      <c r="B5899" t="s">
        <v>19689</v>
      </c>
      <c r="C5899" t="s">
        <v>19826</v>
      </c>
      <c r="D5899" t="s">
        <v>19827</v>
      </c>
      <c r="E5899" t="s">
        <v>16</v>
      </c>
      <c r="F5899" t="s">
        <v>19828</v>
      </c>
      <c r="G5899" t="s">
        <v>1818</v>
      </c>
      <c r="H5899" t="s">
        <v>19826</v>
      </c>
    </row>
    <row r="5900" spans="1:8">
      <c r="A5900" t="str">
        <f>"0218111 "</f>
        <v xml:space="preserve">0218111 </v>
      </c>
      <c r="B5900" t="s">
        <v>19689</v>
      </c>
      <c r="C5900" t="s">
        <v>19829</v>
      </c>
      <c r="D5900" t="s">
        <v>19830</v>
      </c>
      <c r="E5900" t="s">
        <v>16</v>
      </c>
      <c r="F5900" t="s">
        <v>19831</v>
      </c>
      <c r="G5900" t="s">
        <v>1818</v>
      </c>
      <c r="H5900" t="s">
        <v>19829</v>
      </c>
    </row>
    <row r="5901" spans="1:8">
      <c r="A5901" t="str">
        <f>"0218133 "</f>
        <v xml:space="preserve">0218133 </v>
      </c>
      <c r="B5901" t="s">
        <v>19689</v>
      </c>
      <c r="C5901" t="s">
        <v>19832</v>
      </c>
      <c r="D5901" t="s">
        <v>19833</v>
      </c>
      <c r="E5901" t="s">
        <v>16</v>
      </c>
      <c r="F5901" t="s">
        <v>19834</v>
      </c>
      <c r="G5901" t="s">
        <v>1818</v>
      </c>
      <c r="H5901" t="s">
        <v>19832</v>
      </c>
    </row>
    <row r="5902" spans="1:8">
      <c r="A5902" t="str">
        <f>"0218129 "</f>
        <v xml:space="preserve">0218129 </v>
      </c>
      <c r="B5902" t="s">
        <v>19689</v>
      </c>
      <c r="C5902" t="s">
        <v>19835</v>
      </c>
      <c r="D5902" t="s">
        <v>19836</v>
      </c>
      <c r="E5902">
        <v>5</v>
      </c>
      <c r="F5902" t="s">
        <v>19837</v>
      </c>
      <c r="G5902" t="s">
        <v>1818</v>
      </c>
      <c r="H5902" t="s">
        <v>19835</v>
      </c>
    </row>
    <row r="5903" spans="1:8">
      <c r="A5903" t="str">
        <f>"0251247 "</f>
        <v xml:space="preserve">0251247 </v>
      </c>
      <c r="B5903" t="s">
        <v>19689</v>
      </c>
      <c r="C5903" t="s">
        <v>19838</v>
      </c>
      <c r="D5903" t="s">
        <v>19839</v>
      </c>
      <c r="E5903" t="s">
        <v>16</v>
      </c>
      <c r="F5903" t="s">
        <v>19840</v>
      </c>
      <c r="G5903" t="s">
        <v>1818</v>
      </c>
      <c r="H5903" t="s">
        <v>19838</v>
      </c>
    </row>
    <row r="5904" spans="1:8">
      <c r="A5904" t="str">
        <f>"0218139 "</f>
        <v xml:space="preserve">0218139 </v>
      </c>
      <c r="B5904" t="s">
        <v>19689</v>
      </c>
      <c r="C5904" t="s">
        <v>19841</v>
      </c>
      <c r="D5904" t="s">
        <v>19842</v>
      </c>
      <c r="E5904" t="s">
        <v>16</v>
      </c>
      <c r="F5904" t="s">
        <v>19843</v>
      </c>
      <c r="G5904" t="s">
        <v>1818</v>
      </c>
      <c r="H5904" t="s">
        <v>19841</v>
      </c>
    </row>
    <row r="5905" spans="1:8">
      <c r="A5905" t="str">
        <f>"0240868 "</f>
        <v xml:space="preserve">0240868 </v>
      </c>
      <c r="B5905" t="s">
        <v>19689</v>
      </c>
      <c r="C5905" t="s">
        <v>19844</v>
      </c>
      <c r="D5905" t="s">
        <v>19845</v>
      </c>
      <c r="E5905" t="s">
        <v>16</v>
      </c>
      <c r="F5905" t="s">
        <v>19846</v>
      </c>
      <c r="G5905" t="s">
        <v>1818</v>
      </c>
      <c r="H5905" t="s">
        <v>19844</v>
      </c>
    </row>
    <row r="5906" spans="1:8">
      <c r="A5906" t="str">
        <f>"0240870 "</f>
        <v xml:space="preserve">0240870 </v>
      </c>
      <c r="B5906" t="s">
        <v>19689</v>
      </c>
      <c r="C5906" t="s">
        <v>19847</v>
      </c>
      <c r="D5906" t="s">
        <v>19848</v>
      </c>
      <c r="E5906">
        <v>5</v>
      </c>
      <c r="F5906" t="s">
        <v>19849</v>
      </c>
      <c r="G5906" t="s">
        <v>1818</v>
      </c>
      <c r="H5906" t="s">
        <v>19847</v>
      </c>
    </row>
    <row r="5907" spans="1:8">
      <c r="A5907" t="str">
        <f>"0218131 "</f>
        <v xml:space="preserve">0218131 </v>
      </c>
      <c r="B5907" t="s">
        <v>19689</v>
      </c>
      <c r="C5907" t="s">
        <v>19850</v>
      </c>
      <c r="D5907" t="s">
        <v>19851</v>
      </c>
      <c r="E5907" t="s">
        <v>16</v>
      </c>
      <c r="F5907" t="s">
        <v>3447</v>
      </c>
      <c r="G5907" t="s">
        <v>1818</v>
      </c>
      <c r="H5907" t="s">
        <v>19850</v>
      </c>
    </row>
    <row r="5908" spans="1:8">
      <c r="A5908" t="str">
        <f>"0218136 "</f>
        <v xml:space="preserve">0218136 </v>
      </c>
      <c r="B5908" t="s">
        <v>19689</v>
      </c>
      <c r="C5908" t="s">
        <v>19852</v>
      </c>
      <c r="D5908" t="s">
        <v>19853</v>
      </c>
      <c r="E5908" t="s">
        <v>16</v>
      </c>
      <c r="F5908" t="s">
        <v>19854</v>
      </c>
      <c r="G5908" t="s">
        <v>1818</v>
      </c>
      <c r="H5908" t="s">
        <v>19852</v>
      </c>
    </row>
    <row r="5909" spans="1:8">
      <c r="A5909" t="str">
        <f>"0218132 "</f>
        <v xml:space="preserve">0218132 </v>
      </c>
      <c r="B5909" t="s">
        <v>19689</v>
      </c>
      <c r="C5909" t="s">
        <v>19855</v>
      </c>
      <c r="D5909" t="s">
        <v>19856</v>
      </c>
      <c r="E5909" t="s">
        <v>16</v>
      </c>
      <c r="F5909" t="s">
        <v>19857</v>
      </c>
      <c r="G5909" t="s">
        <v>1818</v>
      </c>
      <c r="H5909" t="s">
        <v>19855</v>
      </c>
    </row>
    <row r="5910" spans="1:8">
      <c r="A5910" t="str">
        <f>"0232802 "</f>
        <v xml:space="preserve">0232802 </v>
      </c>
      <c r="B5910" t="s">
        <v>19689</v>
      </c>
      <c r="C5910" t="s">
        <v>19858</v>
      </c>
      <c r="D5910" t="s">
        <v>19859</v>
      </c>
      <c r="E5910" t="s">
        <v>16</v>
      </c>
      <c r="F5910" t="s">
        <v>648</v>
      </c>
      <c r="G5910" t="s">
        <v>1818</v>
      </c>
      <c r="H5910" t="s">
        <v>19858</v>
      </c>
    </row>
    <row r="5911" spans="1:8">
      <c r="A5911" t="str">
        <f>"0269029 "</f>
        <v xml:space="preserve">0269029 </v>
      </c>
      <c r="B5911" t="s">
        <v>19689</v>
      </c>
      <c r="C5911" t="s">
        <v>19860</v>
      </c>
      <c r="D5911" t="s">
        <v>19861</v>
      </c>
      <c r="E5911" t="s">
        <v>16</v>
      </c>
      <c r="F5911" t="s">
        <v>657</v>
      </c>
      <c r="G5911" t="s">
        <v>1818</v>
      </c>
      <c r="H5911" t="s">
        <v>19860</v>
      </c>
    </row>
    <row r="5912" spans="1:8">
      <c r="A5912" t="str">
        <f>"0240867 "</f>
        <v xml:space="preserve">0240867 </v>
      </c>
      <c r="B5912" t="s">
        <v>19689</v>
      </c>
      <c r="C5912" t="s">
        <v>19862</v>
      </c>
      <c r="D5912" t="s">
        <v>19863</v>
      </c>
      <c r="E5912" t="s">
        <v>16</v>
      </c>
      <c r="F5912" t="s">
        <v>6912</v>
      </c>
      <c r="G5912" t="s">
        <v>1818</v>
      </c>
      <c r="H5912" t="s">
        <v>19862</v>
      </c>
    </row>
    <row r="5913" spans="1:8">
      <c r="A5913" t="str">
        <f>"0218135 "</f>
        <v xml:space="preserve">0218135 </v>
      </c>
      <c r="B5913" t="s">
        <v>19689</v>
      </c>
      <c r="C5913" t="s">
        <v>19864</v>
      </c>
      <c r="D5913" t="s">
        <v>19865</v>
      </c>
      <c r="E5913" t="s">
        <v>16</v>
      </c>
      <c r="F5913" t="s">
        <v>3329</v>
      </c>
      <c r="G5913" t="s">
        <v>1818</v>
      </c>
      <c r="H5913" t="s">
        <v>19864</v>
      </c>
    </row>
    <row r="5914" spans="1:8">
      <c r="A5914" t="str">
        <f>"0218113 "</f>
        <v xml:space="preserve">0218113 </v>
      </c>
      <c r="B5914" t="s">
        <v>19689</v>
      </c>
      <c r="C5914" t="s">
        <v>19866</v>
      </c>
      <c r="D5914" t="s">
        <v>19867</v>
      </c>
      <c r="E5914" t="s">
        <v>16</v>
      </c>
      <c r="F5914" t="s">
        <v>19868</v>
      </c>
      <c r="G5914" t="s">
        <v>1818</v>
      </c>
      <c r="H5914" t="s">
        <v>19866</v>
      </c>
    </row>
    <row r="5915" spans="1:8">
      <c r="A5915" t="str">
        <f>"0270323 "</f>
        <v xml:space="preserve">0270323 </v>
      </c>
      <c r="B5915" t="s">
        <v>19689</v>
      </c>
      <c r="C5915" t="s">
        <v>19869</v>
      </c>
      <c r="D5915" t="s">
        <v>19870</v>
      </c>
      <c r="E5915" t="s">
        <v>16</v>
      </c>
      <c r="F5915" t="s">
        <v>19871</v>
      </c>
      <c r="G5915" t="s">
        <v>1818</v>
      </c>
      <c r="H5915" t="s">
        <v>19869</v>
      </c>
    </row>
    <row r="5916" spans="1:8">
      <c r="A5916" t="str">
        <f>"0270325 "</f>
        <v xml:space="preserve">0270325 </v>
      </c>
      <c r="B5916" t="s">
        <v>19689</v>
      </c>
      <c r="C5916" t="s">
        <v>19872</v>
      </c>
      <c r="D5916" t="s">
        <v>19873</v>
      </c>
      <c r="E5916">
        <v>4</v>
      </c>
      <c r="F5916" t="s">
        <v>19874</v>
      </c>
      <c r="G5916" t="s">
        <v>1818</v>
      </c>
      <c r="H5916" t="s">
        <v>19872</v>
      </c>
    </row>
    <row r="5917" spans="1:8">
      <c r="A5917" t="str">
        <f>"0270319 "</f>
        <v xml:space="preserve">0270319 </v>
      </c>
      <c r="B5917" t="s">
        <v>19689</v>
      </c>
      <c r="C5917" t="s">
        <v>19875</v>
      </c>
      <c r="D5917" t="s">
        <v>19876</v>
      </c>
      <c r="E5917" t="s">
        <v>16</v>
      </c>
      <c r="F5917" t="s">
        <v>19823</v>
      </c>
      <c r="G5917" t="s">
        <v>1818</v>
      </c>
      <c r="H5917" t="s">
        <v>19875</v>
      </c>
    </row>
    <row r="5918" spans="1:8">
      <c r="A5918" t="str">
        <f>"0270327 "</f>
        <v xml:space="preserve">0270327 </v>
      </c>
      <c r="B5918" t="s">
        <v>19689</v>
      </c>
      <c r="C5918" t="s">
        <v>19877</v>
      </c>
      <c r="D5918" t="s">
        <v>19878</v>
      </c>
      <c r="E5918" t="s">
        <v>16</v>
      </c>
      <c r="F5918" t="s">
        <v>19479</v>
      </c>
      <c r="G5918" t="s">
        <v>1818</v>
      </c>
      <c r="H5918" t="s">
        <v>19877</v>
      </c>
    </row>
    <row r="5919" spans="1:8">
      <c r="A5919" t="str">
        <f>"0270320 "</f>
        <v xml:space="preserve">0270320 </v>
      </c>
      <c r="B5919" t="s">
        <v>19689</v>
      </c>
      <c r="C5919" t="s">
        <v>19879</v>
      </c>
      <c r="D5919" t="s">
        <v>19880</v>
      </c>
      <c r="E5919" t="s">
        <v>16</v>
      </c>
      <c r="F5919" t="s">
        <v>19881</v>
      </c>
      <c r="G5919" t="s">
        <v>1818</v>
      </c>
      <c r="H5919" t="s">
        <v>19879</v>
      </c>
    </row>
    <row r="5920" spans="1:8">
      <c r="A5920" t="str">
        <f>"0270322 "</f>
        <v xml:space="preserve">0270322 </v>
      </c>
      <c r="B5920" t="s">
        <v>19689</v>
      </c>
      <c r="C5920" t="s">
        <v>19882</v>
      </c>
      <c r="D5920" t="s">
        <v>19883</v>
      </c>
      <c r="E5920" t="s">
        <v>16</v>
      </c>
      <c r="F5920" t="s">
        <v>19884</v>
      </c>
      <c r="G5920" t="s">
        <v>1818</v>
      </c>
      <c r="H5920" t="s">
        <v>19882</v>
      </c>
    </row>
    <row r="5921" spans="1:9">
      <c r="A5921" t="str">
        <f>"0270324 "</f>
        <v xml:space="preserve">0270324 </v>
      </c>
      <c r="B5921" t="s">
        <v>19689</v>
      </c>
      <c r="C5921" t="s">
        <v>19885</v>
      </c>
      <c r="D5921" t="s">
        <v>19886</v>
      </c>
      <c r="E5921" t="s">
        <v>16</v>
      </c>
      <c r="F5921" t="s">
        <v>19887</v>
      </c>
      <c r="G5921" t="s">
        <v>1818</v>
      </c>
      <c r="H5921" t="s">
        <v>19885</v>
      </c>
    </row>
    <row r="5922" spans="1:9">
      <c r="A5922" t="str">
        <f>"0270326 "</f>
        <v xml:space="preserve">0270326 </v>
      </c>
      <c r="B5922" t="s">
        <v>19689</v>
      </c>
      <c r="C5922" t="s">
        <v>19888</v>
      </c>
      <c r="D5922" t="s">
        <v>19889</v>
      </c>
      <c r="E5922" t="s">
        <v>16</v>
      </c>
      <c r="F5922" t="s">
        <v>15053</v>
      </c>
      <c r="G5922" t="s">
        <v>1818</v>
      </c>
      <c r="H5922" t="s">
        <v>19888</v>
      </c>
    </row>
    <row r="5923" spans="1:9">
      <c r="A5923" t="str">
        <f>"0270321 "</f>
        <v xml:space="preserve">0270321 </v>
      </c>
      <c r="B5923" t="s">
        <v>19689</v>
      </c>
      <c r="C5923" t="s">
        <v>19890</v>
      </c>
      <c r="D5923" t="s">
        <v>19891</v>
      </c>
      <c r="E5923" t="s">
        <v>16</v>
      </c>
      <c r="F5923" t="s">
        <v>19892</v>
      </c>
      <c r="G5923" t="s">
        <v>1818</v>
      </c>
      <c r="H5923" t="s">
        <v>19890</v>
      </c>
    </row>
    <row r="5924" spans="1:9">
      <c r="A5924" t="str">
        <f>"0132303 "</f>
        <v xml:space="preserve">0132303 </v>
      </c>
      <c r="B5924" t="s">
        <v>19893</v>
      </c>
      <c r="C5924" t="s">
        <v>19894</v>
      </c>
      <c r="D5924" t="s">
        <v>19895</v>
      </c>
      <c r="E5924">
        <v>4</v>
      </c>
      <c r="F5924" t="s">
        <v>19896</v>
      </c>
      <c r="G5924" t="s">
        <v>19897</v>
      </c>
      <c r="H5924" t="s">
        <v>19894</v>
      </c>
      <c r="I5924" t="s">
        <v>19898</v>
      </c>
    </row>
    <row r="5925" spans="1:9">
      <c r="A5925" t="str">
        <f>"0132316 "</f>
        <v xml:space="preserve">0132316 </v>
      </c>
      <c r="B5925" t="s">
        <v>19893</v>
      </c>
      <c r="C5925" t="s">
        <v>19899</v>
      </c>
      <c r="D5925" t="s">
        <v>19900</v>
      </c>
      <c r="E5925">
        <v>1</v>
      </c>
      <c r="F5925" t="s">
        <v>19901</v>
      </c>
      <c r="G5925" t="s">
        <v>19897</v>
      </c>
      <c r="H5925" t="s">
        <v>19899</v>
      </c>
      <c r="I5925" t="s">
        <v>19902</v>
      </c>
    </row>
    <row r="5926" spans="1:9">
      <c r="A5926" t="str">
        <f>"0134663 "</f>
        <v xml:space="preserve">0134663 </v>
      </c>
      <c r="B5926" t="s">
        <v>19893</v>
      </c>
      <c r="C5926" t="s">
        <v>19903</v>
      </c>
      <c r="D5926" t="s">
        <v>19904</v>
      </c>
      <c r="E5926" t="s">
        <v>16</v>
      </c>
      <c r="F5926" t="s">
        <v>8378</v>
      </c>
      <c r="G5926" t="s">
        <v>19897</v>
      </c>
      <c r="H5926" t="s">
        <v>19903</v>
      </c>
      <c r="I5926" t="s">
        <v>19905</v>
      </c>
    </row>
    <row r="5927" spans="1:9">
      <c r="A5927" t="str">
        <f>"0134700 "</f>
        <v xml:space="preserve">0134700 </v>
      </c>
      <c r="B5927" t="s">
        <v>19893</v>
      </c>
      <c r="C5927" t="s">
        <v>19906</v>
      </c>
      <c r="D5927" t="s">
        <v>19907</v>
      </c>
      <c r="E5927" t="s">
        <v>16</v>
      </c>
      <c r="F5927" t="s">
        <v>19908</v>
      </c>
      <c r="G5927" t="s">
        <v>19897</v>
      </c>
      <c r="H5927" t="s">
        <v>19906</v>
      </c>
      <c r="I5927" t="s">
        <v>19909</v>
      </c>
    </row>
    <row r="5928" spans="1:9">
      <c r="A5928" t="str">
        <f>"0134705 "</f>
        <v xml:space="preserve">0134705 </v>
      </c>
      <c r="B5928" t="s">
        <v>19893</v>
      </c>
      <c r="C5928" t="s">
        <v>19910</v>
      </c>
      <c r="D5928" t="s">
        <v>19911</v>
      </c>
      <c r="E5928" t="s">
        <v>16</v>
      </c>
      <c r="F5928" t="s">
        <v>19912</v>
      </c>
      <c r="G5928" t="s">
        <v>19897</v>
      </c>
      <c r="H5928" t="s">
        <v>19910</v>
      </c>
      <c r="I5928" t="s">
        <v>19913</v>
      </c>
    </row>
    <row r="5929" spans="1:9">
      <c r="A5929" t="str">
        <f>"0132334 "</f>
        <v xml:space="preserve">0132334 </v>
      </c>
      <c r="B5929" t="s">
        <v>19893</v>
      </c>
      <c r="C5929" t="s">
        <v>19914</v>
      </c>
      <c r="D5929" t="s">
        <v>19915</v>
      </c>
      <c r="E5929" t="s">
        <v>16</v>
      </c>
      <c r="F5929" t="s">
        <v>19896</v>
      </c>
      <c r="G5929" t="s">
        <v>19897</v>
      </c>
      <c r="H5929" t="s">
        <v>19914</v>
      </c>
      <c r="I5929" t="s">
        <v>19916</v>
      </c>
    </row>
    <row r="5930" spans="1:9">
      <c r="A5930" t="str">
        <f>"0134719 "</f>
        <v xml:space="preserve">0134719 </v>
      </c>
      <c r="B5930" t="s">
        <v>19893</v>
      </c>
      <c r="C5930" t="s">
        <v>19917</v>
      </c>
      <c r="D5930" t="s">
        <v>19918</v>
      </c>
      <c r="E5930" t="s">
        <v>16</v>
      </c>
      <c r="F5930" t="s">
        <v>19919</v>
      </c>
      <c r="G5930" t="s">
        <v>19897</v>
      </c>
      <c r="H5930" t="s">
        <v>19917</v>
      </c>
      <c r="I5930" t="s">
        <v>19920</v>
      </c>
    </row>
    <row r="5931" spans="1:9">
      <c r="A5931" t="str">
        <f>"0134811 "</f>
        <v xml:space="preserve">0134811 </v>
      </c>
      <c r="B5931" t="s">
        <v>19893</v>
      </c>
      <c r="C5931" t="s">
        <v>19921</v>
      </c>
      <c r="D5931" t="s">
        <v>19922</v>
      </c>
      <c r="E5931">
        <v>2</v>
      </c>
      <c r="F5931" t="s">
        <v>15073</v>
      </c>
      <c r="G5931" t="s">
        <v>19897</v>
      </c>
      <c r="H5931" t="s">
        <v>19921</v>
      </c>
      <c r="I5931" t="s">
        <v>19923</v>
      </c>
    </row>
    <row r="5932" spans="1:9">
      <c r="A5932" t="str">
        <f>"0134828 "</f>
        <v xml:space="preserve">0134828 </v>
      </c>
      <c r="B5932" t="s">
        <v>19893</v>
      </c>
      <c r="C5932" t="s">
        <v>19924</v>
      </c>
      <c r="D5932" t="s">
        <v>19925</v>
      </c>
      <c r="E5932">
        <v>1</v>
      </c>
      <c r="F5932" t="s">
        <v>8274</v>
      </c>
      <c r="G5932" t="s">
        <v>19897</v>
      </c>
      <c r="H5932" t="s">
        <v>19924</v>
      </c>
      <c r="I5932" t="s">
        <v>19926</v>
      </c>
    </row>
    <row r="5933" spans="1:9">
      <c r="A5933" t="str">
        <f>"0132366 "</f>
        <v xml:space="preserve">0132366 </v>
      </c>
      <c r="B5933" t="s">
        <v>19893</v>
      </c>
      <c r="C5933" t="s">
        <v>19927</v>
      </c>
      <c r="D5933" t="s">
        <v>19928</v>
      </c>
      <c r="E5933">
        <v>1</v>
      </c>
      <c r="F5933" t="s">
        <v>19929</v>
      </c>
      <c r="G5933" t="s">
        <v>19897</v>
      </c>
      <c r="H5933" t="s">
        <v>19927</v>
      </c>
      <c r="I5933" t="s">
        <v>19930</v>
      </c>
    </row>
    <row r="5934" spans="1:9">
      <c r="A5934" t="str">
        <f>"0132367 "</f>
        <v xml:space="preserve">0132367 </v>
      </c>
      <c r="B5934" t="s">
        <v>19893</v>
      </c>
      <c r="C5934" t="s">
        <v>19931</v>
      </c>
      <c r="D5934" t="s">
        <v>19932</v>
      </c>
      <c r="E5934">
        <v>1</v>
      </c>
      <c r="F5934" t="s">
        <v>19933</v>
      </c>
      <c r="G5934" t="s">
        <v>19897</v>
      </c>
      <c r="H5934" t="s">
        <v>19931</v>
      </c>
      <c r="I5934" t="s">
        <v>19934</v>
      </c>
    </row>
    <row r="5935" spans="1:9">
      <c r="A5935" t="str">
        <f>"0132368 "</f>
        <v xml:space="preserve">0132368 </v>
      </c>
      <c r="B5935" t="s">
        <v>19893</v>
      </c>
      <c r="C5935" t="s">
        <v>19935</v>
      </c>
      <c r="D5935" t="s">
        <v>19936</v>
      </c>
      <c r="E5935">
        <v>5</v>
      </c>
      <c r="F5935" t="s">
        <v>19937</v>
      </c>
      <c r="G5935" t="s">
        <v>19897</v>
      </c>
      <c r="H5935" t="s">
        <v>19935</v>
      </c>
      <c r="I5935" t="s">
        <v>19938</v>
      </c>
    </row>
    <row r="5936" spans="1:9">
      <c r="A5936" t="str">
        <f>"0132369 "</f>
        <v xml:space="preserve">0132369 </v>
      </c>
      <c r="B5936" t="s">
        <v>19893</v>
      </c>
      <c r="C5936" t="s">
        <v>19939</v>
      </c>
      <c r="D5936" t="s">
        <v>19940</v>
      </c>
      <c r="E5936">
        <v>1</v>
      </c>
      <c r="F5936" t="s">
        <v>19941</v>
      </c>
      <c r="G5936" t="s">
        <v>19897</v>
      </c>
      <c r="H5936" t="s">
        <v>19939</v>
      </c>
      <c r="I5936" t="s">
        <v>19942</v>
      </c>
    </row>
    <row r="5937" spans="1:9">
      <c r="A5937" t="str">
        <f>"0132370 "</f>
        <v xml:space="preserve">0132370 </v>
      </c>
      <c r="B5937" t="s">
        <v>19893</v>
      </c>
      <c r="C5937" t="s">
        <v>19943</v>
      </c>
      <c r="D5937" t="s">
        <v>19944</v>
      </c>
      <c r="E5937" t="s">
        <v>16</v>
      </c>
      <c r="F5937" t="s">
        <v>19945</v>
      </c>
      <c r="G5937" t="s">
        <v>19897</v>
      </c>
      <c r="H5937" t="s">
        <v>19943</v>
      </c>
      <c r="I5937" t="s">
        <v>19946</v>
      </c>
    </row>
    <row r="5938" spans="1:9">
      <c r="A5938" t="str">
        <f>"0132371 "</f>
        <v xml:space="preserve">0132371 </v>
      </c>
      <c r="B5938" t="s">
        <v>19893</v>
      </c>
      <c r="C5938" t="s">
        <v>19947</v>
      </c>
      <c r="D5938" t="s">
        <v>19948</v>
      </c>
      <c r="E5938">
        <v>3</v>
      </c>
      <c r="F5938" t="s">
        <v>19949</v>
      </c>
      <c r="G5938" t="s">
        <v>19897</v>
      </c>
      <c r="H5938" t="s">
        <v>19947</v>
      </c>
      <c r="I5938" t="s">
        <v>19950</v>
      </c>
    </row>
    <row r="5939" spans="1:9">
      <c r="A5939" t="str">
        <f>"0132372 "</f>
        <v xml:space="preserve">0132372 </v>
      </c>
      <c r="B5939" t="s">
        <v>19893</v>
      </c>
      <c r="C5939" t="s">
        <v>19951</v>
      </c>
      <c r="D5939" t="s">
        <v>19952</v>
      </c>
      <c r="E5939">
        <v>3</v>
      </c>
      <c r="F5939" t="s">
        <v>19953</v>
      </c>
      <c r="G5939" t="s">
        <v>19897</v>
      </c>
      <c r="H5939" t="s">
        <v>19951</v>
      </c>
      <c r="I5939" t="s">
        <v>19954</v>
      </c>
    </row>
    <row r="5940" spans="1:9">
      <c r="A5940" t="str">
        <f>"0132373 "</f>
        <v xml:space="preserve">0132373 </v>
      </c>
      <c r="B5940" t="s">
        <v>19893</v>
      </c>
      <c r="C5940" t="s">
        <v>19955</v>
      </c>
      <c r="D5940" t="s">
        <v>19956</v>
      </c>
      <c r="E5940">
        <v>1</v>
      </c>
      <c r="F5940" t="s">
        <v>19957</v>
      </c>
      <c r="G5940" t="s">
        <v>19897</v>
      </c>
      <c r="H5940" t="s">
        <v>19955</v>
      </c>
      <c r="I5940" t="s">
        <v>19958</v>
      </c>
    </row>
    <row r="5941" spans="1:9">
      <c r="A5941" t="str">
        <f>"0162179 "</f>
        <v xml:space="preserve">0162179 </v>
      </c>
      <c r="B5941" t="s">
        <v>19893</v>
      </c>
      <c r="C5941" t="s">
        <v>19959</v>
      </c>
      <c r="D5941" t="s">
        <v>19960</v>
      </c>
      <c r="E5941">
        <v>2</v>
      </c>
      <c r="F5941" t="s">
        <v>19961</v>
      </c>
      <c r="G5941" t="s">
        <v>19897</v>
      </c>
      <c r="H5941" t="s">
        <v>19959</v>
      </c>
      <c r="I5941" t="s">
        <v>19962</v>
      </c>
    </row>
    <row r="5942" spans="1:9">
      <c r="A5942" t="str">
        <f>"0132487 "</f>
        <v xml:space="preserve">0132487 </v>
      </c>
      <c r="B5942" t="s">
        <v>19893</v>
      </c>
      <c r="C5942" t="s">
        <v>19963</v>
      </c>
      <c r="D5942" t="s">
        <v>19964</v>
      </c>
      <c r="E5942">
        <v>2</v>
      </c>
      <c r="F5942" t="s">
        <v>19965</v>
      </c>
      <c r="G5942" t="s">
        <v>19897</v>
      </c>
      <c r="H5942" t="s">
        <v>19963</v>
      </c>
      <c r="I5942" t="s">
        <v>19966</v>
      </c>
    </row>
    <row r="5943" spans="1:9">
      <c r="A5943" t="str">
        <f>"0132490 "</f>
        <v xml:space="preserve">0132490 </v>
      </c>
      <c r="B5943" t="s">
        <v>19893</v>
      </c>
      <c r="C5943" t="s">
        <v>19967</v>
      </c>
      <c r="D5943" t="s">
        <v>19968</v>
      </c>
      <c r="E5943">
        <v>1</v>
      </c>
      <c r="F5943" t="s">
        <v>700</v>
      </c>
      <c r="G5943" t="s">
        <v>19897</v>
      </c>
      <c r="H5943" t="s">
        <v>19967</v>
      </c>
      <c r="I5943" t="s">
        <v>19969</v>
      </c>
    </row>
    <row r="5944" spans="1:9">
      <c r="A5944" t="str">
        <f>"0132492 "</f>
        <v xml:space="preserve">0132492 </v>
      </c>
      <c r="B5944" t="s">
        <v>19893</v>
      </c>
      <c r="C5944" t="s">
        <v>19970</v>
      </c>
      <c r="D5944" t="s">
        <v>19971</v>
      </c>
      <c r="E5944">
        <v>1</v>
      </c>
      <c r="F5944" t="s">
        <v>19972</v>
      </c>
      <c r="G5944" t="s">
        <v>19897</v>
      </c>
      <c r="H5944" t="s">
        <v>19970</v>
      </c>
      <c r="I5944" t="s">
        <v>19973</v>
      </c>
    </row>
    <row r="5945" spans="1:9">
      <c r="A5945" t="str">
        <f>"0132494 "</f>
        <v xml:space="preserve">0132494 </v>
      </c>
      <c r="B5945" t="s">
        <v>19893</v>
      </c>
      <c r="C5945" t="s">
        <v>19974</v>
      </c>
      <c r="D5945" t="s">
        <v>19975</v>
      </c>
      <c r="E5945">
        <v>1</v>
      </c>
      <c r="F5945" t="s">
        <v>19976</v>
      </c>
      <c r="G5945" t="s">
        <v>19897</v>
      </c>
      <c r="H5945" t="s">
        <v>19974</v>
      </c>
      <c r="I5945" t="s">
        <v>19977</v>
      </c>
    </row>
    <row r="5946" spans="1:9">
      <c r="A5946" t="str">
        <f>"0132496 "</f>
        <v xml:space="preserve">0132496 </v>
      </c>
      <c r="B5946" t="s">
        <v>19893</v>
      </c>
      <c r="C5946" t="s">
        <v>19978</v>
      </c>
      <c r="D5946" t="s">
        <v>19979</v>
      </c>
      <c r="E5946">
        <v>1</v>
      </c>
      <c r="F5946" t="s">
        <v>19980</v>
      </c>
      <c r="G5946" t="s">
        <v>19897</v>
      </c>
      <c r="H5946" t="s">
        <v>19978</v>
      </c>
      <c r="I5946" t="s">
        <v>19981</v>
      </c>
    </row>
    <row r="5947" spans="1:9">
      <c r="A5947" t="str">
        <f>"0132511 "</f>
        <v xml:space="preserve">0132511 </v>
      </c>
      <c r="B5947" t="s">
        <v>19893</v>
      </c>
      <c r="C5947" t="s">
        <v>19982</v>
      </c>
      <c r="D5947" t="s">
        <v>19983</v>
      </c>
      <c r="E5947">
        <v>1</v>
      </c>
      <c r="F5947" t="s">
        <v>19984</v>
      </c>
      <c r="G5947" t="s">
        <v>19897</v>
      </c>
      <c r="H5947" t="s">
        <v>19982</v>
      </c>
      <c r="I5947" t="s">
        <v>19985</v>
      </c>
    </row>
    <row r="5948" spans="1:9">
      <c r="A5948" t="str">
        <f>"0132517 "</f>
        <v xml:space="preserve">0132517 </v>
      </c>
      <c r="B5948" t="s">
        <v>19893</v>
      </c>
      <c r="C5948" t="s">
        <v>19986</v>
      </c>
      <c r="D5948" t="s">
        <v>19987</v>
      </c>
      <c r="E5948">
        <v>1</v>
      </c>
      <c r="F5948" t="s">
        <v>19988</v>
      </c>
      <c r="G5948" t="s">
        <v>19897</v>
      </c>
      <c r="H5948" t="s">
        <v>19986</v>
      </c>
      <c r="I5948" t="s">
        <v>19989</v>
      </c>
    </row>
    <row r="5949" spans="1:9">
      <c r="A5949" t="str">
        <f>"0132519 "</f>
        <v xml:space="preserve">0132519 </v>
      </c>
      <c r="B5949" t="s">
        <v>19893</v>
      </c>
      <c r="C5949" t="s">
        <v>19990</v>
      </c>
      <c r="D5949" t="s">
        <v>19991</v>
      </c>
      <c r="E5949">
        <v>1</v>
      </c>
      <c r="F5949" t="s">
        <v>19992</v>
      </c>
      <c r="G5949" t="s">
        <v>19897</v>
      </c>
      <c r="H5949" t="s">
        <v>19990</v>
      </c>
      <c r="I5949" t="s">
        <v>19993</v>
      </c>
    </row>
    <row r="5950" spans="1:9">
      <c r="A5950" t="str">
        <f>"0162220 "</f>
        <v xml:space="preserve">0162220 </v>
      </c>
      <c r="B5950" t="s">
        <v>19893</v>
      </c>
      <c r="C5950" t="s">
        <v>19994</v>
      </c>
      <c r="D5950" t="s">
        <v>19995</v>
      </c>
      <c r="E5950">
        <v>1</v>
      </c>
      <c r="F5950" t="s">
        <v>19996</v>
      </c>
      <c r="G5950" t="s">
        <v>19897</v>
      </c>
      <c r="H5950" t="s">
        <v>19994</v>
      </c>
      <c r="I5950" t="s">
        <v>19997</v>
      </c>
    </row>
    <row r="5951" spans="1:9">
      <c r="A5951" t="str">
        <f>"0132530 "</f>
        <v xml:space="preserve">0132530 </v>
      </c>
      <c r="B5951" t="s">
        <v>19893</v>
      </c>
      <c r="C5951" t="s">
        <v>19998</v>
      </c>
      <c r="D5951" t="s">
        <v>19999</v>
      </c>
      <c r="E5951">
        <v>1</v>
      </c>
      <c r="F5951" t="s">
        <v>20000</v>
      </c>
      <c r="G5951" t="s">
        <v>19897</v>
      </c>
      <c r="H5951" t="s">
        <v>19998</v>
      </c>
      <c r="I5951" t="s">
        <v>20001</v>
      </c>
    </row>
    <row r="5952" spans="1:9">
      <c r="A5952" t="str">
        <f>"0132534 "</f>
        <v xml:space="preserve">0132534 </v>
      </c>
      <c r="B5952" t="s">
        <v>19893</v>
      </c>
      <c r="C5952" t="s">
        <v>20002</v>
      </c>
      <c r="D5952" t="s">
        <v>20003</v>
      </c>
      <c r="E5952">
        <v>2</v>
      </c>
      <c r="F5952" t="s">
        <v>15705</v>
      </c>
      <c r="G5952" t="s">
        <v>19897</v>
      </c>
      <c r="H5952" t="s">
        <v>20002</v>
      </c>
      <c r="I5952" t="s">
        <v>20004</v>
      </c>
    </row>
    <row r="5953" spans="1:9">
      <c r="A5953" t="str">
        <f>"0132537 "</f>
        <v xml:space="preserve">0132537 </v>
      </c>
      <c r="B5953" t="s">
        <v>19893</v>
      </c>
      <c r="C5953" t="s">
        <v>20005</v>
      </c>
      <c r="D5953" t="s">
        <v>20006</v>
      </c>
      <c r="E5953">
        <v>3</v>
      </c>
      <c r="F5953" t="s">
        <v>20007</v>
      </c>
      <c r="G5953" t="s">
        <v>19897</v>
      </c>
      <c r="H5953" t="s">
        <v>20005</v>
      </c>
      <c r="I5953" t="s">
        <v>20008</v>
      </c>
    </row>
    <row r="5954" spans="1:9">
      <c r="A5954" t="str">
        <f>"0132538 "</f>
        <v xml:space="preserve">0132538 </v>
      </c>
      <c r="B5954" t="s">
        <v>19893</v>
      </c>
      <c r="C5954" t="s">
        <v>20009</v>
      </c>
      <c r="D5954" t="s">
        <v>20010</v>
      </c>
      <c r="E5954" t="s">
        <v>16</v>
      </c>
      <c r="F5954" t="s">
        <v>20011</v>
      </c>
      <c r="G5954" t="s">
        <v>19897</v>
      </c>
      <c r="H5954" t="s">
        <v>20009</v>
      </c>
      <c r="I5954" t="s">
        <v>20012</v>
      </c>
    </row>
    <row r="5955" spans="1:9">
      <c r="A5955" t="str">
        <f>"0132543 "</f>
        <v xml:space="preserve">0132543 </v>
      </c>
      <c r="B5955" t="s">
        <v>19893</v>
      </c>
      <c r="C5955" t="s">
        <v>20013</v>
      </c>
      <c r="D5955" t="s">
        <v>20014</v>
      </c>
      <c r="E5955">
        <v>1</v>
      </c>
      <c r="F5955" t="s">
        <v>20015</v>
      </c>
      <c r="G5955" t="s">
        <v>19897</v>
      </c>
      <c r="H5955" t="s">
        <v>20013</v>
      </c>
      <c r="I5955" t="s">
        <v>20016</v>
      </c>
    </row>
    <row r="5956" spans="1:9">
      <c r="A5956" t="str">
        <f>"0132547 "</f>
        <v xml:space="preserve">0132547 </v>
      </c>
      <c r="B5956" t="s">
        <v>19893</v>
      </c>
      <c r="C5956" t="s">
        <v>20017</v>
      </c>
      <c r="D5956" t="s">
        <v>20018</v>
      </c>
      <c r="E5956">
        <v>1</v>
      </c>
      <c r="F5956" t="s">
        <v>20019</v>
      </c>
      <c r="G5956" t="s">
        <v>19897</v>
      </c>
      <c r="H5956" t="s">
        <v>20017</v>
      </c>
      <c r="I5956" t="s">
        <v>20020</v>
      </c>
    </row>
    <row r="5957" spans="1:9">
      <c r="A5957" t="str">
        <f>"0132548 "</f>
        <v xml:space="preserve">0132548 </v>
      </c>
      <c r="B5957" t="s">
        <v>19893</v>
      </c>
      <c r="C5957" t="s">
        <v>20021</v>
      </c>
      <c r="D5957" t="s">
        <v>20022</v>
      </c>
      <c r="E5957">
        <v>3</v>
      </c>
      <c r="F5957" t="s">
        <v>16008</v>
      </c>
      <c r="G5957" t="s">
        <v>19897</v>
      </c>
      <c r="H5957" t="s">
        <v>20021</v>
      </c>
      <c r="I5957" t="s">
        <v>20023</v>
      </c>
    </row>
    <row r="5958" spans="1:9">
      <c r="A5958" t="str">
        <f>"0132549 "</f>
        <v xml:space="preserve">0132549 </v>
      </c>
      <c r="B5958" t="s">
        <v>19893</v>
      </c>
      <c r="C5958" t="s">
        <v>20024</v>
      </c>
      <c r="D5958" t="s">
        <v>20025</v>
      </c>
      <c r="E5958">
        <v>1</v>
      </c>
      <c r="F5958" t="s">
        <v>20026</v>
      </c>
      <c r="G5958" t="s">
        <v>19897</v>
      </c>
      <c r="H5958" t="s">
        <v>20024</v>
      </c>
      <c r="I5958" t="str">
        <f>"0X70X22  MERCEDES (W168) A 210 02-04  (GA35120)"</f>
        <v>0X70X22  MERCEDES (W168) A 210 02-04  (GA35120)</v>
      </c>
    </row>
    <row r="5959" spans="1:9">
      <c r="A5959" t="str">
        <f>"0162228 "</f>
        <v xml:space="preserve">0162228 </v>
      </c>
      <c r="B5959" t="s">
        <v>19893</v>
      </c>
      <c r="C5959" t="s">
        <v>20027</v>
      </c>
      <c r="D5959" t="s">
        <v>20028</v>
      </c>
      <c r="E5959">
        <v>1</v>
      </c>
      <c r="F5959" t="s">
        <v>20029</v>
      </c>
      <c r="G5959" t="s">
        <v>19897</v>
      </c>
      <c r="H5959" t="s">
        <v>20027</v>
      </c>
      <c r="I5959" t="s">
        <v>20030</v>
      </c>
    </row>
    <row r="5960" spans="1:9">
      <c r="A5960" t="str">
        <f>"0162234 "</f>
        <v xml:space="preserve">0162234 </v>
      </c>
      <c r="B5960" t="s">
        <v>19893</v>
      </c>
      <c r="C5960" t="s">
        <v>20031</v>
      </c>
      <c r="D5960" t="s">
        <v>20032</v>
      </c>
      <c r="E5960">
        <v>1</v>
      </c>
      <c r="F5960" t="s">
        <v>20033</v>
      </c>
      <c r="G5960" t="s">
        <v>19897</v>
      </c>
      <c r="H5960" t="s">
        <v>20031</v>
      </c>
      <c r="I5960" t="s">
        <v>20034</v>
      </c>
    </row>
    <row r="5961" spans="1:9">
      <c r="A5961" t="str">
        <f>"0162238 "</f>
        <v xml:space="preserve">0162238 </v>
      </c>
      <c r="B5961" t="s">
        <v>19893</v>
      </c>
      <c r="C5961" t="s">
        <v>20035</v>
      </c>
      <c r="D5961" t="s">
        <v>20036</v>
      </c>
      <c r="E5961">
        <v>2</v>
      </c>
      <c r="F5961" t="s">
        <v>20037</v>
      </c>
      <c r="G5961" t="s">
        <v>19897</v>
      </c>
      <c r="H5961" t="s">
        <v>20035</v>
      </c>
      <c r="I5961" t="s">
        <v>20038</v>
      </c>
    </row>
    <row r="5962" spans="1:9">
      <c r="A5962" t="str">
        <f>"0198212 "</f>
        <v xml:space="preserve">0198212 </v>
      </c>
      <c r="B5962" t="s">
        <v>19893</v>
      </c>
      <c r="C5962" t="s">
        <v>20039</v>
      </c>
      <c r="D5962" t="s">
        <v>20040</v>
      </c>
      <c r="E5962">
        <v>1</v>
      </c>
      <c r="F5962" t="s">
        <v>20041</v>
      </c>
      <c r="G5962" t="s">
        <v>19897</v>
      </c>
      <c r="H5962" t="s">
        <v>20039</v>
      </c>
      <c r="I5962" t="s">
        <v>20042</v>
      </c>
    </row>
    <row r="5963" spans="1:9">
      <c r="A5963" t="str">
        <f>"0132574 "</f>
        <v xml:space="preserve">0132574 </v>
      </c>
      <c r="B5963" t="s">
        <v>19893</v>
      </c>
      <c r="C5963" t="s">
        <v>20043</v>
      </c>
      <c r="D5963" t="s">
        <v>20044</v>
      </c>
      <c r="E5963">
        <v>1</v>
      </c>
      <c r="F5963" t="s">
        <v>8741</v>
      </c>
      <c r="G5963" t="s">
        <v>19897</v>
      </c>
      <c r="H5963" t="s">
        <v>20043</v>
      </c>
      <c r="I5963" t="s">
        <v>20045</v>
      </c>
    </row>
    <row r="5964" spans="1:9">
      <c r="A5964" t="str">
        <f>"0132580 "</f>
        <v xml:space="preserve">0132580 </v>
      </c>
      <c r="B5964" t="s">
        <v>19893</v>
      </c>
      <c r="C5964" t="s">
        <v>20046</v>
      </c>
      <c r="D5964" t="s">
        <v>20047</v>
      </c>
      <c r="E5964">
        <v>1</v>
      </c>
      <c r="F5964" t="s">
        <v>20048</v>
      </c>
      <c r="G5964" t="s">
        <v>19897</v>
      </c>
      <c r="H5964" t="s">
        <v>20046</v>
      </c>
      <c r="I5964" t="s">
        <v>20049</v>
      </c>
    </row>
    <row r="5965" spans="1:9">
      <c r="A5965" t="str">
        <f>"0162252 "</f>
        <v xml:space="preserve">0162252 </v>
      </c>
      <c r="B5965" t="s">
        <v>19893</v>
      </c>
      <c r="C5965" t="s">
        <v>20050</v>
      </c>
      <c r="D5965" t="s">
        <v>20051</v>
      </c>
      <c r="E5965">
        <v>1</v>
      </c>
      <c r="F5965" t="s">
        <v>8928</v>
      </c>
      <c r="G5965" t="s">
        <v>19897</v>
      </c>
      <c r="H5965" t="s">
        <v>20050</v>
      </c>
      <c r="I5965" t="s">
        <v>20052</v>
      </c>
    </row>
    <row r="5966" spans="1:9">
      <c r="A5966" t="str">
        <f>"0162259 "</f>
        <v xml:space="preserve">0162259 </v>
      </c>
      <c r="B5966" t="s">
        <v>19893</v>
      </c>
      <c r="C5966" t="s">
        <v>20053</v>
      </c>
      <c r="D5966" t="s">
        <v>20054</v>
      </c>
      <c r="E5966">
        <v>1</v>
      </c>
      <c r="F5966" t="s">
        <v>14724</v>
      </c>
      <c r="G5966" t="s">
        <v>19897</v>
      </c>
      <c r="H5966" t="s">
        <v>20053</v>
      </c>
      <c r="I5966" t="s">
        <v>20055</v>
      </c>
    </row>
    <row r="5967" spans="1:9">
      <c r="A5967" t="str">
        <f>"0132595 "</f>
        <v xml:space="preserve">0132595 </v>
      </c>
      <c r="B5967" t="s">
        <v>19893</v>
      </c>
      <c r="C5967" t="s">
        <v>20056</v>
      </c>
      <c r="D5967" t="s">
        <v>20057</v>
      </c>
      <c r="E5967">
        <v>1</v>
      </c>
      <c r="F5967" t="s">
        <v>20058</v>
      </c>
      <c r="G5967" t="s">
        <v>19897</v>
      </c>
      <c r="H5967" t="s">
        <v>20056</v>
      </c>
      <c r="I5967" t="s">
        <v>20059</v>
      </c>
    </row>
    <row r="5968" spans="1:9">
      <c r="A5968" t="str">
        <f>"0132600 "</f>
        <v xml:space="preserve">0132600 </v>
      </c>
      <c r="B5968" t="s">
        <v>19893</v>
      </c>
      <c r="C5968" t="s">
        <v>20060</v>
      </c>
      <c r="D5968" t="s">
        <v>20061</v>
      </c>
      <c r="E5968">
        <v>1</v>
      </c>
      <c r="F5968" t="s">
        <v>20062</v>
      </c>
      <c r="G5968" t="s">
        <v>19897</v>
      </c>
      <c r="H5968" t="s">
        <v>20060</v>
      </c>
      <c r="I5968" t="s">
        <v>20063</v>
      </c>
    </row>
    <row r="5969" spans="1:9">
      <c r="A5969" t="str">
        <f>"0132601 "</f>
        <v xml:space="preserve">0132601 </v>
      </c>
      <c r="B5969" t="s">
        <v>19893</v>
      </c>
      <c r="C5969" t="s">
        <v>20064</v>
      </c>
      <c r="D5969" t="s">
        <v>20065</v>
      </c>
      <c r="E5969">
        <v>1</v>
      </c>
      <c r="F5969" t="s">
        <v>20066</v>
      </c>
      <c r="G5969" t="s">
        <v>19897</v>
      </c>
      <c r="H5969" t="s">
        <v>20064</v>
      </c>
      <c r="I5969" t="s">
        <v>20067</v>
      </c>
    </row>
    <row r="5970" spans="1:9">
      <c r="A5970" t="str">
        <f>"0132616 "</f>
        <v xml:space="preserve">0132616 </v>
      </c>
      <c r="B5970" t="s">
        <v>19893</v>
      </c>
      <c r="C5970" t="s">
        <v>20068</v>
      </c>
      <c r="D5970" t="s">
        <v>20069</v>
      </c>
      <c r="E5970">
        <v>1</v>
      </c>
      <c r="F5970" t="s">
        <v>20070</v>
      </c>
      <c r="G5970" t="s">
        <v>19897</v>
      </c>
      <c r="H5970" t="s">
        <v>20068</v>
      </c>
      <c r="I5970" t="s">
        <v>20071</v>
      </c>
    </row>
    <row r="5971" spans="1:9">
      <c r="A5971" t="str">
        <f>"0132617 "</f>
        <v xml:space="preserve">0132617 </v>
      </c>
      <c r="B5971" t="s">
        <v>19893</v>
      </c>
      <c r="C5971" t="s">
        <v>20072</v>
      </c>
      <c r="D5971" t="s">
        <v>20073</v>
      </c>
      <c r="E5971">
        <v>3</v>
      </c>
      <c r="F5971" t="s">
        <v>20074</v>
      </c>
      <c r="G5971" t="s">
        <v>19897</v>
      </c>
      <c r="H5971" t="s">
        <v>20072</v>
      </c>
      <c r="I5971" t="s">
        <v>20075</v>
      </c>
    </row>
    <row r="5972" spans="1:9">
      <c r="A5972" t="str">
        <f>"0132619 "</f>
        <v xml:space="preserve">0132619 </v>
      </c>
      <c r="B5972" t="s">
        <v>19893</v>
      </c>
      <c r="C5972" t="s">
        <v>20076</v>
      </c>
      <c r="D5972" t="s">
        <v>20077</v>
      </c>
      <c r="E5972">
        <v>2</v>
      </c>
      <c r="F5972" t="s">
        <v>20078</v>
      </c>
      <c r="G5972" t="s">
        <v>19897</v>
      </c>
      <c r="H5972" t="s">
        <v>20076</v>
      </c>
      <c r="I5972" t="s">
        <v>20079</v>
      </c>
    </row>
    <row r="5973" spans="1:9">
      <c r="A5973" t="str">
        <f>"0132628 "</f>
        <v xml:space="preserve">0132628 </v>
      </c>
      <c r="B5973" t="s">
        <v>19893</v>
      </c>
      <c r="C5973" t="s">
        <v>20080</v>
      </c>
      <c r="D5973" t="s">
        <v>20081</v>
      </c>
      <c r="E5973">
        <v>1</v>
      </c>
      <c r="F5973" t="s">
        <v>20082</v>
      </c>
      <c r="G5973" t="s">
        <v>19897</v>
      </c>
      <c r="H5973" t="s">
        <v>20080</v>
      </c>
      <c r="I5973" t="s">
        <v>20083</v>
      </c>
    </row>
    <row r="5974" spans="1:9">
      <c r="A5974" t="str">
        <f>"0132637 "</f>
        <v xml:space="preserve">0132637 </v>
      </c>
      <c r="B5974" t="s">
        <v>19893</v>
      </c>
      <c r="C5974" t="s">
        <v>20084</v>
      </c>
      <c r="D5974" t="s">
        <v>20085</v>
      </c>
      <c r="E5974">
        <v>2</v>
      </c>
      <c r="F5974" t="s">
        <v>20086</v>
      </c>
      <c r="G5974" t="s">
        <v>19897</v>
      </c>
      <c r="H5974" t="s">
        <v>20084</v>
      </c>
      <c r="I5974" t="s">
        <v>20087</v>
      </c>
    </row>
    <row r="5975" spans="1:9">
      <c r="A5975" t="str">
        <f>"0132638 "</f>
        <v xml:space="preserve">0132638 </v>
      </c>
      <c r="B5975" t="s">
        <v>19893</v>
      </c>
      <c r="C5975" t="s">
        <v>20088</v>
      </c>
      <c r="D5975" t="s">
        <v>20089</v>
      </c>
      <c r="E5975">
        <v>1</v>
      </c>
      <c r="F5975" t="s">
        <v>20090</v>
      </c>
      <c r="G5975" t="s">
        <v>19897</v>
      </c>
      <c r="H5975" t="s">
        <v>20088</v>
      </c>
      <c r="I5975" t="s">
        <v>20091</v>
      </c>
    </row>
    <row r="5976" spans="1:9">
      <c r="A5976" t="str">
        <f>"0132639 "</f>
        <v xml:space="preserve">0132639 </v>
      </c>
      <c r="B5976" t="s">
        <v>19893</v>
      </c>
      <c r="C5976" t="s">
        <v>20092</v>
      </c>
      <c r="D5976" t="s">
        <v>20093</v>
      </c>
      <c r="E5976">
        <v>3</v>
      </c>
      <c r="F5976" t="s">
        <v>20094</v>
      </c>
      <c r="G5976" t="s">
        <v>19897</v>
      </c>
      <c r="H5976" t="s">
        <v>20092</v>
      </c>
      <c r="I5976" t="s">
        <v>20095</v>
      </c>
    </row>
    <row r="5977" spans="1:9">
      <c r="A5977" t="str">
        <f>"0162270 "</f>
        <v xml:space="preserve">0162270 </v>
      </c>
      <c r="B5977" t="s">
        <v>19893</v>
      </c>
      <c r="C5977" t="s">
        <v>20096</v>
      </c>
      <c r="D5977" t="s">
        <v>20097</v>
      </c>
      <c r="E5977">
        <v>1</v>
      </c>
      <c r="F5977" t="s">
        <v>20098</v>
      </c>
      <c r="G5977" t="s">
        <v>19897</v>
      </c>
      <c r="H5977" t="s">
        <v>20096</v>
      </c>
      <c r="I5977" t="s">
        <v>20099</v>
      </c>
    </row>
    <row r="5978" spans="1:9">
      <c r="A5978" t="str">
        <f>"0132648 "</f>
        <v xml:space="preserve">0132648 </v>
      </c>
      <c r="B5978" t="s">
        <v>19893</v>
      </c>
      <c r="C5978" t="s">
        <v>20100</v>
      </c>
      <c r="D5978" t="s">
        <v>20101</v>
      </c>
      <c r="E5978">
        <v>1</v>
      </c>
      <c r="F5978" t="s">
        <v>20102</v>
      </c>
      <c r="G5978" t="s">
        <v>19897</v>
      </c>
      <c r="H5978" t="s">
        <v>20100</v>
      </c>
      <c r="I5978" t="s">
        <v>20103</v>
      </c>
    </row>
    <row r="5979" spans="1:9">
      <c r="A5979" t="str">
        <f>"0132683 "</f>
        <v xml:space="preserve">0132683 </v>
      </c>
      <c r="B5979" t="s">
        <v>19893</v>
      </c>
      <c r="C5979" t="s">
        <v>20104</v>
      </c>
      <c r="D5979" t="s">
        <v>20105</v>
      </c>
      <c r="E5979">
        <v>3</v>
      </c>
      <c r="F5979" t="s">
        <v>20106</v>
      </c>
      <c r="G5979" t="s">
        <v>19897</v>
      </c>
      <c r="H5979" t="s">
        <v>20104</v>
      </c>
      <c r="I5979" t="s">
        <v>20107</v>
      </c>
    </row>
    <row r="5980" spans="1:9">
      <c r="A5980" t="str">
        <f>"0132684 "</f>
        <v xml:space="preserve">0132684 </v>
      </c>
      <c r="B5980" t="s">
        <v>19893</v>
      </c>
      <c r="C5980" t="s">
        <v>20108</v>
      </c>
      <c r="D5980" t="s">
        <v>20109</v>
      </c>
      <c r="E5980">
        <v>1</v>
      </c>
      <c r="F5980" t="s">
        <v>20110</v>
      </c>
      <c r="G5980" t="s">
        <v>19897</v>
      </c>
      <c r="H5980" t="s">
        <v>20108</v>
      </c>
      <c r="I5980" t="s">
        <v>20111</v>
      </c>
    </row>
    <row r="5981" spans="1:9">
      <c r="A5981" t="str">
        <f>"0132690 "</f>
        <v xml:space="preserve">0132690 </v>
      </c>
      <c r="B5981" t="s">
        <v>19893</v>
      </c>
      <c r="C5981" t="s">
        <v>20112</v>
      </c>
      <c r="D5981" t="s">
        <v>20113</v>
      </c>
      <c r="E5981">
        <v>2</v>
      </c>
      <c r="F5981" t="s">
        <v>20114</v>
      </c>
      <c r="G5981" t="s">
        <v>19897</v>
      </c>
      <c r="H5981" t="s">
        <v>20112</v>
      </c>
      <c r="I5981" t="s">
        <v>20115</v>
      </c>
    </row>
    <row r="5982" spans="1:9">
      <c r="A5982" t="str">
        <f>"0132693 "</f>
        <v xml:space="preserve">0132693 </v>
      </c>
      <c r="B5982" t="s">
        <v>19893</v>
      </c>
      <c r="C5982" t="s">
        <v>20116</v>
      </c>
      <c r="D5982" t="s">
        <v>20117</v>
      </c>
      <c r="E5982">
        <v>1</v>
      </c>
      <c r="F5982" t="s">
        <v>20118</v>
      </c>
      <c r="G5982" t="s">
        <v>19897</v>
      </c>
      <c r="H5982" t="s">
        <v>20116</v>
      </c>
      <c r="I5982" t="s">
        <v>20119</v>
      </c>
    </row>
    <row r="5983" spans="1:9">
      <c r="A5983" t="str">
        <f>"0132698 "</f>
        <v xml:space="preserve">0132698 </v>
      </c>
      <c r="B5983" t="s">
        <v>19893</v>
      </c>
      <c r="C5983" t="s">
        <v>20120</v>
      </c>
      <c r="D5983" t="s">
        <v>20121</v>
      </c>
      <c r="E5983">
        <v>2</v>
      </c>
      <c r="F5983" t="s">
        <v>20118</v>
      </c>
      <c r="G5983" t="s">
        <v>19897</v>
      </c>
      <c r="H5983" t="s">
        <v>20120</v>
      </c>
      <c r="I5983" t="s">
        <v>20122</v>
      </c>
    </row>
    <row r="5984" spans="1:9">
      <c r="A5984" t="str">
        <f>"0132701 "</f>
        <v xml:space="preserve">0132701 </v>
      </c>
      <c r="B5984" t="s">
        <v>19893</v>
      </c>
      <c r="C5984" t="s">
        <v>20123</v>
      </c>
      <c r="D5984" t="s">
        <v>20124</v>
      </c>
      <c r="E5984">
        <v>2</v>
      </c>
      <c r="F5984" t="s">
        <v>20125</v>
      </c>
      <c r="G5984" t="s">
        <v>19897</v>
      </c>
      <c r="H5984" t="s">
        <v>20123</v>
      </c>
      <c r="I5984" t="s">
        <v>20126</v>
      </c>
    </row>
    <row r="5985" spans="1:9">
      <c r="A5985" t="str">
        <f>"0162275 "</f>
        <v xml:space="preserve">0162275 </v>
      </c>
      <c r="B5985" t="s">
        <v>19893</v>
      </c>
      <c r="C5985" t="s">
        <v>20127</v>
      </c>
      <c r="D5985" t="s">
        <v>20128</v>
      </c>
      <c r="E5985">
        <v>1</v>
      </c>
      <c r="F5985" t="s">
        <v>20129</v>
      </c>
      <c r="G5985" t="s">
        <v>19897</v>
      </c>
      <c r="H5985" t="s">
        <v>20127</v>
      </c>
      <c r="I5985" t="s">
        <v>20130</v>
      </c>
    </row>
    <row r="5986" spans="1:9">
      <c r="A5986" t="str">
        <f>"0162297 "</f>
        <v xml:space="preserve">0162297 </v>
      </c>
      <c r="B5986" t="s">
        <v>19893</v>
      </c>
      <c r="C5986" t="s">
        <v>20131</v>
      </c>
      <c r="D5986" t="s">
        <v>20132</v>
      </c>
      <c r="E5986">
        <v>1</v>
      </c>
      <c r="F5986" t="s">
        <v>20133</v>
      </c>
      <c r="G5986" t="s">
        <v>19897</v>
      </c>
      <c r="H5986" t="s">
        <v>20131</v>
      </c>
      <c r="I5986" t="s">
        <v>20134</v>
      </c>
    </row>
    <row r="5987" spans="1:9">
      <c r="A5987" t="str">
        <f>"0132719 "</f>
        <v xml:space="preserve">0132719 </v>
      </c>
      <c r="B5987" t="s">
        <v>19893</v>
      </c>
      <c r="C5987" t="s">
        <v>20135</v>
      </c>
      <c r="D5987" t="s">
        <v>20136</v>
      </c>
      <c r="E5987">
        <v>2</v>
      </c>
      <c r="F5987" t="s">
        <v>20137</v>
      </c>
      <c r="G5987" t="s">
        <v>19897</v>
      </c>
      <c r="H5987" t="s">
        <v>20135</v>
      </c>
      <c r="I5987" t="s">
        <v>20138</v>
      </c>
    </row>
    <row r="5988" spans="1:9">
      <c r="A5988" t="str">
        <f>"0132720 "</f>
        <v xml:space="preserve">0132720 </v>
      </c>
      <c r="B5988" t="s">
        <v>19893</v>
      </c>
      <c r="C5988" t="s">
        <v>20139</v>
      </c>
      <c r="D5988" t="s">
        <v>20140</v>
      </c>
      <c r="E5988">
        <v>2</v>
      </c>
      <c r="F5988" t="s">
        <v>20141</v>
      </c>
      <c r="G5988" t="s">
        <v>19897</v>
      </c>
      <c r="H5988" t="s">
        <v>20139</v>
      </c>
      <c r="I5988" t="s">
        <v>20142</v>
      </c>
    </row>
    <row r="5989" spans="1:9">
      <c r="A5989" t="str">
        <f>"0132725 "</f>
        <v xml:space="preserve">0132725 </v>
      </c>
      <c r="B5989" t="s">
        <v>19893</v>
      </c>
      <c r="C5989" t="s">
        <v>20143</v>
      </c>
      <c r="D5989" t="s">
        <v>20144</v>
      </c>
      <c r="E5989">
        <v>1</v>
      </c>
      <c r="F5989" t="s">
        <v>15350</v>
      </c>
      <c r="G5989" t="s">
        <v>19897</v>
      </c>
      <c r="H5989" t="s">
        <v>20143</v>
      </c>
      <c r="I5989" t="s">
        <v>20145</v>
      </c>
    </row>
    <row r="5990" spans="1:9">
      <c r="A5990" t="str">
        <f>"0132729 "</f>
        <v xml:space="preserve">0132729 </v>
      </c>
      <c r="B5990" t="s">
        <v>19893</v>
      </c>
      <c r="C5990" t="s">
        <v>20146</v>
      </c>
      <c r="D5990" t="s">
        <v>20147</v>
      </c>
      <c r="E5990">
        <v>1</v>
      </c>
      <c r="F5990" t="s">
        <v>20148</v>
      </c>
      <c r="G5990" t="s">
        <v>19897</v>
      </c>
      <c r="H5990" t="s">
        <v>20146</v>
      </c>
      <c r="I5990" t="s">
        <v>20149</v>
      </c>
    </row>
    <row r="5991" spans="1:9">
      <c r="A5991" t="str">
        <f>"0132735 "</f>
        <v xml:space="preserve">0132735 </v>
      </c>
      <c r="B5991" t="s">
        <v>19893</v>
      </c>
      <c r="C5991" t="s">
        <v>20150</v>
      </c>
      <c r="D5991" t="s">
        <v>20151</v>
      </c>
      <c r="E5991">
        <v>1</v>
      </c>
      <c r="F5991" t="s">
        <v>20152</v>
      </c>
      <c r="G5991" t="s">
        <v>19897</v>
      </c>
      <c r="H5991" t="s">
        <v>20150</v>
      </c>
      <c r="I5991" t="s">
        <v>20153</v>
      </c>
    </row>
    <row r="5992" spans="1:9">
      <c r="A5992" t="str">
        <f>"0132745 "</f>
        <v xml:space="preserve">0132745 </v>
      </c>
      <c r="B5992" t="s">
        <v>19893</v>
      </c>
      <c r="C5992" t="s">
        <v>20154</v>
      </c>
      <c r="D5992" t="s">
        <v>20155</v>
      </c>
      <c r="E5992">
        <v>1</v>
      </c>
      <c r="F5992" t="s">
        <v>20156</v>
      </c>
      <c r="G5992" t="s">
        <v>19897</v>
      </c>
      <c r="H5992" t="s">
        <v>20154</v>
      </c>
      <c r="I5992" t="s">
        <v>20157</v>
      </c>
    </row>
    <row r="5993" spans="1:9">
      <c r="A5993" t="str">
        <f>"0132762 "</f>
        <v xml:space="preserve">0132762 </v>
      </c>
      <c r="B5993" t="s">
        <v>19893</v>
      </c>
      <c r="C5993" t="s">
        <v>20158</v>
      </c>
      <c r="D5993" t="s">
        <v>20159</v>
      </c>
      <c r="E5993">
        <v>1</v>
      </c>
      <c r="F5993" t="s">
        <v>20160</v>
      </c>
      <c r="G5993" t="s">
        <v>19897</v>
      </c>
      <c r="H5993" t="s">
        <v>20158</v>
      </c>
      <c r="I5993" t="s">
        <v>20161</v>
      </c>
    </row>
    <row r="5994" spans="1:9">
      <c r="A5994" t="str">
        <f>"0132764 "</f>
        <v xml:space="preserve">0132764 </v>
      </c>
      <c r="B5994" t="s">
        <v>19893</v>
      </c>
      <c r="C5994" t="s">
        <v>20162</v>
      </c>
      <c r="D5994" t="s">
        <v>20163</v>
      </c>
      <c r="E5994">
        <v>2</v>
      </c>
      <c r="F5994" t="s">
        <v>20164</v>
      </c>
      <c r="G5994" t="s">
        <v>19897</v>
      </c>
      <c r="H5994" t="s">
        <v>20162</v>
      </c>
      <c r="I5994" t="s">
        <v>20165</v>
      </c>
    </row>
    <row r="5995" spans="1:9">
      <c r="A5995" t="str">
        <f>"0132773 "</f>
        <v xml:space="preserve">0132773 </v>
      </c>
      <c r="B5995" t="s">
        <v>19893</v>
      </c>
      <c r="C5995" t="s">
        <v>20166</v>
      </c>
      <c r="D5995" t="s">
        <v>20167</v>
      </c>
      <c r="E5995">
        <v>3</v>
      </c>
      <c r="F5995" t="s">
        <v>20168</v>
      </c>
      <c r="G5995" t="s">
        <v>19897</v>
      </c>
      <c r="H5995" t="s">
        <v>20166</v>
      </c>
      <c r="I5995" t="s">
        <v>20169</v>
      </c>
    </row>
    <row r="5996" spans="1:9">
      <c r="A5996" t="str">
        <f>"0132782 "</f>
        <v xml:space="preserve">0132782 </v>
      </c>
      <c r="B5996" t="s">
        <v>19893</v>
      </c>
      <c r="C5996" t="s">
        <v>20170</v>
      </c>
      <c r="D5996" t="s">
        <v>20171</v>
      </c>
      <c r="E5996">
        <v>1</v>
      </c>
      <c r="F5996" t="s">
        <v>19992</v>
      </c>
      <c r="G5996" t="s">
        <v>19897</v>
      </c>
      <c r="H5996" t="s">
        <v>20170</v>
      </c>
      <c r="I5996" t="s">
        <v>20172</v>
      </c>
    </row>
    <row r="5997" spans="1:9">
      <c r="A5997" t="str">
        <f>"0132790 "</f>
        <v xml:space="preserve">0132790 </v>
      </c>
      <c r="B5997" t="s">
        <v>19893</v>
      </c>
      <c r="C5997" t="s">
        <v>20173</v>
      </c>
      <c r="D5997" t="s">
        <v>20174</v>
      </c>
      <c r="E5997">
        <v>2</v>
      </c>
      <c r="F5997" t="s">
        <v>20175</v>
      </c>
      <c r="G5997" t="s">
        <v>19897</v>
      </c>
      <c r="H5997" t="s">
        <v>20173</v>
      </c>
      <c r="I5997" t="s">
        <v>20176</v>
      </c>
    </row>
    <row r="5998" spans="1:9">
      <c r="A5998" t="str">
        <f>"0132793 "</f>
        <v xml:space="preserve">0132793 </v>
      </c>
      <c r="B5998" t="s">
        <v>19893</v>
      </c>
      <c r="C5998" t="s">
        <v>20177</v>
      </c>
      <c r="D5998" t="s">
        <v>20178</v>
      </c>
      <c r="E5998">
        <v>1</v>
      </c>
      <c r="F5998" t="s">
        <v>20179</v>
      </c>
      <c r="G5998" t="s">
        <v>19897</v>
      </c>
      <c r="H5998" t="s">
        <v>20177</v>
      </c>
      <c r="I5998" t="s">
        <v>20180</v>
      </c>
    </row>
    <row r="5999" spans="1:9">
      <c r="A5999" t="str">
        <f>"0132810 "</f>
        <v xml:space="preserve">0132810 </v>
      </c>
      <c r="B5999" t="s">
        <v>19893</v>
      </c>
      <c r="C5999" t="s">
        <v>20181</v>
      </c>
      <c r="D5999" t="s">
        <v>20182</v>
      </c>
      <c r="E5999">
        <v>2</v>
      </c>
      <c r="F5999" t="s">
        <v>20183</v>
      </c>
      <c r="G5999" t="s">
        <v>19897</v>
      </c>
      <c r="H5999" t="s">
        <v>20181</v>
      </c>
      <c r="I5999" t="s">
        <v>20184</v>
      </c>
    </row>
    <row r="6000" spans="1:9">
      <c r="A6000" t="str">
        <f>"0132814 "</f>
        <v xml:space="preserve">0132814 </v>
      </c>
      <c r="B6000" t="s">
        <v>19893</v>
      </c>
      <c r="C6000" t="s">
        <v>20185</v>
      </c>
      <c r="D6000" t="s">
        <v>20186</v>
      </c>
      <c r="E6000">
        <v>3</v>
      </c>
      <c r="F6000" t="s">
        <v>10018</v>
      </c>
      <c r="G6000" t="s">
        <v>19897</v>
      </c>
      <c r="H6000" t="s">
        <v>20185</v>
      </c>
      <c r="I6000" t="s">
        <v>20187</v>
      </c>
    </row>
    <row r="6001" spans="1:9">
      <c r="A6001" t="str">
        <f>"0132825 "</f>
        <v xml:space="preserve">0132825 </v>
      </c>
      <c r="B6001" t="s">
        <v>19893</v>
      </c>
      <c r="C6001" t="s">
        <v>20188</v>
      </c>
      <c r="D6001" t="s">
        <v>20189</v>
      </c>
      <c r="E6001">
        <v>1</v>
      </c>
      <c r="F6001" t="s">
        <v>20190</v>
      </c>
      <c r="G6001" t="s">
        <v>19897</v>
      </c>
      <c r="H6001" t="s">
        <v>20188</v>
      </c>
      <c r="I6001" t="s">
        <v>20191</v>
      </c>
    </row>
    <row r="6002" spans="1:9">
      <c r="A6002" t="str">
        <f>"0132826 "</f>
        <v xml:space="preserve">0132826 </v>
      </c>
      <c r="B6002" t="s">
        <v>19893</v>
      </c>
      <c r="C6002" t="s">
        <v>20192</v>
      </c>
      <c r="D6002" t="s">
        <v>20193</v>
      </c>
      <c r="E6002">
        <v>2</v>
      </c>
      <c r="F6002" t="s">
        <v>20194</v>
      </c>
      <c r="G6002" t="s">
        <v>19897</v>
      </c>
      <c r="H6002" t="s">
        <v>20192</v>
      </c>
      <c r="I6002" t="s">
        <v>20195</v>
      </c>
    </row>
    <row r="6003" spans="1:9">
      <c r="A6003" t="str">
        <f>"0132827 "</f>
        <v xml:space="preserve">0132827 </v>
      </c>
      <c r="B6003" t="s">
        <v>19893</v>
      </c>
      <c r="C6003" t="s">
        <v>20196</v>
      </c>
      <c r="D6003" t="s">
        <v>20197</v>
      </c>
      <c r="E6003">
        <v>2</v>
      </c>
      <c r="F6003" t="s">
        <v>14859</v>
      </c>
      <c r="G6003" t="s">
        <v>19897</v>
      </c>
      <c r="H6003" t="s">
        <v>20196</v>
      </c>
      <c r="I6003" t="s">
        <v>20198</v>
      </c>
    </row>
    <row r="6004" spans="1:9">
      <c r="A6004" t="str">
        <f>"0132828 "</f>
        <v xml:space="preserve">0132828 </v>
      </c>
      <c r="B6004" t="s">
        <v>19893</v>
      </c>
      <c r="C6004" t="s">
        <v>20199</v>
      </c>
      <c r="D6004" t="s">
        <v>20200</v>
      </c>
      <c r="E6004">
        <v>3</v>
      </c>
      <c r="F6004" t="s">
        <v>20201</v>
      </c>
      <c r="G6004" t="s">
        <v>19897</v>
      </c>
      <c r="H6004" t="s">
        <v>20199</v>
      </c>
      <c r="I6004" t="s">
        <v>20202</v>
      </c>
    </row>
    <row r="6005" spans="1:9">
      <c r="A6005" t="str">
        <f>"0132830 "</f>
        <v xml:space="preserve">0132830 </v>
      </c>
      <c r="B6005" t="s">
        <v>19893</v>
      </c>
      <c r="C6005" t="s">
        <v>20203</v>
      </c>
      <c r="D6005" t="s">
        <v>20204</v>
      </c>
      <c r="E6005">
        <v>3</v>
      </c>
      <c r="F6005" t="s">
        <v>20205</v>
      </c>
      <c r="G6005" t="s">
        <v>19897</v>
      </c>
      <c r="H6005" t="s">
        <v>20203</v>
      </c>
      <c r="I6005" t="s">
        <v>20206</v>
      </c>
    </row>
    <row r="6006" spans="1:9">
      <c r="A6006" t="str">
        <f>"0132832 "</f>
        <v xml:space="preserve">0132832 </v>
      </c>
      <c r="B6006" t="s">
        <v>19893</v>
      </c>
      <c r="C6006" t="s">
        <v>20207</v>
      </c>
      <c r="D6006" t="s">
        <v>20208</v>
      </c>
      <c r="E6006">
        <v>2</v>
      </c>
      <c r="F6006" t="s">
        <v>20209</v>
      </c>
      <c r="G6006" t="s">
        <v>19897</v>
      </c>
      <c r="H6006" t="s">
        <v>20207</v>
      </c>
      <c r="I6006" t="s">
        <v>20210</v>
      </c>
    </row>
    <row r="6007" spans="1:9">
      <c r="A6007" t="str">
        <f>"0132834 "</f>
        <v xml:space="preserve">0132834 </v>
      </c>
      <c r="B6007" t="s">
        <v>19893</v>
      </c>
      <c r="C6007" t="s">
        <v>20211</v>
      </c>
      <c r="D6007" t="s">
        <v>20212</v>
      </c>
      <c r="E6007">
        <v>1</v>
      </c>
      <c r="F6007" t="s">
        <v>20213</v>
      </c>
      <c r="G6007" t="s">
        <v>19897</v>
      </c>
      <c r="H6007" t="s">
        <v>20211</v>
      </c>
      <c r="I6007" t="s">
        <v>20214</v>
      </c>
    </row>
    <row r="6008" spans="1:9">
      <c r="A6008" t="str">
        <f>"0132864 "</f>
        <v xml:space="preserve">0132864 </v>
      </c>
      <c r="B6008" t="s">
        <v>19893</v>
      </c>
      <c r="C6008" t="s">
        <v>20215</v>
      </c>
      <c r="D6008" t="s">
        <v>20216</v>
      </c>
      <c r="E6008">
        <v>1</v>
      </c>
      <c r="F6008" t="s">
        <v>20217</v>
      </c>
      <c r="G6008" t="s">
        <v>19897</v>
      </c>
      <c r="H6008" t="s">
        <v>20215</v>
      </c>
      <c r="I6008" t="s">
        <v>20218</v>
      </c>
    </row>
    <row r="6009" spans="1:9">
      <c r="A6009" t="str">
        <f>"0132867 "</f>
        <v xml:space="preserve">0132867 </v>
      </c>
      <c r="B6009" t="s">
        <v>19893</v>
      </c>
      <c r="C6009" t="s">
        <v>20219</v>
      </c>
      <c r="D6009" t="s">
        <v>20220</v>
      </c>
      <c r="E6009">
        <v>1</v>
      </c>
      <c r="F6009" t="s">
        <v>8948</v>
      </c>
      <c r="G6009" t="s">
        <v>19897</v>
      </c>
      <c r="H6009" t="s">
        <v>20219</v>
      </c>
      <c r="I6009" t="s">
        <v>20221</v>
      </c>
    </row>
    <row r="6010" spans="1:9">
      <c r="A6010" t="str">
        <f>"0132868 "</f>
        <v xml:space="preserve">0132868 </v>
      </c>
      <c r="B6010" t="s">
        <v>19893</v>
      </c>
      <c r="C6010" t="s">
        <v>20222</v>
      </c>
      <c r="D6010" t="s">
        <v>20223</v>
      </c>
      <c r="E6010">
        <v>1</v>
      </c>
      <c r="F6010" t="s">
        <v>20224</v>
      </c>
      <c r="G6010" t="s">
        <v>19897</v>
      </c>
      <c r="H6010" t="s">
        <v>20222</v>
      </c>
      <c r="I6010" t="s">
        <v>20225</v>
      </c>
    </row>
    <row r="6011" spans="1:9">
      <c r="A6011" t="str">
        <f>"0198231 "</f>
        <v xml:space="preserve">0198231 </v>
      </c>
      <c r="B6011" t="s">
        <v>19893</v>
      </c>
      <c r="C6011" t="s">
        <v>20226</v>
      </c>
      <c r="D6011" t="s">
        <v>20227</v>
      </c>
      <c r="E6011">
        <v>1</v>
      </c>
      <c r="F6011" t="s">
        <v>20228</v>
      </c>
      <c r="G6011" t="s">
        <v>19897</v>
      </c>
      <c r="H6011" t="s">
        <v>20226</v>
      </c>
      <c r="I6011" t="s">
        <v>20229</v>
      </c>
    </row>
    <row r="6012" spans="1:9">
      <c r="A6012" t="str">
        <f>"0132884 "</f>
        <v xml:space="preserve">0132884 </v>
      </c>
      <c r="B6012" t="s">
        <v>19893</v>
      </c>
      <c r="C6012" t="s">
        <v>20230</v>
      </c>
      <c r="D6012" t="s">
        <v>20231</v>
      </c>
      <c r="E6012">
        <v>2</v>
      </c>
      <c r="F6012" t="s">
        <v>20232</v>
      </c>
      <c r="G6012" t="s">
        <v>19897</v>
      </c>
      <c r="H6012" t="s">
        <v>20230</v>
      </c>
      <c r="I6012" t="s">
        <v>20233</v>
      </c>
    </row>
    <row r="6013" spans="1:9">
      <c r="A6013" t="str">
        <f>"0132887 "</f>
        <v xml:space="preserve">0132887 </v>
      </c>
      <c r="B6013" t="s">
        <v>19893</v>
      </c>
      <c r="C6013" t="s">
        <v>20234</v>
      </c>
      <c r="D6013" t="s">
        <v>20235</v>
      </c>
      <c r="E6013">
        <v>1</v>
      </c>
      <c r="F6013" t="s">
        <v>20236</v>
      </c>
      <c r="G6013" t="s">
        <v>19897</v>
      </c>
      <c r="H6013" t="s">
        <v>20234</v>
      </c>
      <c r="I6013" t="s">
        <v>20237</v>
      </c>
    </row>
    <row r="6014" spans="1:9">
      <c r="A6014" t="str">
        <f>"0198233 "</f>
        <v xml:space="preserve">0198233 </v>
      </c>
      <c r="B6014" t="s">
        <v>19893</v>
      </c>
      <c r="C6014" t="s">
        <v>20238</v>
      </c>
      <c r="D6014" t="s">
        <v>20239</v>
      </c>
      <c r="E6014">
        <v>2</v>
      </c>
      <c r="F6014" t="s">
        <v>20240</v>
      </c>
      <c r="G6014" t="s">
        <v>19897</v>
      </c>
      <c r="H6014" t="s">
        <v>20238</v>
      </c>
      <c r="I6014" t="s">
        <v>20241</v>
      </c>
    </row>
    <row r="6015" spans="1:9">
      <c r="A6015" t="str">
        <f>"0132924 "</f>
        <v xml:space="preserve">0132924 </v>
      </c>
      <c r="B6015" t="s">
        <v>19893</v>
      </c>
      <c r="C6015" t="s">
        <v>20242</v>
      </c>
      <c r="D6015" t="s">
        <v>20243</v>
      </c>
      <c r="E6015">
        <v>1</v>
      </c>
      <c r="F6015" t="s">
        <v>20244</v>
      </c>
      <c r="G6015" t="s">
        <v>19897</v>
      </c>
      <c r="H6015" t="s">
        <v>20242</v>
      </c>
      <c r="I6015" t="s">
        <v>20245</v>
      </c>
    </row>
    <row r="6016" spans="1:9">
      <c r="A6016" t="str">
        <f>"0132927 "</f>
        <v xml:space="preserve">0132927 </v>
      </c>
      <c r="B6016" t="s">
        <v>19893</v>
      </c>
      <c r="C6016" t="s">
        <v>20246</v>
      </c>
      <c r="D6016" t="s">
        <v>20247</v>
      </c>
      <c r="E6016">
        <v>1</v>
      </c>
      <c r="F6016" t="s">
        <v>20248</v>
      </c>
      <c r="G6016" t="s">
        <v>19897</v>
      </c>
      <c r="H6016" t="s">
        <v>20246</v>
      </c>
      <c r="I6016" t="s">
        <v>20249</v>
      </c>
    </row>
    <row r="6017" spans="1:9">
      <c r="A6017" t="str">
        <f>"0132988 "</f>
        <v xml:space="preserve">0132988 </v>
      </c>
      <c r="B6017" t="s">
        <v>19893</v>
      </c>
      <c r="C6017" t="s">
        <v>20250</v>
      </c>
      <c r="D6017" t="s">
        <v>20251</v>
      </c>
      <c r="E6017">
        <v>1</v>
      </c>
      <c r="F6017" t="s">
        <v>20190</v>
      </c>
      <c r="G6017" t="s">
        <v>19897</v>
      </c>
      <c r="H6017" t="s">
        <v>20250</v>
      </c>
      <c r="I6017" t="s">
        <v>20252</v>
      </c>
    </row>
    <row r="6018" spans="1:9">
      <c r="A6018" t="str">
        <f>"0133000 "</f>
        <v xml:space="preserve">0133000 </v>
      </c>
      <c r="B6018" t="s">
        <v>19893</v>
      </c>
      <c r="C6018" t="s">
        <v>20253</v>
      </c>
      <c r="D6018" t="s">
        <v>20254</v>
      </c>
      <c r="E6018">
        <v>1</v>
      </c>
      <c r="F6018" t="s">
        <v>20255</v>
      </c>
      <c r="G6018" t="s">
        <v>19897</v>
      </c>
      <c r="H6018" t="s">
        <v>20253</v>
      </c>
      <c r="I6018" t="s">
        <v>20256</v>
      </c>
    </row>
    <row r="6019" spans="1:9">
      <c r="A6019" t="str">
        <f>"0133001 "</f>
        <v xml:space="preserve">0133001 </v>
      </c>
      <c r="B6019" t="s">
        <v>19893</v>
      </c>
      <c r="C6019" t="s">
        <v>20257</v>
      </c>
      <c r="D6019" t="s">
        <v>20258</v>
      </c>
      <c r="E6019">
        <v>1</v>
      </c>
      <c r="F6019" t="s">
        <v>14869</v>
      </c>
      <c r="G6019" t="s">
        <v>19897</v>
      </c>
      <c r="H6019" t="s">
        <v>20257</v>
      </c>
      <c r="I6019" t="s">
        <v>20259</v>
      </c>
    </row>
    <row r="6020" spans="1:9">
      <c r="A6020" t="str">
        <f>"0133003 "</f>
        <v xml:space="preserve">0133003 </v>
      </c>
      <c r="B6020" t="s">
        <v>19893</v>
      </c>
      <c r="C6020" t="s">
        <v>20260</v>
      </c>
      <c r="D6020" t="s">
        <v>20261</v>
      </c>
      <c r="E6020">
        <v>2</v>
      </c>
      <c r="F6020" t="s">
        <v>20262</v>
      </c>
      <c r="G6020" t="s">
        <v>19897</v>
      </c>
      <c r="H6020" t="s">
        <v>20260</v>
      </c>
      <c r="I6020" t="s">
        <v>20263</v>
      </c>
    </row>
    <row r="6021" spans="1:9">
      <c r="A6021" t="str">
        <f>"0133012 "</f>
        <v xml:space="preserve">0133012 </v>
      </c>
      <c r="B6021" t="s">
        <v>19893</v>
      </c>
      <c r="C6021" t="s">
        <v>20264</v>
      </c>
      <c r="D6021" t="s">
        <v>20265</v>
      </c>
      <c r="E6021">
        <v>3</v>
      </c>
      <c r="F6021" t="s">
        <v>20266</v>
      </c>
      <c r="G6021" t="s">
        <v>19897</v>
      </c>
      <c r="H6021" t="s">
        <v>20264</v>
      </c>
      <c r="I6021" t="s">
        <v>20267</v>
      </c>
    </row>
    <row r="6022" spans="1:9">
      <c r="A6022" t="str">
        <f>"0133020 "</f>
        <v xml:space="preserve">0133020 </v>
      </c>
      <c r="B6022" t="s">
        <v>19893</v>
      </c>
      <c r="C6022" t="s">
        <v>20268</v>
      </c>
      <c r="D6022" t="s">
        <v>20269</v>
      </c>
      <c r="E6022">
        <v>1</v>
      </c>
      <c r="F6022" t="s">
        <v>20270</v>
      </c>
      <c r="G6022" t="s">
        <v>19897</v>
      </c>
      <c r="H6022" t="s">
        <v>20268</v>
      </c>
      <c r="I6022" t="s">
        <v>20271</v>
      </c>
    </row>
    <row r="6023" spans="1:9">
      <c r="A6023" t="str">
        <f>"0133022 "</f>
        <v xml:space="preserve">0133022 </v>
      </c>
      <c r="B6023" t="s">
        <v>19893</v>
      </c>
      <c r="C6023" t="s">
        <v>20272</v>
      </c>
      <c r="D6023" t="s">
        <v>20273</v>
      </c>
      <c r="E6023">
        <v>1</v>
      </c>
      <c r="F6023" t="s">
        <v>19992</v>
      </c>
      <c r="G6023" t="s">
        <v>19897</v>
      </c>
      <c r="H6023" t="s">
        <v>20272</v>
      </c>
      <c r="I6023" t="s">
        <v>20274</v>
      </c>
    </row>
    <row r="6024" spans="1:9">
      <c r="A6024" t="str">
        <f>"0133033 "</f>
        <v xml:space="preserve">0133033 </v>
      </c>
      <c r="B6024" t="s">
        <v>19893</v>
      </c>
      <c r="C6024" t="s">
        <v>20275</v>
      </c>
      <c r="D6024" t="s">
        <v>20276</v>
      </c>
      <c r="E6024">
        <v>1</v>
      </c>
      <c r="F6024" t="s">
        <v>9324</v>
      </c>
      <c r="G6024" t="s">
        <v>19897</v>
      </c>
      <c r="H6024" t="s">
        <v>20275</v>
      </c>
      <c r="I6024" t="s">
        <v>20277</v>
      </c>
    </row>
    <row r="6025" spans="1:9">
      <c r="A6025" t="str">
        <f>"0133035 "</f>
        <v xml:space="preserve">0133035 </v>
      </c>
      <c r="B6025" t="s">
        <v>19893</v>
      </c>
      <c r="C6025" t="s">
        <v>20278</v>
      </c>
      <c r="D6025" t="s">
        <v>20279</v>
      </c>
      <c r="E6025">
        <v>1</v>
      </c>
      <c r="F6025" t="s">
        <v>20280</v>
      </c>
      <c r="G6025" t="s">
        <v>19897</v>
      </c>
      <c r="H6025" t="s">
        <v>20278</v>
      </c>
      <c r="I6025" t="s">
        <v>20281</v>
      </c>
    </row>
    <row r="6026" spans="1:9">
      <c r="A6026" t="str">
        <f>"0133036 "</f>
        <v xml:space="preserve">0133036 </v>
      </c>
      <c r="B6026" t="s">
        <v>19893</v>
      </c>
      <c r="C6026" t="s">
        <v>20282</v>
      </c>
      <c r="D6026" t="s">
        <v>20283</v>
      </c>
      <c r="E6026">
        <v>3</v>
      </c>
      <c r="F6026" t="s">
        <v>20284</v>
      </c>
      <c r="G6026" t="s">
        <v>19897</v>
      </c>
      <c r="H6026" t="s">
        <v>20282</v>
      </c>
      <c r="I6026" t="s">
        <v>20285</v>
      </c>
    </row>
    <row r="6027" spans="1:9">
      <c r="A6027" t="str">
        <f>"0133044 "</f>
        <v xml:space="preserve">0133044 </v>
      </c>
      <c r="B6027" t="s">
        <v>19893</v>
      </c>
      <c r="C6027" t="s">
        <v>20286</v>
      </c>
      <c r="D6027" t="s">
        <v>20287</v>
      </c>
      <c r="E6027">
        <v>1</v>
      </c>
      <c r="F6027" t="s">
        <v>14859</v>
      </c>
      <c r="G6027" t="s">
        <v>19897</v>
      </c>
      <c r="H6027" t="s">
        <v>20286</v>
      </c>
      <c r="I6027" t="s">
        <v>20288</v>
      </c>
    </row>
    <row r="6028" spans="1:9">
      <c r="A6028" t="str">
        <f>"0133046 "</f>
        <v xml:space="preserve">0133046 </v>
      </c>
      <c r="B6028" t="s">
        <v>19893</v>
      </c>
      <c r="C6028" t="s">
        <v>20289</v>
      </c>
      <c r="D6028" t="s">
        <v>20290</v>
      </c>
      <c r="E6028">
        <v>1</v>
      </c>
      <c r="F6028" t="s">
        <v>20291</v>
      </c>
      <c r="G6028" t="s">
        <v>19897</v>
      </c>
      <c r="H6028" t="s">
        <v>20289</v>
      </c>
      <c r="I6028" t="s">
        <v>20292</v>
      </c>
    </row>
    <row r="6029" spans="1:9">
      <c r="A6029" t="str">
        <f>"0133047 "</f>
        <v xml:space="preserve">0133047 </v>
      </c>
      <c r="B6029" t="s">
        <v>19893</v>
      </c>
      <c r="C6029" t="s">
        <v>20293</v>
      </c>
      <c r="D6029" t="s">
        <v>20294</v>
      </c>
      <c r="E6029">
        <v>1</v>
      </c>
      <c r="F6029" t="s">
        <v>20295</v>
      </c>
      <c r="G6029" t="s">
        <v>19897</v>
      </c>
      <c r="H6029" t="s">
        <v>20293</v>
      </c>
      <c r="I6029" t="s">
        <v>20296</v>
      </c>
    </row>
    <row r="6030" spans="1:9">
      <c r="A6030" t="str">
        <f>"0133049 "</f>
        <v xml:space="preserve">0133049 </v>
      </c>
      <c r="B6030" t="s">
        <v>19893</v>
      </c>
      <c r="C6030" t="s">
        <v>20297</v>
      </c>
      <c r="D6030" t="s">
        <v>20298</v>
      </c>
      <c r="E6030">
        <v>1</v>
      </c>
      <c r="F6030" t="s">
        <v>20299</v>
      </c>
      <c r="G6030" t="s">
        <v>19897</v>
      </c>
      <c r="H6030" t="s">
        <v>20297</v>
      </c>
      <c r="I6030" t="s">
        <v>20300</v>
      </c>
    </row>
    <row r="6031" spans="1:9">
      <c r="A6031" t="str">
        <f>"0133052 "</f>
        <v xml:space="preserve">0133052 </v>
      </c>
      <c r="B6031" t="s">
        <v>19893</v>
      </c>
      <c r="C6031" t="s">
        <v>20301</v>
      </c>
      <c r="D6031" t="s">
        <v>20302</v>
      </c>
      <c r="E6031">
        <v>2</v>
      </c>
      <c r="F6031" t="s">
        <v>20303</v>
      </c>
      <c r="G6031" t="s">
        <v>19897</v>
      </c>
      <c r="H6031" t="s">
        <v>20301</v>
      </c>
      <c r="I6031" t="s">
        <v>20304</v>
      </c>
    </row>
    <row r="6032" spans="1:9">
      <c r="A6032" t="str">
        <f>"0133067 "</f>
        <v xml:space="preserve">0133067 </v>
      </c>
      <c r="B6032" t="s">
        <v>19893</v>
      </c>
      <c r="C6032" t="s">
        <v>20305</v>
      </c>
      <c r="D6032" t="s">
        <v>20306</v>
      </c>
      <c r="E6032">
        <v>3</v>
      </c>
      <c r="F6032" t="s">
        <v>15102</v>
      </c>
      <c r="G6032" t="s">
        <v>19897</v>
      </c>
      <c r="H6032" t="s">
        <v>20305</v>
      </c>
      <c r="I6032" t="s">
        <v>20307</v>
      </c>
    </row>
    <row r="6033" spans="1:9">
      <c r="A6033" t="str">
        <f>"0133073 "</f>
        <v xml:space="preserve">0133073 </v>
      </c>
      <c r="B6033" t="s">
        <v>19893</v>
      </c>
      <c r="C6033" t="s">
        <v>20308</v>
      </c>
      <c r="D6033" t="s">
        <v>20309</v>
      </c>
      <c r="E6033">
        <v>1</v>
      </c>
      <c r="F6033" t="s">
        <v>10108</v>
      </c>
      <c r="G6033" t="s">
        <v>19897</v>
      </c>
      <c r="H6033" t="s">
        <v>20308</v>
      </c>
      <c r="I6033" t="s">
        <v>20310</v>
      </c>
    </row>
    <row r="6034" spans="1:9">
      <c r="A6034" t="str">
        <f>"0133080 "</f>
        <v xml:space="preserve">0133080 </v>
      </c>
      <c r="B6034" t="s">
        <v>19893</v>
      </c>
      <c r="C6034" t="s">
        <v>20311</v>
      </c>
      <c r="D6034" t="s">
        <v>20312</v>
      </c>
      <c r="E6034">
        <v>3</v>
      </c>
      <c r="F6034" t="s">
        <v>9403</v>
      </c>
      <c r="G6034" t="s">
        <v>19897</v>
      </c>
      <c r="H6034" t="s">
        <v>20311</v>
      </c>
      <c r="I6034" t="s">
        <v>20313</v>
      </c>
    </row>
    <row r="6035" spans="1:9">
      <c r="A6035" t="str">
        <f>"0133105 "</f>
        <v xml:space="preserve">0133105 </v>
      </c>
      <c r="B6035" t="s">
        <v>19893</v>
      </c>
      <c r="C6035" t="s">
        <v>20314</v>
      </c>
      <c r="D6035" t="s">
        <v>20315</v>
      </c>
      <c r="E6035">
        <v>1</v>
      </c>
      <c r="F6035" t="s">
        <v>20316</v>
      </c>
      <c r="G6035" t="s">
        <v>19897</v>
      </c>
      <c r="H6035" t="s">
        <v>20314</v>
      </c>
      <c r="I6035" t="s">
        <v>20317</v>
      </c>
    </row>
    <row r="6036" spans="1:9">
      <c r="A6036" t="str">
        <f>"0133112 "</f>
        <v xml:space="preserve">0133112 </v>
      </c>
      <c r="B6036" t="s">
        <v>19893</v>
      </c>
      <c r="C6036" t="s">
        <v>20318</v>
      </c>
      <c r="D6036" t="s">
        <v>20319</v>
      </c>
      <c r="E6036">
        <v>1</v>
      </c>
      <c r="F6036" t="s">
        <v>20320</v>
      </c>
      <c r="G6036" t="s">
        <v>19897</v>
      </c>
      <c r="H6036" t="s">
        <v>20318</v>
      </c>
      <c r="I6036" t="s">
        <v>20321</v>
      </c>
    </row>
    <row r="6037" spans="1:9">
      <c r="A6037" t="str">
        <f>"0133132 "</f>
        <v xml:space="preserve">0133132 </v>
      </c>
      <c r="B6037" t="s">
        <v>19893</v>
      </c>
      <c r="C6037" t="s">
        <v>20322</v>
      </c>
      <c r="D6037" t="s">
        <v>20323</v>
      </c>
      <c r="E6037">
        <v>2</v>
      </c>
      <c r="F6037" t="s">
        <v>20324</v>
      </c>
      <c r="G6037" t="s">
        <v>19897</v>
      </c>
      <c r="H6037" t="s">
        <v>20322</v>
      </c>
      <c r="I6037" t="s">
        <v>20325</v>
      </c>
    </row>
    <row r="6038" spans="1:9">
      <c r="A6038" t="str">
        <f>"0133134 "</f>
        <v xml:space="preserve">0133134 </v>
      </c>
      <c r="B6038" t="s">
        <v>19893</v>
      </c>
      <c r="C6038" t="s">
        <v>20326</v>
      </c>
      <c r="D6038" t="s">
        <v>20327</v>
      </c>
      <c r="E6038">
        <v>2</v>
      </c>
      <c r="F6038" t="s">
        <v>20205</v>
      </c>
      <c r="G6038" t="s">
        <v>19897</v>
      </c>
      <c r="H6038" t="s">
        <v>20326</v>
      </c>
      <c r="I6038" t="s">
        <v>20328</v>
      </c>
    </row>
    <row r="6039" spans="1:9">
      <c r="A6039" t="str">
        <f>"0133137 "</f>
        <v xml:space="preserve">0133137 </v>
      </c>
      <c r="B6039" t="s">
        <v>19893</v>
      </c>
      <c r="C6039" t="s">
        <v>20329</v>
      </c>
      <c r="D6039" t="s">
        <v>20330</v>
      </c>
      <c r="E6039">
        <v>2</v>
      </c>
      <c r="F6039" t="s">
        <v>20331</v>
      </c>
      <c r="G6039" t="s">
        <v>19897</v>
      </c>
      <c r="H6039" t="s">
        <v>20329</v>
      </c>
      <c r="I6039" t="s">
        <v>20332</v>
      </c>
    </row>
    <row r="6040" spans="1:9">
      <c r="A6040" t="str">
        <f>"0133138 "</f>
        <v xml:space="preserve">0133138 </v>
      </c>
      <c r="B6040" t="s">
        <v>19893</v>
      </c>
      <c r="C6040" t="s">
        <v>20333</v>
      </c>
      <c r="D6040" t="s">
        <v>20334</v>
      </c>
      <c r="E6040">
        <v>1</v>
      </c>
      <c r="F6040" t="s">
        <v>20335</v>
      </c>
      <c r="G6040" t="s">
        <v>19897</v>
      </c>
      <c r="H6040" t="s">
        <v>20333</v>
      </c>
      <c r="I6040" t="s">
        <v>20336</v>
      </c>
    </row>
    <row r="6041" spans="1:9">
      <c r="A6041" t="str">
        <f>"0133146 "</f>
        <v xml:space="preserve">0133146 </v>
      </c>
      <c r="B6041" t="s">
        <v>19893</v>
      </c>
      <c r="C6041" t="s">
        <v>20337</v>
      </c>
      <c r="D6041" t="s">
        <v>20338</v>
      </c>
      <c r="E6041">
        <v>3</v>
      </c>
      <c r="F6041" t="s">
        <v>20339</v>
      </c>
      <c r="G6041" t="s">
        <v>19897</v>
      </c>
      <c r="H6041" t="s">
        <v>20337</v>
      </c>
      <c r="I6041" t="s">
        <v>20340</v>
      </c>
    </row>
    <row r="6042" spans="1:9">
      <c r="A6042" t="str">
        <f>"0133147 "</f>
        <v xml:space="preserve">0133147 </v>
      </c>
      <c r="B6042" t="s">
        <v>19893</v>
      </c>
      <c r="C6042" t="s">
        <v>20341</v>
      </c>
      <c r="D6042" t="s">
        <v>20342</v>
      </c>
      <c r="E6042">
        <v>3</v>
      </c>
      <c r="F6042" t="s">
        <v>20343</v>
      </c>
      <c r="G6042" t="s">
        <v>19897</v>
      </c>
      <c r="H6042" t="s">
        <v>20341</v>
      </c>
      <c r="I6042" t="s">
        <v>20344</v>
      </c>
    </row>
    <row r="6043" spans="1:9">
      <c r="A6043" t="str">
        <f>"0133148 "</f>
        <v xml:space="preserve">0133148 </v>
      </c>
      <c r="B6043" t="s">
        <v>19893</v>
      </c>
      <c r="C6043" t="s">
        <v>20345</v>
      </c>
      <c r="D6043" t="s">
        <v>20346</v>
      </c>
      <c r="E6043">
        <v>1</v>
      </c>
      <c r="F6043" t="s">
        <v>20347</v>
      </c>
      <c r="G6043" t="s">
        <v>19897</v>
      </c>
      <c r="H6043" t="s">
        <v>20345</v>
      </c>
      <c r="I6043" t="s">
        <v>20348</v>
      </c>
    </row>
    <row r="6044" spans="1:9">
      <c r="A6044" t="str">
        <f>"0133166 "</f>
        <v xml:space="preserve">0133166 </v>
      </c>
      <c r="B6044" t="s">
        <v>19893</v>
      </c>
      <c r="C6044" t="s">
        <v>20349</v>
      </c>
      <c r="D6044" t="s">
        <v>20350</v>
      </c>
      <c r="E6044">
        <v>2</v>
      </c>
      <c r="F6044" t="s">
        <v>20351</v>
      </c>
      <c r="G6044" t="s">
        <v>19897</v>
      </c>
      <c r="H6044" t="s">
        <v>20349</v>
      </c>
      <c r="I6044" t="s">
        <v>20352</v>
      </c>
    </row>
    <row r="6045" spans="1:9">
      <c r="A6045" t="str">
        <f>"0133182 "</f>
        <v xml:space="preserve">0133182 </v>
      </c>
      <c r="B6045" t="s">
        <v>19893</v>
      </c>
      <c r="C6045" t="s">
        <v>20353</v>
      </c>
      <c r="D6045" t="s">
        <v>20354</v>
      </c>
      <c r="E6045">
        <v>1</v>
      </c>
      <c r="F6045" t="s">
        <v>20355</v>
      </c>
      <c r="G6045" t="s">
        <v>19897</v>
      </c>
      <c r="H6045" t="s">
        <v>20353</v>
      </c>
      <c r="I6045" t="s">
        <v>20356</v>
      </c>
    </row>
    <row r="6046" spans="1:9">
      <c r="A6046" t="str">
        <f>"0133185 "</f>
        <v xml:space="preserve">0133185 </v>
      </c>
      <c r="B6046" t="s">
        <v>19893</v>
      </c>
      <c r="C6046" t="s">
        <v>20357</v>
      </c>
      <c r="D6046" t="s">
        <v>20358</v>
      </c>
      <c r="E6046">
        <v>1</v>
      </c>
      <c r="F6046" t="s">
        <v>20359</v>
      </c>
      <c r="G6046" t="s">
        <v>19897</v>
      </c>
      <c r="H6046" t="s">
        <v>20357</v>
      </c>
      <c r="I6046" t="s">
        <v>20360</v>
      </c>
    </row>
    <row r="6047" spans="1:9">
      <c r="A6047" t="str">
        <f>"0133186 "</f>
        <v xml:space="preserve">0133186 </v>
      </c>
      <c r="B6047" t="s">
        <v>19893</v>
      </c>
      <c r="C6047" t="s">
        <v>20361</v>
      </c>
      <c r="D6047" t="s">
        <v>20362</v>
      </c>
      <c r="E6047">
        <v>1</v>
      </c>
      <c r="F6047" t="s">
        <v>20363</v>
      </c>
      <c r="G6047" t="s">
        <v>19897</v>
      </c>
      <c r="H6047" t="s">
        <v>20361</v>
      </c>
      <c r="I6047" t="s">
        <v>20364</v>
      </c>
    </row>
    <row r="6048" spans="1:9">
      <c r="A6048" t="str">
        <f>"0133187 "</f>
        <v xml:space="preserve">0133187 </v>
      </c>
      <c r="B6048" t="s">
        <v>19893</v>
      </c>
      <c r="C6048" t="s">
        <v>20365</v>
      </c>
      <c r="D6048" t="s">
        <v>20366</v>
      </c>
      <c r="E6048">
        <v>3</v>
      </c>
      <c r="F6048" t="s">
        <v>15753</v>
      </c>
      <c r="G6048" t="s">
        <v>19897</v>
      </c>
      <c r="H6048" t="s">
        <v>20365</v>
      </c>
      <c r="I6048" t="s">
        <v>20367</v>
      </c>
    </row>
    <row r="6049" spans="1:9">
      <c r="A6049" t="str">
        <f>"0133188 "</f>
        <v xml:space="preserve">0133188 </v>
      </c>
      <c r="B6049" t="s">
        <v>19893</v>
      </c>
      <c r="C6049" t="s">
        <v>20368</v>
      </c>
      <c r="D6049" t="s">
        <v>20369</v>
      </c>
      <c r="E6049">
        <v>1</v>
      </c>
      <c r="F6049" t="s">
        <v>20370</v>
      </c>
      <c r="G6049" t="s">
        <v>19897</v>
      </c>
      <c r="H6049" t="s">
        <v>20368</v>
      </c>
      <c r="I6049" t="s">
        <v>20371</v>
      </c>
    </row>
    <row r="6050" spans="1:9">
      <c r="A6050" t="str">
        <f>"0133198 "</f>
        <v xml:space="preserve">0133198 </v>
      </c>
      <c r="B6050" t="s">
        <v>19893</v>
      </c>
      <c r="C6050" t="s">
        <v>20372</v>
      </c>
      <c r="D6050" t="s">
        <v>20373</v>
      </c>
      <c r="E6050">
        <v>1</v>
      </c>
      <c r="F6050" t="s">
        <v>15400</v>
      </c>
      <c r="G6050" t="s">
        <v>19897</v>
      </c>
      <c r="H6050" t="s">
        <v>20372</v>
      </c>
      <c r="I6050" t="s">
        <v>20374</v>
      </c>
    </row>
    <row r="6051" spans="1:9">
      <c r="A6051" t="str">
        <f>"0133216 "</f>
        <v xml:space="preserve">0133216 </v>
      </c>
      <c r="B6051" t="s">
        <v>19893</v>
      </c>
      <c r="C6051" t="s">
        <v>20375</v>
      </c>
      <c r="D6051" t="s">
        <v>20376</v>
      </c>
      <c r="E6051" t="s">
        <v>16</v>
      </c>
      <c r="F6051" t="s">
        <v>20377</v>
      </c>
      <c r="G6051" t="s">
        <v>19897</v>
      </c>
      <c r="H6051" t="s">
        <v>20375</v>
      </c>
      <c r="I6051" t="s">
        <v>20378</v>
      </c>
    </row>
    <row r="6052" spans="1:9">
      <c r="A6052" t="str">
        <f>"0133222 "</f>
        <v xml:space="preserve">0133222 </v>
      </c>
      <c r="B6052" t="s">
        <v>19893</v>
      </c>
      <c r="C6052" t="s">
        <v>20379</v>
      </c>
      <c r="D6052" t="s">
        <v>20380</v>
      </c>
      <c r="E6052">
        <v>2</v>
      </c>
      <c r="F6052" t="s">
        <v>20381</v>
      </c>
      <c r="G6052" t="s">
        <v>19897</v>
      </c>
      <c r="H6052" t="s">
        <v>20379</v>
      </c>
      <c r="I6052" t="s">
        <v>20382</v>
      </c>
    </row>
    <row r="6053" spans="1:9">
      <c r="A6053" t="str">
        <f>"0133224 "</f>
        <v xml:space="preserve">0133224 </v>
      </c>
      <c r="B6053" t="s">
        <v>19893</v>
      </c>
      <c r="C6053" t="s">
        <v>20383</v>
      </c>
      <c r="D6053" t="s">
        <v>20384</v>
      </c>
      <c r="E6053">
        <v>1</v>
      </c>
      <c r="F6053" t="s">
        <v>20385</v>
      </c>
      <c r="G6053" t="s">
        <v>19897</v>
      </c>
      <c r="H6053" t="s">
        <v>20383</v>
      </c>
      <c r="I6053" t="s">
        <v>20386</v>
      </c>
    </row>
    <row r="6054" spans="1:9">
      <c r="A6054" t="str">
        <f>"0133225 "</f>
        <v xml:space="preserve">0133225 </v>
      </c>
      <c r="B6054" t="s">
        <v>19893</v>
      </c>
      <c r="C6054" t="s">
        <v>20387</v>
      </c>
      <c r="D6054" t="s">
        <v>20388</v>
      </c>
      <c r="E6054" t="s">
        <v>16</v>
      </c>
      <c r="F6054" t="s">
        <v>20389</v>
      </c>
      <c r="G6054" t="s">
        <v>19897</v>
      </c>
      <c r="H6054" t="s">
        <v>20387</v>
      </c>
      <c r="I6054" t="s">
        <v>20390</v>
      </c>
    </row>
    <row r="6055" spans="1:9">
      <c r="A6055" t="str">
        <f>"0133230 "</f>
        <v xml:space="preserve">0133230 </v>
      </c>
      <c r="B6055" t="s">
        <v>19893</v>
      </c>
      <c r="C6055" t="s">
        <v>20391</v>
      </c>
      <c r="D6055" t="s">
        <v>20392</v>
      </c>
      <c r="E6055">
        <v>1</v>
      </c>
      <c r="F6055" t="s">
        <v>20393</v>
      </c>
      <c r="G6055" t="s">
        <v>19897</v>
      </c>
      <c r="H6055" t="s">
        <v>20391</v>
      </c>
      <c r="I6055" t="s">
        <v>20394</v>
      </c>
    </row>
    <row r="6056" spans="1:9">
      <c r="A6056" t="str">
        <f>"0133234 "</f>
        <v xml:space="preserve">0133234 </v>
      </c>
      <c r="B6056" t="s">
        <v>19893</v>
      </c>
      <c r="C6056" t="s">
        <v>20395</v>
      </c>
      <c r="D6056" t="s">
        <v>20396</v>
      </c>
      <c r="E6056">
        <v>2</v>
      </c>
      <c r="F6056" t="s">
        <v>20397</v>
      </c>
      <c r="G6056" t="s">
        <v>19897</v>
      </c>
      <c r="H6056" t="s">
        <v>20395</v>
      </c>
      <c r="I6056" t="s">
        <v>20398</v>
      </c>
    </row>
    <row r="6057" spans="1:9">
      <c r="A6057" t="str">
        <f>"0133241 "</f>
        <v xml:space="preserve">0133241 </v>
      </c>
      <c r="B6057" t="s">
        <v>19893</v>
      </c>
      <c r="C6057" t="s">
        <v>20399</v>
      </c>
      <c r="D6057" t="s">
        <v>20400</v>
      </c>
      <c r="E6057">
        <v>1</v>
      </c>
      <c r="F6057" t="s">
        <v>20401</v>
      </c>
      <c r="G6057" t="s">
        <v>19897</v>
      </c>
      <c r="H6057" t="s">
        <v>20399</v>
      </c>
      <c r="I6057" t="s">
        <v>20402</v>
      </c>
    </row>
    <row r="6058" spans="1:9">
      <c r="A6058" t="str">
        <f>"0133245 "</f>
        <v xml:space="preserve">0133245 </v>
      </c>
      <c r="B6058" t="s">
        <v>19893</v>
      </c>
      <c r="C6058" t="s">
        <v>20403</v>
      </c>
      <c r="D6058" t="s">
        <v>20404</v>
      </c>
      <c r="E6058">
        <v>2</v>
      </c>
      <c r="F6058" t="s">
        <v>20405</v>
      </c>
      <c r="G6058" t="s">
        <v>19897</v>
      </c>
      <c r="H6058" t="s">
        <v>20403</v>
      </c>
      <c r="I6058" t="s">
        <v>20406</v>
      </c>
    </row>
    <row r="6059" spans="1:9">
      <c r="A6059" t="str">
        <f>"0133250 "</f>
        <v xml:space="preserve">0133250 </v>
      </c>
      <c r="B6059" t="s">
        <v>19893</v>
      </c>
      <c r="C6059" t="s">
        <v>20407</v>
      </c>
      <c r="D6059" t="s">
        <v>20408</v>
      </c>
      <c r="E6059">
        <v>1</v>
      </c>
      <c r="F6059" t="s">
        <v>20409</v>
      </c>
      <c r="G6059" t="s">
        <v>19897</v>
      </c>
      <c r="H6059" t="s">
        <v>20407</v>
      </c>
      <c r="I6059" t="s">
        <v>20410</v>
      </c>
    </row>
    <row r="6060" spans="1:9">
      <c r="A6060" t="str">
        <f>"0133252 "</f>
        <v xml:space="preserve">0133252 </v>
      </c>
      <c r="B6060" t="s">
        <v>19893</v>
      </c>
      <c r="C6060" t="s">
        <v>20411</v>
      </c>
      <c r="D6060" t="s">
        <v>20412</v>
      </c>
      <c r="E6060">
        <v>1</v>
      </c>
      <c r="F6060" t="s">
        <v>20413</v>
      </c>
      <c r="G6060" t="s">
        <v>19897</v>
      </c>
      <c r="H6060" t="s">
        <v>20411</v>
      </c>
      <c r="I6060" t="s">
        <v>20414</v>
      </c>
    </row>
    <row r="6061" spans="1:9">
      <c r="A6061" t="str">
        <f>"0133254 "</f>
        <v xml:space="preserve">0133254 </v>
      </c>
      <c r="B6061" t="s">
        <v>19893</v>
      </c>
      <c r="C6061" t="s">
        <v>20415</v>
      </c>
      <c r="D6061" t="s">
        <v>20416</v>
      </c>
      <c r="E6061">
        <v>4</v>
      </c>
      <c r="F6061" t="s">
        <v>20417</v>
      </c>
      <c r="G6061" t="s">
        <v>19897</v>
      </c>
      <c r="H6061" t="s">
        <v>20415</v>
      </c>
      <c r="I6061" t="s">
        <v>20418</v>
      </c>
    </row>
    <row r="6062" spans="1:9">
      <c r="A6062" t="str">
        <f>"0133256 "</f>
        <v xml:space="preserve">0133256 </v>
      </c>
      <c r="B6062" t="s">
        <v>19893</v>
      </c>
      <c r="C6062" t="s">
        <v>20419</v>
      </c>
      <c r="D6062" t="s">
        <v>20420</v>
      </c>
      <c r="E6062">
        <v>1</v>
      </c>
      <c r="F6062" t="s">
        <v>20421</v>
      </c>
      <c r="G6062" t="s">
        <v>19897</v>
      </c>
      <c r="H6062" t="s">
        <v>20419</v>
      </c>
      <c r="I6062" t="s">
        <v>20422</v>
      </c>
    </row>
    <row r="6063" spans="1:9">
      <c r="A6063" t="str">
        <f>"0133257 "</f>
        <v xml:space="preserve">0133257 </v>
      </c>
      <c r="B6063" t="s">
        <v>19893</v>
      </c>
      <c r="C6063" t="s">
        <v>20423</v>
      </c>
      <c r="D6063" t="s">
        <v>20424</v>
      </c>
      <c r="E6063">
        <v>1</v>
      </c>
      <c r="F6063" t="s">
        <v>20425</v>
      </c>
      <c r="G6063" t="s">
        <v>19897</v>
      </c>
      <c r="H6063" t="s">
        <v>20423</v>
      </c>
      <c r="I6063" t="s">
        <v>20426</v>
      </c>
    </row>
    <row r="6064" spans="1:9">
      <c r="A6064" t="str">
        <f>"0133260 "</f>
        <v xml:space="preserve">0133260 </v>
      </c>
      <c r="B6064" t="s">
        <v>19893</v>
      </c>
      <c r="C6064" t="s">
        <v>20427</v>
      </c>
      <c r="D6064" t="s">
        <v>20428</v>
      </c>
      <c r="E6064">
        <v>2</v>
      </c>
      <c r="F6064" t="s">
        <v>20429</v>
      </c>
      <c r="G6064" t="s">
        <v>19897</v>
      </c>
      <c r="H6064" t="s">
        <v>20427</v>
      </c>
      <c r="I6064" t="s">
        <v>20430</v>
      </c>
    </row>
    <row r="6065" spans="1:9">
      <c r="A6065" t="str">
        <f>"0133266 "</f>
        <v xml:space="preserve">0133266 </v>
      </c>
      <c r="B6065" t="s">
        <v>19893</v>
      </c>
      <c r="C6065" t="s">
        <v>20431</v>
      </c>
      <c r="D6065" t="s">
        <v>20432</v>
      </c>
      <c r="E6065">
        <v>2</v>
      </c>
      <c r="F6065" t="s">
        <v>20433</v>
      </c>
      <c r="G6065" t="s">
        <v>19897</v>
      </c>
      <c r="H6065" t="s">
        <v>20431</v>
      </c>
      <c r="I6065" t="s">
        <v>20434</v>
      </c>
    </row>
    <row r="6066" spans="1:9">
      <c r="A6066" t="str">
        <f>"0133267 "</f>
        <v xml:space="preserve">0133267 </v>
      </c>
      <c r="B6066" t="s">
        <v>19893</v>
      </c>
      <c r="C6066" t="s">
        <v>20435</v>
      </c>
      <c r="D6066" t="s">
        <v>20436</v>
      </c>
      <c r="E6066">
        <v>3</v>
      </c>
      <c r="F6066" t="s">
        <v>20437</v>
      </c>
      <c r="G6066" t="s">
        <v>19897</v>
      </c>
      <c r="H6066" t="s">
        <v>20435</v>
      </c>
      <c r="I6066" t="s">
        <v>20438</v>
      </c>
    </row>
    <row r="6067" spans="1:9">
      <c r="A6067" t="str">
        <f>"0133269 "</f>
        <v xml:space="preserve">0133269 </v>
      </c>
      <c r="B6067" t="s">
        <v>19893</v>
      </c>
      <c r="C6067" t="s">
        <v>20439</v>
      </c>
      <c r="D6067" t="s">
        <v>20440</v>
      </c>
      <c r="E6067">
        <v>1</v>
      </c>
      <c r="F6067" t="s">
        <v>20441</v>
      </c>
      <c r="G6067" t="s">
        <v>19897</v>
      </c>
      <c r="H6067" t="s">
        <v>20439</v>
      </c>
      <c r="I6067" t="s">
        <v>20442</v>
      </c>
    </row>
    <row r="6068" spans="1:9">
      <c r="A6068" t="str">
        <f>"0133273 "</f>
        <v xml:space="preserve">0133273 </v>
      </c>
      <c r="B6068" t="s">
        <v>19893</v>
      </c>
      <c r="C6068" t="s">
        <v>20443</v>
      </c>
      <c r="D6068" t="s">
        <v>20444</v>
      </c>
      <c r="E6068">
        <v>2</v>
      </c>
      <c r="F6068" t="s">
        <v>20445</v>
      </c>
      <c r="G6068" t="s">
        <v>19897</v>
      </c>
      <c r="H6068" t="s">
        <v>20443</v>
      </c>
      <c r="I6068" t="s">
        <v>20446</v>
      </c>
    </row>
    <row r="6069" spans="1:9">
      <c r="A6069" t="str">
        <f>"0133282 "</f>
        <v xml:space="preserve">0133282 </v>
      </c>
      <c r="B6069" t="s">
        <v>19893</v>
      </c>
      <c r="C6069" t="s">
        <v>20447</v>
      </c>
      <c r="D6069" t="s">
        <v>20448</v>
      </c>
      <c r="E6069">
        <v>1</v>
      </c>
      <c r="F6069" t="s">
        <v>20449</v>
      </c>
      <c r="G6069" t="s">
        <v>19897</v>
      </c>
      <c r="H6069" t="s">
        <v>20447</v>
      </c>
      <c r="I6069" t="s">
        <v>20450</v>
      </c>
    </row>
    <row r="6070" spans="1:9">
      <c r="A6070" t="str">
        <f>"0133284 "</f>
        <v xml:space="preserve">0133284 </v>
      </c>
      <c r="B6070" t="s">
        <v>19893</v>
      </c>
      <c r="C6070" t="s">
        <v>20451</v>
      </c>
      <c r="D6070" t="s">
        <v>20452</v>
      </c>
      <c r="E6070">
        <v>2</v>
      </c>
      <c r="F6070" t="s">
        <v>20453</v>
      </c>
      <c r="G6070" t="s">
        <v>19897</v>
      </c>
      <c r="H6070" t="s">
        <v>20451</v>
      </c>
      <c r="I6070" t="s">
        <v>20454</v>
      </c>
    </row>
    <row r="6071" spans="1:9">
      <c r="A6071" t="str">
        <f>"0133286 "</f>
        <v xml:space="preserve">0133286 </v>
      </c>
      <c r="B6071" t="s">
        <v>19893</v>
      </c>
      <c r="C6071" t="s">
        <v>20455</v>
      </c>
      <c r="D6071" t="s">
        <v>20456</v>
      </c>
      <c r="E6071">
        <v>1</v>
      </c>
      <c r="F6071" t="s">
        <v>20457</v>
      </c>
      <c r="G6071" t="s">
        <v>19897</v>
      </c>
      <c r="H6071" t="s">
        <v>20455</v>
      </c>
      <c r="I6071" t="s">
        <v>20458</v>
      </c>
    </row>
    <row r="6072" spans="1:9">
      <c r="A6072" t="str">
        <f>"0133310 "</f>
        <v xml:space="preserve">0133310 </v>
      </c>
      <c r="B6072" t="s">
        <v>19893</v>
      </c>
      <c r="C6072" t="s">
        <v>20459</v>
      </c>
      <c r="D6072" t="s">
        <v>20460</v>
      </c>
      <c r="E6072">
        <v>1</v>
      </c>
      <c r="F6072" t="s">
        <v>20405</v>
      </c>
      <c r="G6072" t="s">
        <v>19897</v>
      </c>
      <c r="H6072" t="s">
        <v>20459</v>
      </c>
      <c r="I6072" t="s">
        <v>20461</v>
      </c>
    </row>
    <row r="6073" spans="1:9">
      <c r="A6073" t="str">
        <f>"0133320 "</f>
        <v xml:space="preserve">0133320 </v>
      </c>
      <c r="B6073" t="s">
        <v>19893</v>
      </c>
      <c r="C6073" t="s">
        <v>20462</v>
      </c>
      <c r="D6073" t="s">
        <v>20463</v>
      </c>
      <c r="E6073">
        <v>1</v>
      </c>
      <c r="F6073" t="s">
        <v>20464</v>
      </c>
      <c r="G6073" t="s">
        <v>19897</v>
      </c>
      <c r="H6073" t="s">
        <v>20462</v>
      </c>
      <c r="I6073" t="s">
        <v>20465</v>
      </c>
    </row>
    <row r="6074" spans="1:9">
      <c r="A6074" t="str">
        <f>"0133326 "</f>
        <v xml:space="preserve">0133326 </v>
      </c>
      <c r="B6074" t="s">
        <v>19893</v>
      </c>
      <c r="C6074" t="s">
        <v>20466</v>
      </c>
      <c r="D6074" t="s">
        <v>20467</v>
      </c>
      <c r="E6074">
        <v>1</v>
      </c>
      <c r="F6074" t="s">
        <v>20468</v>
      </c>
      <c r="G6074" t="s">
        <v>19897</v>
      </c>
      <c r="H6074" t="s">
        <v>20466</v>
      </c>
      <c r="I6074" t="s">
        <v>20469</v>
      </c>
    </row>
    <row r="6075" spans="1:9">
      <c r="A6075" t="str">
        <f>"0133332 "</f>
        <v xml:space="preserve">0133332 </v>
      </c>
      <c r="B6075" t="s">
        <v>19893</v>
      </c>
      <c r="C6075" t="s">
        <v>20470</v>
      </c>
      <c r="D6075" t="s">
        <v>20471</v>
      </c>
      <c r="E6075">
        <v>1</v>
      </c>
      <c r="F6075" t="s">
        <v>20472</v>
      </c>
      <c r="G6075" t="s">
        <v>19897</v>
      </c>
      <c r="H6075" t="s">
        <v>20470</v>
      </c>
      <c r="I6075" t="s">
        <v>20473</v>
      </c>
    </row>
    <row r="6076" spans="1:9">
      <c r="A6076" t="str">
        <f>"0133336 "</f>
        <v xml:space="preserve">0133336 </v>
      </c>
      <c r="B6076" t="s">
        <v>19893</v>
      </c>
      <c r="C6076" t="s">
        <v>20474</v>
      </c>
      <c r="D6076" t="s">
        <v>20475</v>
      </c>
      <c r="E6076">
        <v>2</v>
      </c>
      <c r="F6076" t="s">
        <v>20476</v>
      </c>
      <c r="G6076" t="s">
        <v>19897</v>
      </c>
      <c r="H6076" t="s">
        <v>20474</v>
      </c>
      <c r="I6076" t="s">
        <v>20477</v>
      </c>
    </row>
    <row r="6077" spans="1:9">
      <c r="A6077" t="str">
        <f>"0133338 "</f>
        <v xml:space="preserve">0133338 </v>
      </c>
      <c r="B6077" t="s">
        <v>19893</v>
      </c>
      <c r="C6077" t="s">
        <v>20478</v>
      </c>
      <c r="D6077" t="s">
        <v>20479</v>
      </c>
      <c r="E6077" t="s">
        <v>16</v>
      </c>
      <c r="F6077" t="s">
        <v>20480</v>
      </c>
      <c r="G6077" t="s">
        <v>19897</v>
      </c>
      <c r="H6077" t="s">
        <v>20478</v>
      </c>
      <c r="I6077" t="s">
        <v>20481</v>
      </c>
    </row>
    <row r="6078" spans="1:9">
      <c r="A6078" t="str">
        <f>"0133346 "</f>
        <v xml:space="preserve">0133346 </v>
      </c>
      <c r="B6078" t="s">
        <v>19893</v>
      </c>
      <c r="C6078" t="s">
        <v>20482</v>
      </c>
      <c r="D6078" t="s">
        <v>20483</v>
      </c>
      <c r="E6078">
        <v>2</v>
      </c>
      <c r="F6078" t="s">
        <v>20484</v>
      </c>
      <c r="G6078" t="s">
        <v>19897</v>
      </c>
      <c r="H6078" t="s">
        <v>20482</v>
      </c>
      <c r="I6078" t="s">
        <v>20485</v>
      </c>
    </row>
    <row r="6079" spans="1:9">
      <c r="A6079" t="str">
        <f>"0133375 "</f>
        <v xml:space="preserve">0133375 </v>
      </c>
      <c r="B6079" t="s">
        <v>19893</v>
      </c>
      <c r="C6079" t="s">
        <v>20486</v>
      </c>
      <c r="D6079" t="s">
        <v>20487</v>
      </c>
      <c r="E6079">
        <v>1</v>
      </c>
      <c r="F6079" t="s">
        <v>20363</v>
      </c>
      <c r="G6079" t="s">
        <v>19897</v>
      </c>
      <c r="H6079" t="s">
        <v>20486</v>
      </c>
      <c r="I6079" t="s">
        <v>20488</v>
      </c>
    </row>
    <row r="6080" spans="1:9">
      <c r="A6080" t="str">
        <f>"0133384 "</f>
        <v xml:space="preserve">0133384 </v>
      </c>
      <c r="B6080" t="s">
        <v>19893</v>
      </c>
      <c r="C6080" t="s">
        <v>20489</v>
      </c>
      <c r="D6080" t="s">
        <v>20490</v>
      </c>
      <c r="E6080">
        <v>2</v>
      </c>
      <c r="F6080" t="s">
        <v>16008</v>
      </c>
      <c r="G6080" t="s">
        <v>19897</v>
      </c>
      <c r="H6080" t="s">
        <v>20489</v>
      </c>
      <c r="I6080" t="s">
        <v>20491</v>
      </c>
    </row>
    <row r="6081" spans="1:9">
      <c r="A6081" t="str">
        <f>"0133388 "</f>
        <v xml:space="preserve">0133388 </v>
      </c>
      <c r="B6081" t="s">
        <v>19893</v>
      </c>
      <c r="C6081" t="s">
        <v>20492</v>
      </c>
      <c r="D6081" t="s">
        <v>20493</v>
      </c>
      <c r="E6081">
        <v>1</v>
      </c>
      <c r="F6081" t="s">
        <v>20494</v>
      </c>
      <c r="G6081" t="s">
        <v>19897</v>
      </c>
      <c r="H6081" t="s">
        <v>20492</v>
      </c>
      <c r="I6081" t="s">
        <v>20495</v>
      </c>
    </row>
    <row r="6082" spans="1:9">
      <c r="A6082" t="str">
        <f>"0133394 "</f>
        <v xml:space="preserve">0133394 </v>
      </c>
      <c r="B6082" t="s">
        <v>19893</v>
      </c>
      <c r="C6082" t="s">
        <v>20496</v>
      </c>
      <c r="D6082" t="s">
        <v>20497</v>
      </c>
      <c r="E6082">
        <v>2</v>
      </c>
      <c r="F6082" t="s">
        <v>20498</v>
      </c>
      <c r="G6082" t="s">
        <v>19897</v>
      </c>
      <c r="H6082" t="s">
        <v>20496</v>
      </c>
      <c r="I6082" t="s">
        <v>20499</v>
      </c>
    </row>
    <row r="6083" spans="1:9">
      <c r="A6083" t="str">
        <f>"0133398 "</f>
        <v xml:space="preserve">0133398 </v>
      </c>
      <c r="B6083" t="s">
        <v>19893</v>
      </c>
      <c r="C6083" t="s">
        <v>20500</v>
      </c>
      <c r="D6083" t="s">
        <v>20501</v>
      </c>
      <c r="E6083">
        <v>1</v>
      </c>
      <c r="F6083" t="s">
        <v>20502</v>
      </c>
      <c r="G6083" t="s">
        <v>19897</v>
      </c>
      <c r="H6083" t="s">
        <v>20500</v>
      </c>
      <c r="I6083" t="s">
        <v>20503</v>
      </c>
    </row>
    <row r="6084" spans="1:9">
      <c r="A6084" t="str">
        <f>"0133400 "</f>
        <v xml:space="preserve">0133400 </v>
      </c>
      <c r="B6084" t="s">
        <v>19893</v>
      </c>
      <c r="C6084" t="s">
        <v>20504</v>
      </c>
      <c r="D6084" t="s">
        <v>20505</v>
      </c>
      <c r="E6084">
        <v>1</v>
      </c>
      <c r="F6084" t="s">
        <v>20506</v>
      </c>
      <c r="G6084" t="s">
        <v>19897</v>
      </c>
      <c r="H6084" t="s">
        <v>20504</v>
      </c>
      <c r="I6084" t="s">
        <v>20507</v>
      </c>
    </row>
    <row r="6085" spans="1:9">
      <c r="A6085" t="str">
        <f>"0133420 "</f>
        <v xml:space="preserve">0133420 </v>
      </c>
      <c r="B6085" t="s">
        <v>19893</v>
      </c>
      <c r="C6085" t="s">
        <v>20508</v>
      </c>
      <c r="D6085" t="s">
        <v>20509</v>
      </c>
      <c r="E6085">
        <v>2</v>
      </c>
      <c r="F6085" t="s">
        <v>19980</v>
      </c>
      <c r="G6085" t="s">
        <v>19897</v>
      </c>
      <c r="H6085" t="s">
        <v>20508</v>
      </c>
      <c r="I6085" t="s">
        <v>20510</v>
      </c>
    </row>
    <row r="6086" spans="1:9">
      <c r="A6086" t="str">
        <f>"0133431 "</f>
        <v xml:space="preserve">0133431 </v>
      </c>
      <c r="B6086" t="s">
        <v>19893</v>
      </c>
      <c r="C6086" t="s">
        <v>20511</v>
      </c>
      <c r="D6086" t="s">
        <v>20512</v>
      </c>
      <c r="E6086">
        <v>2</v>
      </c>
      <c r="F6086" t="s">
        <v>20513</v>
      </c>
      <c r="G6086" t="s">
        <v>19897</v>
      </c>
      <c r="H6086" t="s">
        <v>20511</v>
      </c>
      <c r="I6086" t="s">
        <v>20514</v>
      </c>
    </row>
    <row r="6087" spans="1:9">
      <c r="A6087" t="str">
        <f>"0133434 "</f>
        <v xml:space="preserve">0133434 </v>
      </c>
      <c r="B6087" t="s">
        <v>19893</v>
      </c>
      <c r="C6087" t="s">
        <v>20515</v>
      </c>
      <c r="D6087" t="s">
        <v>20516</v>
      </c>
      <c r="E6087">
        <v>1</v>
      </c>
      <c r="F6087" t="s">
        <v>20517</v>
      </c>
      <c r="G6087" t="s">
        <v>19897</v>
      </c>
      <c r="H6087" t="s">
        <v>20515</v>
      </c>
      <c r="I6087" t="s">
        <v>20518</v>
      </c>
    </row>
    <row r="6088" spans="1:9">
      <c r="A6088" t="str">
        <f>"0133436 "</f>
        <v xml:space="preserve">0133436 </v>
      </c>
      <c r="B6088" t="s">
        <v>19893</v>
      </c>
      <c r="C6088" t="s">
        <v>20519</v>
      </c>
      <c r="D6088" t="s">
        <v>20520</v>
      </c>
      <c r="E6088">
        <v>1</v>
      </c>
      <c r="F6088" t="s">
        <v>20213</v>
      </c>
      <c r="G6088" t="s">
        <v>19897</v>
      </c>
      <c r="H6088" t="s">
        <v>20519</v>
      </c>
      <c r="I6088" t="s">
        <v>20521</v>
      </c>
    </row>
    <row r="6089" spans="1:9">
      <c r="A6089" t="str">
        <f>"0133441 "</f>
        <v xml:space="preserve">0133441 </v>
      </c>
      <c r="B6089" t="s">
        <v>19893</v>
      </c>
      <c r="C6089" t="s">
        <v>20522</v>
      </c>
      <c r="D6089" t="s">
        <v>20523</v>
      </c>
      <c r="E6089">
        <v>2</v>
      </c>
      <c r="F6089" t="s">
        <v>20524</v>
      </c>
      <c r="G6089" t="s">
        <v>19897</v>
      </c>
      <c r="H6089" t="s">
        <v>20522</v>
      </c>
      <c r="I6089" t="s">
        <v>20525</v>
      </c>
    </row>
    <row r="6090" spans="1:9">
      <c r="A6090" t="str">
        <f>"0133452 "</f>
        <v xml:space="preserve">0133452 </v>
      </c>
      <c r="B6090" t="s">
        <v>19893</v>
      </c>
      <c r="C6090" t="s">
        <v>20526</v>
      </c>
      <c r="D6090" t="s">
        <v>20527</v>
      </c>
      <c r="E6090">
        <v>2</v>
      </c>
      <c r="F6090" t="s">
        <v>20381</v>
      </c>
      <c r="G6090" t="s">
        <v>19897</v>
      </c>
      <c r="H6090" t="s">
        <v>20526</v>
      </c>
      <c r="I6090" t="s">
        <v>20528</v>
      </c>
    </row>
    <row r="6091" spans="1:9">
      <c r="A6091" t="str">
        <f>"0133458 "</f>
        <v xml:space="preserve">0133458 </v>
      </c>
      <c r="B6091" t="s">
        <v>19893</v>
      </c>
      <c r="C6091" t="s">
        <v>20529</v>
      </c>
      <c r="D6091" t="s">
        <v>20530</v>
      </c>
      <c r="E6091">
        <v>1</v>
      </c>
      <c r="F6091" t="s">
        <v>9526</v>
      </c>
      <c r="G6091" t="s">
        <v>19897</v>
      </c>
      <c r="H6091" t="s">
        <v>20529</v>
      </c>
      <c r="I6091" t="s">
        <v>20531</v>
      </c>
    </row>
    <row r="6092" spans="1:9">
      <c r="A6092" t="str">
        <f>"0133461 "</f>
        <v xml:space="preserve">0133461 </v>
      </c>
      <c r="B6092" t="s">
        <v>19893</v>
      </c>
      <c r="C6092" t="s">
        <v>20532</v>
      </c>
      <c r="D6092" t="s">
        <v>20533</v>
      </c>
      <c r="E6092">
        <v>2</v>
      </c>
      <c r="F6092" t="s">
        <v>20534</v>
      </c>
      <c r="G6092" t="s">
        <v>19897</v>
      </c>
      <c r="H6092" t="s">
        <v>20532</v>
      </c>
      <c r="I6092" t="s">
        <v>20535</v>
      </c>
    </row>
    <row r="6093" spans="1:9">
      <c r="A6093" t="str">
        <f>"0133479 "</f>
        <v xml:space="preserve">0133479 </v>
      </c>
      <c r="B6093" t="s">
        <v>19893</v>
      </c>
      <c r="C6093" t="s">
        <v>20536</v>
      </c>
      <c r="D6093" t="s">
        <v>20537</v>
      </c>
      <c r="E6093">
        <v>2</v>
      </c>
      <c r="F6093" t="s">
        <v>20280</v>
      </c>
      <c r="G6093" t="s">
        <v>19897</v>
      </c>
      <c r="H6093" t="s">
        <v>20536</v>
      </c>
      <c r="I6093" t="s">
        <v>20538</v>
      </c>
    </row>
    <row r="6094" spans="1:9">
      <c r="A6094" t="str">
        <f>"0133480 "</f>
        <v xml:space="preserve">0133480 </v>
      </c>
      <c r="B6094" t="s">
        <v>19893</v>
      </c>
      <c r="C6094" t="s">
        <v>20539</v>
      </c>
      <c r="D6094" t="s">
        <v>20540</v>
      </c>
      <c r="E6094">
        <v>3</v>
      </c>
      <c r="F6094" t="s">
        <v>20541</v>
      </c>
      <c r="G6094" t="s">
        <v>19897</v>
      </c>
      <c r="H6094" t="s">
        <v>20539</v>
      </c>
      <c r="I6094" t="s">
        <v>20542</v>
      </c>
    </row>
    <row r="6095" spans="1:9">
      <c r="A6095" t="str">
        <f>"0133485 "</f>
        <v xml:space="preserve">0133485 </v>
      </c>
      <c r="B6095" t="s">
        <v>19893</v>
      </c>
      <c r="C6095" t="s">
        <v>20543</v>
      </c>
      <c r="D6095" t="s">
        <v>20544</v>
      </c>
      <c r="E6095">
        <v>3</v>
      </c>
      <c r="F6095" t="s">
        <v>20545</v>
      </c>
      <c r="G6095" t="s">
        <v>19897</v>
      </c>
      <c r="H6095" t="s">
        <v>20543</v>
      </c>
      <c r="I6095" t="s">
        <v>20546</v>
      </c>
    </row>
    <row r="6096" spans="1:9">
      <c r="A6096" t="str">
        <f>"0133487 "</f>
        <v xml:space="preserve">0133487 </v>
      </c>
      <c r="B6096" t="s">
        <v>19893</v>
      </c>
      <c r="C6096" t="s">
        <v>20547</v>
      </c>
      <c r="D6096" t="s">
        <v>20548</v>
      </c>
      <c r="E6096">
        <v>1</v>
      </c>
      <c r="F6096" t="s">
        <v>20549</v>
      </c>
      <c r="G6096" t="s">
        <v>19897</v>
      </c>
      <c r="H6096" t="s">
        <v>20547</v>
      </c>
      <c r="I6096" t="s">
        <v>20550</v>
      </c>
    </row>
    <row r="6097" spans="1:9">
      <c r="A6097" t="str">
        <f>"0133490 "</f>
        <v xml:space="preserve">0133490 </v>
      </c>
      <c r="B6097" t="s">
        <v>19893</v>
      </c>
      <c r="C6097" t="s">
        <v>20551</v>
      </c>
      <c r="D6097" t="s">
        <v>20552</v>
      </c>
      <c r="E6097">
        <v>2</v>
      </c>
      <c r="F6097" t="s">
        <v>20553</v>
      </c>
      <c r="G6097" t="s">
        <v>19897</v>
      </c>
      <c r="H6097" t="s">
        <v>20551</v>
      </c>
      <c r="I6097" t="s">
        <v>20554</v>
      </c>
    </row>
    <row r="6098" spans="1:9">
      <c r="A6098" t="str">
        <f>"0133527 "</f>
        <v xml:space="preserve">0133527 </v>
      </c>
      <c r="B6098" t="s">
        <v>19893</v>
      </c>
      <c r="C6098" t="s">
        <v>20555</v>
      </c>
      <c r="D6098" t="s">
        <v>20556</v>
      </c>
      <c r="E6098">
        <v>1</v>
      </c>
      <c r="F6098" t="s">
        <v>20557</v>
      </c>
      <c r="G6098" t="s">
        <v>19897</v>
      </c>
      <c r="H6098" t="s">
        <v>20555</v>
      </c>
      <c r="I6098" t="s">
        <v>20558</v>
      </c>
    </row>
    <row r="6099" spans="1:9">
      <c r="A6099" t="str">
        <f>"0135366 "</f>
        <v xml:space="preserve">0135366 </v>
      </c>
      <c r="B6099" t="s">
        <v>19893</v>
      </c>
      <c r="C6099" t="s">
        <v>20559</v>
      </c>
      <c r="D6099" t="s">
        <v>20560</v>
      </c>
      <c r="E6099">
        <v>1</v>
      </c>
      <c r="F6099" t="s">
        <v>15484</v>
      </c>
      <c r="G6099" t="s">
        <v>19897</v>
      </c>
      <c r="H6099" t="s">
        <v>20559</v>
      </c>
      <c r="I6099" t="s">
        <v>20561</v>
      </c>
    </row>
    <row r="6100" spans="1:9">
      <c r="A6100" t="str">
        <f>"0135368 "</f>
        <v xml:space="preserve">0135368 </v>
      </c>
      <c r="B6100" t="s">
        <v>19893</v>
      </c>
      <c r="C6100" t="s">
        <v>20562</v>
      </c>
      <c r="D6100" t="s">
        <v>20563</v>
      </c>
      <c r="E6100">
        <v>2</v>
      </c>
      <c r="F6100" t="s">
        <v>20564</v>
      </c>
      <c r="G6100" t="s">
        <v>19897</v>
      </c>
      <c r="H6100" t="s">
        <v>20562</v>
      </c>
      <c r="I6100" t="s">
        <v>20565</v>
      </c>
    </row>
    <row r="6101" spans="1:9">
      <c r="A6101" t="str">
        <f>"0135371 "</f>
        <v xml:space="preserve">0135371 </v>
      </c>
      <c r="B6101" t="s">
        <v>19893</v>
      </c>
      <c r="C6101" t="s">
        <v>20566</v>
      </c>
      <c r="D6101" t="s">
        <v>20567</v>
      </c>
      <c r="E6101">
        <v>2</v>
      </c>
      <c r="F6101" t="s">
        <v>20568</v>
      </c>
      <c r="G6101" t="s">
        <v>19897</v>
      </c>
      <c r="H6101" t="s">
        <v>20566</v>
      </c>
      <c r="I6101" t="s">
        <v>20569</v>
      </c>
    </row>
    <row r="6102" spans="1:9">
      <c r="A6102" t="str">
        <f>"0135372 "</f>
        <v xml:space="preserve">0135372 </v>
      </c>
      <c r="B6102" t="s">
        <v>19893</v>
      </c>
      <c r="C6102" t="s">
        <v>20570</v>
      </c>
      <c r="D6102" t="s">
        <v>20571</v>
      </c>
      <c r="E6102">
        <v>2</v>
      </c>
      <c r="F6102" t="s">
        <v>20572</v>
      </c>
      <c r="G6102" t="s">
        <v>19897</v>
      </c>
      <c r="H6102" t="s">
        <v>20570</v>
      </c>
      <c r="I6102" t="s">
        <v>20573</v>
      </c>
    </row>
    <row r="6103" spans="1:9">
      <c r="A6103" t="str">
        <f>"0135373 "</f>
        <v xml:space="preserve">0135373 </v>
      </c>
      <c r="B6103" t="s">
        <v>19893</v>
      </c>
      <c r="C6103" t="s">
        <v>20574</v>
      </c>
      <c r="D6103" t="s">
        <v>20575</v>
      </c>
      <c r="E6103">
        <v>2</v>
      </c>
      <c r="F6103" t="s">
        <v>20576</v>
      </c>
      <c r="G6103" t="s">
        <v>19897</v>
      </c>
      <c r="H6103" t="s">
        <v>20574</v>
      </c>
      <c r="I6103" t="s">
        <v>20577</v>
      </c>
    </row>
    <row r="6104" spans="1:9">
      <c r="A6104" t="str">
        <f>"0135385 "</f>
        <v xml:space="preserve">0135385 </v>
      </c>
      <c r="B6104" t="s">
        <v>19893</v>
      </c>
      <c r="C6104" t="s">
        <v>20578</v>
      </c>
      <c r="D6104" t="s">
        <v>20579</v>
      </c>
      <c r="E6104" t="s">
        <v>16</v>
      </c>
      <c r="F6104" t="s">
        <v>20576</v>
      </c>
      <c r="G6104" t="s">
        <v>19897</v>
      </c>
      <c r="H6104" t="s">
        <v>20578</v>
      </c>
      <c r="I6104" t="s">
        <v>20580</v>
      </c>
    </row>
    <row r="6105" spans="1:9">
      <c r="A6105" t="str">
        <f>"0135389 "</f>
        <v xml:space="preserve">0135389 </v>
      </c>
      <c r="B6105" t="s">
        <v>19893</v>
      </c>
      <c r="C6105" t="s">
        <v>20581</v>
      </c>
      <c r="D6105" t="s">
        <v>20582</v>
      </c>
      <c r="E6105" t="s">
        <v>16</v>
      </c>
      <c r="F6105" t="s">
        <v>20583</v>
      </c>
      <c r="G6105" t="s">
        <v>19897</v>
      </c>
      <c r="H6105" t="s">
        <v>20581</v>
      </c>
      <c r="I6105" t="s">
        <v>20584</v>
      </c>
    </row>
    <row r="6106" spans="1:9">
      <c r="A6106" t="str">
        <f>"0135400 "</f>
        <v xml:space="preserve">0135400 </v>
      </c>
      <c r="B6106" t="s">
        <v>19893</v>
      </c>
      <c r="C6106" t="s">
        <v>20585</v>
      </c>
      <c r="D6106" t="s">
        <v>20586</v>
      </c>
      <c r="E6106" t="s">
        <v>16</v>
      </c>
      <c r="F6106" t="s">
        <v>20587</v>
      </c>
      <c r="G6106" t="s">
        <v>19897</v>
      </c>
      <c r="H6106" t="s">
        <v>20585</v>
      </c>
      <c r="I6106" t="s">
        <v>20588</v>
      </c>
    </row>
    <row r="6107" spans="1:9">
      <c r="A6107" t="str">
        <f>"0135402 "</f>
        <v xml:space="preserve">0135402 </v>
      </c>
      <c r="B6107" t="s">
        <v>19893</v>
      </c>
      <c r="C6107" t="s">
        <v>20589</v>
      </c>
      <c r="D6107" t="s">
        <v>20590</v>
      </c>
      <c r="E6107">
        <v>2</v>
      </c>
      <c r="F6107" t="s">
        <v>20591</v>
      </c>
      <c r="G6107" t="s">
        <v>19897</v>
      </c>
      <c r="H6107" t="s">
        <v>20589</v>
      </c>
      <c r="I6107" t="s">
        <v>20592</v>
      </c>
    </row>
    <row r="6108" spans="1:9">
      <c r="A6108" t="str">
        <f>"0135414 "</f>
        <v xml:space="preserve">0135414 </v>
      </c>
      <c r="B6108" t="s">
        <v>19893</v>
      </c>
      <c r="C6108" t="s">
        <v>20593</v>
      </c>
      <c r="D6108" t="s">
        <v>20594</v>
      </c>
      <c r="E6108">
        <v>1</v>
      </c>
      <c r="F6108" t="s">
        <v>20595</v>
      </c>
      <c r="G6108" t="s">
        <v>19897</v>
      </c>
      <c r="H6108" t="s">
        <v>20593</v>
      </c>
      <c r="I6108" t="s">
        <v>20596</v>
      </c>
    </row>
    <row r="6109" spans="1:9">
      <c r="A6109" t="str">
        <f>"0135428 "</f>
        <v xml:space="preserve">0135428 </v>
      </c>
      <c r="B6109" t="s">
        <v>19893</v>
      </c>
      <c r="C6109" t="s">
        <v>20597</v>
      </c>
      <c r="D6109" t="s">
        <v>20598</v>
      </c>
      <c r="E6109">
        <v>4</v>
      </c>
      <c r="F6109" t="s">
        <v>20599</v>
      </c>
      <c r="G6109" t="s">
        <v>19897</v>
      </c>
      <c r="H6109" t="s">
        <v>20597</v>
      </c>
      <c r="I6109" t="s">
        <v>20600</v>
      </c>
    </row>
    <row r="6110" spans="1:9">
      <c r="A6110" t="str">
        <f>"0135435 "</f>
        <v xml:space="preserve">0135435 </v>
      </c>
      <c r="B6110" t="s">
        <v>19893</v>
      </c>
      <c r="C6110" t="s">
        <v>20601</v>
      </c>
      <c r="D6110" t="s">
        <v>20602</v>
      </c>
      <c r="E6110">
        <v>1</v>
      </c>
      <c r="F6110" t="s">
        <v>20603</v>
      </c>
      <c r="G6110" t="s">
        <v>19897</v>
      </c>
      <c r="H6110" t="s">
        <v>20601</v>
      </c>
      <c r="I6110" t="s">
        <v>20604</v>
      </c>
    </row>
    <row r="6111" spans="1:9">
      <c r="A6111" t="str">
        <f>"0135436 "</f>
        <v xml:space="preserve">0135436 </v>
      </c>
      <c r="B6111" t="s">
        <v>19893</v>
      </c>
      <c r="C6111" t="s">
        <v>20605</v>
      </c>
      <c r="D6111" t="s">
        <v>20606</v>
      </c>
      <c r="E6111">
        <v>2</v>
      </c>
      <c r="F6111" t="s">
        <v>20607</v>
      </c>
      <c r="G6111" t="s">
        <v>19897</v>
      </c>
      <c r="H6111" t="s">
        <v>20605</v>
      </c>
      <c r="I6111" t="s">
        <v>20608</v>
      </c>
    </row>
    <row r="6112" spans="1:9">
      <c r="A6112" t="str">
        <f>"0135440 "</f>
        <v xml:space="preserve">0135440 </v>
      </c>
      <c r="B6112" t="s">
        <v>19893</v>
      </c>
      <c r="C6112" t="s">
        <v>20609</v>
      </c>
      <c r="D6112" t="s">
        <v>20610</v>
      </c>
      <c r="E6112">
        <v>2</v>
      </c>
      <c r="F6112" t="s">
        <v>20611</v>
      </c>
      <c r="G6112" t="s">
        <v>19897</v>
      </c>
      <c r="H6112" t="s">
        <v>20609</v>
      </c>
      <c r="I6112" t="s">
        <v>20612</v>
      </c>
    </row>
    <row r="6113" spans="1:9">
      <c r="A6113" t="str">
        <f>"0135442 "</f>
        <v xml:space="preserve">0135442 </v>
      </c>
      <c r="B6113" t="s">
        <v>19893</v>
      </c>
      <c r="C6113" t="s">
        <v>20613</v>
      </c>
      <c r="D6113" t="s">
        <v>20614</v>
      </c>
      <c r="E6113">
        <v>2</v>
      </c>
      <c r="F6113" t="s">
        <v>20615</v>
      </c>
      <c r="G6113" t="s">
        <v>19897</v>
      </c>
      <c r="H6113" t="s">
        <v>20613</v>
      </c>
      <c r="I6113" t="s">
        <v>20616</v>
      </c>
    </row>
    <row r="6114" spans="1:9">
      <c r="A6114" t="str">
        <f>"0135446 "</f>
        <v xml:space="preserve">0135446 </v>
      </c>
      <c r="B6114" t="s">
        <v>19893</v>
      </c>
      <c r="C6114" t="s">
        <v>20617</v>
      </c>
      <c r="D6114" t="s">
        <v>20618</v>
      </c>
      <c r="E6114">
        <v>2</v>
      </c>
      <c r="F6114" t="s">
        <v>10066</v>
      </c>
      <c r="G6114" t="s">
        <v>19897</v>
      </c>
      <c r="H6114" t="s">
        <v>20617</v>
      </c>
      <c r="I6114" t="s">
        <v>20619</v>
      </c>
    </row>
    <row r="6115" spans="1:9">
      <c r="A6115" t="str">
        <f>"0135450 "</f>
        <v xml:space="preserve">0135450 </v>
      </c>
      <c r="B6115" t="s">
        <v>19893</v>
      </c>
      <c r="C6115" t="s">
        <v>20620</v>
      </c>
      <c r="D6115" t="s">
        <v>20621</v>
      </c>
      <c r="E6115">
        <v>2</v>
      </c>
      <c r="F6115" t="s">
        <v>20622</v>
      </c>
      <c r="G6115" t="s">
        <v>19897</v>
      </c>
      <c r="H6115" t="s">
        <v>20620</v>
      </c>
      <c r="I6115" t="s">
        <v>20623</v>
      </c>
    </row>
    <row r="6116" spans="1:9">
      <c r="A6116" t="str">
        <f>"0135452 "</f>
        <v xml:space="preserve">0135452 </v>
      </c>
      <c r="B6116" t="s">
        <v>19893</v>
      </c>
      <c r="C6116" t="s">
        <v>20624</v>
      </c>
      <c r="D6116" t="s">
        <v>20625</v>
      </c>
      <c r="E6116" t="s">
        <v>16</v>
      </c>
      <c r="F6116" t="s">
        <v>15117</v>
      </c>
      <c r="G6116" t="s">
        <v>19897</v>
      </c>
      <c r="H6116" t="s">
        <v>20624</v>
      </c>
      <c r="I6116" t="s">
        <v>20626</v>
      </c>
    </row>
    <row r="6117" spans="1:9">
      <c r="A6117" t="str">
        <f>"0135469 "</f>
        <v xml:space="preserve">0135469 </v>
      </c>
      <c r="B6117" t="s">
        <v>19893</v>
      </c>
      <c r="C6117" t="s">
        <v>20627</v>
      </c>
      <c r="D6117" t="s">
        <v>20628</v>
      </c>
      <c r="E6117">
        <v>2</v>
      </c>
      <c r="F6117" t="s">
        <v>20629</v>
      </c>
      <c r="G6117" t="s">
        <v>19897</v>
      </c>
      <c r="H6117" t="s">
        <v>20627</v>
      </c>
      <c r="I6117" t="s">
        <v>20630</v>
      </c>
    </row>
    <row r="6118" spans="1:9">
      <c r="A6118" t="str">
        <f>"0135470 "</f>
        <v xml:space="preserve">0135470 </v>
      </c>
      <c r="B6118" t="s">
        <v>19893</v>
      </c>
      <c r="C6118" t="s">
        <v>20631</v>
      </c>
      <c r="D6118" t="s">
        <v>20632</v>
      </c>
      <c r="E6118">
        <v>2</v>
      </c>
      <c r="F6118" t="s">
        <v>20595</v>
      </c>
      <c r="G6118" t="s">
        <v>19897</v>
      </c>
      <c r="H6118" t="s">
        <v>20631</v>
      </c>
      <c r="I6118" t="s">
        <v>20633</v>
      </c>
    </row>
    <row r="6119" spans="1:9">
      <c r="A6119" t="str">
        <f>"0135475 "</f>
        <v xml:space="preserve">0135475 </v>
      </c>
      <c r="B6119" t="s">
        <v>19893</v>
      </c>
      <c r="C6119" t="s">
        <v>20634</v>
      </c>
      <c r="D6119" t="s">
        <v>20635</v>
      </c>
      <c r="E6119">
        <v>4</v>
      </c>
      <c r="F6119" t="s">
        <v>20636</v>
      </c>
      <c r="G6119" t="s">
        <v>19897</v>
      </c>
      <c r="H6119" t="s">
        <v>20634</v>
      </c>
      <c r="I6119" t="s">
        <v>20637</v>
      </c>
    </row>
    <row r="6120" spans="1:9">
      <c r="A6120" t="str">
        <f>"0135477 "</f>
        <v xml:space="preserve">0135477 </v>
      </c>
      <c r="B6120" t="s">
        <v>19893</v>
      </c>
      <c r="C6120" t="s">
        <v>20638</v>
      </c>
      <c r="D6120" t="s">
        <v>20639</v>
      </c>
      <c r="E6120">
        <v>1</v>
      </c>
      <c r="F6120" t="s">
        <v>20640</v>
      </c>
      <c r="G6120" t="s">
        <v>19897</v>
      </c>
      <c r="H6120" t="s">
        <v>20638</v>
      </c>
      <c r="I6120" t="s">
        <v>20641</v>
      </c>
    </row>
    <row r="6121" spans="1:9">
      <c r="A6121" t="str">
        <f>"0135483 "</f>
        <v xml:space="preserve">0135483 </v>
      </c>
      <c r="B6121" t="s">
        <v>19893</v>
      </c>
      <c r="C6121" t="s">
        <v>20642</v>
      </c>
      <c r="D6121" t="s">
        <v>20643</v>
      </c>
      <c r="E6121">
        <v>2</v>
      </c>
      <c r="F6121" t="s">
        <v>20644</v>
      </c>
      <c r="G6121" t="s">
        <v>19897</v>
      </c>
      <c r="H6121" t="s">
        <v>20642</v>
      </c>
      <c r="I6121" t="s">
        <v>20645</v>
      </c>
    </row>
    <row r="6122" spans="1:9">
      <c r="A6122" t="str">
        <f>"0135486 "</f>
        <v xml:space="preserve">0135486 </v>
      </c>
      <c r="B6122" t="s">
        <v>19893</v>
      </c>
      <c r="C6122" t="s">
        <v>20646</v>
      </c>
      <c r="D6122" t="s">
        <v>20647</v>
      </c>
      <c r="E6122">
        <v>2</v>
      </c>
      <c r="F6122" t="s">
        <v>17097</v>
      </c>
      <c r="G6122" t="s">
        <v>19897</v>
      </c>
      <c r="H6122" t="s">
        <v>20646</v>
      </c>
      <c r="I6122" t="s">
        <v>20648</v>
      </c>
    </row>
    <row r="6123" spans="1:9">
      <c r="A6123" t="str">
        <f>"0135488 "</f>
        <v xml:space="preserve">0135488 </v>
      </c>
      <c r="B6123" t="s">
        <v>19893</v>
      </c>
      <c r="C6123" t="s">
        <v>20649</v>
      </c>
      <c r="D6123" t="s">
        <v>20650</v>
      </c>
      <c r="E6123">
        <v>2</v>
      </c>
      <c r="F6123" t="s">
        <v>20651</v>
      </c>
      <c r="G6123" t="s">
        <v>19897</v>
      </c>
      <c r="H6123" t="s">
        <v>20649</v>
      </c>
      <c r="I6123" t="s">
        <v>20652</v>
      </c>
    </row>
    <row r="6124" spans="1:9">
      <c r="A6124" t="str">
        <f>"0135489 "</f>
        <v xml:space="preserve">0135489 </v>
      </c>
      <c r="B6124" t="s">
        <v>19893</v>
      </c>
      <c r="C6124" t="s">
        <v>20653</v>
      </c>
      <c r="D6124" t="s">
        <v>20654</v>
      </c>
      <c r="E6124">
        <v>1</v>
      </c>
      <c r="F6124" t="s">
        <v>20270</v>
      </c>
      <c r="G6124" t="s">
        <v>19897</v>
      </c>
      <c r="H6124" t="s">
        <v>20653</v>
      </c>
      <c r="I6124" t="s">
        <v>20655</v>
      </c>
    </row>
    <row r="6125" spans="1:9">
      <c r="A6125" t="str">
        <f>"0135494 "</f>
        <v xml:space="preserve">0135494 </v>
      </c>
      <c r="B6125" t="s">
        <v>19893</v>
      </c>
      <c r="C6125" t="s">
        <v>20656</v>
      </c>
      <c r="D6125" t="s">
        <v>20657</v>
      </c>
      <c r="E6125">
        <v>1</v>
      </c>
      <c r="F6125" t="s">
        <v>20658</v>
      </c>
      <c r="G6125" t="s">
        <v>19897</v>
      </c>
      <c r="H6125" t="s">
        <v>20656</v>
      </c>
      <c r="I6125" t="s">
        <v>20659</v>
      </c>
    </row>
    <row r="6126" spans="1:9">
      <c r="A6126" t="str">
        <f>"0135495 "</f>
        <v xml:space="preserve">0135495 </v>
      </c>
      <c r="B6126" t="s">
        <v>19893</v>
      </c>
      <c r="C6126" t="s">
        <v>20660</v>
      </c>
      <c r="D6126" t="s">
        <v>20661</v>
      </c>
      <c r="E6126">
        <v>2</v>
      </c>
      <c r="F6126" t="s">
        <v>20658</v>
      </c>
      <c r="G6126" t="s">
        <v>19897</v>
      </c>
      <c r="H6126" t="s">
        <v>20660</v>
      </c>
      <c r="I6126" t="s">
        <v>20662</v>
      </c>
    </row>
    <row r="6127" spans="1:9">
      <c r="A6127" t="str">
        <f>"0135496 "</f>
        <v xml:space="preserve">0135496 </v>
      </c>
      <c r="B6127" t="s">
        <v>19893</v>
      </c>
      <c r="C6127" t="s">
        <v>20663</v>
      </c>
      <c r="D6127" t="s">
        <v>20664</v>
      </c>
      <c r="E6127">
        <v>1</v>
      </c>
      <c r="F6127" t="s">
        <v>20665</v>
      </c>
      <c r="G6127" t="s">
        <v>19897</v>
      </c>
      <c r="H6127" t="s">
        <v>20663</v>
      </c>
      <c r="I6127" t="s">
        <v>20666</v>
      </c>
    </row>
    <row r="6128" spans="1:9">
      <c r="A6128" t="str">
        <f>"0135497 "</f>
        <v xml:space="preserve">0135497 </v>
      </c>
      <c r="B6128" t="s">
        <v>19893</v>
      </c>
      <c r="C6128" t="s">
        <v>20667</v>
      </c>
      <c r="D6128" t="s">
        <v>20668</v>
      </c>
      <c r="E6128">
        <v>1</v>
      </c>
      <c r="F6128" t="s">
        <v>20665</v>
      </c>
      <c r="G6128" t="s">
        <v>19897</v>
      </c>
      <c r="H6128" t="s">
        <v>20667</v>
      </c>
      <c r="I6128" t="s">
        <v>20669</v>
      </c>
    </row>
    <row r="6129" spans="1:9">
      <c r="A6129" t="str">
        <f>"0135502 "</f>
        <v xml:space="preserve">0135502 </v>
      </c>
      <c r="B6129" t="s">
        <v>19893</v>
      </c>
      <c r="C6129" t="s">
        <v>20670</v>
      </c>
      <c r="D6129" t="s">
        <v>20671</v>
      </c>
      <c r="E6129">
        <v>2</v>
      </c>
      <c r="F6129" t="s">
        <v>20672</v>
      </c>
      <c r="G6129" t="s">
        <v>19897</v>
      </c>
      <c r="H6129" t="s">
        <v>20670</v>
      </c>
      <c r="I6129" t="s">
        <v>20673</v>
      </c>
    </row>
    <row r="6130" spans="1:9">
      <c r="A6130" t="str">
        <f>"0135503 "</f>
        <v xml:space="preserve">0135503 </v>
      </c>
      <c r="B6130" t="s">
        <v>19893</v>
      </c>
      <c r="C6130" t="s">
        <v>20674</v>
      </c>
      <c r="D6130" t="s">
        <v>20675</v>
      </c>
      <c r="E6130">
        <v>1</v>
      </c>
      <c r="F6130" t="s">
        <v>20672</v>
      </c>
      <c r="G6130" t="s">
        <v>19897</v>
      </c>
      <c r="H6130" t="s">
        <v>20674</v>
      </c>
      <c r="I6130" t="s">
        <v>20676</v>
      </c>
    </row>
    <row r="6131" spans="1:9">
      <c r="A6131" t="str">
        <f>"0135504 "</f>
        <v xml:space="preserve">0135504 </v>
      </c>
      <c r="B6131" t="s">
        <v>19893</v>
      </c>
      <c r="C6131" t="s">
        <v>20677</v>
      </c>
      <c r="D6131" t="s">
        <v>20678</v>
      </c>
      <c r="E6131">
        <v>4</v>
      </c>
      <c r="F6131" t="s">
        <v>20679</v>
      </c>
      <c r="G6131" t="s">
        <v>19897</v>
      </c>
      <c r="H6131" t="s">
        <v>20677</v>
      </c>
      <c r="I6131" t="s">
        <v>20680</v>
      </c>
    </row>
    <row r="6132" spans="1:9">
      <c r="A6132" t="str">
        <f>"0135507 "</f>
        <v xml:space="preserve">0135507 </v>
      </c>
      <c r="B6132" t="s">
        <v>19893</v>
      </c>
      <c r="C6132" t="s">
        <v>20681</v>
      </c>
      <c r="D6132" t="s">
        <v>20682</v>
      </c>
      <c r="E6132">
        <v>2</v>
      </c>
      <c r="F6132" t="s">
        <v>15145</v>
      </c>
      <c r="G6132" t="s">
        <v>19897</v>
      </c>
      <c r="H6132" t="s">
        <v>20681</v>
      </c>
      <c r="I6132" t="s">
        <v>20683</v>
      </c>
    </row>
    <row r="6133" spans="1:9">
      <c r="A6133" t="str">
        <f>"0135508 "</f>
        <v xml:space="preserve">0135508 </v>
      </c>
      <c r="B6133" t="s">
        <v>19893</v>
      </c>
      <c r="C6133" t="s">
        <v>20684</v>
      </c>
      <c r="D6133" t="s">
        <v>20685</v>
      </c>
      <c r="E6133">
        <v>2</v>
      </c>
      <c r="F6133" t="s">
        <v>20686</v>
      </c>
      <c r="G6133" t="s">
        <v>19897</v>
      </c>
      <c r="H6133" t="s">
        <v>20684</v>
      </c>
      <c r="I6133" t="s">
        <v>20687</v>
      </c>
    </row>
    <row r="6134" spans="1:9">
      <c r="A6134" t="str">
        <f>"0135510 "</f>
        <v xml:space="preserve">0135510 </v>
      </c>
      <c r="B6134" t="s">
        <v>19893</v>
      </c>
      <c r="C6134" t="s">
        <v>20688</v>
      </c>
      <c r="D6134" t="s">
        <v>20689</v>
      </c>
      <c r="E6134">
        <v>2</v>
      </c>
      <c r="F6134" t="s">
        <v>20690</v>
      </c>
      <c r="G6134" t="s">
        <v>19897</v>
      </c>
      <c r="H6134" t="s">
        <v>20688</v>
      </c>
      <c r="I6134" t="s">
        <v>20691</v>
      </c>
    </row>
    <row r="6135" spans="1:9">
      <c r="A6135" t="str">
        <f>"0162695 "</f>
        <v xml:space="preserve">0162695 </v>
      </c>
      <c r="B6135" t="s">
        <v>19893</v>
      </c>
      <c r="C6135" t="s">
        <v>20692</v>
      </c>
      <c r="D6135" t="s">
        <v>20693</v>
      </c>
      <c r="E6135">
        <v>4</v>
      </c>
      <c r="F6135" t="s">
        <v>20694</v>
      </c>
      <c r="G6135" t="s">
        <v>19897</v>
      </c>
      <c r="H6135" t="s">
        <v>20692</v>
      </c>
      <c r="I6135" t="s">
        <v>20695</v>
      </c>
    </row>
    <row r="6136" spans="1:9">
      <c r="A6136" t="str">
        <f>"0135522 "</f>
        <v xml:space="preserve">0135522 </v>
      </c>
      <c r="B6136" t="s">
        <v>19893</v>
      </c>
      <c r="C6136" t="s">
        <v>20696</v>
      </c>
      <c r="D6136" t="s">
        <v>20697</v>
      </c>
      <c r="E6136">
        <v>1</v>
      </c>
      <c r="F6136" t="s">
        <v>20698</v>
      </c>
      <c r="G6136" t="s">
        <v>19897</v>
      </c>
      <c r="H6136" t="s">
        <v>20696</v>
      </c>
      <c r="I6136" t="s">
        <v>20699</v>
      </c>
    </row>
    <row r="6137" spans="1:9">
      <c r="A6137" t="str">
        <f>"0135535 "</f>
        <v xml:space="preserve">0135535 </v>
      </c>
      <c r="B6137" t="s">
        <v>19893</v>
      </c>
      <c r="C6137" t="s">
        <v>20700</v>
      </c>
      <c r="D6137" t="s">
        <v>20701</v>
      </c>
      <c r="E6137">
        <v>2</v>
      </c>
      <c r="F6137" t="s">
        <v>20702</v>
      </c>
      <c r="G6137" t="s">
        <v>19897</v>
      </c>
      <c r="H6137" t="s">
        <v>20700</v>
      </c>
      <c r="I6137" t="s">
        <v>20703</v>
      </c>
    </row>
    <row r="6138" spans="1:9">
      <c r="A6138" t="str">
        <f>"0163640 "</f>
        <v xml:space="preserve">0163640 </v>
      </c>
      <c r="B6138" t="s">
        <v>19893</v>
      </c>
      <c r="C6138" t="s">
        <v>20704</v>
      </c>
      <c r="D6138" t="s">
        <v>20705</v>
      </c>
      <c r="E6138">
        <v>1</v>
      </c>
      <c r="F6138" t="s">
        <v>20706</v>
      </c>
      <c r="G6138" t="s">
        <v>19897</v>
      </c>
      <c r="H6138" t="s">
        <v>20704</v>
      </c>
      <c r="I6138" t="s">
        <v>20707</v>
      </c>
    </row>
    <row r="6139" spans="1:9">
      <c r="A6139" t="str">
        <f>"0163641 "</f>
        <v xml:space="preserve">0163641 </v>
      </c>
      <c r="B6139" t="s">
        <v>19893</v>
      </c>
      <c r="C6139" t="s">
        <v>20708</v>
      </c>
      <c r="D6139" t="s">
        <v>20709</v>
      </c>
      <c r="E6139">
        <v>2</v>
      </c>
      <c r="F6139" t="s">
        <v>20710</v>
      </c>
      <c r="G6139" t="s">
        <v>19897</v>
      </c>
      <c r="H6139" t="s">
        <v>20708</v>
      </c>
      <c r="I6139" t="s">
        <v>20711</v>
      </c>
    </row>
    <row r="6140" spans="1:9">
      <c r="A6140" t="str">
        <f>"0135539 "</f>
        <v xml:space="preserve">0135539 </v>
      </c>
      <c r="B6140" t="s">
        <v>19893</v>
      </c>
      <c r="C6140" t="s">
        <v>20712</v>
      </c>
      <c r="D6140" t="s">
        <v>20713</v>
      </c>
      <c r="E6140">
        <v>2</v>
      </c>
      <c r="F6140" t="s">
        <v>20714</v>
      </c>
      <c r="G6140" t="s">
        <v>19897</v>
      </c>
      <c r="H6140" t="s">
        <v>20712</v>
      </c>
      <c r="I6140" t="s">
        <v>20715</v>
      </c>
    </row>
    <row r="6141" spans="1:9">
      <c r="A6141" t="str">
        <f>"0135544 "</f>
        <v xml:space="preserve">0135544 </v>
      </c>
      <c r="B6141" t="s">
        <v>19893</v>
      </c>
      <c r="C6141" t="s">
        <v>20716</v>
      </c>
      <c r="D6141" t="s">
        <v>20717</v>
      </c>
      <c r="E6141">
        <v>2</v>
      </c>
      <c r="F6141" t="s">
        <v>20718</v>
      </c>
      <c r="G6141" t="s">
        <v>19897</v>
      </c>
      <c r="H6141" t="s">
        <v>20716</v>
      </c>
      <c r="I6141" t="s">
        <v>20719</v>
      </c>
    </row>
    <row r="6142" spans="1:9">
      <c r="A6142" t="str">
        <f>"0162698 "</f>
        <v xml:space="preserve">0162698 </v>
      </c>
      <c r="B6142" t="s">
        <v>19893</v>
      </c>
      <c r="C6142" t="s">
        <v>20720</v>
      </c>
      <c r="D6142" t="s">
        <v>20721</v>
      </c>
      <c r="E6142" t="s">
        <v>16</v>
      </c>
      <c r="F6142" t="s">
        <v>20722</v>
      </c>
      <c r="G6142" t="s">
        <v>19897</v>
      </c>
      <c r="H6142" t="s">
        <v>20720</v>
      </c>
      <c r="I6142" t="s">
        <v>20723</v>
      </c>
    </row>
    <row r="6143" spans="1:9">
      <c r="A6143" t="str">
        <f>"0219897 "</f>
        <v xml:space="preserve">0219897 </v>
      </c>
      <c r="B6143" t="s">
        <v>19893</v>
      </c>
      <c r="C6143" t="s">
        <v>20724</v>
      </c>
      <c r="D6143" t="s">
        <v>20725</v>
      </c>
      <c r="E6143" t="s">
        <v>16</v>
      </c>
      <c r="F6143" t="s">
        <v>20726</v>
      </c>
      <c r="G6143" t="s">
        <v>19897</v>
      </c>
      <c r="H6143" t="s">
        <v>20724</v>
      </c>
      <c r="I6143" t="s">
        <v>20727</v>
      </c>
    </row>
    <row r="6144" spans="1:9">
      <c r="A6144" t="str">
        <f>"0135561 "</f>
        <v xml:space="preserve">0135561 </v>
      </c>
      <c r="B6144" t="s">
        <v>19893</v>
      </c>
      <c r="C6144" t="s">
        <v>20728</v>
      </c>
      <c r="D6144" t="s">
        <v>20729</v>
      </c>
      <c r="E6144">
        <v>1</v>
      </c>
      <c r="F6144" t="s">
        <v>20730</v>
      </c>
      <c r="G6144" t="s">
        <v>19897</v>
      </c>
      <c r="H6144" t="s">
        <v>20728</v>
      </c>
      <c r="I6144" t="s">
        <v>20731</v>
      </c>
    </row>
    <row r="6145" spans="1:9">
      <c r="A6145" t="str">
        <f>"0135562 "</f>
        <v xml:space="preserve">0135562 </v>
      </c>
      <c r="B6145" t="s">
        <v>19893</v>
      </c>
      <c r="C6145" t="s">
        <v>20732</v>
      </c>
      <c r="D6145" t="s">
        <v>20733</v>
      </c>
      <c r="E6145">
        <v>2</v>
      </c>
      <c r="F6145" t="s">
        <v>20734</v>
      </c>
      <c r="G6145" t="s">
        <v>19897</v>
      </c>
      <c r="H6145" t="s">
        <v>20732</v>
      </c>
      <c r="I6145" t="s">
        <v>20735</v>
      </c>
    </row>
    <row r="6146" spans="1:9">
      <c r="A6146" t="str">
        <f>"0135566 "</f>
        <v xml:space="preserve">0135566 </v>
      </c>
      <c r="B6146" t="s">
        <v>19893</v>
      </c>
      <c r="C6146" t="s">
        <v>20736</v>
      </c>
      <c r="D6146" t="s">
        <v>20737</v>
      </c>
      <c r="E6146">
        <v>2</v>
      </c>
      <c r="F6146" t="s">
        <v>20738</v>
      </c>
      <c r="G6146" t="s">
        <v>19897</v>
      </c>
      <c r="H6146" t="s">
        <v>20736</v>
      </c>
      <c r="I6146" t="s">
        <v>20739</v>
      </c>
    </row>
    <row r="6147" spans="1:9">
      <c r="A6147" t="str">
        <f>"0135568 "</f>
        <v xml:space="preserve">0135568 </v>
      </c>
      <c r="B6147" t="s">
        <v>19893</v>
      </c>
      <c r="C6147" t="s">
        <v>20740</v>
      </c>
      <c r="D6147" t="s">
        <v>20741</v>
      </c>
      <c r="E6147">
        <v>2</v>
      </c>
      <c r="F6147" t="s">
        <v>20742</v>
      </c>
      <c r="G6147" t="s">
        <v>19897</v>
      </c>
      <c r="H6147" t="s">
        <v>20740</v>
      </c>
      <c r="I6147" t="s">
        <v>20743</v>
      </c>
    </row>
    <row r="6148" spans="1:9">
      <c r="A6148" t="str">
        <f>"0135570 "</f>
        <v xml:space="preserve">0135570 </v>
      </c>
      <c r="B6148" t="s">
        <v>19893</v>
      </c>
      <c r="C6148" t="s">
        <v>20744</v>
      </c>
      <c r="D6148" t="s">
        <v>20745</v>
      </c>
      <c r="E6148">
        <v>2</v>
      </c>
      <c r="F6148" t="s">
        <v>20611</v>
      </c>
      <c r="G6148" t="s">
        <v>19897</v>
      </c>
      <c r="H6148" t="s">
        <v>20744</v>
      </c>
      <c r="I6148" t="s">
        <v>20746</v>
      </c>
    </row>
    <row r="6149" spans="1:9">
      <c r="A6149" t="str">
        <f>"0135571 "</f>
        <v xml:space="preserve">0135571 </v>
      </c>
      <c r="B6149" t="s">
        <v>19893</v>
      </c>
      <c r="C6149" t="s">
        <v>20747</v>
      </c>
      <c r="D6149" t="s">
        <v>20748</v>
      </c>
      <c r="E6149">
        <v>2</v>
      </c>
      <c r="F6149" t="s">
        <v>20749</v>
      </c>
      <c r="G6149" t="s">
        <v>19897</v>
      </c>
      <c r="H6149" t="s">
        <v>20747</v>
      </c>
      <c r="I6149" t="s">
        <v>20750</v>
      </c>
    </row>
    <row r="6150" spans="1:9">
      <c r="A6150" t="str">
        <f>"0135572 "</f>
        <v xml:space="preserve">0135572 </v>
      </c>
      <c r="B6150" t="s">
        <v>19893</v>
      </c>
      <c r="C6150" t="s">
        <v>20751</v>
      </c>
      <c r="D6150" t="s">
        <v>20752</v>
      </c>
      <c r="E6150">
        <v>2</v>
      </c>
      <c r="F6150" t="s">
        <v>20753</v>
      </c>
      <c r="G6150" t="s">
        <v>19897</v>
      </c>
      <c r="H6150" t="s">
        <v>20751</v>
      </c>
      <c r="I6150" t="s">
        <v>20754</v>
      </c>
    </row>
    <row r="6151" spans="1:9">
      <c r="A6151" t="str">
        <f>"0135584 "</f>
        <v xml:space="preserve">0135584 </v>
      </c>
      <c r="B6151" t="s">
        <v>19893</v>
      </c>
      <c r="C6151" t="s">
        <v>20755</v>
      </c>
      <c r="D6151" t="s">
        <v>20756</v>
      </c>
      <c r="E6151">
        <v>2</v>
      </c>
      <c r="F6151" t="s">
        <v>20757</v>
      </c>
      <c r="G6151" t="s">
        <v>19897</v>
      </c>
      <c r="H6151" t="s">
        <v>20755</v>
      </c>
      <c r="I6151" t="s">
        <v>20758</v>
      </c>
    </row>
    <row r="6152" spans="1:9">
      <c r="A6152" t="str">
        <f>"0239747 "</f>
        <v xml:space="preserve">0239747 </v>
      </c>
      <c r="B6152" t="s">
        <v>19893</v>
      </c>
      <c r="C6152" t="s">
        <v>20759</v>
      </c>
      <c r="D6152" t="s">
        <v>20760</v>
      </c>
      <c r="E6152">
        <v>2</v>
      </c>
      <c r="F6152" t="s">
        <v>20303</v>
      </c>
      <c r="G6152" t="s">
        <v>19897</v>
      </c>
      <c r="H6152" t="s">
        <v>20759</v>
      </c>
      <c r="I6152" t="s">
        <v>20761</v>
      </c>
    </row>
    <row r="6153" spans="1:9">
      <c r="A6153" t="str">
        <f>"0239749 "</f>
        <v xml:space="preserve">0239749 </v>
      </c>
      <c r="B6153" t="s">
        <v>19893</v>
      </c>
      <c r="C6153" t="s">
        <v>20762</v>
      </c>
      <c r="D6153" t="s">
        <v>20763</v>
      </c>
      <c r="E6153">
        <v>2</v>
      </c>
      <c r="F6153" t="s">
        <v>8382</v>
      </c>
      <c r="G6153" t="s">
        <v>19897</v>
      </c>
      <c r="H6153" t="s">
        <v>20762</v>
      </c>
    </row>
    <row r="6154" spans="1:9">
      <c r="A6154" t="str">
        <f>"0239750 "</f>
        <v xml:space="preserve">0239750 </v>
      </c>
      <c r="B6154" t="s">
        <v>19893</v>
      </c>
      <c r="C6154" t="s">
        <v>20764</v>
      </c>
      <c r="D6154" t="s">
        <v>20765</v>
      </c>
      <c r="E6154" t="s">
        <v>16</v>
      </c>
      <c r="F6154" t="s">
        <v>9807</v>
      </c>
      <c r="G6154" t="s">
        <v>19897</v>
      </c>
      <c r="H6154" t="s">
        <v>20764</v>
      </c>
    </row>
    <row r="6155" spans="1:9">
      <c r="A6155" t="str">
        <f>"0239754 "</f>
        <v xml:space="preserve">0239754 </v>
      </c>
      <c r="B6155" t="s">
        <v>19893</v>
      </c>
      <c r="C6155" t="s">
        <v>20766</v>
      </c>
      <c r="D6155" t="s">
        <v>20767</v>
      </c>
      <c r="E6155">
        <v>2</v>
      </c>
      <c r="F6155" t="s">
        <v>20768</v>
      </c>
      <c r="G6155" t="s">
        <v>19897</v>
      </c>
      <c r="H6155" t="s">
        <v>20766</v>
      </c>
    </row>
    <row r="6156" spans="1:9">
      <c r="A6156" t="str">
        <f>"0239755 "</f>
        <v xml:space="preserve">0239755 </v>
      </c>
      <c r="B6156" t="s">
        <v>19893</v>
      </c>
      <c r="C6156" t="s">
        <v>20769</v>
      </c>
      <c r="D6156" t="s">
        <v>20770</v>
      </c>
      <c r="E6156">
        <v>2</v>
      </c>
      <c r="F6156" t="s">
        <v>15016</v>
      </c>
      <c r="G6156" t="s">
        <v>19897</v>
      </c>
      <c r="H6156" t="s">
        <v>20769</v>
      </c>
    </row>
    <row r="6157" spans="1:9">
      <c r="A6157" t="str">
        <f>"0239756 "</f>
        <v xml:space="preserve">0239756 </v>
      </c>
      <c r="B6157" t="s">
        <v>19893</v>
      </c>
      <c r="C6157" t="s">
        <v>20771</v>
      </c>
      <c r="D6157" t="s">
        <v>20772</v>
      </c>
      <c r="E6157">
        <v>2</v>
      </c>
      <c r="F6157" t="s">
        <v>20773</v>
      </c>
      <c r="G6157" t="s">
        <v>19897</v>
      </c>
      <c r="H6157" t="s">
        <v>20771</v>
      </c>
    </row>
    <row r="6158" spans="1:9">
      <c r="A6158" t="str">
        <f>"0239759 "</f>
        <v xml:space="preserve">0239759 </v>
      </c>
      <c r="B6158" t="s">
        <v>19893</v>
      </c>
      <c r="C6158" t="s">
        <v>20774</v>
      </c>
      <c r="D6158" t="s">
        <v>20775</v>
      </c>
      <c r="E6158">
        <v>2</v>
      </c>
      <c r="F6158" t="s">
        <v>20776</v>
      </c>
      <c r="G6158" t="s">
        <v>19897</v>
      </c>
      <c r="H6158" t="s">
        <v>20774</v>
      </c>
    </row>
    <row r="6159" spans="1:9">
      <c r="A6159" t="str">
        <f>"0239763 "</f>
        <v xml:space="preserve">0239763 </v>
      </c>
      <c r="B6159" t="s">
        <v>19893</v>
      </c>
      <c r="C6159" t="s">
        <v>20777</v>
      </c>
      <c r="D6159" t="s">
        <v>20778</v>
      </c>
      <c r="E6159">
        <v>4</v>
      </c>
      <c r="F6159" t="s">
        <v>20779</v>
      </c>
      <c r="G6159" t="s">
        <v>19897</v>
      </c>
      <c r="H6159" t="s">
        <v>20777</v>
      </c>
    </row>
    <row r="6160" spans="1:9">
      <c r="A6160" t="str">
        <f>"0239765 "</f>
        <v xml:space="preserve">0239765 </v>
      </c>
      <c r="B6160" t="s">
        <v>19893</v>
      </c>
      <c r="C6160" t="s">
        <v>20780</v>
      </c>
      <c r="D6160" t="s">
        <v>20781</v>
      </c>
      <c r="E6160" t="s">
        <v>16</v>
      </c>
      <c r="F6160" t="s">
        <v>20782</v>
      </c>
      <c r="G6160" t="s">
        <v>19897</v>
      </c>
      <c r="H6160" t="s">
        <v>20780</v>
      </c>
    </row>
    <row r="6161" spans="1:9">
      <c r="A6161" t="str">
        <f>"0239776 "</f>
        <v xml:space="preserve">0239776 </v>
      </c>
      <c r="B6161" t="s">
        <v>19893</v>
      </c>
      <c r="C6161" t="s">
        <v>20783</v>
      </c>
      <c r="D6161" t="s">
        <v>20784</v>
      </c>
      <c r="E6161">
        <v>2</v>
      </c>
      <c r="F6161" t="s">
        <v>15433</v>
      </c>
      <c r="G6161" t="s">
        <v>19897</v>
      </c>
      <c r="H6161" t="s">
        <v>20783</v>
      </c>
    </row>
    <row r="6162" spans="1:9">
      <c r="A6162" t="str">
        <f>"0239778 "</f>
        <v xml:space="preserve">0239778 </v>
      </c>
      <c r="B6162" t="s">
        <v>19893</v>
      </c>
      <c r="C6162" t="s">
        <v>20785</v>
      </c>
      <c r="D6162" t="s">
        <v>20786</v>
      </c>
      <c r="E6162">
        <v>4</v>
      </c>
      <c r="F6162" t="s">
        <v>20787</v>
      </c>
      <c r="G6162" t="s">
        <v>19897</v>
      </c>
      <c r="H6162" t="s">
        <v>20785</v>
      </c>
    </row>
    <row r="6163" spans="1:9">
      <c r="A6163" t="str">
        <f>"0239779 "</f>
        <v xml:space="preserve">0239779 </v>
      </c>
      <c r="B6163" t="s">
        <v>19893</v>
      </c>
      <c r="C6163" t="s">
        <v>20788</v>
      </c>
      <c r="D6163" t="s">
        <v>20789</v>
      </c>
      <c r="E6163">
        <v>1</v>
      </c>
      <c r="F6163" t="s">
        <v>9798</v>
      </c>
      <c r="G6163" t="s">
        <v>19897</v>
      </c>
      <c r="H6163" t="s">
        <v>20788</v>
      </c>
    </row>
    <row r="6164" spans="1:9">
      <c r="A6164" t="str">
        <f>"0239780 "</f>
        <v xml:space="preserve">0239780 </v>
      </c>
      <c r="B6164" t="s">
        <v>19893</v>
      </c>
      <c r="C6164" t="s">
        <v>20790</v>
      </c>
      <c r="D6164" t="s">
        <v>20791</v>
      </c>
      <c r="E6164">
        <v>2</v>
      </c>
      <c r="F6164" t="s">
        <v>20792</v>
      </c>
      <c r="G6164" t="s">
        <v>19897</v>
      </c>
      <c r="H6164" t="s">
        <v>20790</v>
      </c>
    </row>
    <row r="6165" spans="1:9">
      <c r="A6165" t="str">
        <f>"0239782 "</f>
        <v xml:space="preserve">0239782 </v>
      </c>
      <c r="B6165" t="s">
        <v>19893</v>
      </c>
      <c r="C6165" t="s">
        <v>20793</v>
      </c>
      <c r="D6165" t="s">
        <v>20794</v>
      </c>
      <c r="E6165">
        <v>2</v>
      </c>
      <c r="F6165" t="s">
        <v>20795</v>
      </c>
      <c r="G6165" t="s">
        <v>19897</v>
      </c>
      <c r="H6165" t="s">
        <v>20793</v>
      </c>
    </row>
    <row r="6166" spans="1:9">
      <c r="A6166" t="str">
        <f>"0239783 "</f>
        <v xml:space="preserve">0239783 </v>
      </c>
      <c r="B6166" t="s">
        <v>19893</v>
      </c>
      <c r="C6166" t="s">
        <v>20796</v>
      </c>
      <c r="D6166" t="s">
        <v>20797</v>
      </c>
      <c r="E6166">
        <v>2</v>
      </c>
      <c r="F6166" t="s">
        <v>20798</v>
      </c>
      <c r="G6166" t="s">
        <v>19897</v>
      </c>
      <c r="H6166" t="s">
        <v>20796</v>
      </c>
    </row>
    <row r="6167" spans="1:9">
      <c r="A6167" t="str">
        <f>"0239784 "</f>
        <v xml:space="preserve">0239784 </v>
      </c>
      <c r="B6167" t="s">
        <v>19893</v>
      </c>
      <c r="C6167" t="s">
        <v>20799</v>
      </c>
      <c r="D6167" t="s">
        <v>20800</v>
      </c>
      <c r="E6167">
        <v>2</v>
      </c>
      <c r="F6167" t="s">
        <v>20801</v>
      </c>
      <c r="G6167" t="s">
        <v>19897</v>
      </c>
      <c r="H6167" t="s">
        <v>20799</v>
      </c>
    </row>
    <row r="6168" spans="1:9">
      <c r="A6168" t="str">
        <f>"0239785 "</f>
        <v xml:space="preserve">0239785 </v>
      </c>
      <c r="B6168" t="s">
        <v>19893</v>
      </c>
      <c r="C6168" t="s">
        <v>20802</v>
      </c>
      <c r="D6168" t="s">
        <v>20803</v>
      </c>
      <c r="E6168">
        <v>2</v>
      </c>
      <c r="F6168" t="s">
        <v>20804</v>
      </c>
      <c r="G6168" t="s">
        <v>19897</v>
      </c>
      <c r="H6168" t="s">
        <v>20802</v>
      </c>
    </row>
    <row r="6169" spans="1:9">
      <c r="A6169" t="str">
        <f>"0239787 "</f>
        <v xml:space="preserve">0239787 </v>
      </c>
      <c r="B6169" t="s">
        <v>19893</v>
      </c>
      <c r="C6169" t="s">
        <v>20805</v>
      </c>
      <c r="D6169" t="s">
        <v>20806</v>
      </c>
      <c r="E6169">
        <v>4</v>
      </c>
      <c r="F6169" t="s">
        <v>3735</v>
      </c>
      <c r="G6169" t="s">
        <v>19897</v>
      </c>
      <c r="H6169" t="s">
        <v>20805</v>
      </c>
    </row>
    <row r="6170" spans="1:9">
      <c r="A6170" t="str">
        <f>"0239788 "</f>
        <v xml:space="preserve">0239788 </v>
      </c>
      <c r="B6170" t="s">
        <v>19893</v>
      </c>
      <c r="C6170" t="s">
        <v>20807</v>
      </c>
      <c r="D6170" t="s">
        <v>20808</v>
      </c>
      <c r="E6170">
        <v>2</v>
      </c>
      <c r="F6170" t="s">
        <v>11914</v>
      </c>
      <c r="G6170" t="s">
        <v>19897</v>
      </c>
      <c r="H6170" t="s">
        <v>20807</v>
      </c>
    </row>
    <row r="6171" spans="1:9">
      <c r="A6171" t="str">
        <f>"0239791 "</f>
        <v xml:space="preserve">0239791 </v>
      </c>
      <c r="B6171" t="s">
        <v>19893</v>
      </c>
      <c r="C6171" t="s">
        <v>20809</v>
      </c>
      <c r="D6171" t="s">
        <v>20810</v>
      </c>
      <c r="E6171">
        <v>1</v>
      </c>
      <c r="F6171" t="s">
        <v>20722</v>
      </c>
      <c r="G6171" t="s">
        <v>19897</v>
      </c>
      <c r="H6171" t="s">
        <v>20809</v>
      </c>
    </row>
    <row r="6172" spans="1:9">
      <c r="A6172" t="str">
        <f>"0239793 "</f>
        <v xml:space="preserve">0239793 </v>
      </c>
      <c r="B6172" t="s">
        <v>19893</v>
      </c>
      <c r="C6172" t="s">
        <v>20811</v>
      </c>
      <c r="D6172" t="s">
        <v>20812</v>
      </c>
      <c r="E6172">
        <v>2</v>
      </c>
      <c r="F6172" t="s">
        <v>20813</v>
      </c>
      <c r="G6172" t="s">
        <v>19897</v>
      </c>
      <c r="H6172" t="s">
        <v>20811</v>
      </c>
    </row>
    <row r="6173" spans="1:9">
      <c r="A6173" t="str">
        <f>"0239796 "</f>
        <v xml:space="preserve">0239796 </v>
      </c>
      <c r="B6173" t="s">
        <v>19893</v>
      </c>
      <c r="C6173" t="s">
        <v>20814</v>
      </c>
      <c r="D6173" t="s">
        <v>20815</v>
      </c>
      <c r="E6173">
        <v>2</v>
      </c>
      <c r="F6173" t="s">
        <v>20816</v>
      </c>
      <c r="G6173" t="s">
        <v>19897</v>
      </c>
      <c r="H6173" t="s">
        <v>20814</v>
      </c>
    </row>
    <row r="6174" spans="1:9">
      <c r="A6174" t="str">
        <f>"0133735 "</f>
        <v xml:space="preserve">0133735 </v>
      </c>
      <c r="B6174" t="s">
        <v>19893</v>
      </c>
      <c r="C6174" t="s">
        <v>20817</v>
      </c>
      <c r="D6174" t="s">
        <v>20818</v>
      </c>
      <c r="E6174">
        <v>1</v>
      </c>
      <c r="F6174" t="s">
        <v>20819</v>
      </c>
      <c r="G6174" t="s">
        <v>19897</v>
      </c>
      <c r="H6174" t="s">
        <v>20817</v>
      </c>
      <c r="I6174" t="s">
        <v>20820</v>
      </c>
    </row>
    <row r="6175" spans="1:9">
      <c r="A6175" t="str">
        <f>"0133789 "</f>
        <v xml:space="preserve">0133789 </v>
      </c>
      <c r="B6175" t="s">
        <v>19893</v>
      </c>
      <c r="C6175" t="s">
        <v>20821</v>
      </c>
      <c r="D6175" t="s">
        <v>20822</v>
      </c>
      <c r="E6175">
        <v>2</v>
      </c>
      <c r="F6175" t="s">
        <v>20823</v>
      </c>
      <c r="G6175" t="s">
        <v>19897</v>
      </c>
      <c r="H6175" t="s">
        <v>20821</v>
      </c>
      <c r="I6175" t="s">
        <v>20824</v>
      </c>
    </row>
    <row r="6176" spans="1:9">
      <c r="A6176" t="str">
        <f>"0135603 "</f>
        <v xml:space="preserve">0135603 </v>
      </c>
      <c r="B6176" t="s">
        <v>19893</v>
      </c>
      <c r="C6176" t="s">
        <v>20825</v>
      </c>
      <c r="D6176" t="s">
        <v>20826</v>
      </c>
      <c r="E6176">
        <v>1</v>
      </c>
      <c r="F6176" t="s">
        <v>20827</v>
      </c>
      <c r="G6176" t="s">
        <v>19897</v>
      </c>
      <c r="H6176" t="s">
        <v>20825</v>
      </c>
      <c r="I6176" t="s">
        <v>20828</v>
      </c>
    </row>
    <row r="6177" spans="1:9">
      <c r="A6177" t="str">
        <f>"0135607 "</f>
        <v xml:space="preserve">0135607 </v>
      </c>
      <c r="B6177" t="s">
        <v>19893</v>
      </c>
      <c r="C6177" t="s">
        <v>20829</v>
      </c>
      <c r="D6177" t="s">
        <v>20830</v>
      </c>
      <c r="E6177">
        <v>3</v>
      </c>
      <c r="F6177" t="s">
        <v>14692</v>
      </c>
      <c r="G6177" t="s">
        <v>19897</v>
      </c>
      <c r="H6177" t="s">
        <v>20829</v>
      </c>
      <c r="I6177" t="s">
        <v>20831</v>
      </c>
    </row>
    <row r="6178" spans="1:9">
      <c r="A6178" t="str">
        <f>"0162704 "</f>
        <v xml:space="preserve">0162704 </v>
      </c>
      <c r="B6178" t="s">
        <v>19893</v>
      </c>
      <c r="C6178" t="s">
        <v>20832</v>
      </c>
      <c r="D6178" t="s">
        <v>20833</v>
      </c>
      <c r="E6178">
        <v>5</v>
      </c>
      <c r="F6178" t="s">
        <v>20834</v>
      </c>
      <c r="G6178" t="s">
        <v>19897</v>
      </c>
      <c r="H6178" t="s">
        <v>20832</v>
      </c>
      <c r="I6178" t="s">
        <v>20835</v>
      </c>
    </row>
    <row r="6179" spans="1:9">
      <c r="A6179" t="str">
        <f>"0135644 "</f>
        <v xml:space="preserve">0135644 </v>
      </c>
      <c r="B6179" t="s">
        <v>19893</v>
      </c>
      <c r="C6179" t="s">
        <v>20836</v>
      </c>
      <c r="D6179" t="s">
        <v>20837</v>
      </c>
      <c r="E6179">
        <v>2</v>
      </c>
      <c r="F6179" t="s">
        <v>20838</v>
      </c>
      <c r="G6179" t="s">
        <v>19897</v>
      </c>
      <c r="H6179" t="s">
        <v>20836</v>
      </c>
      <c r="I6179" t="s">
        <v>20839</v>
      </c>
    </row>
    <row r="6180" spans="1:9">
      <c r="A6180" t="str">
        <f>"0135646 "</f>
        <v xml:space="preserve">0135646 </v>
      </c>
      <c r="B6180" t="s">
        <v>19893</v>
      </c>
      <c r="C6180" t="s">
        <v>20840</v>
      </c>
      <c r="D6180" t="s">
        <v>20841</v>
      </c>
      <c r="E6180">
        <v>5</v>
      </c>
      <c r="F6180" t="s">
        <v>20842</v>
      </c>
      <c r="G6180" t="s">
        <v>19897</v>
      </c>
      <c r="H6180" t="s">
        <v>20840</v>
      </c>
      <c r="I6180" t="s">
        <v>20843</v>
      </c>
    </row>
    <row r="6181" spans="1:9">
      <c r="A6181" t="str">
        <f>"0135647 "</f>
        <v xml:space="preserve">0135647 </v>
      </c>
      <c r="B6181" t="s">
        <v>19893</v>
      </c>
      <c r="C6181" t="s">
        <v>20844</v>
      </c>
      <c r="D6181" t="s">
        <v>20845</v>
      </c>
      <c r="E6181">
        <v>2</v>
      </c>
      <c r="F6181" t="s">
        <v>20846</v>
      </c>
      <c r="G6181" t="s">
        <v>19897</v>
      </c>
      <c r="H6181" t="s">
        <v>20844</v>
      </c>
      <c r="I6181" t="s">
        <v>20847</v>
      </c>
    </row>
    <row r="6182" spans="1:9">
      <c r="A6182" t="str">
        <f>"0135648 "</f>
        <v xml:space="preserve">0135648 </v>
      </c>
      <c r="B6182" t="s">
        <v>19893</v>
      </c>
      <c r="C6182" t="s">
        <v>20848</v>
      </c>
      <c r="D6182" t="s">
        <v>20849</v>
      </c>
      <c r="E6182">
        <v>2</v>
      </c>
      <c r="F6182" t="s">
        <v>20850</v>
      </c>
      <c r="G6182" t="s">
        <v>19897</v>
      </c>
      <c r="H6182" t="s">
        <v>20848</v>
      </c>
      <c r="I6182" t="s">
        <v>20851</v>
      </c>
    </row>
    <row r="6183" spans="1:9">
      <c r="A6183" t="str">
        <f>"0135649 "</f>
        <v xml:space="preserve">0135649 </v>
      </c>
      <c r="B6183" t="s">
        <v>19893</v>
      </c>
      <c r="C6183" t="s">
        <v>20852</v>
      </c>
      <c r="D6183" t="s">
        <v>20853</v>
      </c>
      <c r="E6183">
        <v>4</v>
      </c>
      <c r="F6183" t="s">
        <v>20854</v>
      </c>
      <c r="G6183" t="s">
        <v>19897</v>
      </c>
      <c r="H6183" t="s">
        <v>20852</v>
      </c>
      <c r="I6183" t="s">
        <v>20855</v>
      </c>
    </row>
    <row r="6184" spans="1:9">
      <c r="A6184" t="str">
        <f>"0135651 "</f>
        <v xml:space="preserve">0135651 </v>
      </c>
      <c r="B6184" t="s">
        <v>19893</v>
      </c>
      <c r="C6184" t="s">
        <v>20856</v>
      </c>
      <c r="D6184" t="s">
        <v>20857</v>
      </c>
      <c r="E6184">
        <v>2</v>
      </c>
      <c r="F6184" t="s">
        <v>20858</v>
      </c>
      <c r="G6184" t="s">
        <v>19897</v>
      </c>
      <c r="H6184" t="s">
        <v>20856</v>
      </c>
      <c r="I6184" t="s">
        <v>20859</v>
      </c>
    </row>
    <row r="6185" spans="1:9">
      <c r="A6185" t="str">
        <f>"0135653 "</f>
        <v xml:space="preserve">0135653 </v>
      </c>
      <c r="B6185" t="s">
        <v>19893</v>
      </c>
      <c r="C6185" t="s">
        <v>20860</v>
      </c>
      <c r="D6185" t="s">
        <v>20861</v>
      </c>
      <c r="E6185">
        <v>2</v>
      </c>
      <c r="F6185" t="s">
        <v>20714</v>
      </c>
      <c r="G6185" t="s">
        <v>19897</v>
      </c>
      <c r="H6185" t="s">
        <v>20860</v>
      </c>
      <c r="I6185" t="s">
        <v>20862</v>
      </c>
    </row>
    <row r="6186" spans="1:9">
      <c r="A6186" t="str">
        <f>"0162707 "</f>
        <v xml:space="preserve">0162707 </v>
      </c>
      <c r="B6186" t="s">
        <v>19893</v>
      </c>
      <c r="C6186" t="s">
        <v>20863</v>
      </c>
      <c r="D6186" t="s">
        <v>20864</v>
      </c>
      <c r="E6186">
        <v>2</v>
      </c>
      <c r="F6186" t="s">
        <v>20865</v>
      </c>
      <c r="G6186" t="s">
        <v>19897</v>
      </c>
      <c r="H6186" t="s">
        <v>20863</v>
      </c>
      <c r="I6186" t="s">
        <v>20866</v>
      </c>
    </row>
    <row r="6187" spans="1:9">
      <c r="A6187" t="str">
        <f>"0135662 "</f>
        <v xml:space="preserve">0135662 </v>
      </c>
      <c r="B6187" t="s">
        <v>19893</v>
      </c>
      <c r="C6187" t="s">
        <v>20867</v>
      </c>
      <c r="D6187" t="s">
        <v>20868</v>
      </c>
      <c r="E6187">
        <v>4</v>
      </c>
      <c r="F6187" t="s">
        <v>20714</v>
      </c>
      <c r="G6187" t="s">
        <v>19897</v>
      </c>
      <c r="H6187" t="s">
        <v>20867</v>
      </c>
      <c r="I6187" t="s">
        <v>20869</v>
      </c>
    </row>
    <row r="6188" spans="1:9">
      <c r="A6188" t="str">
        <f>"0135665 "</f>
        <v xml:space="preserve">0135665 </v>
      </c>
      <c r="B6188" t="s">
        <v>19893</v>
      </c>
      <c r="C6188" t="s">
        <v>20870</v>
      </c>
      <c r="D6188" t="s">
        <v>20871</v>
      </c>
      <c r="E6188">
        <v>2</v>
      </c>
      <c r="F6188" t="s">
        <v>20872</v>
      </c>
      <c r="G6188" t="s">
        <v>19897</v>
      </c>
      <c r="H6188" t="s">
        <v>20870</v>
      </c>
      <c r="I6188" t="s">
        <v>20873</v>
      </c>
    </row>
    <row r="6189" spans="1:9">
      <c r="A6189" t="str">
        <f>"0135666 "</f>
        <v xml:space="preserve">0135666 </v>
      </c>
      <c r="B6189" t="s">
        <v>19893</v>
      </c>
      <c r="C6189" t="s">
        <v>20874</v>
      </c>
      <c r="D6189" t="s">
        <v>20875</v>
      </c>
      <c r="E6189" t="s">
        <v>16</v>
      </c>
      <c r="F6189" t="s">
        <v>20876</v>
      </c>
      <c r="G6189" t="s">
        <v>19897</v>
      </c>
      <c r="H6189" t="s">
        <v>20874</v>
      </c>
      <c r="I6189" t="s">
        <v>20877</v>
      </c>
    </row>
    <row r="6190" spans="1:9">
      <c r="A6190" t="str">
        <f>"0135667 "</f>
        <v xml:space="preserve">0135667 </v>
      </c>
      <c r="B6190" t="s">
        <v>19893</v>
      </c>
      <c r="C6190" t="s">
        <v>20878</v>
      </c>
      <c r="D6190" t="s">
        <v>20879</v>
      </c>
      <c r="E6190" t="s">
        <v>16</v>
      </c>
      <c r="F6190" t="s">
        <v>20880</v>
      </c>
      <c r="G6190" t="s">
        <v>19897</v>
      </c>
      <c r="H6190" t="s">
        <v>20878</v>
      </c>
      <c r="I6190" t="s">
        <v>20881</v>
      </c>
    </row>
    <row r="6191" spans="1:9">
      <c r="A6191" t="str">
        <f>"0135670 "</f>
        <v xml:space="preserve">0135670 </v>
      </c>
      <c r="B6191" t="s">
        <v>19893</v>
      </c>
      <c r="C6191" t="s">
        <v>20882</v>
      </c>
      <c r="D6191" t="s">
        <v>20883</v>
      </c>
      <c r="E6191" t="s">
        <v>16</v>
      </c>
      <c r="F6191" t="s">
        <v>20884</v>
      </c>
      <c r="G6191" t="s">
        <v>19897</v>
      </c>
      <c r="H6191" t="s">
        <v>20882</v>
      </c>
      <c r="I6191" t="s">
        <v>20885</v>
      </c>
    </row>
    <row r="6192" spans="1:9">
      <c r="A6192" t="str">
        <f>"0135684 "</f>
        <v xml:space="preserve">0135684 </v>
      </c>
      <c r="B6192" t="s">
        <v>19893</v>
      </c>
      <c r="C6192" t="s">
        <v>20886</v>
      </c>
      <c r="D6192" t="s">
        <v>20887</v>
      </c>
      <c r="E6192">
        <v>4</v>
      </c>
      <c r="F6192" t="s">
        <v>20888</v>
      </c>
      <c r="G6192" t="s">
        <v>19897</v>
      </c>
      <c r="H6192" t="s">
        <v>20886</v>
      </c>
      <c r="I6192" t="s">
        <v>20889</v>
      </c>
    </row>
    <row r="6193" spans="1:9">
      <c r="A6193" t="str">
        <f>"0135688 "</f>
        <v xml:space="preserve">0135688 </v>
      </c>
      <c r="B6193" t="s">
        <v>19893</v>
      </c>
      <c r="C6193" t="s">
        <v>20890</v>
      </c>
      <c r="D6193" t="s">
        <v>20891</v>
      </c>
      <c r="E6193" t="s">
        <v>16</v>
      </c>
      <c r="F6193" t="s">
        <v>20892</v>
      </c>
      <c r="G6193" t="s">
        <v>19897</v>
      </c>
      <c r="H6193" t="s">
        <v>20890</v>
      </c>
      <c r="I6193" t="s">
        <v>20893</v>
      </c>
    </row>
    <row r="6194" spans="1:9">
      <c r="A6194" t="str">
        <f>"0135690 "</f>
        <v xml:space="preserve">0135690 </v>
      </c>
      <c r="B6194" t="s">
        <v>19893</v>
      </c>
      <c r="C6194" t="s">
        <v>20894</v>
      </c>
      <c r="D6194" t="s">
        <v>20895</v>
      </c>
      <c r="E6194">
        <v>2</v>
      </c>
      <c r="F6194" t="s">
        <v>20896</v>
      </c>
      <c r="G6194" t="s">
        <v>19897</v>
      </c>
      <c r="H6194" t="s">
        <v>20894</v>
      </c>
      <c r="I6194" t="s">
        <v>20897</v>
      </c>
    </row>
    <row r="6195" spans="1:9">
      <c r="A6195" t="str">
        <f>"0135692 "</f>
        <v xml:space="preserve">0135692 </v>
      </c>
      <c r="B6195" t="s">
        <v>19893</v>
      </c>
      <c r="C6195" t="s">
        <v>20898</v>
      </c>
      <c r="D6195" t="s">
        <v>20899</v>
      </c>
      <c r="E6195">
        <v>2</v>
      </c>
      <c r="F6195" t="s">
        <v>20303</v>
      </c>
      <c r="G6195" t="s">
        <v>19897</v>
      </c>
      <c r="H6195" t="s">
        <v>20898</v>
      </c>
      <c r="I6195" t="s">
        <v>20900</v>
      </c>
    </row>
    <row r="6196" spans="1:9">
      <c r="A6196" t="str">
        <f>"0162710 "</f>
        <v xml:space="preserve">0162710 </v>
      </c>
      <c r="B6196" t="s">
        <v>19893</v>
      </c>
      <c r="C6196" t="s">
        <v>20901</v>
      </c>
      <c r="D6196" t="s">
        <v>20902</v>
      </c>
      <c r="E6196">
        <v>3</v>
      </c>
      <c r="F6196" t="s">
        <v>20903</v>
      </c>
      <c r="G6196" t="s">
        <v>19897</v>
      </c>
      <c r="H6196" t="s">
        <v>20901</v>
      </c>
      <c r="I6196" t="s">
        <v>20904</v>
      </c>
    </row>
    <row r="6197" spans="1:9">
      <c r="A6197" t="str">
        <f>"0135746 "</f>
        <v xml:space="preserve">0135746 </v>
      </c>
      <c r="B6197" t="s">
        <v>19893</v>
      </c>
      <c r="C6197" t="s">
        <v>20905</v>
      </c>
      <c r="D6197" t="s">
        <v>20906</v>
      </c>
      <c r="E6197">
        <v>2</v>
      </c>
      <c r="F6197" t="s">
        <v>20907</v>
      </c>
      <c r="G6197" t="s">
        <v>19897</v>
      </c>
      <c r="H6197" t="s">
        <v>20905</v>
      </c>
      <c r="I6197" t="s">
        <v>20908</v>
      </c>
    </row>
    <row r="6198" spans="1:9">
      <c r="A6198" t="str">
        <f>"0135749 "</f>
        <v xml:space="preserve">0135749 </v>
      </c>
      <c r="B6198" t="s">
        <v>19893</v>
      </c>
      <c r="C6198" t="s">
        <v>20909</v>
      </c>
      <c r="D6198" t="s">
        <v>20910</v>
      </c>
      <c r="E6198">
        <v>1</v>
      </c>
      <c r="F6198" t="s">
        <v>20911</v>
      </c>
      <c r="G6198" t="s">
        <v>19897</v>
      </c>
      <c r="H6198" t="s">
        <v>20909</v>
      </c>
      <c r="I6198" t="s">
        <v>20912</v>
      </c>
    </row>
    <row r="6199" spans="1:9">
      <c r="A6199" t="str">
        <f>"0135750 "</f>
        <v xml:space="preserve">0135750 </v>
      </c>
      <c r="B6199" t="s">
        <v>19893</v>
      </c>
      <c r="C6199" t="s">
        <v>20913</v>
      </c>
      <c r="D6199" t="s">
        <v>20914</v>
      </c>
      <c r="E6199">
        <v>1</v>
      </c>
      <c r="F6199" t="s">
        <v>20915</v>
      </c>
      <c r="G6199" t="s">
        <v>19897</v>
      </c>
      <c r="H6199" t="s">
        <v>20913</v>
      </c>
      <c r="I6199" t="s">
        <v>20916</v>
      </c>
    </row>
    <row r="6200" spans="1:9">
      <c r="A6200" t="str">
        <f>"0135751 "</f>
        <v xml:space="preserve">0135751 </v>
      </c>
      <c r="B6200" t="s">
        <v>19893</v>
      </c>
      <c r="C6200" t="s">
        <v>20917</v>
      </c>
      <c r="D6200" t="s">
        <v>20918</v>
      </c>
      <c r="E6200">
        <v>1</v>
      </c>
      <c r="F6200" t="s">
        <v>20919</v>
      </c>
      <c r="G6200" t="s">
        <v>19897</v>
      </c>
      <c r="H6200" t="s">
        <v>20917</v>
      </c>
      <c r="I6200" t="s">
        <v>20920</v>
      </c>
    </row>
    <row r="6201" spans="1:9">
      <c r="A6201" t="str">
        <f>"0135768 "</f>
        <v xml:space="preserve">0135768 </v>
      </c>
      <c r="B6201" t="s">
        <v>19893</v>
      </c>
      <c r="C6201" t="s">
        <v>20921</v>
      </c>
      <c r="D6201" t="s">
        <v>20922</v>
      </c>
      <c r="E6201">
        <v>1</v>
      </c>
      <c r="F6201" t="s">
        <v>20923</v>
      </c>
      <c r="G6201" t="s">
        <v>19897</v>
      </c>
      <c r="H6201" t="s">
        <v>20921</v>
      </c>
      <c r="I6201" t="s">
        <v>20924</v>
      </c>
    </row>
    <row r="6202" spans="1:9">
      <c r="A6202" t="str">
        <f>"0135797 "</f>
        <v xml:space="preserve">0135797 </v>
      </c>
      <c r="B6202" t="s">
        <v>19893</v>
      </c>
      <c r="C6202" t="s">
        <v>20925</v>
      </c>
      <c r="D6202" t="s">
        <v>20926</v>
      </c>
      <c r="E6202">
        <v>5</v>
      </c>
      <c r="F6202" t="s">
        <v>20927</v>
      </c>
      <c r="G6202" t="s">
        <v>19897</v>
      </c>
      <c r="H6202" t="s">
        <v>20925</v>
      </c>
      <c r="I6202" t="s">
        <v>20928</v>
      </c>
    </row>
    <row r="6203" spans="1:9">
      <c r="A6203" t="str">
        <f>"0135803 "</f>
        <v xml:space="preserve">0135803 </v>
      </c>
      <c r="B6203" t="s">
        <v>19893</v>
      </c>
      <c r="C6203" t="s">
        <v>20929</v>
      </c>
      <c r="D6203" t="s">
        <v>20930</v>
      </c>
      <c r="E6203">
        <v>1</v>
      </c>
      <c r="F6203" t="s">
        <v>20931</v>
      </c>
      <c r="G6203" t="s">
        <v>19897</v>
      </c>
      <c r="H6203" t="s">
        <v>20929</v>
      </c>
      <c r="I6203" t="s">
        <v>20932</v>
      </c>
    </row>
    <row r="6204" spans="1:9">
      <c r="A6204" t="str">
        <f>"0135811 "</f>
        <v xml:space="preserve">0135811 </v>
      </c>
      <c r="B6204" t="s">
        <v>19893</v>
      </c>
      <c r="C6204" t="s">
        <v>20933</v>
      </c>
      <c r="D6204" t="s">
        <v>20934</v>
      </c>
      <c r="E6204">
        <v>2</v>
      </c>
      <c r="F6204" t="s">
        <v>20935</v>
      </c>
      <c r="G6204" t="s">
        <v>19897</v>
      </c>
      <c r="H6204" t="s">
        <v>20933</v>
      </c>
      <c r="I6204" t="s">
        <v>20936</v>
      </c>
    </row>
    <row r="6205" spans="1:9">
      <c r="A6205" t="str">
        <f>"0135813 "</f>
        <v xml:space="preserve">0135813 </v>
      </c>
      <c r="B6205" t="s">
        <v>19893</v>
      </c>
      <c r="C6205" t="s">
        <v>20937</v>
      </c>
      <c r="D6205" t="s">
        <v>20938</v>
      </c>
      <c r="E6205">
        <v>1</v>
      </c>
      <c r="F6205" t="s">
        <v>20939</v>
      </c>
      <c r="G6205" t="s">
        <v>19897</v>
      </c>
      <c r="H6205" t="s">
        <v>20937</v>
      </c>
      <c r="I6205" t="s">
        <v>20940</v>
      </c>
    </row>
    <row r="6206" spans="1:9">
      <c r="A6206" t="str">
        <f>"0135814 "</f>
        <v xml:space="preserve">0135814 </v>
      </c>
      <c r="B6206" t="s">
        <v>19893</v>
      </c>
      <c r="C6206" t="s">
        <v>20941</v>
      </c>
      <c r="D6206" t="s">
        <v>20942</v>
      </c>
      <c r="E6206">
        <v>2</v>
      </c>
      <c r="F6206" t="s">
        <v>20587</v>
      </c>
      <c r="G6206" t="s">
        <v>19897</v>
      </c>
      <c r="H6206" t="s">
        <v>20941</v>
      </c>
      <c r="I6206" t="s">
        <v>20943</v>
      </c>
    </row>
    <row r="6207" spans="1:9">
      <c r="A6207" t="str">
        <f>"0135822 "</f>
        <v xml:space="preserve">0135822 </v>
      </c>
      <c r="B6207" t="s">
        <v>19893</v>
      </c>
      <c r="C6207" t="s">
        <v>20944</v>
      </c>
      <c r="D6207" t="s">
        <v>20945</v>
      </c>
      <c r="E6207">
        <v>1</v>
      </c>
      <c r="F6207" t="s">
        <v>20946</v>
      </c>
      <c r="G6207" t="s">
        <v>19897</v>
      </c>
      <c r="H6207" t="s">
        <v>20944</v>
      </c>
      <c r="I6207" t="s">
        <v>20947</v>
      </c>
    </row>
    <row r="6208" spans="1:9">
      <c r="A6208" t="str">
        <f>"0135830 "</f>
        <v xml:space="preserve">0135830 </v>
      </c>
      <c r="B6208" t="s">
        <v>19893</v>
      </c>
      <c r="C6208" t="s">
        <v>20948</v>
      </c>
      <c r="D6208" t="s">
        <v>20949</v>
      </c>
      <c r="E6208">
        <v>1</v>
      </c>
      <c r="F6208" t="s">
        <v>20950</v>
      </c>
      <c r="G6208" t="s">
        <v>19897</v>
      </c>
      <c r="H6208" t="s">
        <v>20948</v>
      </c>
      <c r="I6208" t="s">
        <v>20951</v>
      </c>
    </row>
    <row r="6209" spans="1:9">
      <c r="A6209" t="str">
        <f>"0135831 "</f>
        <v xml:space="preserve">0135831 </v>
      </c>
      <c r="B6209" t="s">
        <v>19893</v>
      </c>
      <c r="C6209" t="s">
        <v>20952</v>
      </c>
      <c r="D6209" t="s">
        <v>20953</v>
      </c>
      <c r="E6209">
        <v>1</v>
      </c>
      <c r="F6209" t="s">
        <v>20954</v>
      </c>
      <c r="G6209" t="s">
        <v>19897</v>
      </c>
      <c r="H6209" t="s">
        <v>20952</v>
      </c>
      <c r="I6209" t="s">
        <v>20955</v>
      </c>
    </row>
    <row r="6210" spans="1:9">
      <c r="A6210" t="str">
        <f>"0135832 "</f>
        <v xml:space="preserve">0135832 </v>
      </c>
      <c r="B6210" t="s">
        <v>19893</v>
      </c>
      <c r="C6210" t="s">
        <v>20956</v>
      </c>
      <c r="D6210" t="s">
        <v>20957</v>
      </c>
      <c r="E6210">
        <v>2</v>
      </c>
      <c r="F6210" t="s">
        <v>20950</v>
      </c>
      <c r="G6210" t="s">
        <v>19897</v>
      </c>
      <c r="H6210" t="s">
        <v>20956</v>
      </c>
      <c r="I6210" t="s">
        <v>20958</v>
      </c>
    </row>
    <row r="6211" spans="1:9">
      <c r="A6211" t="str">
        <f>"0135835 "</f>
        <v xml:space="preserve">0135835 </v>
      </c>
      <c r="B6211" t="s">
        <v>19893</v>
      </c>
      <c r="C6211" t="s">
        <v>20959</v>
      </c>
      <c r="D6211" t="s">
        <v>20960</v>
      </c>
      <c r="E6211">
        <v>1</v>
      </c>
      <c r="F6211" t="s">
        <v>20961</v>
      </c>
      <c r="G6211" t="s">
        <v>19897</v>
      </c>
      <c r="H6211" t="s">
        <v>20959</v>
      </c>
      <c r="I6211" t="s">
        <v>20962</v>
      </c>
    </row>
    <row r="6212" spans="1:9">
      <c r="A6212" t="str">
        <f>"0135836 "</f>
        <v xml:space="preserve">0135836 </v>
      </c>
      <c r="B6212" t="s">
        <v>19893</v>
      </c>
      <c r="C6212" t="s">
        <v>20963</v>
      </c>
      <c r="D6212" t="s">
        <v>20964</v>
      </c>
      <c r="E6212">
        <v>4</v>
      </c>
      <c r="F6212" t="s">
        <v>20965</v>
      </c>
      <c r="G6212" t="s">
        <v>19897</v>
      </c>
      <c r="H6212" t="s">
        <v>20963</v>
      </c>
      <c r="I6212" t="s">
        <v>20966</v>
      </c>
    </row>
    <row r="6213" spans="1:9">
      <c r="A6213" t="str">
        <f>"0152949 "</f>
        <v xml:space="preserve">0152949 </v>
      </c>
      <c r="B6213" t="s">
        <v>19893</v>
      </c>
      <c r="C6213" t="s">
        <v>20967</v>
      </c>
      <c r="D6213" t="s">
        <v>20968</v>
      </c>
      <c r="E6213">
        <v>1</v>
      </c>
      <c r="F6213" t="s">
        <v>20969</v>
      </c>
      <c r="G6213" t="s">
        <v>19897</v>
      </c>
      <c r="H6213" t="s">
        <v>20967</v>
      </c>
      <c r="I6213" t="s">
        <v>20970</v>
      </c>
    </row>
    <row r="6214" spans="1:9">
      <c r="A6214" t="str">
        <f>"0135846 "</f>
        <v xml:space="preserve">0135846 </v>
      </c>
      <c r="B6214" t="s">
        <v>19893</v>
      </c>
      <c r="C6214" t="s">
        <v>20971</v>
      </c>
      <c r="D6214" t="s">
        <v>20972</v>
      </c>
      <c r="E6214">
        <v>1</v>
      </c>
      <c r="F6214" t="s">
        <v>20973</v>
      </c>
      <c r="G6214" t="s">
        <v>19897</v>
      </c>
      <c r="H6214" t="s">
        <v>20971</v>
      </c>
      <c r="I6214" t="s">
        <v>20974</v>
      </c>
    </row>
    <row r="6215" spans="1:9">
      <c r="A6215" t="str">
        <f>"0135848 "</f>
        <v xml:space="preserve">0135848 </v>
      </c>
      <c r="B6215" t="s">
        <v>19893</v>
      </c>
      <c r="C6215" t="s">
        <v>20975</v>
      </c>
      <c r="D6215" t="s">
        <v>20976</v>
      </c>
      <c r="E6215">
        <v>1</v>
      </c>
      <c r="F6215" t="s">
        <v>20977</v>
      </c>
      <c r="G6215" t="s">
        <v>19897</v>
      </c>
      <c r="H6215" t="s">
        <v>20975</v>
      </c>
      <c r="I6215" t="s">
        <v>20978</v>
      </c>
    </row>
    <row r="6216" spans="1:9">
      <c r="A6216" t="str">
        <f>"0135849 "</f>
        <v xml:space="preserve">0135849 </v>
      </c>
      <c r="B6216" t="s">
        <v>19893</v>
      </c>
      <c r="C6216" t="s">
        <v>20979</v>
      </c>
      <c r="D6216" t="s">
        <v>20980</v>
      </c>
      <c r="E6216">
        <v>2</v>
      </c>
      <c r="F6216" t="s">
        <v>20981</v>
      </c>
      <c r="G6216" t="s">
        <v>19897</v>
      </c>
      <c r="H6216" t="s">
        <v>20979</v>
      </c>
      <c r="I6216" t="s">
        <v>20982</v>
      </c>
    </row>
    <row r="6217" spans="1:9">
      <c r="A6217" t="str">
        <f>"0162715 "</f>
        <v xml:space="preserve">0162715 </v>
      </c>
      <c r="B6217" t="s">
        <v>19893</v>
      </c>
      <c r="C6217" t="s">
        <v>20983</v>
      </c>
      <c r="D6217" t="s">
        <v>20984</v>
      </c>
      <c r="E6217">
        <v>1</v>
      </c>
      <c r="F6217" t="s">
        <v>20985</v>
      </c>
      <c r="G6217" t="s">
        <v>19897</v>
      </c>
      <c r="H6217" t="s">
        <v>20983</v>
      </c>
      <c r="I6217" t="s">
        <v>20986</v>
      </c>
    </row>
    <row r="6218" spans="1:9">
      <c r="A6218" t="str">
        <f>"0135869 "</f>
        <v xml:space="preserve">0135869 </v>
      </c>
      <c r="B6218" t="s">
        <v>19893</v>
      </c>
      <c r="C6218" t="s">
        <v>20987</v>
      </c>
      <c r="D6218" t="s">
        <v>20988</v>
      </c>
      <c r="E6218">
        <v>1</v>
      </c>
      <c r="F6218" t="s">
        <v>20989</v>
      </c>
      <c r="G6218" t="s">
        <v>19897</v>
      </c>
      <c r="H6218" t="s">
        <v>20987</v>
      </c>
      <c r="I6218" t="s">
        <v>20990</v>
      </c>
    </row>
    <row r="6219" spans="1:9">
      <c r="A6219" t="str">
        <f>"0135870 "</f>
        <v xml:space="preserve">0135870 </v>
      </c>
      <c r="B6219" t="s">
        <v>19893</v>
      </c>
      <c r="C6219" t="s">
        <v>20991</v>
      </c>
      <c r="D6219" t="s">
        <v>20992</v>
      </c>
      <c r="E6219">
        <v>1</v>
      </c>
      <c r="F6219" t="s">
        <v>20993</v>
      </c>
      <c r="G6219" t="s">
        <v>19897</v>
      </c>
      <c r="H6219" t="s">
        <v>20991</v>
      </c>
      <c r="I6219" t="s">
        <v>20994</v>
      </c>
    </row>
    <row r="6220" spans="1:9">
      <c r="A6220" t="str">
        <f>"0135871 "</f>
        <v xml:space="preserve">0135871 </v>
      </c>
      <c r="B6220" t="s">
        <v>19893</v>
      </c>
      <c r="C6220" t="s">
        <v>20995</v>
      </c>
      <c r="D6220" t="s">
        <v>20996</v>
      </c>
      <c r="E6220">
        <v>1</v>
      </c>
      <c r="F6220" t="s">
        <v>3283</v>
      </c>
      <c r="G6220" t="s">
        <v>19897</v>
      </c>
      <c r="H6220" t="s">
        <v>20995</v>
      </c>
      <c r="I6220" t="s">
        <v>20997</v>
      </c>
    </row>
    <row r="6221" spans="1:9">
      <c r="A6221" t="str">
        <f>"0135872 "</f>
        <v xml:space="preserve">0135872 </v>
      </c>
      <c r="B6221" t="s">
        <v>19893</v>
      </c>
      <c r="C6221" t="s">
        <v>20998</v>
      </c>
      <c r="D6221" t="s">
        <v>20999</v>
      </c>
      <c r="E6221">
        <v>1</v>
      </c>
      <c r="F6221" t="s">
        <v>21000</v>
      </c>
      <c r="G6221" t="s">
        <v>19897</v>
      </c>
      <c r="H6221" t="s">
        <v>20998</v>
      </c>
      <c r="I6221" t="s">
        <v>21001</v>
      </c>
    </row>
    <row r="6222" spans="1:9">
      <c r="A6222" t="str">
        <f>"0135875 "</f>
        <v xml:space="preserve">0135875 </v>
      </c>
      <c r="B6222" t="s">
        <v>19893</v>
      </c>
      <c r="C6222" t="s">
        <v>21002</v>
      </c>
      <c r="D6222" t="s">
        <v>21003</v>
      </c>
      <c r="E6222">
        <v>1</v>
      </c>
      <c r="F6222" t="s">
        <v>20086</v>
      </c>
      <c r="G6222" t="s">
        <v>19897</v>
      </c>
      <c r="H6222" t="s">
        <v>21002</v>
      </c>
      <c r="I6222" t="s">
        <v>21004</v>
      </c>
    </row>
    <row r="6223" spans="1:9">
      <c r="A6223" t="str">
        <f>"0135876 "</f>
        <v xml:space="preserve">0135876 </v>
      </c>
      <c r="B6223" t="s">
        <v>19893</v>
      </c>
      <c r="C6223" t="s">
        <v>21005</v>
      </c>
      <c r="D6223" t="s">
        <v>21006</v>
      </c>
      <c r="E6223">
        <v>2</v>
      </c>
      <c r="F6223" t="s">
        <v>21007</v>
      </c>
      <c r="G6223" t="s">
        <v>19897</v>
      </c>
      <c r="H6223" t="s">
        <v>21005</v>
      </c>
      <c r="I6223" t="s">
        <v>21008</v>
      </c>
    </row>
    <row r="6224" spans="1:9">
      <c r="A6224" t="str">
        <f>"0135879 "</f>
        <v xml:space="preserve">0135879 </v>
      </c>
      <c r="B6224" t="s">
        <v>19893</v>
      </c>
      <c r="C6224" t="s">
        <v>21009</v>
      </c>
      <c r="D6224" t="s">
        <v>21010</v>
      </c>
      <c r="E6224">
        <v>2</v>
      </c>
      <c r="F6224" t="s">
        <v>21011</v>
      </c>
      <c r="G6224" t="s">
        <v>19897</v>
      </c>
      <c r="H6224" t="s">
        <v>21009</v>
      </c>
      <c r="I6224" t="s">
        <v>21012</v>
      </c>
    </row>
    <row r="6225" spans="1:9">
      <c r="A6225" t="str">
        <f>"0135880 "</f>
        <v xml:space="preserve">0135880 </v>
      </c>
      <c r="B6225" t="s">
        <v>19893</v>
      </c>
      <c r="C6225" t="s">
        <v>21013</v>
      </c>
      <c r="D6225" t="s">
        <v>21014</v>
      </c>
      <c r="E6225">
        <v>1</v>
      </c>
      <c r="F6225" t="s">
        <v>21015</v>
      </c>
      <c r="G6225" t="s">
        <v>19897</v>
      </c>
      <c r="H6225" t="s">
        <v>21013</v>
      </c>
      <c r="I6225" t="s">
        <v>21016</v>
      </c>
    </row>
    <row r="6226" spans="1:9">
      <c r="A6226" t="str">
        <f>"0135882 "</f>
        <v xml:space="preserve">0135882 </v>
      </c>
      <c r="B6226" t="s">
        <v>19893</v>
      </c>
      <c r="C6226" t="s">
        <v>21017</v>
      </c>
      <c r="D6226" t="s">
        <v>21018</v>
      </c>
      <c r="E6226">
        <v>1</v>
      </c>
      <c r="F6226" t="s">
        <v>21019</v>
      </c>
      <c r="G6226" t="s">
        <v>19897</v>
      </c>
      <c r="H6226" t="s">
        <v>21017</v>
      </c>
      <c r="I6226" t="s">
        <v>21020</v>
      </c>
    </row>
    <row r="6227" spans="1:9">
      <c r="A6227" t="str">
        <f>"0135885 "</f>
        <v xml:space="preserve">0135885 </v>
      </c>
      <c r="B6227" t="s">
        <v>19893</v>
      </c>
      <c r="C6227" t="s">
        <v>21021</v>
      </c>
      <c r="D6227" t="s">
        <v>21022</v>
      </c>
      <c r="E6227">
        <v>1</v>
      </c>
      <c r="F6227" t="s">
        <v>20591</v>
      </c>
      <c r="G6227" t="s">
        <v>19897</v>
      </c>
      <c r="H6227" t="s">
        <v>21021</v>
      </c>
      <c r="I6227" t="s">
        <v>21023</v>
      </c>
    </row>
    <row r="6228" spans="1:9">
      <c r="A6228" t="str">
        <f>"0162724 "</f>
        <v xml:space="preserve">0162724 </v>
      </c>
      <c r="B6228" t="s">
        <v>19893</v>
      </c>
      <c r="C6228" t="s">
        <v>21024</v>
      </c>
      <c r="D6228" t="s">
        <v>21025</v>
      </c>
      <c r="E6228">
        <v>4</v>
      </c>
      <c r="F6228" t="s">
        <v>21026</v>
      </c>
      <c r="G6228" t="s">
        <v>19897</v>
      </c>
      <c r="H6228" t="s">
        <v>21024</v>
      </c>
      <c r="I6228" t="s">
        <v>21027</v>
      </c>
    </row>
    <row r="6229" spans="1:9">
      <c r="A6229" t="str">
        <f>"0135896 "</f>
        <v xml:space="preserve">0135896 </v>
      </c>
      <c r="B6229" t="s">
        <v>19893</v>
      </c>
      <c r="C6229" t="s">
        <v>21028</v>
      </c>
      <c r="D6229" t="s">
        <v>21029</v>
      </c>
      <c r="E6229">
        <v>2</v>
      </c>
      <c r="F6229" t="s">
        <v>20734</v>
      </c>
      <c r="G6229" t="s">
        <v>19897</v>
      </c>
      <c r="H6229" t="s">
        <v>21028</v>
      </c>
      <c r="I6229" t="s">
        <v>21030</v>
      </c>
    </row>
    <row r="6230" spans="1:9">
      <c r="A6230" t="str">
        <f>"0135905 "</f>
        <v xml:space="preserve">0135905 </v>
      </c>
      <c r="B6230" t="s">
        <v>19893</v>
      </c>
      <c r="C6230" t="s">
        <v>21031</v>
      </c>
      <c r="D6230" t="s">
        <v>21032</v>
      </c>
      <c r="E6230">
        <v>1</v>
      </c>
      <c r="F6230" t="s">
        <v>21033</v>
      </c>
      <c r="G6230" t="s">
        <v>19897</v>
      </c>
      <c r="H6230" t="s">
        <v>21031</v>
      </c>
      <c r="I6230" t="s">
        <v>21034</v>
      </c>
    </row>
    <row r="6231" spans="1:9">
      <c r="A6231" t="str">
        <f>"0135909 "</f>
        <v xml:space="preserve">0135909 </v>
      </c>
      <c r="B6231" t="s">
        <v>19893</v>
      </c>
      <c r="C6231" t="s">
        <v>21035</v>
      </c>
      <c r="D6231" t="s">
        <v>21036</v>
      </c>
      <c r="E6231">
        <v>1</v>
      </c>
      <c r="F6231" t="s">
        <v>21037</v>
      </c>
      <c r="G6231" t="s">
        <v>19897</v>
      </c>
      <c r="H6231" t="s">
        <v>21035</v>
      </c>
      <c r="I6231" t="s">
        <v>21038</v>
      </c>
    </row>
    <row r="6232" spans="1:9">
      <c r="A6232" t="str">
        <f>"0135913 "</f>
        <v xml:space="preserve">0135913 </v>
      </c>
      <c r="B6232" t="s">
        <v>19893</v>
      </c>
      <c r="C6232" t="s">
        <v>21039</v>
      </c>
      <c r="D6232" t="s">
        <v>21040</v>
      </c>
      <c r="E6232">
        <v>2</v>
      </c>
      <c r="F6232" t="s">
        <v>21041</v>
      </c>
      <c r="G6232" t="s">
        <v>19897</v>
      </c>
      <c r="H6232" t="s">
        <v>21039</v>
      </c>
      <c r="I6232" t="s">
        <v>21042</v>
      </c>
    </row>
    <row r="6233" spans="1:9">
      <c r="A6233" t="str">
        <f>"0135915 "</f>
        <v xml:space="preserve">0135915 </v>
      </c>
      <c r="B6233" t="s">
        <v>19893</v>
      </c>
      <c r="C6233" t="s">
        <v>21043</v>
      </c>
      <c r="D6233" t="s">
        <v>21044</v>
      </c>
      <c r="E6233">
        <v>1</v>
      </c>
      <c r="F6233" t="s">
        <v>21045</v>
      </c>
      <c r="G6233" t="s">
        <v>19897</v>
      </c>
      <c r="H6233" t="s">
        <v>21043</v>
      </c>
      <c r="I6233" t="s">
        <v>21046</v>
      </c>
    </row>
    <row r="6234" spans="1:9">
      <c r="A6234" t="str">
        <f>"0135916 "</f>
        <v xml:space="preserve">0135916 </v>
      </c>
      <c r="B6234" t="s">
        <v>19893</v>
      </c>
      <c r="C6234" t="s">
        <v>21047</v>
      </c>
      <c r="D6234" t="s">
        <v>21048</v>
      </c>
      <c r="E6234">
        <v>1</v>
      </c>
      <c r="F6234" t="s">
        <v>21049</v>
      </c>
      <c r="G6234" t="s">
        <v>19897</v>
      </c>
      <c r="H6234" t="s">
        <v>21047</v>
      </c>
      <c r="I6234" t="s">
        <v>21050</v>
      </c>
    </row>
    <row r="6235" spans="1:9">
      <c r="A6235" t="str">
        <f>"0135917 "</f>
        <v xml:space="preserve">0135917 </v>
      </c>
      <c r="B6235" t="s">
        <v>19893</v>
      </c>
      <c r="C6235" t="s">
        <v>21051</v>
      </c>
      <c r="D6235" t="s">
        <v>21052</v>
      </c>
      <c r="E6235">
        <v>2</v>
      </c>
      <c r="F6235" t="s">
        <v>20591</v>
      </c>
      <c r="G6235" t="s">
        <v>19897</v>
      </c>
      <c r="H6235" t="s">
        <v>21051</v>
      </c>
      <c r="I6235" t="s">
        <v>21053</v>
      </c>
    </row>
    <row r="6236" spans="1:9">
      <c r="A6236" t="str">
        <f>"0135919 "</f>
        <v xml:space="preserve">0135919 </v>
      </c>
      <c r="B6236" t="s">
        <v>19893</v>
      </c>
      <c r="C6236" t="s">
        <v>21054</v>
      </c>
      <c r="D6236" t="s">
        <v>21055</v>
      </c>
      <c r="E6236">
        <v>1</v>
      </c>
      <c r="F6236" t="s">
        <v>21056</v>
      </c>
      <c r="G6236" t="s">
        <v>19897</v>
      </c>
      <c r="H6236" t="s">
        <v>21054</v>
      </c>
      <c r="I6236" t="s">
        <v>21057</v>
      </c>
    </row>
    <row r="6237" spans="1:9">
      <c r="A6237" t="str">
        <f>"0135924 "</f>
        <v xml:space="preserve">0135924 </v>
      </c>
      <c r="B6237" t="s">
        <v>19893</v>
      </c>
      <c r="C6237" t="s">
        <v>21058</v>
      </c>
      <c r="D6237" t="s">
        <v>21059</v>
      </c>
      <c r="E6237">
        <v>2</v>
      </c>
      <c r="F6237" t="s">
        <v>21060</v>
      </c>
      <c r="G6237" t="s">
        <v>19897</v>
      </c>
      <c r="H6237" t="s">
        <v>21058</v>
      </c>
      <c r="I6237" t="s">
        <v>21061</v>
      </c>
    </row>
    <row r="6238" spans="1:9">
      <c r="A6238" t="str">
        <f>"0135925 "</f>
        <v xml:space="preserve">0135925 </v>
      </c>
      <c r="B6238" t="s">
        <v>19893</v>
      </c>
      <c r="C6238" t="s">
        <v>21062</v>
      </c>
      <c r="D6238" t="s">
        <v>21063</v>
      </c>
      <c r="E6238">
        <v>1</v>
      </c>
      <c r="F6238" t="s">
        <v>20363</v>
      </c>
      <c r="G6238" t="s">
        <v>19897</v>
      </c>
      <c r="H6238" t="s">
        <v>21062</v>
      </c>
      <c r="I6238" t="s">
        <v>21064</v>
      </c>
    </row>
    <row r="6239" spans="1:9">
      <c r="A6239" t="str">
        <f>"0135927 "</f>
        <v xml:space="preserve">0135927 </v>
      </c>
      <c r="B6239" t="s">
        <v>19893</v>
      </c>
      <c r="C6239" t="s">
        <v>21065</v>
      </c>
      <c r="D6239" t="s">
        <v>21066</v>
      </c>
      <c r="E6239">
        <v>1</v>
      </c>
      <c r="F6239" t="s">
        <v>21067</v>
      </c>
      <c r="G6239" t="s">
        <v>19897</v>
      </c>
      <c r="H6239" t="s">
        <v>21065</v>
      </c>
      <c r="I6239" t="s">
        <v>21068</v>
      </c>
    </row>
    <row r="6240" spans="1:9">
      <c r="A6240" t="str">
        <f>"0135928 "</f>
        <v xml:space="preserve">0135928 </v>
      </c>
      <c r="B6240" t="s">
        <v>19893</v>
      </c>
      <c r="C6240" t="s">
        <v>21069</v>
      </c>
      <c r="D6240" t="s">
        <v>21070</v>
      </c>
      <c r="E6240">
        <v>3</v>
      </c>
      <c r="F6240" t="s">
        <v>21071</v>
      </c>
      <c r="G6240" t="s">
        <v>19897</v>
      </c>
      <c r="H6240" t="s">
        <v>21069</v>
      </c>
      <c r="I6240" t="s">
        <v>21072</v>
      </c>
    </row>
    <row r="6241" spans="1:9">
      <c r="A6241" t="str">
        <f>"0135929 "</f>
        <v xml:space="preserve">0135929 </v>
      </c>
      <c r="B6241" t="s">
        <v>19893</v>
      </c>
      <c r="C6241" t="s">
        <v>21073</v>
      </c>
      <c r="D6241" t="s">
        <v>21074</v>
      </c>
      <c r="E6241">
        <v>1</v>
      </c>
      <c r="F6241" t="s">
        <v>21075</v>
      </c>
      <c r="G6241" t="s">
        <v>19897</v>
      </c>
      <c r="H6241" t="s">
        <v>21073</v>
      </c>
      <c r="I6241" t="s">
        <v>21076</v>
      </c>
    </row>
    <row r="6242" spans="1:9">
      <c r="A6242" t="str">
        <f>"0135950 "</f>
        <v xml:space="preserve">0135950 </v>
      </c>
      <c r="B6242" t="s">
        <v>19893</v>
      </c>
      <c r="C6242" t="s">
        <v>21077</v>
      </c>
      <c r="D6242" t="s">
        <v>21078</v>
      </c>
      <c r="E6242">
        <v>1</v>
      </c>
      <c r="F6242" t="s">
        <v>21079</v>
      </c>
      <c r="G6242" t="s">
        <v>19897</v>
      </c>
      <c r="H6242" t="s">
        <v>21077</v>
      </c>
      <c r="I6242" t="s">
        <v>21080</v>
      </c>
    </row>
    <row r="6243" spans="1:9">
      <c r="A6243" t="str">
        <f>"0135974 "</f>
        <v xml:space="preserve">0135974 </v>
      </c>
      <c r="B6243" t="s">
        <v>19893</v>
      </c>
      <c r="C6243" t="s">
        <v>21081</v>
      </c>
      <c r="D6243" t="s">
        <v>21082</v>
      </c>
      <c r="E6243">
        <v>1</v>
      </c>
      <c r="F6243" t="s">
        <v>21083</v>
      </c>
      <c r="G6243" t="s">
        <v>19897</v>
      </c>
      <c r="H6243" t="s">
        <v>21081</v>
      </c>
      <c r="I6243" t="s">
        <v>21084</v>
      </c>
    </row>
    <row r="6244" spans="1:9">
      <c r="A6244" t="str">
        <f>"0135975 "</f>
        <v xml:space="preserve">0135975 </v>
      </c>
      <c r="B6244" t="s">
        <v>19893</v>
      </c>
      <c r="C6244" t="s">
        <v>21085</v>
      </c>
      <c r="D6244" t="s">
        <v>21086</v>
      </c>
      <c r="E6244">
        <v>1</v>
      </c>
      <c r="F6244" t="s">
        <v>21087</v>
      </c>
      <c r="G6244" t="s">
        <v>19897</v>
      </c>
      <c r="H6244" t="s">
        <v>21085</v>
      </c>
      <c r="I6244" t="s">
        <v>21088</v>
      </c>
    </row>
    <row r="6245" spans="1:9">
      <c r="A6245" t="str">
        <f>"0135978 "</f>
        <v xml:space="preserve">0135978 </v>
      </c>
      <c r="B6245" t="s">
        <v>19893</v>
      </c>
      <c r="C6245" t="s">
        <v>21089</v>
      </c>
      <c r="D6245" t="s">
        <v>21090</v>
      </c>
      <c r="E6245">
        <v>4</v>
      </c>
      <c r="F6245" t="s">
        <v>21091</v>
      </c>
      <c r="G6245" t="s">
        <v>19897</v>
      </c>
      <c r="H6245" t="s">
        <v>21089</v>
      </c>
      <c r="I6245" t="s">
        <v>21092</v>
      </c>
    </row>
    <row r="6246" spans="1:9">
      <c r="A6246" t="str">
        <f>"0135980 "</f>
        <v xml:space="preserve">0135980 </v>
      </c>
      <c r="B6246" t="s">
        <v>19893</v>
      </c>
      <c r="C6246" t="s">
        <v>21093</v>
      </c>
      <c r="D6246" t="s">
        <v>21094</v>
      </c>
      <c r="E6246">
        <v>1</v>
      </c>
      <c r="F6246" t="s">
        <v>21095</v>
      </c>
      <c r="G6246" t="s">
        <v>19897</v>
      </c>
      <c r="H6246" t="s">
        <v>21093</v>
      </c>
      <c r="I6246" t="s">
        <v>21096</v>
      </c>
    </row>
    <row r="6247" spans="1:9">
      <c r="A6247" t="str">
        <f>"0135989 "</f>
        <v xml:space="preserve">0135989 </v>
      </c>
      <c r="B6247" t="s">
        <v>19893</v>
      </c>
      <c r="C6247" t="s">
        <v>21097</v>
      </c>
      <c r="D6247" t="s">
        <v>21098</v>
      </c>
      <c r="E6247">
        <v>2</v>
      </c>
      <c r="F6247" t="s">
        <v>21099</v>
      </c>
      <c r="G6247" t="s">
        <v>19897</v>
      </c>
      <c r="H6247" t="s">
        <v>21097</v>
      </c>
      <c r="I6247" t="s">
        <v>21100</v>
      </c>
    </row>
    <row r="6248" spans="1:9">
      <c r="A6248" t="str">
        <f>"0135991 "</f>
        <v xml:space="preserve">0135991 </v>
      </c>
      <c r="B6248" t="s">
        <v>19893</v>
      </c>
      <c r="C6248" t="s">
        <v>21101</v>
      </c>
      <c r="D6248" t="s">
        <v>21102</v>
      </c>
      <c r="E6248">
        <v>2</v>
      </c>
      <c r="F6248" t="s">
        <v>21103</v>
      </c>
      <c r="G6248" t="s">
        <v>19897</v>
      </c>
      <c r="H6248" t="s">
        <v>21101</v>
      </c>
      <c r="I6248" t="s">
        <v>21104</v>
      </c>
    </row>
    <row r="6249" spans="1:9">
      <c r="A6249" t="str">
        <f>"0136003 "</f>
        <v xml:space="preserve">0136003 </v>
      </c>
      <c r="B6249" t="s">
        <v>19893</v>
      </c>
      <c r="C6249" t="s">
        <v>21105</v>
      </c>
      <c r="D6249" t="s">
        <v>21106</v>
      </c>
      <c r="E6249">
        <v>1</v>
      </c>
      <c r="F6249" t="s">
        <v>21107</v>
      </c>
      <c r="G6249" t="s">
        <v>19897</v>
      </c>
      <c r="H6249" t="s">
        <v>21105</v>
      </c>
      <c r="I6249" t="s">
        <v>21108</v>
      </c>
    </row>
    <row r="6250" spans="1:9">
      <c r="A6250" t="str">
        <f>"0136016 "</f>
        <v xml:space="preserve">0136016 </v>
      </c>
      <c r="B6250" t="s">
        <v>19893</v>
      </c>
      <c r="C6250" t="s">
        <v>21109</v>
      </c>
      <c r="D6250" t="s">
        <v>21110</v>
      </c>
      <c r="E6250">
        <v>1</v>
      </c>
      <c r="F6250" t="s">
        <v>21111</v>
      </c>
      <c r="G6250" t="s">
        <v>19897</v>
      </c>
      <c r="H6250" t="s">
        <v>21109</v>
      </c>
      <c r="I6250" t="s">
        <v>21112</v>
      </c>
    </row>
    <row r="6251" spans="1:9">
      <c r="A6251" t="str">
        <f>"0136017 "</f>
        <v xml:space="preserve">0136017 </v>
      </c>
      <c r="B6251" t="s">
        <v>19893</v>
      </c>
      <c r="C6251" t="s">
        <v>21113</v>
      </c>
      <c r="D6251" t="s">
        <v>21114</v>
      </c>
      <c r="E6251">
        <v>1</v>
      </c>
      <c r="F6251" t="s">
        <v>21115</v>
      </c>
      <c r="G6251" t="s">
        <v>19897</v>
      </c>
      <c r="H6251" t="s">
        <v>21113</v>
      </c>
      <c r="I6251" t="s">
        <v>21116</v>
      </c>
    </row>
    <row r="6252" spans="1:9">
      <c r="A6252" t="str">
        <f>"0136019 "</f>
        <v xml:space="preserve">0136019 </v>
      </c>
      <c r="B6252" t="s">
        <v>19893</v>
      </c>
      <c r="C6252" t="s">
        <v>21117</v>
      </c>
      <c r="D6252" t="s">
        <v>21118</v>
      </c>
      <c r="E6252">
        <v>1</v>
      </c>
      <c r="F6252" t="s">
        <v>21119</v>
      </c>
      <c r="G6252" t="s">
        <v>19897</v>
      </c>
      <c r="H6252" t="s">
        <v>21117</v>
      </c>
      <c r="I6252" t="s">
        <v>21120</v>
      </c>
    </row>
    <row r="6253" spans="1:9">
      <c r="A6253" t="str">
        <f>"0136021 "</f>
        <v xml:space="preserve">0136021 </v>
      </c>
      <c r="B6253" t="s">
        <v>19893</v>
      </c>
      <c r="C6253" t="s">
        <v>21121</v>
      </c>
      <c r="D6253" t="s">
        <v>21122</v>
      </c>
      <c r="E6253">
        <v>1</v>
      </c>
      <c r="F6253" t="s">
        <v>21123</v>
      </c>
      <c r="G6253" t="s">
        <v>19897</v>
      </c>
      <c r="H6253" t="s">
        <v>21121</v>
      </c>
      <c r="I6253" t="s">
        <v>21124</v>
      </c>
    </row>
    <row r="6254" spans="1:9">
      <c r="A6254" t="str">
        <f>"0136023 "</f>
        <v xml:space="preserve">0136023 </v>
      </c>
      <c r="B6254" t="s">
        <v>19893</v>
      </c>
      <c r="C6254" t="s">
        <v>21125</v>
      </c>
      <c r="D6254" t="s">
        <v>21126</v>
      </c>
      <c r="E6254">
        <v>1</v>
      </c>
      <c r="F6254" t="s">
        <v>21127</v>
      </c>
      <c r="G6254" t="s">
        <v>19897</v>
      </c>
      <c r="H6254" t="s">
        <v>21125</v>
      </c>
      <c r="I6254" t="s">
        <v>21128</v>
      </c>
    </row>
    <row r="6255" spans="1:9">
      <c r="A6255" t="str">
        <f>"0136031 "</f>
        <v xml:space="preserve">0136031 </v>
      </c>
      <c r="B6255" t="s">
        <v>19893</v>
      </c>
      <c r="C6255" t="s">
        <v>21129</v>
      </c>
      <c r="D6255" t="s">
        <v>21130</v>
      </c>
      <c r="E6255">
        <v>1</v>
      </c>
      <c r="F6255" t="s">
        <v>21131</v>
      </c>
      <c r="G6255" t="s">
        <v>19897</v>
      </c>
      <c r="H6255" t="s">
        <v>21129</v>
      </c>
      <c r="I6255" t="s">
        <v>21132</v>
      </c>
    </row>
    <row r="6256" spans="1:9">
      <c r="A6256" t="str">
        <f>"0136043 "</f>
        <v xml:space="preserve">0136043 </v>
      </c>
      <c r="B6256" t="s">
        <v>19893</v>
      </c>
      <c r="C6256" t="s">
        <v>21133</v>
      </c>
      <c r="D6256" t="s">
        <v>21134</v>
      </c>
      <c r="E6256">
        <v>1</v>
      </c>
      <c r="F6256" t="s">
        <v>21019</v>
      </c>
      <c r="G6256" t="s">
        <v>19897</v>
      </c>
      <c r="H6256" t="s">
        <v>21133</v>
      </c>
      <c r="I6256" t="s">
        <v>21135</v>
      </c>
    </row>
    <row r="6257" spans="1:9">
      <c r="A6257" t="str">
        <f>"0136053 "</f>
        <v xml:space="preserve">0136053 </v>
      </c>
      <c r="B6257" t="s">
        <v>19893</v>
      </c>
      <c r="C6257" t="s">
        <v>21136</v>
      </c>
      <c r="D6257" t="s">
        <v>21137</v>
      </c>
      <c r="E6257">
        <v>1</v>
      </c>
      <c r="F6257" t="s">
        <v>21138</v>
      </c>
      <c r="G6257" t="s">
        <v>19897</v>
      </c>
      <c r="H6257" t="s">
        <v>21136</v>
      </c>
      <c r="I6257" t="s">
        <v>21139</v>
      </c>
    </row>
    <row r="6258" spans="1:9">
      <c r="A6258" t="str">
        <f>"0136059 "</f>
        <v xml:space="preserve">0136059 </v>
      </c>
      <c r="B6258" t="s">
        <v>19893</v>
      </c>
      <c r="C6258" t="s">
        <v>21140</v>
      </c>
      <c r="D6258" t="s">
        <v>21141</v>
      </c>
      <c r="E6258">
        <v>1</v>
      </c>
      <c r="F6258" t="s">
        <v>21142</v>
      </c>
      <c r="G6258" t="s">
        <v>19897</v>
      </c>
      <c r="H6258" t="s">
        <v>21140</v>
      </c>
      <c r="I6258" t="s">
        <v>21143</v>
      </c>
    </row>
    <row r="6259" spans="1:9">
      <c r="A6259" t="str">
        <f>"0136061 "</f>
        <v xml:space="preserve">0136061 </v>
      </c>
      <c r="B6259" t="s">
        <v>19893</v>
      </c>
      <c r="C6259" t="s">
        <v>21144</v>
      </c>
      <c r="D6259" t="s">
        <v>21145</v>
      </c>
      <c r="E6259">
        <v>1</v>
      </c>
      <c r="F6259" t="s">
        <v>21146</v>
      </c>
      <c r="G6259" t="s">
        <v>19897</v>
      </c>
      <c r="H6259" t="s">
        <v>21144</v>
      </c>
      <c r="I6259" t="s">
        <v>21147</v>
      </c>
    </row>
    <row r="6260" spans="1:9">
      <c r="A6260" t="str">
        <f>"0136067 "</f>
        <v xml:space="preserve">0136067 </v>
      </c>
      <c r="B6260" t="s">
        <v>19893</v>
      </c>
      <c r="C6260" t="s">
        <v>21148</v>
      </c>
      <c r="D6260" t="s">
        <v>21149</v>
      </c>
      <c r="E6260">
        <v>1</v>
      </c>
      <c r="F6260" t="s">
        <v>21150</v>
      </c>
      <c r="G6260" t="s">
        <v>19897</v>
      </c>
      <c r="H6260" t="s">
        <v>21148</v>
      </c>
      <c r="I6260" t="s">
        <v>21151</v>
      </c>
    </row>
    <row r="6261" spans="1:9">
      <c r="A6261" t="str">
        <f>"0136068 "</f>
        <v xml:space="preserve">0136068 </v>
      </c>
      <c r="B6261" t="s">
        <v>19893</v>
      </c>
      <c r="C6261" t="s">
        <v>21152</v>
      </c>
      <c r="D6261" t="s">
        <v>21153</v>
      </c>
      <c r="E6261">
        <v>2</v>
      </c>
      <c r="F6261" t="s">
        <v>21146</v>
      </c>
      <c r="G6261" t="s">
        <v>19897</v>
      </c>
      <c r="H6261" t="s">
        <v>21152</v>
      </c>
      <c r="I6261" t="s">
        <v>21154</v>
      </c>
    </row>
    <row r="6262" spans="1:9">
      <c r="A6262" t="str">
        <f>"0136072 "</f>
        <v xml:space="preserve">0136072 </v>
      </c>
      <c r="B6262" t="s">
        <v>19893</v>
      </c>
      <c r="C6262" t="s">
        <v>21155</v>
      </c>
      <c r="D6262" t="s">
        <v>21156</v>
      </c>
      <c r="E6262">
        <v>2</v>
      </c>
      <c r="F6262" t="s">
        <v>21157</v>
      </c>
      <c r="G6262" t="s">
        <v>19897</v>
      </c>
      <c r="H6262" t="s">
        <v>21155</v>
      </c>
      <c r="I6262" t="s">
        <v>21158</v>
      </c>
    </row>
    <row r="6263" spans="1:9">
      <c r="A6263" t="str">
        <f>"0136073 "</f>
        <v xml:space="preserve">0136073 </v>
      </c>
      <c r="B6263" t="s">
        <v>19893</v>
      </c>
      <c r="C6263" t="s">
        <v>21159</v>
      </c>
      <c r="D6263" t="s">
        <v>21160</v>
      </c>
      <c r="E6263">
        <v>1</v>
      </c>
      <c r="F6263" t="s">
        <v>21161</v>
      </c>
      <c r="G6263" t="s">
        <v>19897</v>
      </c>
      <c r="H6263" t="s">
        <v>21159</v>
      </c>
      <c r="I6263" t="s">
        <v>21162</v>
      </c>
    </row>
    <row r="6264" spans="1:9">
      <c r="A6264" t="str">
        <f>"0136074 "</f>
        <v xml:space="preserve">0136074 </v>
      </c>
      <c r="B6264" t="s">
        <v>19893</v>
      </c>
      <c r="C6264" t="s">
        <v>21163</v>
      </c>
      <c r="D6264" t="s">
        <v>21164</v>
      </c>
      <c r="E6264">
        <v>1</v>
      </c>
      <c r="F6264" t="s">
        <v>21165</v>
      </c>
      <c r="G6264" t="s">
        <v>19897</v>
      </c>
      <c r="H6264" t="s">
        <v>21163</v>
      </c>
      <c r="I6264" t="s">
        <v>21166</v>
      </c>
    </row>
    <row r="6265" spans="1:9">
      <c r="A6265" t="str">
        <f>"0136076 "</f>
        <v xml:space="preserve">0136076 </v>
      </c>
      <c r="B6265" t="s">
        <v>19893</v>
      </c>
      <c r="C6265" t="s">
        <v>21167</v>
      </c>
      <c r="D6265" t="s">
        <v>21168</v>
      </c>
      <c r="E6265">
        <v>1</v>
      </c>
      <c r="F6265" t="s">
        <v>21169</v>
      </c>
      <c r="G6265" t="s">
        <v>19897</v>
      </c>
      <c r="H6265" t="s">
        <v>21167</v>
      </c>
      <c r="I6265" t="s">
        <v>21170</v>
      </c>
    </row>
    <row r="6266" spans="1:9">
      <c r="A6266" t="str">
        <f>"0136077 "</f>
        <v xml:space="preserve">0136077 </v>
      </c>
      <c r="B6266" t="s">
        <v>19893</v>
      </c>
      <c r="C6266" t="s">
        <v>21171</v>
      </c>
      <c r="D6266" t="s">
        <v>21172</v>
      </c>
      <c r="E6266">
        <v>1</v>
      </c>
      <c r="F6266" t="s">
        <v>21173</v>
      </c>
      <c r="G6266" t="s">
        <v>19897</v>
      </c>
      <c r="H6266" t="s">
        <v>21171</v>
      </c>
      <c r="I6266" t="s">
        <v>21174</v>
      </c>
    </row>
    <row r="6267" spans="1:9">
      <c r="A6267" t="str">
        <f>"0136079 "</f>
        <v xml:space="preserve">0136079 </v>
      </c>
      <c r="B6267" t="s">
        <v>19893</v>
      </c>
      <c r="C6267" t="s">
        <v>21175</v>
      </c>
      <c r="D6267" t="s">
        <v>21176</v>
      </c>
      <c r="E6267">
        <v>1</v>
      </c>
      <c r="F6267" t="s">
        <v>15277</v>
      </c>
      <c r="G6267" t="s">
        <v>19897</v>
      </c>
      <c r="H6267" t="s">
        <v>21175</v>
      </c>
      <c r="I6267" t="s">
        <v>21177</v>
      </c>
    </row>
    <row r="6268" spans="1:9">
      <c r="A6268" t="str">
        <f>"0136083 "</f>
        <v xml:space="preserve">0136083 </v>
      </c>
      <c r="B6268" t="s">
        <v>19893</v>
      </c>
      <c r="C6268" t="s">
        <v>21178</v>
      </c>
      <c r="D6268" t="s">
        <v>21179</v>
      </c>
      <c r="E6268">
        <v>3</v>
      </c>
      <c r="F6268" t="s">
        <v>21180</v>
      </c>
      <c r="G6268" t="s">
        <v>19897</v>
      </c>
      <c r="H6268" t="s">
        <v>21178</v>
      </c>
      <c r="I6268" t="s">
        <v>21181</v>
      </c>
    </row>
    <row r="6269" spans="1:9">
      <c r="A6269" t="str">
        <f>"0136084 "</f>
        <v xml:space="preserve">0136084 </v>
      </c>
      <c r="B6269" t="s">
        <v>19893</v>
      </c>
      <c r="C6269" t="s">
        <v>21182</v>
      </c>
      <c r="D6269" t="s">
        <v>21183</v>
      </c>
      <c r="E6269" t="s">
        <v>16</v>
      </c>
      <c r="F6269" t="s">
        <v>21184</v>
      </c>
      <c r="G6269" t="s">
        <v>19897</v>
      </c>
      <c r="H6269" t="s">
        <v>21182</v>
      </c>
      <c r="I6269" t="s">
        <v>21185</v>
      </c>
    </row>
    <row r="6270" spans="1:9">
      <c r="A6270" t="str">
        <f>"0136086 "</f>
        <v xml:space="preserve">0136086 </v>
      </c>
      <c r="B6270" t="s">
        <v>19893</v>
      </c>
      <c r="C6270" t="s">
        <v>21186</v>
      </c>
      <c r="D6270" t="s">
        <v>21187</v>
      </c>
      <c r="E6270">
        <v>1</v>
      </c>
      <c r="F6270" t="s">
        <v>21188</v>
      </c>
      <c r="G6270" t="s">
        <v>19897</v>
      </c>
      <c r="H6270" t="s">
        <v>21186</v>
      </c>
      <c r="I6270" t="s">
        <v>21189</v>
      </c>
    </row>
    <row r="6271" spans="1:9">
      <c r="A6271" t="str">
        <f>"0136087 "</f>
        <v xml:space="preserve">0136087 </v>
      </c>
      <c r="B6271" t="s">
        <v>19893</v>
      </c>
      <c r="C6271" t="s">
        <v>21190</v>
      </c>
      <c r="D6271" t="s">
        <v>21191</v>
      </c>
      <c r="E6271">
        <v>1</v>
      </c>
      <c r="F6271" t="s">
        <v>21192</v>
      </c>
      <c r="G6271" t="s">
        <v>19897</v>
      </c>
      <c r="H6271" t="s">
        <v>21190</v>
      </c>
      <c r="I6271" t="s">
        <v>21193</v>
      </c>
    </row>
    <row r="6272" spans="1:9">
      <c r="A6272" t="str">
        <f>"0136088 "</f>
        <v xml:space="preserve">0136088 </v>
      </c>
      <c r="B6272" t="s">
        <v>19893</v>
      </c>
      <c r="C6272" t="s">
        <v>21194</v>
      </c>
      <c r="D6272" t="s">
        <v>21195</v>
      </c>
      <c r="E6272">
        <v>2</v>
      </c>
      <c r="F6272" t="s">
        <v>21196</v>
      </c>
      <c r="G6272" t="s">
        <v>19897</v>
      </c>
      <c r="H6272" t="s">
        <v>21194</v>
      </c>
      <c r="I6272" t="s">
        <v>21197</v>
      </c>
    </row>
    <row r="6273" spans="1:9">
      <c r="A6273" t="str">
        <f>"0136092 "</f>
        <v xml:space="preserve">0136092 </v>
      </c>
      <c r="B6273" t="s">
        <v>19893</v>
      </c>
      <c r="C6273" t="s">
        <v>21198</v>
      </c>
      <c r="D6273" t="s">
        <v>21199</v>
      </c>
      <c r="E6273">
        <v>1</v>
      </c>
      <c r="F6273" t="s">
        <v>21200</v>
      </c>
      <c r="G6273" t="s">
        <v>19897</v>
      </c>
      <c r="H6273" t="s">
        <v>21198</v>
      </c>
      <c r="I6273" t="s">
        <v>21201</v>
      </c>
    </row>
    <row r="6274" spans="1:9">
      <c r="A6274" t="str">
        <f>"0198935 "</f>
        <v xml:space="preserve">0198935 </v>
      </c>
      <c r="B6274" t="s">
        <v>19893</v>
      </c>
      <c r="C6274" t="s">
        <v>21202</v>
      </c>
      <c r="D6274" t="s">
        <v>21203</v>
      </c>
      <c r="E6274">
        <v>1</v>
      </c>
      <c r="F6274" t="s">
        <v>21204</v>
      </c>
      <c r="G6274" t="s">
        <v>19897</v>
      </c>
      <c r="H6274" t="s">
        <v>21202</v>
      </c>
      <c r="I6274" t="s">
        <v>21205</v>
      </c>
    </row>
    <row r="6275" spans="1:9">
      <c r="A6275" t="str">
        <f>"0136105 "</f>
        <v xml:space="preserve">0136105 </v>
      </c>
      <c r="B6275" t="s">
        <v>19893</v>
      </c>
      <c r="C6275" t="s">
        <v>21206</v>
      </c>
      <c r="D6275" t="s">
        <v>21207</v>
      </c>
      <c r="E6275">
        <v>2</v>
      </c>
      <c r="F6275" t="s">
        <v>21208</v>
      </c>
      <c r="G6275" t="s">
        <v>19897</v>
      </c>
      <c r="H6275" t="s">
        <v>21206</v>
      </c>
      <c r="I6275" t="s">
        <v>21209</v>
      </c>
    </row>
    <row r="6276" spans="1:9">
      <c r="A6276" t="str">
        <f>"0219910 "</f>
        <v xml:space="preserve">0219910 </v>
      </c>
      <c r="B6276" t="s">
        <v>19893</v>
      </c>
      <c r="C6276" t="s">
        <v>21210</v>
      </c>
      <c r="D6276" t="s">
        <v>21211</v>
      </c>
      <c r="E6276">
        <v>1</v>
      </c>
      <c r="F6276" t="s">
        <v>21212</v>
      </c>
      <c r="G6276" t="s">
        <v>19897</v>
      </c>
      <c r="H6276" t="s">
        <v>21210</v>
      </c>
      <c r="I6276" t="s">
        <v>21213</v>
      </c>
    </row>
    <row r="6277" spans="1:9">
      <c r="A6277" t="str">
        <f>"0136111 "</f>
        <v xml:space="preserve">0136111 </v>
      </c>
      <c r="B6277" t="s">
        <v>19893</v>
      </c>
      <c r="C6277" t="s">
        <v>21214</v>
      </c>
      <c r="D6277" t="s">
        <v>21215</v>
      </c>
      <c r="E6277">
        <v>1</v>
      </c>
      <c r="F6277" t="s">
        <v>15535</v>
      </c>
      <c r="G6277" t="s">
        <v>19897</v>
      </c>
      <c r="H6277" t="s">
        <v>21214</v>
      </c>
      <c r="I6277" t="s">
        <v>21216</v>
      </c>
    </row>
    <row r="6278" spans="1:9">
      <c r="A6278" t="str">
        <f>"0136137 "</f>
        <v xml:space="preserve">0136137 </v>
      </c>
      <c r="B6278" t="s">
        <v>19893</v>
      </c>
      <c r="C6278" t="s">
        <v>21217</v>
      </c>
      <c r="D6278" t="s">
        <v>21218</v>
      </c>
      <c r="E6278">
        <v>2</v>
      </c>
      <c r="F6278" t="s">
        <v>21219</v>
      </c>
      <c r="G6278" t="s">
        <v>19897</v>
      </c>
      <c r="H6278" t="s">
        <v>21217</v>
      </c>
      <c r="I6278" t="s">
        <v>21220</v>
      </c>
    </row>
    <row r="6279" spans="1:9">
      <c r="A6279" t="str">
        <f>"0136138 "</f>
        <v xml:space="preserve">0136138 </v>
      </c>
      <c r="B6279" t="s">
        <v>19893</v>
      </c>
      <c r="C6279" t="s">
        <v>21221</v>
      </c>
      <c r="D6279" t="s">
        <v>21222</v>
      </c>
      <c r="E6279">
        <v>3</v>
      </c>
      <c r="F6279" t="s">
        <v>21223</v>
      </c>
      <c r="G6279" t="s">
        <v>19897</v>
      </c>
      <c r="H6279" t="s">
        <v>21221</v>
      </c>
      <c r="I6279" t="s">
        <v>21224</v>
      </c>
    </row>
    <row r="6280" spans="1:9">
      <c r="A6280" t="str">
        <f>"0136140 "</f>
        <v xml:space="preserve">0136140 </v>
      </c>
      <c r="B6280" t="s">
        <v>19893</v>
      </c>
      <c r="C6280" t="s">
        <v>21225</v>
      </c>
      <c r="D6280" t="s">
        <v>21226</v>
      </c>
      <c r="E6280">
        <v>1</v>
      </c>
      <c r="F6280" t="s">
        <v>21227</v>
      </c>
      <c r="G6280" t="s">
        <v>19897</v>
      </c>
      <c r="H6280" t="s">
        <v>21225</v>
      </c>
      <c r="I6280" t="s">
        <v>21228</v>
      </c>
    </row>
    <row r="6281" spans="1:9">
      <c r="A6281" t="str">
        <f>"0136141 "</f>
        <v xml:space="preserve">0136141 </v>
      </c>
      <c r="B6281" t="s">
        <v>19893</v>
      </c>
      <c r="C6281" t="s">
        <v>21229</v>
      </c>
      <c r="D6281" t="s">
        <v>21230</v>
      </c>
      <c r="E6281">
        <v>3</v>
      </c>
      <c r="F6281" t="s">
        <v>21231</v>
      </c>
      <c r="G6281" t="s">
        <v>19897</v>
      </c>
      <c r="H6281" t="s">
        <v>21229</v>
      </c>
      <c r="I6281" t="s">
        <v>21232</v>
      </c>
    </row>
    <row r="6282" spans="1:9">
      <c r="A6282" t="str">
        <f>"0136142 "</f>
        <v xml:space="preserve">0136142 </v>
      </c>
      <c r="B6282" t="s">
        <v>19893</v>
      </c>
      <c r="C6282" t="s">
        <v>21233</v>
      </c>
      <c r="D6282" t="s">
        <v>21234</v>
      </c>
      <c r="E6282">
        <v>1</v>
      </c>
      <c r="F6282" t="s">
        <v>21235</v>
      </c>
      <c r="G6282" t="s">
        <v>19897</v>
      </c>
      <c r="H6282" t="s">
        <v>21233</v>
      </c>
      <c r="I6282" t="s">
        <v>21236</v>
      </c>
    </row>
    <row r="6283" spans="1:9">
      <c r="A6283" t="str">
        <f>"0136147 "</f>
        <v xml:space="preserve">0136147 </v>
      </c>
      <c r="B6283" t="s">
        <v>19893</v>
      </c>
      <c r="C6283" t="s">
        <v>21237</v>
      </c>
      <c r="D6283" t="s">
        <v>21238</v>
      </c>
      <c r="E6283">
        <v>1</v>
      </c>
      <c r="F6283" t="s">
        <v>21239</v>
      </c>
      <c r="G6283" t="s">
        <v>19897</v>
      </c>
      <c r="H6283" t="s">
        <v>21237</v>
      </c>
      <c r="I6283" t="s">
        <v>21240</v>
      </c>
    </row>
    <row r="6284" spans="1:9">
      <c r="A6284" t="str">
        <f>"0136148 "</f>
        <v xml:space="preserve">0136148 </v>
      </c>
      <c r="B6284" t="s">
        <v>19893</v>
      </c>
      <c r="C6284" t="s">
        <v>21241</v>
      </c>
      <c r="D6284" t="s">
        <v>21242</v>
      </c>
      <c r="E6284">
        <v>2</v>
      </c>
      <c r="F6284" t="s">
        <v>21243</v>
      </c>
      <c r="G6284" t="s">
        <v>19897</v>
      </c>
      <c r="H6284" t="s">
        <v>21241</v>
      </c>
      <c r="I6284" t="s">
        <v>21244</v>
      </c>
    </row>
    <row r="6285" spans="1:9">
      <c r="A6285" t="str">
        <f>"0136149 "</f>
        <v xml:space="preserve">0136149 </v>
      </c>
      <c r="B6285" t="s">
        <v>19893</v>
      </c>
      <c r="C6285" t="s">
        <v>21245</v>
      </c>
      <c r="D6285" t="s">
        <v>21246</v>
      </c>
      <c r="E6285">
        <v>1</v>
      </c>
      <c r="F6285" t="s">
        <v>21247</v>
      </c>
      <c r="G6285" t="s">
        <v>19897</v>
      </c>
      <c r="H6285" t="s">
        <v>21245</v>
      </c>
      <c r="I6285" t="s">
        <v>21248</v>
      </c>
    </row>
    <row r="6286" spans="1:9">
      <c r="A6286" t="str">
        <f>"0136151 "</f>
        <v xml:space="preserve">0136151 </v>
      </c>
      <c r="B6286" t="s">
        <v>19893</v>
      </c>
      <c r="C6286" t="s">
        <v>21249</v>
      </c>
      <c r="D6286" t="s">
        <v>21250</v>
      </c>
      <c r="E6286">
        <v>3</v>
      </c>
      <c r="F6286" t="s">
        <v>21251</v>
      </c>
      <c r="G6286" t="s">
        <v>19897</v>
      </c>
      <c r="H6286" t="s">
        <v>21249</v>
      </c>
      <c r="I6286" t="s">
        <v>21252</v>
      </c>
    </row>
    <row r="6287" spans="1:9">
      <c r="A6287" t="str">
        <f>"0136153 "</f>
        <v xml:space="preserve">0136153 </v>
      </c>
      <c r="B6287" t="s">
        <v>19893</v>
      </c>
      <c r="C6287" t="s">
        <v>21253</v>
      </c>
      <c r="D6287" t="s">
        <v>21254</v>
      </c>
      <c r="E6287">
        <v>1</v>
      </c>
      <c r="F6287" t="s">
        <v>21255</v>
      </c>
      <c r="G6287" t="s">
        <v>19897</v>
      </c>
      <c r="H6287" t="s">
        <v>21253</v>
      </c>
      <c r="I6287" t="s">
        <v>21256</v>
      </c>
    </row>
    <row r="6288" spans="1:9">
      <c r="A6288" t="str">
        <f>"0136154 "</f>
        <v xml:space="preserve">0136154 </v>
      </c>
      <c r="B6288" t="s">
        <v>19893</v>
      </c>
      <c r="C6288" t="s">
        <v>21257</v>
      </c>
      <c r="D6288" t="s">
        <v>21258</v>
      </c>
      <c r="E6288">
        <v>1</v>
      </c>
      <c r="F6288" t="s">
        <v>21259</v>
      </c>
      <c r="G6288" t="s">
        <v>19897</v>
      </c>
      <c r="H6288" t="s">
        <v>21257</v>
      </c>
      <c r="I6288" t="s">
        <v>21260</v>
      </c>
    </row>
    <row r="6289" spans="1:9">
      <c r="A6289" t="str">
        <f>"0136155 "</f>
        <v xml:space="preserve">0136155 </v>
      </c>
      <c r="B6289" t="s">
        <v>19893</v>
      </c>
      <c r="C6289" t="s">
        <v>21261</v>
      </c>
      <c r="D6289" t="s">
        <v>21262</v>
      </c>
      <c r="E6289">
        <v>1</v>
      </c>
      <c r="F6289" t="s">
        <v>21263</v>
      </c>
      <c r="G6289" t="s">
        <v>19897</v>
      </c>
      <c r="H6289" t="s">
        <v>21261</v>
      </c>
      <c r="I6289" t="s">
        <v>21264</v>
      </c>
    </row>
    <row r="6290" spans="1:9">
      <c r="A6290" t="str">
        <f>"0136156 "</f>
        <v xml:space="preserve">0136156 </v>
      </c>
      <c r="B6290" t="s">
        <v>19893</v>
      </c>
      <c r="C6290" t="s">
        <v>21265</v>
      </c>
      <c r="D6290" t="s">
        <v>21266</v>
      </c>
      <c r="E6290">
        <v>1</v>
      </c>
      <c r="F6290" t="s">
        <v>21267</v>
      </c>
      <c r="G6290" t="s">
        <v>19897</v>
      </c>
      <c r="H6290" t="s">
        <v>21265</v>
      </c>
      <c r="I6290" t="s">
        <v>21268</v>
      </c>
    </row>
    <row r="6291" spans="1:9">
      <c r="A6291" t="str">
        <f>"0136157 "</f>
        <v xml:space="preserve">0136157 </v>
      </c>
      <c r="B6291" t="s">
        <v>19893</v>
      </c>
      <c r="C6291" t="s">
        <v>21269</v>
      </c>
      <c r="D6291" t="s">
        <v>21270</v>
      </c>
      <c r="E6291">
        <v>1</v>
      </c>
      <c r="F6291" t="s">
        <v>21271</v>
      </c>
      <c r="G6291" t="s">
        <v>19897</v>
      </c>
      <c r="H6291" t="s">
        <v>21269</v>
      </c>
      <c r="I6291" t="s">
        <v>21272</v>
      </c>
    </row>
    <row r="6292" spans="1:9">
      <c r="A6292" t="str">
        <f>"0136160 "</f>
        <v xml:space="preserve">0136160 </v>
      </c>
      <c r="B6292" t="s">
        <v>19893</v>
      </c>
      <c r="C6292" t="s">
        <v>21273</v>
      </c>
      <c r="D6292" t="s">
        <v>21274</v>
      </c>
      <c r="E6292">
        <v>2</v>
      </c>
      <c r="F6292" t="s">
        <v>21275</v>
      </c>
      <c r="G6292" t="s">
        <v>19897</v>
      </c>
      <c r="H6292" t="s">
        <v>21273</v>
      </c>
      <c r="I6292" t="s">
        <v>21276</v>
      </c>
    </row>
    <row r="6293" spans="1:9">
      <c r="A6293" t="str">
        <f>"0136169 "</f>
        <v xml:space="preserve">0136169 </v>
      </c>
      <c r="B6293" t="s">
        <v>19893</v>
      </c>
      <c r="C6293" t="s">
        <v>21277</v>
      </c>
      <c r="D6293" t="s">
        <v>21278</v>
      </c>
      <c r="E6293">
        <v>1</v>
      </c>
      <c r="F6293" t="s">
        <v>21131</v>
      </c>
      <c r="G6293" t="s">
        <v>19897</v>
      </c>
      <c r="H6293" t="s">
        <v>21277</v>
      </c>
      <c r="I6293" t="s">
        <v>21279</v>
      </c>
    </row>
    <row r="6294" spans="1:9">
      <c r="A6294" t="str">
        <f>"0136171 "</f>
        <v xml:space="preserve">0136171 </v>
      </c>
      <c r="B6294" t="s">
        <v>19893</v>
      </c>
      <c r="C6294" t="s">
        <v>21280</v>
      </c>
      <c r="D6294" t="s">
        <v>21281</v>
      </c>
      <c r="E6294">
        <v>2</v>
      </c>
      <c r="F6294" t="s">
        <v>10066</v>
      </c>
      <c r="G6294" t="s">
        <v>19897</v>
      </c>
      <c r="H6294" t="s">
        <v>21280</v>
      </c>
      <c r="I6294" t="s">
        <v>21282</v>
      </c>
    </row>
    <row r="6295" spans="1:9">
      <c r="A6295" t="str">
        <f>"0136175 "</f>
        <v xml:space="preserve">0136175 </v>
      </c>
      <c r="B6295" t="s">
        <v>19893</v>
      </c>
      <c r="C6295" t="s">
        <v>21283</v>
      </c>
      <c r="D6295" t="s">
        <v>21284</v>
      </c>
      <c r="E6295">
        <v>1</v>
      </c>
      <c r="F6295" t="s">
        <v>21045</v>
      </c>
      <c r="G6295" t="s">
        <v>19897</v>
      </c>
      <c r="H6295" t="s">
        <v>21283</v>
      </c>
      <c r="I6295" t="s">
        <v>21285</v>
      </c>
    </row>
    <row r="6296" spans="1:9">
      <c r="A6296" t="str">
        <f>"0136176 "</f>
        <v xml:space="preserve">0136176 </v>
      </c>
      <c r="B6296" t="s">
        <v>19893</v>
      </c>
      <c r="C6296" t="s">
        <v>21286</v>
      </c>
      <c r="D6296" t="s">
        <v>21287</v>
      </c>
      <c r="E6296">
        <v>2</v>
      </c>
      <c r="F6296" t="s">
        <v>21288</v>
      </c>
      <c r="G6296" t="s">
        <v>19897</v>
      </c>
      <c r="H6296" t="s">
        <v>21286</v>
      </c>
      <c r="I6296" t="s">
        <v>21289</v>
      </c>
    </row>
    <row r="6297" spans="1:9">
      <c r="A6297" t="str">
        <f>"0136180 "</f>
        <v xml:space="preserve">0136180 </v>
      </c>
      <c r="B6297" t="s">
        <v>19893</v>
      </c>
      <c r="C6297" t="s">
        <v>21290</v>
      </c>
      <c r="D6297" t="s">
        <v>21291</v>
      </c>
      <c r="E6297">
        <v>1</v>
      </c>
      <c r="F6297" t="s">
        <v>21292</v>
      </c>
      <c r="G6297" t="s">
        <v>19897</v>
      </c>
      <c r="H6297" t="s">
        <v>21290</v>
      </c>
      <c r="I6297" t="s">
        <v>21293</v>
      </c>
    </row>
    <row r="6298" spans="1:9">
      <c r="A6298" t="str">
        <f>"0136184 "</f>
        <v xml:space="preserve">0136184 </v>
      </c>
      <c r="B6298" t="s">
        <v>19893</v>
      </c>
      <c r="C6298" t="s">
        <v>21294</v>
      </c>
      <c r="D6298" t="s">
        <v>21295</v>
      </c>
      <c r="E6298">
        <v>2</v>
      </c>
      <c r="F6298" t="s">
        <v>20954</v>
      </c>
      <c r="G6298" t="s">
        <v>19897</v>
      </c>
      <c r="H6298" t="s">
        <v>21294</v>
      </c>
      <c r="I6298" t="s">
        <v>21296</v>
      </c>
    </row>
    <row r="6299" spans="1:9">
      <c r="A6299" t="str">
        <f>"0136185 "</f>
        <v xml:space="preserve">0136185 </v>
      </c>
      <c r="B6299" t="s">
        <v>19893</v>
      </c>
      <c r="C6299" t="s">
        <v>21297</v>
      </c>
      <c r="D6299" t="s">
        <v>21298</v>
      </c>
      <c r="E6299">
        <v>2</v>
      </c>
      <c r="F6299" t="s">
        <v>21299</v>
      </c>
      <c r="G6299" t="s">
        <v>19897</v>
      </c>
      <c r="H6299" t="s">
        <v>21297</v>
      </c>
      <c r="I6299" t="s">
        <v>21300</v>
      </c>
    </row>
    <row r="6300" spans="1:9">
      <c r="A6300" t="str">
        <f>"0136221 "</f>
        <v xml:space="preserve">0136221 </v>
      </c>
      <c r="B6300" t="s">
        <v>19893</v>
      </c>
      <c r="C6300" t="s">
        <v>21301</v>
      </c>
      <c r="D6300" t="s">
        <v>21302</v>
      </c>
      <c r="E6300">
        <v>2</v>
      </c>
      <c r="F6300" t="s">
        <v>21303</v>
      </c>
      <c r="G6300" t="s">
        <v>19897</v>
      </c>
      <c r="H6300" t="s">
        <v>21301</v>
      </c>
      <c r="I6300" t="s">
        <v>21304</v>
      </c>
    </row>
    <row r="6301" spans="1:9">
      <c r="A6301" t="str">
        <f>"0136227 "</f>
        <v xml:space="preserve">0136227 </v>
      </c>
      <c r="B6301" t="s">
        <v>19893</v>
      </c>
      <c r="C6301" t="s">
        <v>21305</v>
      </c>
      <c r="D6301" t="s">
        <v>21306</v>
      </c>
      <c r="E6301">
        <v>1</v>
      </c>
      <c r="F6301" t="s">
        <v>21307</v>
      </c>
      <c r="G6301" t="s">
        <v>19897</v>
      </c>
      <c r="H6301" t="s">
        <v>21305</v>
      </c>
      <c r="I6301" t="s">
        <v>21308</v>
      </c>
    </row>
    <row r="6302" spans="1:9">
      <c r="A6302" t="str">
        <f>"0136228 "</f>
        <v xml:space="preserve">0136228 </v>
      </c>
      <c r="B6302" t="s">
        <v>19893</v>
      </c>
      <c r="C6302" t="s">
        <v>21309</v>
      </c>
      <c r="D6302" t="s">
        <v>21310</v>
      </c>
      <c r="E6302">
        <v>1</v>
      </c>
      <c r="F6302" t="s">
        <v>20591</v>
      </c>
      <c r="G6302" t="s">
        <v>19897</v>
      </c>
      <c r="H6302" t="s">
        <v>21309</v>
      </c>
      <c r="I6302" t="s">
        <v>21311</v>
      </c>
    </row>
    <row r="6303" spans="1:9">
      <c r="A6303" t="str">
        <f>"0136233 "</f>
        <v xml:space="preserve">0136233 </v>
      </c>
      <c r="B6303" t="s">
        <v>19893</v>
      </c>
      <c r="C6303" t="s">
        <v>21312</v>
      </c>
      <c r="D6303" t="s">
        <v>21313</v>
      </c>
      <c r="E6303">
        <v>1</v>
      </c>
      <c r="F6303" t="s">
        <v>21314</v>
      </c>
      <c r="G6303" t="s">
        <v>19897</v>
      </c>
      <c r="H6303" t="s">
        <v>21312</v>
      </c>
      <c r="I6303" t="s">
        <v>21315</v>
      </c>
    </row>
    <row r="6304" spans="1:9">
      <c r="A6304" t="str">
        <f>"0136263 "</f>
        <v xml:space="preserve">0136263 </v>
      </c>
      <c r="B6304" t="s">
        <v>19893</v>
      </c>
      <c r="C6304" t="s">
        <v>21316</v>
      </c>
      <c r="D6304" t="s">
        <v>21317</v>
      </c>
      <c r="E6304">
        <v>1</v>
      </c>
      <c r="F6304" t="s">
        <v>20734</v>
      </c>
      <c r="G6304" t="s">
        <v>19897</v>
      </c>
      <c r="H6304" t="s">
        <v>21316</v>
      </c>
      <c r="I6304" t="s">
        <v>21318</v>
      </c>
    </row>
    <row r="6305" spans="1:9">
      <c r="A6305" t="str">
        <f>"0136267 "</f>
        <v xml:space="preserve">0136267 </v>
      </c>
      <c r="B6305" t="s">
        <v>19893</v>
      </c>
      <c r="C6305" t="s">
        <v>21319</v>
      </c>
      <c r="D6305" t="s">
        <v>21320</v>
      </c>
      <c r="E6305">
        <v>1</v>
      </c>
      <c r="F6305" t="s">
        <v>21321</v>
      </c>
      <c r="G6305" t="s">
        <v>19897</v>
      </c>
      <c r="H6305" t="s">
        <v>21319</v>
      </c>
      <c r="I6305" t="s">
        <v>21322</v>
      </c>
    </row>
    <row r="6306" spans="1:9">
      <c r="A6306" t="str">
        <f>"0136274 "</f>
        <v xml:space="preserve">0136274 </v>
      </c>
      <c r="B6306" t="s">
        <v>19893</v>
      </c>
      <c r="C6306" t="s">
        <v>21323</v>
      </c>
      <c r="D6306" t="s">
        <v>21324</v>
      </c>
      <c r="E6306">
        <v>1</v>
      </c>
      <c r="F6306" t="s">
        <v>21325</v>
      </c>
      <c r="G6306" t="s">
        <v>19897</v>
      </c>
      <c r="H6306" t="s">
        <v>21323</v>
      </c>
      <c r="I6306" t="s">
        <v>21326</v>
      </c>
    </row>
    <row r="6307" spans="1:9">
      <c r="A6307" t="str">
        <f>"0136280 "</f>
        <v xml:space="preserve">0136280 </v>
      </c>
      <c r="B6307" t="s">
        <v>19893</v>
      </c>
      <c r="C6307" t="s">
        <v>21327</v>
      </c>
      <c r="D6307" t="s">
        <v>21328</v>
      </c>
      <c r="E6307">
        <v>2</v>
      </c>
      <c r="F6307" t="s">
        <v>18420</v>
      </c>
      <c r="G6307" t="s">
        <v>19897</v>
      </c>
      <c r="H6307" t="s">
        <v>21327</v>
      </c>
      <c r="I6307" t="s">
        <v>21329</v>
      </c>
    </row>
    <row r="6308" spans="1:9">
      <c r="A6308" t="str">
        <f>"0136281 "</f>
        <v xml:space="preserve">0136281 </v>
      </c>
      <c r="B6308" t="s">
        <v>19893</v>
      </c>
      <c r="C6308" t="s">
        <v>21330</v>
      </c>
      <c r="D6308" t="s">
        <v>21331</v>
      </c>
      <c r="E6308">
        <v>1</v>
      </c>
      <c r="F6308" t="s">
        <v>21045</v>
      </c>
      <c r="G6308" t="s">
        <v>19897</v>
      </c>
      <c r="H6308" t="s">
        <v>21330</v>
      </c>
      <c r="I6308" t="s">
        <v>21332</v>
      </c>
    </row>
    <row r="6309" spans="1:9">
      <c r="A6309" t="str">
        <f>"0136282 "</f>
        <v xml:space="preserve">0136282 </v>
      </c>
      <c r="B6309" t="s">
        <v>19893</v>
      </c>
      <c r="C6309" t="s">
        <v>21333</v>
      </c>
      <c r="D6309" t="s">
        <v>21334</v>
      </c>
      <c r="E6309">
        <v>1</v>
      </c>
      <c r="F6309" t="s">
        <v>21335</v>
      </c>
      <c r="G6309" t="s">
        <v>19897</v>
      </c>
      <c r="H6309" t="s">
        <v>21333</v>
      </c>
      <c r="I6309" t="s">
        <v>21336</v>
      </c>
    </row>
    <row r="6310" spans="1:9">
      <c r="A6310" t="str">
        <f>"0136285 "</f>
        <v xml:space="preserve">0136285 </v>
      </c>
      <c r="B6310" t="s">
        <v>19893</v>
      </c>
      <c r="C6310" t="s">
        <v>21337</v>
      </c>
      <c r="D6310" t="s">
        <v>21338</v>
      </c>
      <c r="E6310">
        <v>1</v>
      </c>
      <c r="F6310" t="s">
        <v>21339</v>
      </c>
      <c r="G6310" t="s">
        <v>19897</v>
      </c>
      <c r="H6310" t="s">
        <v>21337</v>
      </c>
      <c r="I6310" t="s">
        <v>21340</v>
      </c>
    </row>
    <row r="6311" spans="1:9">
      <c r="A6311" t="str">
        <f>"0136289 "</f>
        <v xml:space="preserve">0136289 </v>
      </c>
      <c r="B6311" t="s">
        <v>19893</v>
      </c>
      <c r="C6311" t="s">
        <v>21341</v>
      </c>
      <c r="D6311" t="s">
        <v>21342</v>
      </c>
      <c r="E6311">
        <v>1</v>
      </c>
      <c r="F6311" t="s">
        <v>21343</v>
      </c>
      <c r="G6311" t="s">
        <v>19897</v>
      </c>
      <c r="H6311" t="s">
        <v>21341</v>
      </c>
      <c r="I6311" t="s">
        <v>21344</v>
      </c>
    </row>
    <row r="6312" spans="1:9">
      <c r="A6312" t="str">
        <f>"0136290 "</f>
        <v xml:space="preserve">0136290 </v>
      </c>
      <c r="B6312" t="s">
        <v>19893</v>
      </c>
      <c r="C6312" t="s">
        <v>21345</v>
      </c>
      <c r="D6312" t="s">
        <v>21346</v>
      </c>
      <c r="E6312">
        <v>1</v>
      </c>
      <c r="F6312" t="s">
        <v>21343</v>
      </c>
      <c r="G6312" t="s">
        <v>19897</v>
      </c>
      <c r="H6312" t="s">
        <v>21345</v>
      </c>
      <c r="I6312" t="s">
        <v>21347</v>
      </c>
    </row>
    <row r="6313" spans="1:9">
      <c r="A6313" t="str">
        <f>"0136291 "</f>
        <v xml:space="preserve">0136291 </v>
      </c>
      <c r="B6313" t="s">
        <v>19893</v>
      </c>
      <c r="C6313" t="s">
        <v>21348</v>
      </c>
      <c r="D6313" t="s">
        <v>21349</v>
      </c>
      <c r="E6313">
        <v>2</v>
      </c>
      <c r="F6313" t="s">
        <v>21350</v>
      </c>
      <c r="G6313" t="s">
        <v>19897</v>
      </c>
      <c r="H6313" t="s">
        <v>21348</v>
      </c>
      <c r="I6313" t="s">
        <v>21351</v>
      </c>
    </row>
    <row r="6314" spans="1:9">
      <c r="A6314" t="str">
        <f>"0136393 "</f>
        <v xml:space="preserve">0136393 </v>
      </c>
      <c r="B6314" t="s">
        <v>19893</v>
      </c>
      <c r="C6314" t="s">
        <v>21352</v>
      </c>
      <c r="D6314" t="s">
        <v>21353</v>
      </c>
      <c r="E6314">
        <v>1</v>
      </c>
      <c r="F6314" t="s">
        <v>21354</v>
      </c>
      <c r="G6314" t="s">
        <v>19897</v>
      </c>
      <c r="H6314" t="s">
        <v>21352</v>
      </c>
      <c r="I6314" t="s">
        <v>21355</v>
      </c>
    </row>
    <row r="6315" spans="1:9">
      <c r="A6315" t="str">
        <f>"0136407 "</f>
        <v xml:space="preserve">0136407 </v>
      </c>
      <c r="B6315" t="s">
        <v>19893</v>
      </c>
      <c r="C6315" t="s">
        <v>21356</v>
      </c>
      <c r="D6315" t="s">
        <v>21357</v>
      </c>
      <c r="E6315">
        <v>1</v>
      </c>
      <c r="F6315" t="s">
        <v>21358</v>
      </c>
      <c r="G6315" t="s">
        <v>19897</v>
      </c>
      <c r="H6315" t="s">
        <v>21356</v>
      </c>
      <c r="I6315" t="s">
        <v>21359</v>
      </c>
    </row>
    <row r="6316" spans="1:9">
      <c r="A6316" t="str">
        <f>"0136408 "</f>
        <v xml:space="preserve">0136408 </v>
      </c>
      <c r="B6316" t="s">
        <v>19893</v>
      </c>
      <c r="C6316" t="s">
        <v>21360</v>
      </c>
      <c r="D6316" t="s">
        <v>21361</v>
      </c>
      <c r="E6316">
        <v>1</v>
      </c>
      <c r="F6316" t="s">
        <v>21362</v>
      </c>
      <c r="G6316" t="s">
        <v>19897</v>
      </c>
      <c r="H6316" t="s">
        <v>21360</v>
      </c>
      <c r="I6316" t="s">
        <v>21363</v>
      </c>
    </row>
    <row r="6317" spans="1:9">
      <c r="A6317" t="str">
        <f>"0136455 "</f>
        <v xml:space="preserve">0136455 </v>
      </c>
      <c r="B6317" t="s">
        <v>19893</v>
      </c>
      <c r="C6317" t="s">
        <v>21364</v>
      </c>
      <c r="D6317" t="s">
        <v>21365</v>
      </c>
      <c r="E6317">
        <v>1</v>
      </c>
      <c r="F6317" t="s">
        <v>21366</v>
      </c>
      <c r="G6317" t="s">
        <v>19897</v>
      </c>
      <c r="H6317" t="s">
        <v>21364</v>
      </c>
      <c r="I6317" t="s">
        <v>21367</v>
      </c>
    </row>
    <row r="6318" spans="1:9">
      <c r="A6318" t="str">
        <f>"0136459 "</f>
        <v xml:space="preserve">0136459 </v>
      </c>
      <c r="B6318" t="s">
        <v>19893</v>
      </c>
      <c r="C6318" t="s">
        <v>21368</v>
      </c>
      <c r="D6318" t="s">
        <v>21369</v>
      </c>
      <c r="E6318">
        <v>3</v>
      </c>
      <c r="F6318" t="s">
        <v>20734</v>
      </c>
      <c r="G6318" t="s">
        <v>19897</v>
      </c>
      <c r="H6318" t="s">
        <v>21368</v>
      </c>
      <c r="I6318" t="s">
        <v>21370</v>
      </c>
    </row>
    <row r="6319" spans="1:9">
      <c r="A6319" t="str">
        <f>"0136462 "</f>
        <v xml:space="preserve">0136462 </v>
      </c>
      <c r="B6319" t="s">
        <v>19893</v>
      </c>
      <c r="C6319" t="s">
        <v>21371</v>
      </c>
      <c r="D6319" t="s">
        <v>21372</v>
      </c>
      <c r="E6319">
        <v>1</v>
      </c>
      <c r="F6319" t="s">
        <v>21373</v>
      </c>
      <c r="G6319" t="s">
        <v>19897</v>
      </c>
      <c r="H6319" t="s">
        <v>21371</v>
      </c>
      <c r="I6319" t="s">
        <v>21374</v>
      </c>
    </row>
    <row r="6320" spans="1:9">
      <c r="A6320" t="str">
        <f>"0136472 "</f>
        <v xml:space="preserve">0136472 </v>
      </c>
      <c r="B6320" t="s">
        <v>19893</v>
      </c>
      <c r="C6320" t="s">
        <v>21375</v>
      </c>
      <c r="D6320" t="s">
        <v>21376</v>
      </c>
      <c r="E6320">
        <v>2</v>
      </c>
      <c r="F6320" t="s">
        <v>21377</v>
      </c>
      <c r="G6320" t="s">
        <v>19897</v>
      </c>
      <c r="H6320" t="s">
        <v>21375</v>
      </c>
      <c r="I6320" t="s">
        <v>21378</v>
      </c>
    </row>
    <row r="6321" spans="1:9">
      <c r="A6321" t="str">
        <f>"0136495 "</f>
        <v xml:space="preserve">0136495 </v>
      </c>
      <c r="B6321" t="s">
        <v>19893</v>
      </c>
      <c r="C6321" t="s">
        <v>21379</v>
      </c>
      <c r="D6321" t="s">
        <v>21380</v>
      </c>
      <c r="E6321">
        <v>1</v>
      </c>
      <c r="F6321" t="s">
        <v>21381</v>
      </c>
      <c r="G6321" t="s">
        <v>19897</v>
      </c>
      <c r="H6321" t="s">
        <v>21379</v>
      </c>
      <c r="I6321" t="s">
        <v>21382</v>
      </c>
    </row>
    <row r="6322" spans="1:9">
      <c r="A6322" t="str">
        <f>"0136504 "</f>
        <v xml:space="preserve">0136504 </v>
      </c>
      <c r="B6322" t="s">
        <v>19893</v>
      </c>
      <c r="C6322" t="s">
        <v>21383</v>
      </c>
      <c r="D6322" t="s">
        <v>21384</v>
      </c>
      <c r="E6322">
        <v>1</v>
      </c>
      <c r="F6322" t="s">
        <v>21385</v>
      </c>
      <c r="G6322" t="s">
        <v>19897</v>
      </c>
      <c r="H6322" t="s">
        <v>21383</v>
      </c>
      <c r="I6322" t="s">
        <v>21386</v>
      </c>
    </row>
    <row r="6323" spans="1:9">
      <c r="A6323" t="str">
        <f>"0136508 "</f>
        <v xml:space="preserve">0136508 </v>
      </c>
      <c r="B6323" t="s">
        <v>19893</v>
      </c>
      <c r="C6323" t="s">
        <v>21387</v>
      </c>
      <c r="D6323" t="s">
        <v>21388</v>
      </c>
      <c r="E6323">
        <v>2</v>
      </c>
      <c r="F6323" t="s">
        <v>21389</v>
      </c>
      <c r="G6323" t="s">
        <v>19897</v>
      </c>
      <c r="H6323" t="s">
        <v>21387</v>
      </c>
      <c r="I6323" t="s">
        <v>21390</v>
      </c>
    </row>
    <row r="6324" spans="1:9">
      <c r="A6324" t="str">
        <f>"0136526 "</f>
        <v xml:space="preserve">0136526 </v>
      </c>
      <c r="B6324" t="s">
        <v>19893</v>
      </c>
      <c r="C6324" t="s">
        <v>21391</v>
      </c>
      <c r="D6324" t="s">
        <v>21392</v>
      </c>
      <c r="E6324">
        <v>2</v>
      </c>
      <c r="F6324" t="s">
        <v>21393</v>
      </c>
      <c r="G6324" t="s">
        <v>19897</v>
      </c>
      <c r="H6324" t="s">
        <v>21391</v>
      </c>
      <c r="I6324" t="s">
        <v>21394</v>
      </c>
    </row>
    <row r="6325" spans="1:9">
      <c r="A6325" t="str">
        <f>"0152956 "</f>
        <v xml:space="preserve">0152956 </v>
      </c>
      <c r="B6325" t="s">
        <v>19893</v>
      </c>
      <c r="C6325" t="s">
        <v>21395</v>
      </c>
      <c r="D6325" t="s">
        <v>21396</v>
      </c>
      <c r="E6325">
        <v>1</v>
      </c>
      <c r="F6325" t="s">
        <v>21397</v>
      </c>
      <c r="G6325" t="s">
        <v>19897</v>
      </c>
      <c r="H6325" t="s">
        <v>21395</v>
      </c>
      <c r="I6325" t="s">
        <v>21398</v>
      </c>
    </row>
    <row r="6326" spans="1:9">
      <c r="A6326" t="str">
        <f>"0136537 "</f>
        <v xml:space="preserve">0136537 </v>
      </c>
      <c r="B6326" t="s">
        <v>19893</v>
      </c>
      <c r="C6326" t="s">
        <v>21399</v>
      </c>
      <c r="D6326" t="s">
        <v>21400</v>
      </c>
      <c r="E6326">
        <v>1</v>
      </c>
      <c r="F6326" t="s">
        <v>21401</v>
      </c>
      <c r="G6326" t="s">
        <v>19897</v>
      </c>
      <c r="H6326" t="s">
        <v>21399</v>
      </c>
      <c r="I6326" t="s">
        <v>21402</v>
      </c>
    </row>
    <row r="6327" spans="1:9">
      <c r="A6327" t="str">
        <f>"0136538 "</f>
        <v xml:space="preserve">0136538 </v>
      </c>
      <c r="B6327" t="s">
        <v>19893</v>
      </c>
      <c r="C6327" t="s">
        <v>21403</v>
      </c>
      <c r="D6327" t="s">
        <v>21404</v>
      </c>
      <c r="E6327">
        <v>2</v>
      </c>
      <c r="F6327" t="s">
        <v>21405</v>
      </c>
      <c r="G6327" t="s">
        <v>19897</v>
      </c>
      <c r="H6327" t="s">
        <v>21403</v>
      </c>
      <c r="I6327" t="s">
        <v>21406</v>
      </c>
    </row>
    <row r="6328" spans="1:9">
      <c r="A6328" t="str">
        <f>"0136551 "</f>
        <v xml:space="preserve">0136551 </v>
      </c>
      <c r="B6328" t="s">
        <v>19893</v>
      </c>
      <c r="C6328" t="s">
        <v>21407</v>
      </c>
      <c r="D6328" t="s">
        <v>21408</v>
      </c>
      <c r="E6328">
        <v>1</v>
      </c>
      <c r="F6328" t="s">
        <v>15073</v>
      </c>
      <c r="G6328" t="s">
        <v>19897</v>
      </c>
      <c r="H6328" t="s">
        <v>21407</v>
      </c>
      <c r="I6328" t="s">
        <v>21409</v>
      </c>
    </row>
    <row r="6329" spans="1:9">
      <c r="A6329" t="str">
        <f>"0136572 "</f>
        <v xml:space="preserve">0136572 </v>
      </c>
      <c r="B6329" t="s">
        <v>19893</v>
      </c>
      <c r="C6329" t="s">
        <v>21410</v>
      </c>
      <c r="D6329" t="s">
        <v>21411</v>
      </c>
      <c r="E6329">
        <v>1</v>
      </c>
      <c r="F6329" t="s">
        <v>21184</v>
      </c>
      <c r="G6329" t="s">
        <v>19897</v>
      </c>
      <c r="H6329" t="s">
        <v>21410</v>
      </c>
      <c r="I6329" t="s">
        <v>21412</v>
      </c>
    </row>
    <row r="6330" spans="1:9">
      <c r="A6330" t="str">
        <f>"0136574 "</f>
        <v xml:space="preserve">0136574 </v>
      </c>
      <c r="B6330" t="s">
        <v>19893</v>
      </c>
      <c r="C6330" t="s">
        <v>21413</v>
      </c>
      <c r="D6330" t="s">
        <v>21414</v>
      </c>
      <c r="E6330">
        <v>1</v>
      </c>
      <c r="F6330" t="s">
        <v>21415</v>
      </c>
      <c r="G6330" t="s">
        <v>19897</v>
      </c>
      <c r="H6330" t="s">
        <v>21413</v>
      </c>
      <c r="I6330" t="s">
        <v>21416</v>
      </c>
    </row>
    <row r="6331" spans="1:9">
      <c r="A6331" t="str">
        <f>"0136577 "</f>
        <v xml:space="preserve">0136577 </v>
      </c>
      <c r="B6331" t="s">
        <v>19893</v>
      </c>
      <c r="C6331" t="s">
        <v>21417</v>
      </c>
      <c r="D6331" t="s">
        <v>21418</v>
      </c>
      <c r="E6331">
        <v>1</v>
      </c>
      <c r="F6331" t="s">
        <v>21419</v>
      </c>
      <c r="G6331" t="s">
        <v>19897</v>
      </c>
      <c r="H6331" t="s">
        <v>21417</v>
      </c>
      <c r="I6331" t="s">
        <v>21420</v>
      </c>
    </row>
    <row r="6332" spans="1:9">
      <c r="A6332" t="str">
        <f>"0136580 "</f>
        <v xml:space="preserve">0136580 </v>
      </c>
      <c r="B6332" t="s">
        <v>19893</v>
      </c>
      <c r="C6332" t="s">
        <v>21421</v>
      </c>
      <c r="D6332" t="s">
        <v>21422</v>
      </c>
      <c r="E6332">
        <v>4</v>
      </c>
      <c r="F6332" t="s">
        <v>21423</v>
      </c>
      <c r="G6332" t="s">
        <v>19897</v>
      </c>
      <c r="H6332" t="s">
        <v>21421</v>
      </c>
      <c r="I6332" t="s">
        <v>21424</v>
      </c>
    </row>
    <row r="6333" spans="1:9">
      <c r="A6333" t="str">
        <f>"0136584 "</f>
        <v xml:space="preserve">0136584 </v>
      </c>
      <c r="B6333" t="s">
        <v>19893</v>
      </c>
      <c r="C6333" t="s">
        <v>21425</v>
      </c>
      <c r="D6333" t="s">
        <v>21426</v>
      </c>
      <c r="E6333">
        <v>1</v>
      </c>
      <c r="F6333" t="s">
        <v>21427</v>
      </c>
      <c r="G6333" t="s">
        <v>19897</v>
      </c>
      <c r="H6333" t="s">
        <v>21425</v>
      </c>
      <c r="I6333" t="s">
        <v>21428</v>
      </c>
    </row>
    <row r="6334" spans="1:9">
      <c r="A6334" t="str">
        <f>"0136585 "</f>
        <v xml:space="preserve">0136585 </v>
      </c>
      <c r="B6334" t="s">
        <v>19893</v>
      </c>
      <c r="C6334" t="s">
        <v>21429</v>
      </c>
      <c r="D6334" t="s">
        <v>21430</v>
      </c>
      <c r="E6334">
        <v>1</v>
      </c>
      <c r="F6334" t="s">
        <v>21431</v>
      </c>
      <c r="G6334" t="s">
        <v>19897</v>
      </c>
      <c r="H6334" t="s">
        <v>21429</v>
      </c>
      <c r="I6334" t="s">
        <v>21432</v>
      </c>
    </row>
    <row r="6335" spans="1:9">
      <c r="A6335" t="str">
        <f>"0136590 "</f>
        <v xml:space="preserve">0136590 </v>
      </c>
      <c r="B6335" t="s">
        <v>19893</v>
      </c>
      <c r="C6335" t="s">
        <v>21433</v>
      </c>
      <c r="D6335" t="s">
        <v>21434</v>
      </c>
      <c r="E6335">
        <v>1</v>
      </c>
      <c r="F6335" t="s">
        <v>21435</v>
      </c>
      <c r="G6335" t="s">
        <v>19897</v>
      </c>
      <c r="H6335" t="s">
        <v>21433</v>
      </c>
      <c r="I6335" t="s">
        <v>21436</v>
      </c>
    </row>
    <row r="6336" spans="1:9">
      <c r="A6336" t="str">
        <f>"0136591 "</f>
        <v xml:space="preserve">0136591 </v>
      </c>
      <c r="B6336" t="s">
        <v>19893</v>
      </c>
      <c r="C6336" t="s">
        <v>21437</v>
      </c>
      <c r="D6336" t="s">
        <v>21438</v>
      </c>
      <c r="E6336">
        <v>2</v>
      </c>
      <c r="F6336" t="s">
        <v>9411</v>
      </c>
      <c r="G6336" t="s">
        <v>19897</v>
      </c>
      <c r="H6336" t="s">
        <v>21437</v>
      </c>
      <c r="I6336" t="s">
        <v>21439</v>
      </c>
    </row>
    <row r="6337" spans="1:9">
      <c r="A6337" t="str">
        <f>"0136595 "</f>
        <v xml:space="preserve">0136595 </v>
      </c>
      <c r="B6337" t="s">
        <v>19893</v>
      </c>
      <c r="C6337" t="s">
        <v>21440</v>
      </c>
      <c r="D6337" t="s">
        <v>21441</v>
      </c>
      <c r="E6337">
        <v>2</v>
      </c>
      <c r="F6337" t="s">
        <v>20370</v>
      </c>
      <c r="G6337" t="s">
        <v>19897</v>
      </c>
      <c r="H6337" t="s">
        <v>21440</v>
      </c>
      <c r="I6337" t="s">
        <v>21442</v>
      </c>
    </row>
    <row r="6338" spans="1:9">
      <c r="A6338" t="str">
        <f>"0136606 "</f>
        <v xml:space="preserve">0136606 </v>
      </c>
      <c r="B6338" t="s">
        <v>19893</v>
      </c>
      <c r="C6338" t="s">
        <v>21443</v>
      </c>
      <c r="D6338" t="s">
        <v>21444</v>
      </c>
      <c r="E6338">
        <v>1</v>
      </c>
      <c r="F6338" t="s">
        <v>21445</v>
      </c>
      <c r="G6338" t="s">
        <v>19897</v>
      </c>
      <c r="H6338" t="s">
        <v>21443</v>
      </c>
      <c r="I6338" t="s">
        <v>21446</v>
      </c>
    </row>
    <row r="6339" spans="1:9">
      <c r="A6339" t="str">
        <f>"0136609 "</f>
        <v xml:space="preserve">0136609 </v>
      </c>
      <c r="B6339" t="s">
        <v>19893</v>
      </c>
      <c r="C6339" t="s">
        <v>21447</v>
      </c>
      <c r="D6339" t="s">
        <v>21448</v>
      </c>
      <c r="E6339">
        <v>2</v>
      </c>
      <c r="F6339" t="s">
        <v>21449</v>
      </c>
      <c r="G6339" t="s">
        <v>19897</v>
      </c>
      <c r="H6339" t="s">
        <v>21447</v>
      </c>
      <c r="I6339" t="s">
        <v>21450</v>
      </c>
    </row>
    <row r="6340" spans="1:9">
      <c r="A6340" t="str">
        <f>"0136613 "</f>
        <v xml:space="preserve">0136613 </v>
      </c>
      <c r="B6340" t="s">
        <v>19893</v>
      </c>
      <c r="C6340" t="s">
        <v>21451</v>
      </c>
      <c r="D6340" t="s">
        <v>21452</v>
      </c>
      <c r="E6340">
        <v>1</v>
      </c>
      <c r="F6340" t="s">
        <v>21453</v>
      </c>
      <c r="G6340" t="s">
        <v>19897</v>
      </c>
      <c r="H6340" t="s">
        <v>21451</v>
      </c>
      <c r="I6340" t="s">
        <v>21454</v>
      </c>
    </row>
    <row r="6341" spans="1:9">
      <c r="A6341" t="str">
        <f>"0136615 "</f>
        <v xml:space="preserve">0136615 </v>
      </c>
      <c r="B6341" t="s">
        <v>19893</v>
      </c>
      <c r="C6341" t="s">
        <v>21455</v>
      </c>
      <c r="D6341" t="s">
        <v>21456</v>
      </c>
      <c r="E6341">
        <v>3</v>
      </c>
      <c r="F6341" t="s">
        <v>21457</v>
      </c>
      <c r="G6341" t="s">
        <v>19897</v>
      </c>
      <c r="H6341" t="s">
        <v>21455</v>
      </c>
      <c r="I6341" t="s">
        <v>21458</v>
      </c>
    </row>
    <row r="6342" spans="1:9">
      <c r="A6342" t="str">
        <f>"0136620 "</f>
        <v xml:space="preserve">0136620 </v>
      </c>
      <c r="B6342" t="s">
        <v>19893</v>
      </c>
      <c r="C6342" t="s">
        <v>21459</v>
      </c>
      <c r="D6342" t="s">
        <v>21460</v>
      </c>
      <c r="E6342">
        <v>1</v>
      </c>
      <c r="F6342" t="s">
        <v>21461</v>
      </c>
      <c r="G6342" t="s">
        <v>19897</v>
      </c>
      <c r="H6342" t="s">
        <v>21459</v>
      </c>
      <c r="I6342" t="s">
        <v>21462</v>
      </c>
    </row>
    <row r="6343" spans="1:9">
      <c r="A6343" t="str">
        <f>"0136624 "</f>
        <v xml:space="preserve">0136624 </v>
      </c>
      <c r="B6343" t="s">
        <v>19893</v>
      </c>
      <c r="C6343" t="s">
        <v>21463</v>
      </c>
      <c r="D6343" t="s">
        <v>21464</v>
      </c>
      <c r="E6343">
        <v>3</v>
      </c>
      <c r="F6343" t="s">
        <v>21019</v>
      </c>
      <c r="G6343" t="s">
        <v>19897</v>
      </c>
      <c r="H6343" t="s">
        <v>21463</v>
      </c>
      <c r="I6343" t="s">
        <v>21465</v>
      </c>
    </row>
    <row r="6344" spans="1:9">
      <c r="A6344" t="str">
        <f>"0136627 "</f>
        <v xml:space="preserve">0136627 </v>
      </c>
      <c r="B6344" t="s">
        <v>19893</v>
      </c>
      <c r="C6344" t="s">
        <v>21466</v>
      </c>
      <c r="D6344" t="s">
        <v>21467</v>
      </c>
      <c r="E6344">
        <v>2</v>
      </c>
      <c r="F6344" t="s">
        <v>21468</v>
      </c>
      <c r="G6344" t="s">
        <v>19897</v>
      </c>
      <c r="H6344" t="s">
        <v>21466</v>
      </c>
      <c r="I6344" t="s">
        <v>21469</v>
      </c>
    </row>
    <row r="6345" spans="1:9">
      <c r="A6345" t="str">
        <f>"0136628 "</f>
        <v xml:space="preserve">0136628 </v>
      </c>
      <c r="B6345" t="s">
        <v>19893</v>
      </c>
      <c r="C6345" t="s">
        <v>21470</v>
      </c>
      <c r="D6345" t="s">
        <v>21471</v>
      </c>
      <c r="E6345">
        <v>2</v>
      </c>
      <c r="F6345" t="s">
        <v>21472</v>
      </c>
      <c r="G6345" t="s">
        <v>19897</v>
      </c>
      <c r="H6345" t="s">
        <v>21470</v>
      </c>
      <c r="I6345" t="s">
        <v>21473</v>
      </c>
    </row>
    <row r="6346" spans="1:9">
      <c r="A6346" t="str">
        <f>"0136631 "</f>
        <v xml:space="preserve">0136631 </v>
      </c>
      <c r="B6346" t="s">
        <v>19893</v>
      </c>
      <c r="C6346" t="s">
        <v>21474</v>
      </c>
      <c r="D6346" t="s">
        <v>21475</v>
      </c>
      <c r="E6346">
        <v>1</v>
      </c>
      <c r="F6346" t="s">
        <v>21476</v>
      </c>
      <c r="G6346" t="s">
        <v>19897</v>
      </c>
      <c r="H6346" t="s">
        <v>21474</v>
      </c>
      <c r="I6346" t="s">
        <v>21477</v>
      </c>
    </row>
    <row r="6347" spans="1:9">
      <c r="A6347" t="str">
        <f>"0136633 "</f>
        <v xml:space="preserve">0136633 </v>
      </c>
      <c r="B6347" t="s">
        <v>19893</v>
      </c>
      <c r="C6347" t="s">
        <v>21478</v>
      </c>
      <c r="D6347" t="s">
        <v>21479</v>
      </c>
      <c r="E6347">
        <v>2</v>
      </c>
      <c r="F6347" t="s">
        <v>21480</v>
      </c>
      <c r="G6347" t="s">
        <v>19897</v>
      </c>
      <c r="H6347" t="s">
        <v>21478</v>
      </c>
      <c r="I6347" t="s">
        <v>21481</v>
      </c>
    </row>
    <row r="6348" spans="1:9">
      <c r="A6348" t="str">
        <f>"0136646 "</f>
        <v xml:space="preserve">0136646 </v>
      </c>
      <c r="B6348" t="s">
        <v>19893</v>
      </c>
      <c r="C6348" t="s">
        <v>21482</v>
      </c>
      <c r="D6348" t="s">
        <v>21483</v>
      </c>
      <c r="E6348">
        <v>1</v>
      </c>
      <c r="F6348" t="s">
        <v>21484</v>
      </c>
      <c r="G6348" t="s">
        <v>19897</v>
      </c>
      <c r="H6348" t="s">
        <v>21482</v>
      </c>
      <c r="I6348" t="s">
        <v>21485</v>
      </c>
    </row>
    <row r="6349" spans="1:9">
      <c r="A6349" t="str">
        <f>"0136648 "</f>
        <v xml:space="preserve">0136648 </v>
      </c>
      <c r="B6349" t="s">
        <v>19893</v>
      </c>
      <c r="C6349" t="s">
        <v>21486</v>
      </c>
      <c r="D6349" t="s">
        <v>21487</v>
      </c>
      <c r="E6349">
        <v>2</v>
      </c>
      <c r="F6349" t="s">
        <v>21488</v>
      </c>
      <c r="G6349" t="s">
        <v>19897</v>
      </c>
      <c r="H6349" t="s">
        <v>21486</v>
      </c>
      <c r="I6349" t="s">
        <v>21489</v>
      </c>
    </row>
    <row r="6350" spans="1:9">
      <c r="A6350" t="str">
        <f>"0136652 "</f>
        <v xml:space="preserve">0136652 </v>
      </c>
      <c r="B6350" t="s">
        <v>19893</v>
      </c>
      <c r="C6350" t="s">
        <v>21490</v>
      </c>
      <c r="D6350" t="s">
        <v>21491</v>
      </c>
      <c r="E6350">
        <v>2</v>
      </c>
      <c r="F6350" t="s">
        <v>21492</v>
      </c>
      <c r="G6350" t="s">
        <v>19897</v>
      </c>
      <c r="H6350" t="s">
        <v>21490</v>
      </c>
      <c r="I6350" t="s">
        <v>21493</v>
      </c>
    </row>
    <row r="6351" spans="1:9">
      <c r="A6351" t="str">
        <f>"0136666 "</f>
        <v xml:space="preserve">0136666 </v>
      </c>
      <c r="B6351" t="s">
        <v>19893</v>
      </c>
      <c r="C6351" t="s">
        <v>21494</v>
      </c>
      <c r="D6351" t="s">
        <v>21495</v>
      </c>
      <c r="E6351">
        <v>2</v>
      </c>
      <c r="F6351" t="s">
        <v>21496</v>
      </c>
      <c r="G6351" t="s">
        <v>19897</v>
      </c>
      <c r="H6351" t="s">
        <v>21494</v>
      </c>
      <c r="I6351" t="s">
        <v>21497</v>
      </c>
    </row>
    <row r="6352" spans="1:9">
      <c r="A6352" t="str">
        <f>"0136667 "</f>
        <v xml:space="preserve">0136667 </v>
      </c>
      <c r="B6352" t="s">
        <v>19893</v>
      </c>
      <c r="C6352" t="s">
        <v>21498</v>
      </c>
      <c r="D6352" t="s">
        <v>21499</v>
      </c>
      <c r="E6352">
        <v>2</v>
      </c>
      <c r="F6352" t="s">
        <v>21500</v>
      </c>
      <c r="G6352" t="s">
        <v>19897</v>
      </c>
      <c r="H6352" t="s">
        <v>21498</v>
      </c>
      <c r="I6352" t="s">
        <v>21501</v>
      </c>
    </row>
    <row r="6353" spans="1:9">
      <c r="A6353" t="str">
        <f>"0136675 "</f>
        <v xml:space="preserve">0136675 </v>
      </c>
      <c r="B6353" t="s">
        <v>19893</v>
      </c>
      <c r="C6353" t="s">
        <v>21502</v>
      </c>
      <c r="D6353" t="s">
        <v>21503</v>
      </c>
      <c r="E6353">
        <v>2</v>
      </c>
      <c r="F6353" t="s">
        <v>21504</v>
      </c>
      <c r="G6353" t="s">
        <v>19897</v>
      </c>
      <c r="H6353" t="s">
        <v>21502</v>
      </c>
      <c r="I6353" t="s">
        <v>21505</v>
      </c>
    </row>
    <row r="6354" spans="1:9">
      <c r="A6354" t="str">
        <f>"0136677 "</f>
        <v xml:space="preserve">0136677 </v>
      </c>
      <c r="B6354" t="s">
        <v>19893</v>
      </c>
      <c r="C6354" t="s">
        <v>21506</v>
      </c>
      <c r="D6354" t="s">
        <v>21507</v>
      </c>
      <c r="E6354">
        <v>1</v>
      </c>
      <c r="F6354" t="s">
        <v>21508</v>
      </c>
      <c r="G6354" t="s">
        <v>19897</v>
      </c>
      <c r="H6354" t="s">
        <v>21506</v>
      </c>
      <c r="I6354" t="str">
        <f>"0X139,5X90,7  (R17472)"</f>
        <v>0X139,5X90,7  (R17472)</v>
      </c>
    </row>
    <row r="6355" spans="1:9">
      <c r="A6355" t="str">
        <f>"0136678 "</f>
        <v xml:space="preserve">0136678 </v>
      </c>
      <c r="B6355" t="s">
        <v>19893</v>
      </c>
      <c r="C6355" t="s">
        <v>21509</v>
      </c>
      <c r="D6355" t="s">
        <v>21510</v>
      </c>
      <c r="E6355">
        <v>1</v>
      </c>
      <c r="F6355" t="s">
        <v>21511</v>
      </c>
      <c r="G6355" t="s">
        <v>19897</v>
      </c>
      <c r="H6355" t="s">
        <v>21509</v>
      </c>
      <c r="I6355" t="s">
        <v>21512</v>
      </c>
    </row>
    <row r="6356" spans="1:9">
      <c r="A6356" t="str">
        <f>"0136679 "</f>
        <v xml:space="preserve">0136679 </v>
      </c>
      <c r="B6356" t="s">
        <v>19893</v>
      </c>
      <c r="C6356" t="s">
        <v>21513</v>
      </c>
      <c r="D6356" t="s">
        <v>21514</v>
      </c>
      <c r="E6356">
        <v>1</v>
      </c>
      <c r="F6356" t="s">
        <v>20658</v>
      </c>
      <c r="G6356" t="s">
        <v>19897</v>
      </c>
      <c r="H6356" t="s">
        <v>21513</v>
      </c>
      <c r="I6356" t="s">
        <v>21515</v>
      </c>
    </row>
    <row r="6357" spans="1:9">
      <c r="A6357" t="str">
        <f>"0136688 "</f>
        <v xml:space="preserve">0136688 </v>
      </c>
      <c r="B6357" t="s">
        <v>19893</v>
      </c>
      <c r="C6357" t="s">
        <v>21516</v>
      </c>
      <c r="D6357" t="s">
        <v>21517</v>
      </c>
      <c r="E6357">
        <v>2</v>
      </c>
      <c r="F6357" t="s">
        <v>21504</v>
      </c>
      <c r="G6357" t="s">
        <v>19897</v>
      </c>
      <c r="H6357" t="s">
        <v>21516</v>
      </c>
      <c r="I6357" t="s">
        <v>21518</v>
      </c>
    </row>
    <row r="6358" spans="1:9">
      <c r="A6358" t="str">
        <f>"0136692 "</f>
        <v xml:space="preserve">0136692 </v>
      </c>
      <c r="B6358" t="s">
        <v>19893</v>
      </c>
      <c r="C6358" t="s">
        <v>21519</v>
      </c>
      <c r="D6358" t="s">
        <v>21520</v>
      </c>
      <c r="E6358">
        <v>1</v>
      </c>
      <c r="F6358" t="s">
        <v>21521</v>
      </c>
      <c r="G6358" t="s">
        <v>19897</v>
      </c>
      <c r="H6358" t="s">
        <v>21519</v>
      </c>
      <c r="I6358" t="s">
        <v>21522</v>
      </c>
    </row>
    <row r="6359" spans="1:9">
      <c r="A6359" t="str">
        <f>"0136693 "</f>
        <v xml:space="preserve">0136693 </v>
      </c>
      <c r="B6359" t="s">
        <v>19893</v>
      </c>
      <c r="C6359" t="s">
        <v>21523</v>
      </c>
      <c r="D6359" t="s">
        <v>21524</v>
      </c>
      <c r="E6359">
        <v>2</v>
      </c>
      <c r="F6359" t="s">
        <v>21525</v>
      </c>
      <c r="G6359" t="s">
        <v>19897</v>
      </c>
      <c r="H6359" t="s">
        <v>21523</v>
      </c>
      <c r="I6359" t="s">
        <v>21526</v>
      </c>
    </row>
    <row r="6360" spans="1:9">
      <c r="A6360" t="str">
        <f>"0136715 "</f>
        <v xml:space="preserve">0136715 </v>
      </c>
      <c r="B6360" t="s">
        <v>19893</v>
      </c>
      <c r="C6360" t="s">
        <v>21527</v>
      </c>
      <c r="D6360" t="s">
        <v>21528</v>
      </c>
      <c r="E6360">
        <v>1</v>
      </c>
      <c r="F6360" t="s">
        <v>21529</v>
      </c>
      <c r="G6360" t="s">
        <v>19897</v>
      </c>
      <c r="H6360" t="s">
        <v>21527</v>
      </c>
      <c r="I6360" t="s">
        <v>21530</v>
      </c>
    </row>
    <row r="6361" spans="1:9">
      <c r="A6361" t="str">
        <f>"0136716 "</f>
        <v xml:space="preserve">0136716 </v>
      </c>
      <c r="B6361" t="s">
        <v>19893</v>
      </c>
      <c r="C6361" t="s">
        <v>21531</v>
      </c>
      <c r="D6361" t="s">
        <v>21532</v>
      </c>
      <c r="E6361">
        <v>1</v>
      </c>
      <c r="F6361" t="s">
        <v>21431</v>
      </c>
      <c r="G6361" t="s">
        <v>19897</v>
      </c>
      <c r="H6361" t="s">
        <v>21531</v>
      </c>
      <c r="I6361" t="s">
        <v>21533</v>
      </c>
    </row>
    <row r="6362" spans="1:9">
      <c r="A6362" t="str">
        <f>"0136723 "</f>
        <v xml:space="preserve">0136723 </v>
      </c>
      <c r="B6362" t="s">
        <v>19893</v>
      </c>
      <c r="C6362" t="s">
        <v>21534</v>
      </c>
      <c r="D6362" t="s">
        <v>21535</v>
      </c>
      <c r="E6362">
        <v>1</v>
      </c>
      <c r="F6362" t="s">
        <v>21536</v>
      </c>
      <c r="G6362" t="s">
        <v>19897</v>
      </c>
      <c r="H6362" t="s">
        <v>21534</v>
      </c>
      <c r="I6362" t="s">
        <v>21537</v>
      </c>
    </row>
    <row r="6363" spans="1:9">
      <c r="A6363" t="str">
        <f>"0136728 "</f>
        <v xml:space="preserve">0136728 </v>
      </c>
      <c r="B6363" t="s">
        <v>19893</v>
      </c>
      <c r="C6363" t="s">
        <v>21538</v>
      </c>
      <c r="D6363" t="s">
        <v>21539</v>
      </c>
      <c r="E6363">
        <v>1</v>
      </c>
      <c r="F6363" t="s">
        <v>20686</v>
      </c>
      <c r="G6363" t="s">
        <v>19897</v>
      </c>
      <c r="H6363" t="s">
        <v>21538</v>
      </c>
      <c r="I6363" t="s">
        <v>21540</v>
      </c>
    </row>
    <row r="6364" spans="1:9">
      <c r="A6364" t="str">
        <f>"0136761 "</f>
        <v xml:space="preserve">0136761 </v>
      </c>
      <c r="B6364" t="s">
        <v>19893</v>
      </c>
      <c r="C6364" t="s">
        <v>21541</v>
      </c>
      <c r="D6364" t="s">
        <v>21542</v>
      </c>
      <c r="E6364">
        <v>2</v>
      </c>
      <c r="F6364" t="s">
        <v>20591</v>
      </c>
      <c r="G6364" t="s">
        <v>19897</v>
      </c>
      <c r="H6364" t="s">
        <v>21541</v>
      </c>
      <c r="I6364" t="s">
        <v>21543</v>
      </c>
    </row>
    <row r="6365" spans="1:9">
      <c r="A6365" t="str">
        <f>"0136762 "</f>
        <v xml:space="preserve">0136762 </v>
      </c>
      <c r="B6365" t="s">
        <v>19893</v>
      </c>
      <c r="C6365" t="s">
        <v>21544</v>
      </c>
      <c r="D6365" t="s">
        <v>21545</v>
      </c>
      <c r="E6365">
        <v>1</v>
      </c>
      <c r="F6365" t="s">
        <v>21343</v>
      </c>
      <c r="G6365" t="s">
        <v>19897</v>
      </c>
      <c r="H6365" t="s">
        <v>21544</v>
      </c>
      <c r="I6365" t="s">
        <v>21546</v>
      </c>
    </row>
    <row r="6366" spans="1:9">
      <c r="A6366" t="str">
        <f>"0136766 "</f>
        <v xml:space="preserve">0136766 </v>
      </c>
      <c r="B6366" t="s">
        <v>19893</v>
      </c>
      <c r="C6366" t="s">
        <v>21547</v>
      </c>
      <c r="D6366" t="s">
        <v>21548</v>
      </c>
      <c r="E6366">
        <v>1</v>
      </c>
      <c r="F6366" t="s">
        <v>21549</v>
      </c>
      <c r="G6366" t="s">
        <v>19897</v>
      </c>
      <c r="H6366" t="s">
        <v>21547</v>
      </c>
      <c r="I6366" t="s">
        <v>21550</v>
      </c>
    </row>
    <row r="6367" spans="1:9">
      <c r="A6367" t="str">
        <f>"0136783 "</f>
        <v xml:space="preserve">0136783 </v>
      </c>
      <c r="B6367" t="s">
        <v>19893</v>
      </c>
      <c r="C6367" t="s">
        <v>21551</v>
      </c>
      <c r="D6367" t="s">
        <v>21552</v>
      </c>
      <c r="E6367">
        <v>1</v>
      </c>
      <c r="F6367" t="s">
        <v>21553</v>
      </c>
      <c r="G6367" t="s">
        <v>19897</v>
      </c>
      <c r="H6367" t="s">
        <v>21551</v>
      </c>
      <c r="I6367" t="s">
        <v>21554</v>
      </c>
    </row>
    <row r="6368" spans="1:9">
      <c r="A6368" t="str">
        <f>"0136791 "</f>
        <v xml:space="preserve">0136791 </v>
      </c>
      <c r="B6368" t="s">
        <v>19893</v>
      </c>
      <c r="C6368" t="s">
        <v>21555</v>
      </c>
      <c r="D6368" t="s">
        <v>21556</v>
      </c>
      <c r="E6368" t="s">
        <v>16</v>
      </c>
      <c r="F6368" t="s">
        <v>21557</v>
      </c>
      <c r="G6368" t="s">
        <v>19897</v>
      </c>
      <c r="H6368" t="s">
        <v>21555</v>
      </c>
      <c r="I6368" t="s">
        <v>21558</v>
      </c>
    </row>
    <row r="6369" spans="1:9">
      <c r="A6369" t="str">
        <f>"0136800 "</f>
        <v xml:space="preserve">0136800 </v>
      </c>
      <c r="B6369" t="s">
        <v>19893</v>
      </c>
      <c r="C6369" t="s">
        <v>21559</v>
      </c>
      <c r="D6369" t="s">
        <v>21560</v>
      </c>
      <c r="E6369">
        <v>1</v>
      </c>
      <c r="F6369" t="s">
        <v>21561</v>
      </c>
      <c r="G6369" t="s">
        <v>19897</v>
      </c>
      <c r="H6369" t="s">
        <v>21559</v>
      </c>
      <c r="I6369" t="s">
        <v>21562</v>
      </c>
    </row>
    <row r="6370" spans="1:9">
      <c r="A6370" t="str">
        <f>"0136804 "</f>
        <v xml:space="preserve">0136804 </v>
      </c>
      <c r="B6370" t="s">
        <v>19893</v>
      </c>
      <c r="C6370" t="s">
        <v>21563</v>
      </c>
      <c r="D6370" t="s">
        <v>21564</v>
      </c>
      <c r="E6370">
        <v>1</v>
      </c>
      <c r="F6370" t="s">
        <v>21565</v>
      </c>
      <c r="G6370" t="s">
        <v>19897</v>
      </c>
      <c r="H6370" t="s">
        <v>21563</v>
      </c>
      <c r="I6370" t="s">
        <v>21566</v>
      </c>
    </row>
    <row r="6371" spans="1:9">
      <c r="A6371" t="str">
        <f>"0136821 "</f>
        <v xml:space="preserve">0136821 </v>
      </c>
      <c r="B6371" t="s">
        <v>19893</v>
      </c>
      <c r="C6371" t="s">
        <v>21567</v>
      </c>
      <c r="D6371" t="s">
        <v>21568</v>
      </c>
      <c r="E6371">
        <v>4</v>
      </c>
      <c r="F6371" t="s">
        <v>21569</v>
      </c>
      <c r="G6371" t="s">
        <v>19897</v>
      </c>
      <c r="H6371" t="s">
        <v>21567</v>
      </c>
      <c r="I6371" t="s">
        <v>21570</v>
      </c>
    </row>
    <row r="6372" spans="1:9">
      <c r="A6372" t="str">
        <f>"0136822 "</f>
        <v xml:space="preserve">0136822 </v>
      </c>
      <c r="B6372" t="s">
        <v>19893</v>
      </c>
      <c r="C6372" t="s">
        <v>21571</v>
      </c>
      <c r="D6372" t="s">
        <v>21572</v>
      </c>
      <c r="E6372">
        <v>1</v>
      </c>
      <c r="F6372" t="s">
        <v>15563</v>
      </c>
      <c r="G6372" t="s">
        <v>19897</v>
      </c>
      <c r="H6372" t="s">
        <v>21571</v>
      </c>
      <c r="I6372" t="s">
        <v>21573</v>
      </c>
    </row>
    <row r="6373" spans="1:9">
      <c r="A6373" t="str">
        <f>"0136837 "</f>
        <v xml:space="preserve">0136837 </v>
      </c>
      <c r="B6373" t="s">
        <v>19893</v>
      </c>
      <c r="C6373" t="s">
        <v>21574</v>
      </c>
      <c r="D6373" t="s">
        <v>21575</v>
      </c>
      <c r="E6373">
        <v>1</v>
      </c>
      <c r="F6373" t="s">
        <v>21576</v>
      </c>
      <c r="G6373" t="s">
        <v>19897</v>
      </c>
      <c r="H6373" t="s">
        <v>21574</v>
      </c>
      <c r="I6373" t="s">
        <v>21577</v>
      </c>
    </row>
    <row r="6374" spans="1:9">
      <c r="A6374" t="str">
        <f>"0136841 "</f>
        <v xml:space="preserve">0136841 </v>
      </c>
      <c r="B6374" t="s">
        <v>19893</v>
      </c>
      <c r="C6374" t="s">
        <v>21578</v>
      </c>
      <c r="D6374" t="s">
        <v>21579</v>
      </c>
      <c r="E6374">
        <v>1</v>
      </c>
      <c r="F6374" t="s">
        <v>21580</v>
      </c>
      <c r="G6374" t="s">
        <v>19897</v>
      </c>
      <c r="H6374" t="s">
        <v>21578</v>
      </c>
      <c r="I6374" t="s">
        <v>21581</v>
      </c>
    </row>
    <row r="6375" spans="1:9">
      <c r="A6375" t="str">
        <f>"0162777 "</f>
        <v xml:space="preserve">0162777 </v>
      </c>
      <c r="B6375" t="s">
        <v>19893</v>
      </c>
      <c r="C6375" t="s">
        <v>21582</v>
      </c>
      <c r="D6375" t="s">
        <v>21583</v>
      </c>
      <c r="E6375">
        <v>1</v>
      </c>
      <c r="F6375" t="s">
        <v>21584</v>
      </c>
      <c r="G6375" t="s">
        <v>19897</v>
      </c>
      <c r="H6375" t="s">
        <v>21582</v>
      </c>
      <c r="I6375" t="s">
        <v>21585</v>
      </c>
    </row>
    <row r="6376" spans="1:9">
      <c r="A6376" t="str">
        <f>"0136858 "</f>
        <v xml:space="preserve">0136858 </v>
      </c>
      <c r="B6376" t="s">
        <v>19893</v>
      </c>
      <c r="C6376" t="s">
        <v>21586</v>
      </c>
      <c r="D6376" t="s">
        <v>21587</v>
      </c>
      <c r="E6376">
        <v>1</v>
      </c>
      <c r="F6376" t="s">
        <v>21588</v>
      </c>
      <c r="G6376" t="s">
        <v>19897</v>
      </c>
      <c r="H6376" t="s">
        <v>21586</v>
      </c>
      <c r="I6376" t="s">
        <v>21589</v>
      </c>
    </row>
    <row r="6377" spans="1:9">
      <c r="A6377" t="str">
        <f>"0136880 "</f>
        <v xml:space="preserve">0136880 </v>
      </c>
      <c r="B6377" t="s">
        <v>19893</v>
      </c>
      <c r="C6377" t="s">
        <v>21590</v>
      </c>
      <c r="D6377" t="s">
        <v>21591</v>
      </c>
      <c r="E6377">
        <v>1</v>
      </c>
      <c r="F6377" t="s">
        <v>13264</v>
      </c>
      <c r="G6377" t="s">
        <v>19897</v>
      </c>
      <c r="H6377" t="s">
        <v>21590</v>
      </c>
      <c r="I6377" t="s">
        <v>21592</v>
      </c>
    </row>
    <row r="6378" spans="1:9">
      <c r="A6378" t="str">
        <f>"0136881 "</f>
        <v xml:space="preserve">0136881 </v>
      </c>
      <c r="B6378" t="s">
        <v>19893</v>
      </c>
      <c r="C6378" t="s">
        <v>21593</v>
      </c>
      <c r="D6378" t="s">
        <v>21594</v>
      </c>
      <c r="E6378">
        <v>3</v>
      </c>
      <c r="F6378" t="s">
        <v>20993</v>
      </c>
      <c r="G6378" t="s">
        <v>19897</v>
      </c>
      <c r="H6378" t="s">
        <v>21593</v>
      </c>
      <c r="I6378" t="s">
        <v>21595</v>
      </c>
    </row>
    <row r="6379" spans="1:9">
      <c r="A6379" t="str">
        <f>"0136886 "</f>
        <v xml:space="preserve">0136886 </v>
      </c>
      <c r="B6379" t="s">
        <v>19893</v>
      </c>
      <c r="C6379" t="s">
        <v>21596</v>
      </c>
      <c r="D6379" t="s">
        <v>21597</v>
      </c>
      <c r="E6379">
        <v>2</v>
      </c>
      <c r="F6379" t="s">
        <v>21598</v>
      </c>
      <c r="G6379" t="s">
        <v>19897</v>
      </c>
      <c r="H6379" t="s">
        <v>21596</v>
      </c>
      <c r="I6379" t="s">
        <v>21599</v>
      </c>
    </row>
    <row r="6380" spans="1:9">
      <c r="A6380" t="str">
        <f>"0136887 "</f>
        <v xml:space="preserve">0136887 </v>
      </c>
      <c r="B6380" t="s">
        <v>19893</v>
      </c>
      <c r="C6380" t="s">
        <v>21600</v>
      </c>
      <c r="D6380" t="s">
        <v>21601</v>
      </c>
      <c r="E6380">
        <v>2</v>
      </c>
      <c r="F6380" t="s">
        <v>21602</v>
      </c>
      <c r="G6380" t="s">
        <v>19897</v>
      </c>
      <c r="H6380" t="s">
        <v>21600</v>
      </c>
      <c r="I6380" t="s">
        <v>21603</v>
      </c>
    </row>
    <row r="6381" spans="1:9">
      <c r="A6381" t="str">
        <f>"0136891 "</f>
        <v xml:space="preserve">0136891 </v>
      </c>
      <c r="B6381" t="s">
        <v>19893</v>
      </c>
      <c r="C6381" t="s">
        <v>21604</v>
      </c>
      <c r="D6381" t="s">
        <v>21605</v>
      </c>
      <c r="E6381">
        <v>2</v>
      </c>
      <c r="F6381" t="s">
        <v>21606</v>
      </c>
      <c r="G6381" t="s">
        <v>19897</v>
      </c>
      <c r="H6381" t="s">
        <v>21604</v>
      </c>
      <c r="I6381" t="s">
        <v>21607</v>
      </c>
    </row>
    <row r="6382" spans="1:9">
      <c r="A6382" t="str">
        <f>"0136892 "</f>
        <v xml:space="preserve">0136892 </v>
      </c>
      <c r="B6382" t="s">
        <v>19893</v>
      </c>
      <c r="C6382" t="s">
        <v>21608</v>
      </c>
      <c r="D6382" t="s">
        <v>21609</v>
      </c>
      <c r="E6382">
        <v>1</v>
      </c>
      <c r="F6382" t="s">
        <v>21610</v>
      </c>
      <c r="G6382" t="s">
        <v>19897</v>
      </c>
      <c r="H6382" t="s">
        <v>21608</v>
      </c>
      <c r="I6382" t="s">
        <v>21611</v>
      </c>
    </row>
    <row r="6383" spans="1:9">
      <c r="A6383" t="str">
        <f>"0132205 "</f>
        <v xml:space="preserve">0132205 </v>
      </c>
      <c r="B6383" t="s">
        <v>21612</v>
      </c>
      <c r="C6383" s="4">
        <v>1208300</v>
      </c>
      <c r="D6383" t="s">
        <v>21613</v>
      </c>
      <c r="E6383">
        <v>4</v>
      </c>
      <c r="F6383" t="s">
        <v>21614</v>
      </c>
      <c r="G6383" t="s">
        <v>21615</v>
      </c>
      <c r="H6383" s="4">
        <v>1208300</v>
      </c>
      <c r="I6383" t="s">
        <v>11394</v>
      </c>
    </row>
    <row r="6384" spans="1:9">
      <c r="A6384" t="str">
        <f>"0153006 "</f>
        <v xml:space="preserve">0153006 </v>
      </c>
      <c r="B6384" t="s">
        <v>21612</v>
      </c>
      <c r="C6384" t="s">
        <v>21616</v>
      </c>
      <c r="D6384" t="s">
        <v>21617</v>
      </c>
      <c r="E6384">
        <v>2</v>
      </c>
      <c r="F6384" t="s">
        <v>21618</v>
      </c>
      <c r="G6384" t="s">
        <v>21619</v>
      </c>
      <c r="H6384" t="s">
        <v>21616</v>
      </c>
      <c r="I6384" t="s">
        <v>18835</v>
      </c>
    </row>
    <row r="6385" spans="1:9">
      <c r="A6385" t="str">
        <f>"0218039 "</f>
        <v xml:space="preserve">0218039 </v>
      </c>
      <c r="B6385" t="s">
        <v>21612</v>
      </c>
      <c r="C6385" t="s">
        <v>21620</v>
      </c>
      <c r="D6385" t="s">
        <v>21621</v>
      </c>
      <c r="E6385" t="s">
        <v>16</v>
      </c>
      <c r="F6385" t="s">
        <v>21622</v>
      </c>
      <c r="G6385" t="s">
        <v>21619</v>
      </c>
      <c r="H6385" t="s">
        <v>21620</v>
      </c>
      <c r="I6385" t="s">
        <v>21623</v>
      </c>
    </row>
    <row r="6386" spans="1:9">
      <c r="A6386" t="str">
        <f>"0204449 "</f>
        <v xml:space="preserve">0204449 </v>
      </c>
      <c r="B6386" t="s">
        <v>21612</v>
      </c>
      <c r="C6386" t="s">
        <v>21624</v>
      </c>
      <c r="D6386" t="s">
        <v>21625</v>
      </c>
      <c r="E6386" t="s">
        <v>16</v>
      </c>
      <c r="F6386" t="s">
        <v>21626</v>
      </c>
      <c r="G6386" t="s">
        <v>21627</v>
      </c>
      <c r="H6386" t="s">
        <v>21624</v>
      </c>
      <c r="I6386" t="s">
        <v>21628</v>
      </c>
    </row>
    <row r="6387" spans="1:9">
      <c r="A6387" t="str">
        <f>"0204448 "</f>
        <v xml:space="preserve">0204448 </v>
      </c>
      <c r="B6387" t="s">
        <v>21612</v>
      </c>
      <c r="C6387" t="s">
        <v>21629</v>
      </c>
      <c r="D6387" t="s">
        <v>21630</v>
      </c>
      <c r="E6387" t="s">
        <v>16</v>
      </c>
      <c r="F6387" t="s">
        <v>21631</v>
      </c>
      <c r="G6387" t="s">
        <v>21627</v>
      </c>
      <c r="H6387" t="s">
        <v>21629</v>
      </c>
      <c r="I6387" t="s">
        <v>21632</v>
      </c>
    </row>
    <row r="6388" spans="1:9">
      <c r="A6388" t="str">
        <f>"0204364 "</f>
        <v xml:space="preserve">0204364 </v>
      </c>
      <c r="B6388" t="s">
        <v>21633</v>
      </c>
      <c r="C6388" t="str">
        <f>"83212365924"</f>
        <v>83212365924</v>
      </c>
      <c r="D6388" t="s">
        <v>21634</v>
      </c>
      <c r="E6388" t="s">
        <v>16</v>
      </c>
      <c r="F6388" t="s">
        <v>21635</v>
      </c>
      <c r="G6388" t="s">
        <v>21633</v>
      </c>
      <c r="H6388" t="str">
        <f>"83212365924"</f>
        <v>83212365924</v>
      </c>
    </row>
    <row r="6389" spans="1:9">
      <c r="A6389" t="str">
        <f>"0204365 "</f>
        <v xml:space="preserve">0204365 </v>
      </c>
      <c r="B6389" t="s">
        <v>21633</v>
      </c>
      <c r="C6389" t="str">
        <f>"83212365925"</f>
        <v>83212365925</v>
      </c>
      <c r="D6389" t="s">
        <v>21636</v>
      </c>
      <c r="E6389" t="s">
        <v>16</v>
      </c>
      <c r="F6389" t="s">
        <v>21637</v>
      </c>
      <c r="G6389" t="s">
        <v>21633</v>
      </c>
      <c r="H6389" t="str">
        <f>"83212365925"</f>
        <v>83212365925</v>
      </c>
    </row>
    <row r="6390" spans="1:9">
      <c r="A6390" t="str">
        <f>"0204361 "</f>
        <v xml:space="preserve">0204361 </v>
      </c>
      <c r="B6390" t="s">
        <v>21633</v>
      </c>
      <c r="C6390" t="str">
        <f>"83212365929"</f>
        <v>83212365929</v>
      </c>
      <c r="D6390" t="s">
        <v>21638</v>
      </c>
      <c r="E6390">
        <v>5</v>
      </c>
      <c r="F6390" t="s">
        <v>21639</v>
      </c>
      <c r="G6390" t="s">
        <v>21633</v>
      </c>
      <c r="H6390" t="str">
        <f>"83212365929"</f>
        <v>83212365929</v>
      </c>
    </row>
    <row r="6391" spans="1:9">
      <c r="A6391" t="str">
        <f>"0019154 "</f>
        <v xml:space="preserve">0019154 </v>
      </c>
      <c r="B6391" t="s">
        <v>21640</v>
      </c>
      <c r="C6391">
        <v>1343792</v>
      </c>
      <c r="D6391" t="s">
        <v>21641</v>
      </c>
      <c r="E6391" t="s">
        <v>16</v>
      </c>
      <c r="F6391" t="s">
        <v>21642</v>
      </c>
      <c r="G6391" t="s">
        <v>21640</v>
      </c>
      <c r="H6391">
        <v>1343792</v>
      </c>
    </row>
    <row r="6392" spans="1:9">
      <c r="A6392" t="str">
        <f>"0019155 "</f>
        <v xml:space="preserve">0019155 </v>
      </c>
      <c r="B6392" t="s">
        <v>21640</v>
      </c>
      <c r="C6392">
        <v>1343796</v>
      </c>
      <c r="D6392" t="s">
        <v>21643</v>
      </c>
      <c r="E6392" t="s">
        <v>16</v>
      </c>
      <c r="F6392" t="s">
        <v>21644</v>
      </c>
      <c r="G6392" t="s">
        <v>21640</v>
      </c>
      <c r="H6392">
        <v>1343796</v>
      </c>
    </row>
    <row r="6393" spans="1:9">
      <c r="A6393" t="str">
        <f>"0019152 "</f>
        <v xml:space="preserve">0019152 </v>
      </c>
      <c r="B6393" t="s">
        <v>21640</v>
      </c>
      <c r="C6393">
        <v>1502263</v>
      </c>
      <c r="D6393" t="s">
        <v>21645</v>
      </c>
      <c r="E6393">
        <v>1</v>
      </c>
      <c r="F6393" t="s">
        <v>21646</v>
      </c>
      <c r="G6393" t="s">
        <v>21640</v>
      </c>
      <c r="H6393">
        <v>1502263</v>
      </c>
    </row>
    <row r="6394" spans="1:9">
      <c r="A6394" t="str">
        <f>"0029093 "</f>
        <v xml:space="preserve">0029093 </v>
      </c>
      <c r="B6394" t="s">
        <v>21647</v>
      </c>
      <c r="C6394">
        <v>1942000</v>
      </c>
      <c r="D6394" t="s">
        <v>21648</v>
      </c>
      <c r="E6394" t="s">
        <v>16</v>
      </c>
      <c r="F6394" t="s">
        <v>3625</v>
      </c>
      <c r="G6394" t="s">
        <v>21647</v>
      </c>
      <c r="H6394">
        <v>1942000</v>
      </c>
    </row>
    <row r="6395" spans="1:9">
      <c r="A6395" t="str">
        <f>"0031840 "</f>
        <v xml:space="preserve">0031840 </v>
      </c>
      <c r="B6395" t="s">
        <v>21647</v>
      </c>
      <c r="C6395">
        <v>1942001</v>
      </c>
      <c r="D6395" t="s">
        <v>21649</v>
      </c>
      <c r="E6395" t="s">
        <v>16</v>
      </c>
      <c r="F6395" t="s">
        <v>21650</v>
      </c>
      <c r="G6395" t="s">
        <v>21647</v>
      </c>
      <c r="H6395">
        <v>1942001</v>
      </c>
    </row>
    <row r="6396" spans="1:9">
      <c r="A6396" t="str">
        <f>"0029094 "</f>
        <v xml:space="preserve">0029094 </v>
      </c>
      <c r="B6396" t="s">
        <v>21647</v>
      </c>
      <c r="C6396">
        <v>1942003</v>
      </c>
      <c r="D6396" t="s">
        <v>21651</v>
      </c>
      <c r="E6396" t="s">
        <v>16</v>
      </c>
      <c r="F6396" t="s">
        <v>21652</v>
      </c>
      <c r="G6396" t="s">
        <v>21647</v>
      </c>
      <c r="H6396">
        <v>1942003</v>
      </c>
    </row>
    <row r="6397" spans="1:9">
      <c r="A6397" t="str">
        <f>"0029095 "</f>
        <v xml:space="preserve">0029095 </v>
      </c>
      <c r="B6397" t="s">
        <v>21647</v>
      </c>
      <c r="C6397">
        <v>1942043</v>
      </c>
      <c r="D6397" t="s">
        <v>21653</v>
      </c>
      <c r="E6397" t="s">
        <v>16</v>
      </c>
      <c r="F6397" t="s">
        <v>21654</v>
      </c>
      <c r="G6397" t="s">
        <v>21647</v>
      </c>
      <c r="H6397">
        <v>1942043</v>
      </c>
    </row>
    <row r="6398" spans="1:9">
      <c r="A6398" t="str">
        <f>"0029096 "</f>
        <v xml:space="preserve">0029096 </v>
      </c>
      <c r="B6398" t="s">
        <v>21647</v>
      </c>
      <c r="C6398">
        <v>1942044</v>
      </c>
      <c r="D6398" t="s">
        <v>21655</v>
      </c>
      <c r="E6398" t="s">
        <v>16</v>
      </c>
      <c r="F6398" t="s">
        <v>21656</v>
      </c>
      <c r="G6398" t="s">
        <v>21647</v>
      </c>
      <c r="H6398">
        <v>1942044</v>
      </c>
    </row>
    <row r="6399" spans="1:9">
      <c r="A6399" t="str">
        <f>"0029097 "</f>
        <v xml:space="preserve">0029097 </v>
      </c>
      <c r="B6399" t="s">
        <v>21647</v>
      </c>
      <c r="C6399">
        <v>1942046</v>
      </c>
      <c r="D6399" t="s">
        <v>21657</v>
      </c>
      <c r="E6399" t="s">
        <v>16</v>
      </c>
      <c r="F6399" t="s">
        <v>21658</v>
      </c>
      <c r="G6399" t="s">
        <v>21647</v>
      </c>
      <c r="H6399">
        <v>1942046</v>
      </c>
    </row>
    <row r="6400" spans="1:9">
      <c r="A6400" t="str">
        <f>"0038937 "</f>
        <v xml:space="preserve">0038937 </v>
      </c>
      <c r="B6400" t="s">
        <v>21659</v>
      </c>
      <c r="C6400" t="str">
        <f>"08798-9032"</f>
        <v>08798-9032</v>
      </c>
      <c r="D6400" t="s">
        <v>21660</v>
      </c>
      <c r="E6400" t="s">
        <v>16</v>
      </c>
      <c r="F6400" t="s">
        <v>7275</v>
      </c>
      <c r="G6400" t="s">
        <v>21659</v>
      </c>
      <c r="H6400" t="str">
        <f>"08798-9032"</f>
        <v>08798-9032</v>
      </c>
    </row>
    <row r="6401" spans="1:8">
      <c r="A6401" t="str">
        <f>"0038734 "</f>
        <v xml:space="preserve">0038734 </v>
      </c>
      <c r="B6401" t="s">
        <v>21659</v>
      </c>
      <c r="C6401" t="str">
        <f>"08798-9034"</f>
        <v>08798-9034</v>
      </c>
      <c r="D6401" t="s">
        <v>21661</v>
      </c>
      <c r="E6401" t="s">
        <v>16</v>
      </c>
      <c r="F6401" t="s">
        <v>7275</v>
      </c>
      <c r="G6401" t="s">
        <v>21659</v>
      </c>
      <c r="H6401" t="str">
        <f>"08798-9034"</f>
        <v>08798-9034</v>
      </c>
    </row>
    <row r="6402" spans="1:8">
      <c r="A6402" t="str">
        <f>"0220094 "</f>
        <v xml:space="preserve">0220094 </v>
      </c>
      <c r="B6402" t="s">
        <v>21662</v>
      </c>
      <c r="C6402" t="str">
        <f>"888082641"</f>
        <v>888082641</v>
      </c>
      <c r="D6402" t="s">
        <v>21663</v>
      </c>
      <c r="E6402">
        <v>4</v>
      </c>
      <c r="F6402" t="s">
        <v>21664</v>
      </c>
      <c r="G6402" t="s">
        <v>21662</v>
      </c>
      <c r="H6402" t="str">
        <f>"888082641"</f>
        <v>888082641</v>
      </c>
    </row>
    <row r="6403" spans="1:8">
      <c r="A6403" t="str">
        <f>"0067675 "</f>
        <v xml:space="preserve">0067675 </v>
      </c>
      <c r="B6403" t="s">
        <v>21665</v>
      </c>
      <c r="C6403" t="str">
        <f>"0000-77-5W30-1qt"</f>
        <v>0000-77-5W30-1qt</v>
      </c>
      <c r="D6403" t="s">
        <v>21666</v>
      </c>
      <c r="E6403" t="s">
        <v>16</v>
      </c>
      <c r="F6403" t="s">
        <v>21667</v>
      </c>
      <c r="G6403" t="s">
        <v>21665</v>
      </c>
      <c r="H6403" t="str">
        <f>"0000-77-5W30-1qt"</f>
        <v>0000-77-5W30-1qt</v>
      </c>
    </row>
    <row r="6404" spans="1:8">
      <c r="A6404" t="str">
        <f>"0158900 "</f>
        <v xml:space="preserve">0158900 </v>
      </c>
      <c r="B6404" t="s">
        <v>21665</v>
      </c>
      <c r="C6404" t="str">
        <f>"0530-01-TFE"</f>
        <v>0530-01-TFE</v>
      </c>
      <c r="D6404" t="s">
        <v>21668</v>
      </c>
      <c r="E6404" t="s">
        <v>16</v>
      </c>
      <c r="F6404" t="s">
        <v>19020</v>
      </c>
      <c r="G6404" t="s">
        <v>21665</v>
      </c>
      <c r="H6404" t="str">
        <f>"0530-01-TFE"</f>
        <v>0530-01-TFE</v>
      </c>
    </row>
    <row r="6405" spans="1:8">
      <c r="A6405" t="str">
        <f>"0158901 "</f>
        <v xml:space="preserve">0158901 </v>
      </c>
      <c r="B6405" t="s">
        <v>21665</v>
      </c>
      <c r="C6405" t="str">
        <f>"0530-05-TFE"</f>
        <v>0530-05-TFE</v>
      </c>
      <c r="D6405" t="s">
        <v>21669</v>
      </c>
      <c r="E6405" t="s">
        <v>16</v>
      </c>
      <c r="F6405" t="s">
        <v>21670</v>
      </c>
      <c r="G6405" t="s">
        <v>21665</v>
      </c>
      <c r="H6405" t="str">
        <f>"0530-05-TFE"</f>
        <v>0530-05-TFE</v>
      </c>
    </row>
    <row r="6406" spans="1:8">
      <c r="A6406" t="str">
        <f>"0240893 "</f>
        <v xml:space="preserve">0240893 </v>
      </c>
      <c r="B6406" t="s">
        <v>21671</v>
      </c>
      <c r="C6406" t="str">
        <f>"00098994010016"</f>
        <v>00098994010016</v>
      </c>
      <c r="D6406" t="s">
        <v>21672</v>
      </c>
      <c r="E6406" t="s">
        <v>16</v>
      </c>
      <c r="F6406" t="s">
        <v>21673</v>
      </c>
      <c r="G6406" t="s">
        <v>21671</v>
      </c>
      <c r="H6406" t="str">
        <f>"00098994010016"</f>
        <v>00098994010016</v>
      </c>
    </row>
    <row r="6407" spans="1:8">
      <c r="A6407" t="str">
        <f>"0164228 "</f>
        <v xml:space="preserve">0164228 </v>
      </c>
      <c r="B6407" t="s">
        <v>21671</v>
      </c>
      <c r="C6407" t="s">
        <v>21674</v>
      </c>
      <c r="D6407" t="s">
        <v>21675</v>
      </c>
      <c r="E6407" t="s">
        <v>16</v>
      </c>
      <c r="F6407" t="s">
        <v>21676</v>
      </c>
      <c r="G6407" t="s">
        <v>21671</v>
      </c>
      <c r="H6407" t="s">
        <v>21674</v>
      </c>
    </row>
    <row r="6408" spans="1:8">
      <c r="A6408" t="str">
        <f>"0241160 "</f>
        <v xml:space="preserve">0241160 </v>
      </c>
      <c r="B6408" t="s">
        <v>21671</v>
      </c>
      <c r="C6408" t="s">
        <v>21677</v>
      </c>
      <c r="D6408" t="s">
        <v>21678</v>
      </c>
      <c r="E6408">
        <v>2</v>
      </c>
      <c r="F6408" t="s">
        <v>21679</v>
      </c>
      <c r="G6408" t="s">
        <v>21671</v>
      </c>
      <c r="H6408" t="s">
        <v>21677</v>
      </c>
    </row>
    <row r="6409" spans="1:8">
      <c r="A6409" t="str">
        <f>"0164229 "</f>
        <v xml:space="preserve">0164229 </v>
      </c>
      <c r="B6409" t="s">
        <v>21671</v>
      </c>
      <c r="C6409" t="s">
        <v>21680</v>
      </c>
      <c r="D6409" t="s">
        <v>21681</v>
      </c>
      <c r="E6409" t="s">
        <v>16</v>
      </c>
      <c r="F6409" t="s">
        <v>21682</v>
      </c>
      <c r="G6409" t="s">
        <v>21671</v>
      </c>
      <c r="H6409" t="s">
        <v>21680</v>
      </c>
    </row>
    <row r="6410" spans="1:8">
      <c r="A6410" t="str">
        <f>"0086587 "</f>
        <v xml:space="preserve">0086587 </v>
      </c>
      <c r="B6410" t="s">
        <v>21683</v>
      </c>
      <c r="C6410" t="s">
        <v>21684</v>
      </c>
      <c r="D6410" t="s">
        <v>21685</v>
      </c>
      <c r="E6410" t="s">
        <v>16</v>
      </c>
      <c r="F6410" t="s">
        <v>21686</v>
      </c>
      <c r="G6410" t="s">
        <v>21683</v>
      </c>
      <c r="H6410" t="s">
        <v>21684</v>
      </c>
    </row>
    <row r="6411" spans="1:8">
      <c r="A6411" t="str">
        <f>"0033814 "</f>
        <v xml:space="preserve">0033814 </v>
      </c>
      <c r="B6411" t="s">
        <v>21687</v>
      </c>
      <c r="C6411" t="str">
        <f>"00279-000Рў4"</f>
        <v>00279-000Рў4</v>
      </c>
      <c r="D6411" t="s">
        <v>21688</v>
      </c>
      <c r="E6411" t="s">
        <v>16</v>
      </c>
      <c r="F6411" t="s">
        <v>21689</v>
      </c>
      <c r="G6411" t="s">
        <v>21687</v>
      </c>
      <c r="H6411" t="str">
        <f>"00279-000Рў4"</f>
        <v>00279-000Рў4</v>
      </c>
    </row>
    <row r="6412" spans="1:8">
      <c r="A6412" t="str">
        <f>"0031839 "</f>
        <v xml:space="preserve">0031839 </v>
      </c>
      <c r="B6412" t="s">
        <v>21687</v>
      </c>
      <c r="C6412" t="str">
        <f>"00279-1QT5W"</f>
        <v>00279-1QT5W</v>
      </c>
      <c r="D6412" t="s">
        <v>21690</v>
      </c>
      <c r="E6412" t="s">
        <v>16</v>
      </c>
      <c r="F6412" t="s">
        <v>188</v>
      </c>
      <c r="G6412" t="s">
        <v>21687</v>
      </c>
      <c r="H6412" t="str">
        <f>"00279-1QT5W"</f>
        <v>00279-1QT5W</v>
      </c>
    </row>
    <row r="6413" spans="1:8">
      <c r="A6413" t="str">
        <f>"0033815 "</f>
        <v xml:space="preserve">0033815 </v>
      </c>
      <c r="B6413" t="s">
        <v>21687</v>
      </c>
      <c r="C6413" t="str">
        <f>"00289-ATFWS"</f>
        <v>00289-ATFWS</v>
      </c>
      <c r="D6413" t="s">
        <v>21691</v>
      </c>
      <c r="E6413" t="s">
        <v>16</v>
      </c>
      <c r="F6413" t="s">
        <v>21692</v>
      </c>
      <c r="G6413" t="s">
        <v>21687</v>
      </c>
      <c r="H6413" t="str">
        <f>"00289-ATFWS"</f>
        <v>00289-ATFWS</v>
      </c>
    </row>
    <row r="6414" spans="1:8">
      <c r="A6414" t="str">
        <f>"0248687 "</f>
        <v xml:space="preserve">0248687 </v>
      </c>
      <c r="B6414" t="s">
        <v>21687</v>
      </c>
      <c r="C6414" t="str">
        <f>"08880-80835"</f>
        <v>08880-80835</v>
      </c>
      <c r="D6414" t="s">
        <v>21693</v>
      </c>
      <c r="E6414">
        <v>4</v>
      </c>
      <c r="F6414" t="s">
        <v>21694</v>
      </c>
      <c r="G6414" t="s">
        <v>21687</v>
      </c>
      <c r="H6414" t="str">
        <f>"08880-80835"</f>
        <v>08880-80835</v>
      </c>
    </row>
    <row r="6415" spans="1:8">
      <c r="A6415" t="str">
        <f>"0035773 "</f>
        <v xml:space="preserve">0035773 </v>
      </c>
      <c r="B6415" t="s">
        <v>21687</v>
      </c>
      <c r="C6415" t="str">
        <f>"08880-80845"</f>
        <v>08880-80845</v>
      </c>
      <c r="D6415" t="s">
        <v>21695</v>
      </c>
      <c r="E6415" t="s">
        <v>16</v>
      </c>
      <c r="F6415" t="s">
        <v>21696</v>
      </c>
      <c r="G6415" t="s">
        <v>21687</v>
      </c>
      <c r="H6415" t="str">
        <f>"08880-80845"</f>
        <v>08880-80845</v>
      </c>
    </row>
    <row r="6416" spans="1:8">
      <c r="A6416" t="str">
        <f>"0039079 "</f>
        <v xml:space="preserve">0039079 </v>
      </c>
      <c r="B6416" t="s">
        <v>21687</v>
      </c>
      <c r="C6416" t="str">
        <f>"08880-80846"</f>
        <v>08880-80846</v>
      </c>
      <c r="D6416" t="s">
        <v>21697</v>
      </c>
      <c r="E6416" t="s">
        <v>16</v>
      </c>
      <c r="F6416" t="s">
        <v>21698</v>
      </c>
      <c r="G6416" t="s">
        <v>21687</v>
      </c>
      <c r="H6416" t="str">
        <f>"08880-80846"</f>
        <v>08880-80846</v>
      </c>
    </row>
    <row r="6417" spans="1:9">
      <c r="A6417" t="str">
        <f>"0248682 "</f>
        <v xml:space="preserve">0248682 </v>
      </c>
      <c r="B6417" t="s">
        <v>21699</v>
      </c>
      <c r="C6417" t="s">
        <v>21700</v>
      </c>
      <c r="D6417" t="s">
        <v>21701</v>
      </c>
      <c r="E6417" t="s">
        <v>16</v>
      </c>
      <c r="F6417" t="s">
        <v>21702</v>
      </c>
      <c r="G6417" t="s">
        <v>21699</v>
      </c>
      <c r="H6417" t="s">
        <v>21700</v>
      </c>
    </row>
    <row r="6418" spans="1:9">
      <c r="A6418" t="str">
        <f>"0240872 "</f>
        <v xml:space="preserve">0240872 </v>
      </c>
      <c r="B6418" t="s">
        <v>21699</v>
      </c>
      <c r="C6418" t="s">
        <v>21703</v>
      </c>
      <c r="D6418" t="s">
        <v>21704</v>
      </c>
      <c r="E6418" t="s">
        <v>16</v>
      </c>
      <c r="F6418" t="s">
        <v>21705</v>
      </c>
      <c r="G6418" t="s">
        <v>21699</v>
      </c>
      <c r="H6418" t="s">
        <v>21703</v>
      </c>
    </row>
    <row r="6419" spans="1:9">
      <c r="A6419" t="str">
        <f>"0248681 "</f>
        <v xml:space="preserve">0248681 </v>
      </c>
      <c r="B6419" t="s">
        <v>21699</v>
      </c>
      <c r="C6419" t="s">
        <v>21706</v>
      </c>
      <c r="D6419" t="s">
        <v>21707</v>
      </c>
      <c r="E6419" t="s">
        <v>16</v>
      </c>
      <c r="F6419" t="s">
        <v>21708</v>
      </c>
      <c r="G6419" t="s">
        <v>21699</v>
      </c>
      <c r="H6419" t="s">
        <v>21706</v>
      </c>
    </row>
    <row r="6420" spans="1:9">
      <c r="A6420" t="str">
        <f>"0240871 "</f>
        <v xml:space="preserve">0240871 </v>
      </c>
      <c r="B6420" t="s">
        <v>21699</v>
      </c>
      <c r="C6420" t="s">
        <v>21709</v>
      </c>
      <c r="D6420" t="s">
        <v>21710</v>
      </c>
      <c r="E6420" t="s">
        <v>16</v>
      </c>
      <c r="F6420" t="s">
        <v>21711</v>
      </c>
      <c r="G6420" t="s">
        <v>21699</v>
      </c>
      <c r="H6420" t="s">
        <v>21709</v>
      </c>
    </row>
    <row r="6421" spans="1:9">
      <c r="A6421" t="str">
        <f>"0257678 "</f>
        <v xml:space="preserve">0257678 </v>
      </c>
      <c r="B6421" t="s">
        <v>21712</v>
      </c>
      <c r="C6421" t="s">
        <v>21713</v>
      </c>
      <c r="D6421" t="s">
        <v>21714</v>
      </c>
      <c r="E6421">
        <v>2</v>
      </c>
      <c r="F6421" t="s">
        <v>21715</v>
      </c>
      <c r="G6421" t="s">
        <v>21712</v>
      </c>
      <c r="H6421" t="s">
        <v>21713</v>
      </c>
    </row>
    <row r="6422" spans="1:9">
      <c r="A6422" t="str">
        <f>"0257646 "</f>
        <v xml:space="preserve">0257646 </v>
      </c>
      <c r="B6422" t="s">
        <v>21712</v>
      </c>
      <c r="C6422" t="s">
        <v>21716</v>
      </c>
      <c r="D6422" t="s">
        <v>21714</v>
      </c>
      <c r="E6422">
        <v>2</v>
      </c>
      <c r="F6422" t="s">
        <v>21717</v>
      </c>
      <c r="G6422" t="s">
        <v>21712</v>
      </c>
      <c r="H6422" t="s">
        <v>21716</v>
      </c>
    </row>
    <row r="6423" spans="1:9">
      <c r="A6423" t="str">
        <f>"0257650 "</f>
        <v xml:space="preserve">0257650 </v>
      </c>
      <c r="B6423" t="s">
        <v>21712</v>
      </c>
      <c r="C6423" t="s">
        <v>21718</v>
      </c>
      <c r="D6423" t="s">
        <v>21719</v>
      </c>
      <c r="E6423">
        <v>2</v>
      </c>
      <c r="F6423" t="s">
        <v>21720</v>
      </c>
      <c r="G6423" t="s">
        <v>21712</v>
      </c>
      <c r="H6423" t="s">
        <v>21718</v>
      </c>
    </row>
    <row r="6424" spans="1:9">
      <c r="A6424" t="str">
        <f>"0248787 "</f>
        <v xml:space="preserve">0248787 </v>
      </c>
      <c r="B6424" t="s">
        <v>21712</v>
      </c>
      <c r="C6424" t="s">
        <v>21721</v>
      </c>
      <c r="D6424" t="s">
        <v>21719</v>
      </c>
      <c r="E6424">
        <v>4</v>
      </c>
      <c r="F6424" t="s">
        <v>21720</v>
      </c>
      <c r="G6424" t="s">
        <v>21712</v>
      </c>
      <c r="H6424" t="s">
        <v>21721</v>
      </c>
    </row>
    <row r="6425" spans="1:9">
      <c r="A6425" t="str">
        <f>"0257653 "</f>
        <v xml:space="preserve">0257653 </v>
      </c>
      <c r="B6425" t="s">
        <v>21712</v>
      </c>
      <c r="C6425" t="s">
        <v>21722</v>
      </c>
      <c r="D6425" t="s">
        <v>21723</v>
      </c>
      <c r="E6425">
        <v>2</v>
      </c>
      <c r="F6425" t="s">
        <v>21724</v>
      </c>
      <c r="G6425" t="s">
        <v>21712</v>
      </c>
      <c r="H6425" t="s">
        <v>21722</v>
      </c>
    </row>
    <row r="6426" spans="1:9">
      <c r="A6426" t="str">
        <f>"0248791 "</f>
        <v xml:space="preserve">0248791 </v>
      </c>
      <c r="B6426" t="s">
        <v>21712</v>
      </c>
      <c r="C6426" t="s">
        <v>21725</v>
      </c>
      <c r="D6426" t="s">
        <v>21726</v>
      </c>
      <c r="E6426">
        <v>2</v>
      </c>
      <c r="F6426" t="s">
        <v>21724</v>
      </c>
      <c r="G6426" t="s">
        <v>21712</v>
      </c>
      <c r="H6426" t="s">
        <v>21725</v>
      </c>
    </row>
    <row r="6427" spans="1:9">
      <c r="A6427" t="str">
        <f>"0220358 "</f>
        <v xml:space="preserve">0220358 </v>
      </c>
      <c r="B6427" t="s">
        <v>21727</v>
      </c>
      <c r="C6427">
        <v>2070</v>
      </c>
      <c r="D6427" t="s">
        <v>21728</v>
      </c>
      <c r="E6427">
        <v>2</v>
      </c>
      <c r="F6427" t="s">
        <v>21729</v>
      </c>
      <c r="G6427" t="s">
        <v>21730</v>
      </c>
      <c r="H6427">
        <v>2070</v>
      </c>
      <c r="I6427" t="s">
        <v>21731</v>
      </c>
    </row>
    <row r="6428" spans="1:9">
      <c r="A6428" t="str">
        <f>"0220379 "</f>
        <v xml:space="preserve">0220379 </v>
      </c>
      <c r="B6428" t="s">
        <v>21727</v>
      </c>
      <c r="C6428">
        <v>2093</v>
      </c>
      <c r="D6428" t="s">
        <v>21732</v>
      </c>
      <c r="E6428">
        <v>2</v>
      </c>
      <c r="F6428" t="s">
        <v>19680</v>
      </c>
      <c r="G6428" t="s">
        <v>21730</v>
      </c>
      <c r="H6428">
        <v>2093</v>
      </c>
      <c r="I6428" t="s">
        <v>5424</v>
      </c>
    </row>
    <row r="6429" spans="1:9">
      <c r="A6429" t="str">
        <f>"0220427 "</f>
        <v xml:space="preserve">0220427 </v>
      </c>
      <c r="B6429" t="s">
        <v>21727</v>
      </c>
      <c r="C6429">
        <v>2143</v>
      </c>
      <c r="D6429" t="s">
        <v>21733</v>
      </c>
      <c r="E6429">
        <v>4</v>
      </c>
      <c r="F6429" t="s">
        <v>19680</v>
      </c>
      <c r="G6429" t="s">
        <v>21730</v>
      </c>
      <c r="H6429">
        <v>2143</v>
      </c>
      <c r="I6429" t="s">
        <v>21734</v>
      </c>
    </row>
    <row r="6430" spans="1:9">
      <c r="A6430" t="str">
        <f>"0220430 "</f>
        <v xml:space="preserve">0220430 </v>
      </c>
      <c r="B6430" t="s">
        <v>21727</v>
      </c>
      <c r="C6430">
        <v>2146</v>
      </c>
      <c r="D6430" t="s">
        <v>21735</v>
      </c>
      <c r="E6430">
        <v>4</v>
      </c>
      <c r="F6430" t="s">
        <v>21736</v>
      </c>
      <c r="G6430" t="s">
        <v>21730</v>
      </c>
      <c r="H6430">
        <v>2146</v>
      </c>
      <c r="I6430" t="s">
        <v>21737</v>
      </c>
    </row>
    <row r="6431" spans="1:9">
      <c r="A6431" t="str">
        <f>"0220439 "</f>
        <v xml:space="preserve">0220439 </v>
      </c>
      <c r="B6431" t="s">
        <v>21727</v>
      </c>
      <c r="C6431">
        <v>2157</v>
      </c>
      <c r="D6431" t="s">
        <v>21738</v>
      </c>
      <c r="E6431">
        <v>2</v>
      </c>
      <c r="F6431" t="s">
        <v>21739</v>
      </c>
      <c r="G6431" t="s">
        <v>21730</v>
      </c>
      <c r="H6431">
        <v>2157</v>
      </c>
      <c r="I6431" t="s">
        <v>6348</v>
      </c>
    </row>
    <row r="6432" spans="1:9">
      <c r="A6432" t="str">
        <f>"0220440 "</f>
        <v xml:space="preserve">0220440 </v>
      </c>
      <c r="B6432" t="s">
        <v>21727</v>
      </c>
      <c r="C6432">
        <v>2158</v>
      </c>
      <c r="D6432" t="s">
        <v>21740</v>
      </c>
      <c r="E6432">
        <v>2</v>
      </c>
      <c r="F6432" t="s">
        <v>21741</v>
      </c>
      <c r="G6432" t="s">
        <v>21730</v>
      </c>
      <c r="H6432">
        <v>2158</v>
      </c>
      <c r="I6432" t="s">
        <v>21742</v>
      </c>
    </row>
    <row r="6433" spans="1:9">
      <c r="A6433" t="str">
        <f>"0220441 "</f>
        <v xml:space="preserve">0220441 </v>
      </c>
      <c r="B6433" t="s">
        <v>21727</v>
      </c>
      <c r="C6433">
        <v>2159</v>
      </c>
      <c r="D6433" t="s">
        <v>21743</v>
      </c>
      <c r="E6433">
        <v>1</v>
      </c>
      <c r="F6433" t="s">
        <v>21744</v>
      </c>
      <c r="G6433" t="s">
        <v>21730</v>
      </c>
      <c r="H6433">
        <v>2159</v>
      </c>
      <c r="I6433" t="s">
        <v>21745</v>
      </c>
    </row>
    <row r="6434" spans="1:9">
      <c r="A6434" t="str">
        <f>"0220442 "</f>
        <v xml:space="preserve">0220442 </v>
      </c>
      <c r="B6434" t="s">
        <v>21727</v>
      </c>
      <c r="C6434">
        <v>2160</v>
      </c>
      <c r="D6434" t="s">
        <v>21746</v>
      </c>
      <c r="E6434">
        <v>1</v>
      </c>
      <c r="F6434" t="s">
        <v>21744</v>
      </c>
      <c r="G6434" t="s">
        <v>21730</v>
      </c>
      <c r="H6434">
        <v>2160</v>
      </c>
      <c r="I6434" t="s">
        <v>6403</v>
      </c>
    </row>
    <row r="6435" spans="1:9">
      <c r="A6435" t="str">
        <f>"0220471 "</f>
        <v xml:space="preserve">0220471 </v>
      </c>
      <c r="B6435" t="s">
        <v>21727</v>
      </c>
      <c r="C6435">
        <v>2189</v>
      </c>
      <c r="D6435" t="s">
        <v>21747</v>
      </c>
      <c r="E6435">
        <v>2</v>
      </c>
      <c r="F6435" t="s">
        <v>21748</v>
      </c>
      <c r="G6435" t="s">
        <v>21730</v>
      </c>
      <c r="H6435">
        <v>2189</v>
      </c>
      <c r="I6435" t="s">
        <v>21749</v>
      </c>
    </row>
    <row r="6436" spans="1:9">
      <c r="A6436" t="str">
        <f>"0220472 "</f>
        <v xml:space="preserve">0220472 </v>
      </c>
      <c r="B6436" t="s">
        <v>21727</v>
      </c>
      <c r="C6436">
        <v>2190</v>
      </c>
      <c r="D6436" t="s">
        <v>21750</v>
      </c>
      <c r="E6436">
        <v>2</v>
      </c>
      <c r="F6436" t="s">
        <v>19908</v>
      </c>
      <c r="G6436" t="s">
        <v>21730</v>
      </c>
      <c r="H6436">
        <v>2190</v>
      </c>
      <c r="I6436" t="s">
        <v>21751</v>
      </c>
    </row>
    <row r="6437" spans="1:9">
      <c r="A6437" t="str">
        <f>"0220478 "</f>
        <v xml:space="preserve">0220478 </v>
      </c>
      <c r="B6437" t="s">
        <v>21727</v>
      </c>
      <c r="C6437">
        <v>2196</v>
      </c>
      <c r="D6437" t="s">
        <v>21752</v>
      </c>
      <c r="E6437">
        <v>2</v>
      </c>
      <c r="F6437" t="s">
        <v>21753</v>
      </c>
      <c r="G6437" t="s">
        <v>21730</v>
      </c>
      <c r="H6437">
        <v>2196</v>
      </c>
      <c r="I6437" t="s">
        <v>21754</v>
      </c>
    </row>
    <row r="6438" spans="1:9">
      <c r="A6438" t="str">
        <f>"0220479 "</f>
        <v xml:space="preserve">0220479 </v>
      </c>
      <c r="B6438" t="s">
        <v>21727</v>
      </c>
      <c r="C6438">
        <v>2197</v>
      </c>
      <c r="D6438" t="s">
        <v>21755</v>
      </c>
      <c r="E6438">
        <v>2</v>
      </c>
      <c r="F6438" t="s">
        <v>21756</v>
      </c>
      <c r="G6438" t="s">
        <v>21730</v>
      </c>
      <c r="H6438">
        <v>2197</v>
      </c>
      <c r="I6438" t="s">
        <v>21757</v>
      </c>
    </row>
    <row r="6439" spans="1:9">
      <c r="A6439" t="str">
        <f>"0220487 "</f>
        <v xml:space="preserve">0220487 </v>
      </c>
      <c r="B6439" t="s">
        <v>21727</v>
      </c>
      <c r="C6439">
        <v>2205</v>
      </c>
      <c r="D6439" t="s">
        <v>21758</v>
      </c>
      <c r="E6439">
        <v>2</v>
      </c>
      <c r="F6439" t="s">
        <v>21759</v>
      </c>
      <c r="G6439" t="s">
        <v>21730</v>
      </c>
      <c r="H6439">
        <v>2205</v>
      </c>
      <c r="I6439" t="s">
        <v>21760</v>
      </c>
    </row>
    <row r="6440" spans="1:9">
      <c r="A6440" t="str">
        <f>"0220505 "</f>
        <v xml:space="preserve">0220505 </v>
      </c>
      <c r="B6440" t="s">
        <v>21727</v>
      </c>
      <c r="C6440">
        <v>2224</v>
      </c>
      <c r="D6440" t="s">
        <v>21761</v>
      </c>
      <c r="E6440">
        <v>2</v>
      </c>
      <c r="F6440" t="s">
        <v>1018</v>
      </c>
      <c r="G6440" t="s">
        <v>21730</v>
      </c>
      <c r="H6440">
        <v>2224</v>
      </c>
      <c r="I6440" t="s">
        <v>21762</v>
      </c>
    </row>
    <row r="6441" spans="1:9">
      <c r="A6441" t="str">
        <f>"0220523 "</f>
        <v xml:space="preserve">0220523 </v>
      </c>
      <c r="B6441" t="s">
        <v>21727</v>
      </c>
      <c r="C6441">
        <v>2251</v>
      </c>
      <c r="D6441" t="s">
        <v>21763</v>
      </c>
      <c r="E6441">
        <v>2</v>
      </c>
      <c r="F6441" t="s">
        <v>21764</v>
      </c>
      <c r="G6441" t="s">
        <v>21730</v>
      </c>
      <c r="H6441">
        <v>2251</v>
      </c>
      <c r="I6441" t="s">
        <v>21765</v>
      </c>
    </row>
    <row r="6442" spans="1:9">
      <c r="A6442" t="str">
        <f>"0220535 "</f>
        <v xml:space="preserve">0220535 </v>
      </c>
      <c r="B6442" t="s">
        <v>21727</v>
      </c>
      <c r="C6442">
        <v>2266</v>
      </c>
      <c r="D6442" t="s">
        <v>21766</v>
      </c>
      <c r="E6442">
        <v>4</v>
      </c>
      <c r="F6442" t="s">
        <v>21767</v>
      </c>
      <c r="G6442" t="s">
        <v>21730</v>
      </c>
      <c r="H6442">
        <v>2266</v>
      </c>
      <c r="I6442" t="s">
        <v>5617</v>
      </c>
    </row>
    <row r="6443" spans="1:9">
      <c r="A6443" t="str">
        <f>"0220547 "</f>
        <v xml:space="preserve">0220547 </v>
      </c>
      <c r="B6443" t="s">
        <v>21727</v>
      </c>
      <c r="C6443">
        <v>2278</v>
      </c>
      <c r="D6443" t="s">
        <v>21768</v>
      </c>
      <c r="E6443">
        <v>4</v>
      </c>
      <c r="F6443" t="s">
        <v>21748</v>
      </c>
      <c r="G6443" t="s">
        <v>21730</v>
      </c>
      <c r="H6443">
        <v>2278</v>
      </c>
      <c r="I6443" t="s">
        <v>21769</v>
      </c>
    </row>
    <row r="6444" spans="1:9">
      <c r="A6444" t="str">
        <f>"0220548 "</f>
        <v xml:space="preserve">0220548 </v>
      </c>
      <c r="B6444" t="s">
        <v>21727</v>
      </c>
      <c r="C6444">
        <v>2281</v>
      </c>
      <c r="D6444" t="s">
        <v>21770</v>
      </c>
      <c r="E6444">
        <v>2</v>
      </c>
      <c r="F6444" t="s">
        <v>21771</v>
      </c>
      <c r="G6444" t="s">
        <v>21730</v>
      </c>
      <c r="H6444">
        <v>2281</v>
      </c>
      <c r="I6444" t="s">
        <v>5108</v>
      </c>
    </row>
    <row r="6445" spans="1:9">
      <c r="A6445" t="str">
        <f>"0220549 "</f>
        <v xml:space="preserve">0220549 </v>
      </c>
      <c r="B6445" t="s">
        <v>21727</v>
      </c>
      <c r="C6445">
        <v>2282</v>
      </c>
      <c r="D6445" t="s">
        <v>21772</v>
      </c>
      <c r="E6445">
        <v>2</v>
      </c>
      <c r="F6445" t="s">
        <v>21773</v>
      </c>
      <c r="G6445" t="s">
        <v>21730</v>
      </c>
      <c r="H6445">
        <v>2282</v>
      </c>
      <c r="I6445" t="s">
        <v>5117</v>
      </c>
    </row>
    <row r="6446" spans="1:9">
      <c r="A6446" t="str">
        <f>"0220550 "</f>
        <v xml:space="preserve">0220550 </v>
      </c>
      <c r="B6446" t="s">
        <v>21727</v>
      </c>
      <c r="C6446">
        <v>2283</v>
      </c>
      <c r="D6446" t="s">
        <v>21774</v>
      </c>
      <c r="E6446">
        <v>2</v>
      </c>
      <c r="F6446" t="s">
        <v>21775</v>
      </c>
      <c r="G6446" t="s">
        <v>21730</v>
      </c>
      <c r="H6446">
        <v>2283</v>
      </c>
      <c r="I6446" t="s">
        <v>21776</v>
      </c>
    </row>
    <row r="6447" spans="1:9">
      <c r="A6447" t="str">
        <f>"0220556 "</f>
        <v xml:space="preserve">0220556 </v>
      </c>
      <c r="B6447" t="s">
        <v>21727</v>
      </c>
      <c r="C6447">
        <v>2293</v>
      </c>
      <c r="D6447" t="s">
        <v>21777</v>
      </c>
      <c r="E6447" t="s">
        <v>16</v>
      </c>
      <c r="F6447" t="s">
        <v>21778</v>
      </c>
      <c r="G6447" t="s">
        <v>21730</v>
      </c>
      <c r="H6447">
        <v>2293</v>
      </c>
      <c r="I6447" t="s">
        <v>5096</v>
      </c>
    </row>
    <row r="6448" spans="1:9">
      <c r="A6448" t="str">
        <f>"0220600 "</f>
        <v xml:space="preserve">0220600 </v>
      </c>
      <c r="B6448" t="s">
        <v>21727</v>
      </c>
      <c r="C6448">
        <v>2345</v>
      </c>
      <c r="D6448" t="s">
        <v>21779</v>
      </c>
      <c r="E6448">
        <v>2</v>
      </c>
      <c r="F6448" t="s">
        <v>10328</v>
      </c>
      <c r="G6448" t="s">
        <v>21730</v>
      </c>
      <c r="H6448">
        <v>2345</v>
      </c>
      <c r="I6448" t="s">
        <v>21780</v>
      </c>
    </row>
    <row r="6449" spans="1:9">
      <c r="A6449" t="str">
        <f>"0220617 "</f>
        <v xml:space="preserve">0220617 </v>
      </c>
      <c r="B6449" t="s">
        <v>21727</v>
      </c>
      <c r="C6449">
        <v>2364</v>
      </c>
      <c r="D6449" t="s">
        <v>21781</v>
      </c>
      <c r="E6449">
        <v>2</v>
      </c>
      <c r="F6449" t="s">
        <v>21778</v>
      </c>
      <c r="G6449" t="s">
        <v>21730</v>
      </c>
      <c r="H6449">
        <v>2364</v>
      </c>
      <c r="I6449" t="s">
        <v>21782</v>
      </c>
    </row>
    <row r="6450" spans="1:9">
      <c r="A6450" t="str">
        <f>"0220628 "</f>
        <v xml:space="preserve">0220628 </v>
      </c>
      <c r="B6450" t="s">
        <v>21727</v>
      </c>
      <c r="C6450">
        <v>2375</v>
      </c>
      <c r="D6450" t="s">
        <v>21783</v>
      </c>
      <c r="E6450" t="s">
        <v>16</v>
      </c>
      <c r="F6450" t="s">
        <v>21784</v>
      </c>
      <c r="G6450" t="s">
        <v>21730</v>
      </c>
      <c r="H6450">
        <v>2375</v>
      </c>
      <c r="I6450" t="s">
        <v>6061</v>
      </c>
    </row>
    <row r="6451" spans="1:9">
      <c r="A6451" t="str">
        <f>"0220635 "</f>
        <v xml:space="preserve">0220635 </v>
      </c>
      <c r="B6451" t="s">
        <v>21727</v>
      </c>
      <c r="C6451">
        <v>2383</v>
      </c>
      <c r="D6451" t="s">
        <v>21785</v>
      </c>
      <c r="E6451">
        <v>4</v>
      </c>
      <c r="F6451" t="s">
        <v>21786</v>
      </c>
      <c r="G6451" t="s">
        <v>21730</v>
      </c>
      <c r="H6451">
        <v>2383</v>
      </c>
      <c r="I6451" t="s">
        <v>5268</v>
      </c>
    </row>
    <row r="6452" spans="1:9">
      <c r="A6452" t="str">
        <f>"0220636 "</f>
        <v xml:space="preserve">0220636 </v>
      </c>
      <c r="B6452" t="s">
        <v>21727</v>
      </c>
      <c r="C6452">
        <v>2384</v>
      </c>
      <c r="D6452" t="s">
        <v>21787</v>
      </c>
      <c r="E6452">
        <v>2</v>
      </c>
      <c r="F6452" t="s">
        <v>21784</v>
      </c>
      <c r="G6452" t="s">
        <v>21730</v>
      </c>
      <c r="H6452">
        <v>2384</v>
      </c>
      <c r="I6452" t="s">
        <v>5268</v>
      </c>
    </row>
    <row r="6453" spans="1:9">
      <c r="A6453" t="str">
        <f>"0220637 "</f>
        <v xml:space="preserve">0220637 </v>
      </c>
      <c r="B6453" t="s">
        <v>21727</v>
      </c>
      <c r="C6453">
        <v>2385</v>
      </c>
      <c r="D6453" t="s">
        <v>21788</v>
      </c>
      <c r="E6453">
        <v>4</v>
      </c>
      <c r="F6453" t="s">
        <v>1679</v>
      </c>
      <c r="G6453" t="s">
        <v>21730</v>
      </c>
      <c r="H6453">
        <v>2385</v>
      </c>
      <c r="I6453" t="s">
        <v>5596</v>
      </c>
    </row>
    <row r="6454" spans="1:9">
      <c r="A6454" t="str">
        <f>"0220663 "</f>
        <v xml:space="preserve">0220663 </v>
      </c>
      <c r="B6454" t="s">
        <v>21727</v>
      </c>
      <c r="C6454">
        <v>2417</v>
      </c>
      <c r="D6454" t="s">
        <v>21789</v>
      </c>
      <c r="E6454">
        <v>1</v>
      </c>
      <c r="F6454" t="s">
        <v>21790</v>
      </c>
      <c r="G6454" t="s">
        <v>21730</v>
      </c>
      <c r="H6454">
        <v>2417</v>
      </c>
      <c r="I6454" t="s">
        <v>21791</v>
      </c>
    </row>
    <row r="6455" spans="1:9">
      <c r="A6455" t="str">
        <f>"0220664 "</f>
        <v xml:space="preserve">0220664 </v>
      </c>
      <c r="B6455" t="s">
        <v>21727</v>
      </c>
      <c r="C6455">
        <v>2418</v>
      </c>
      <c r="D6455" t="s">
        <v>21792</v>
      </c>
      <c r="E6455">
        <v>1</v>
      </c>
      <c r="F6455" t="s">
        <v>21790</v>
      </c>
      <c r="G6455" t="s">
        <v>21730</v>
      </c>
      <c r="H6455">
        <v>2418</v>
      </c>
      <c r="I6455" t="s">
        <v>21793</v>
      </c>
    </row>
    <row r="6456" spans="1:9">
      <c r="A6456" t="str">
        <f>"0220710 "</f>
        <v xml:space="preserve">0220710 </v>
      </c>
      <c r="B6456" t="s">
        <v>21727</v>
      </c>
      <c r="C6456">
        <v>2469</v>
      </c>
      <c r="D6456" t="s">
        <v>21794</v>
      </c>
      <c r="E6456">
        <v>2</v>
      </c>
      <c r="F6456" t="s">
        <v>21764</v>
      </c>
      <c r="G6456" t="s">
        <v>21730</v>
      </c>
      <c r="H6456">
        <v>2469</v>
      </c>
      <c r="I6456" t="s">
        <v>21795</v>
      </c>
    </row>
    <row r="6457" spans="1:9">
      <c r="A6457" t="str">
        <f>"0220714 "</f>
        <v xml:space="preserve">0220714 </v>
      </c>
      <c r="B6457" t="s">
        <v>21727</v>
      </c>
      <c r="C6457">
        <v>2473</v>
      </c>
      <c r="D6457" t="s">
        <v>21796</v>
      </c>
      <c r="E6457">
        <v>2</v>
      </c>
      <c r="F6457" t="s">
        <v>21797</v>
      </c>
      <c r="G6457" t="s">
        <v>21730</v>
      </c>
      <c r="H6457">
        <v>2473</v>
      </c>
      <c r="I6457" t="s">
        <v>21798</v>
      </c>
    </row>
    <row r="6458" spans="1:9">
      <c r="A6458" t="str">
        <f>"0220716 "</f>
        <v xml:space="preserve">0220716 </v>
      </c>
      <c r="B6458" t="s">
        <v>21727</v>
      </c>
      <c r="C6458">
        <v>2475</v>
      </c>
      <c r="D6458" t="s">
        <v>21799</v>
      </c>
      <c r="E6458">
        <v>1</v>
      </c>
      <c r="F6458" t="s">
        <v>1774</v>
      </c>
      <c r="G6458" t="s">
        <v>21730</v>
      </c>
      <c r="H6458">
        <v>2475</v>
      </c>
      <c r="I6458" t="s">
        <v>21800</v>
      </c>
    </row>
    <row r="6459" spans="1:9">
      <c r="A6459" t="str">
        <f>"0220717 "</f>
        <v xml:space="preserve">0220717 </v>
      </c>
      <c r="B6459" t="s">
        <v>21727</v>
      </c>
      <c r="C6459">
        <v>2476</v>
      </c>
      <c r="D6459" t="s">
        <v>21801</v>
      </c>
      <c r="E6459">
        <v>1</v>
      </c>
      <c r="F6459" t="s">
        <v>948</v>
      </c>
      <c r="G6459" t="s">
        <v>21730</v>
      </c>
      <c r="H6459">
        <v>2476</v>
      </c>
      <c r="I6459" t="s">
        <v>21802</v>
      </c>
    </row>
    <row r="6460" spans="1:9">
      <c r="A6460" t="str">
        <f>"0220728 "</f>
        <v xml:space="preserve">0220728 </v>
      </c>
      <c r="B6460" t="s">
        <v>21727</v>
      </c>
      <c r="C6460">
        <v>2489</v>
      </c>
      <c r="D6460" t="s">
        <v>21803</v>
      </c>
      <c r="E6460">
        <v>2</v>
      </c>
      <c r="F6460" t="s">
        <v>56</v>
      </c>
      <c r="G6460" t="s">
        <v>21730</v>
      </c>
      <c r="H6460">
        <v>2489</v>
      </c>
      <c r="I6460" t="s">
        <v>21804</v>
      </c>
    </row>
    <row r="6461" spans="1:9">
      <c r="A6461" t="str">
        <f>"0220730 "</f>
        <v xml:space="preserve">0220730 </v>
      </c>
      <c r="B6461" t="s">
        <v>21727</v>
      </c>
      <c r="C6461">
        <v>2491</v>
      </c>
      <c r="D6461" t="s">
        <v>21805</v>
      </c>
      <c r="E6461">
        <v>4</v>
      </c>
      <c r="F6461" t="s">
        <v>21748</v>
      </c>
      <c r="G6461" t="s">
        <v>21730</v>
      </c>
      <c r="H6461">
        <v>2491</v>
      </c>
      <c r="I6461" t="s">
        <v>21806</v>
      </c>
    </row>
    <row r="6462" spans="1:9">
      <c r="A6462" t="str">
        <f>"0220734 "</f>
        <v xml:space="preserve">0220734 </v>
      </c>
      <c r="B6462" t="s">
        <v>21727</v>
      </c>
      <c r="C6462">
        <v>2495</v>
      </c>
      <c r="D6462" t="s">
        <v>21807</v>
      </c>
      <c r="E6462">
        <v>2</v>
      </c>
      <c r="F6462" t="s">
        <v>21808</v>
      </c>
      <c r="G6462" t="s">
        <v>21730</v>
      </c>
      <c r="H6462">
        <v>2495</v>
      </c>
      <c r="I6462" t="s">
        <v>21809</v>
      </c>
    </row>
    <row r="6463" spans="1:9">
      <c r="A6463" t="str">
        <f>"0220735 "</f>
        <v xml:space="preserve">0220735 </v>
      </c>
      <c r="B6463" t="s">
        <v>21727</v>
      </c>
      <c r="C6463">
        <v>2496</v>
      </c>
      <c r="D6463" t="s">
        <v>21810</v>
      </c>
      <c r="E6463">
        <v>2</v>
      </c>
      <c r="F6463" t="s">
        <v>1774</v>
      </c>
      <c r="G6463" t="s">
        <v>21730</v>
      </c>
      <c r="H6463">
        <v>2496</v>
      </c>
      <c r="I6463" t="s">
        <v>21811</v>
      </c>
    </row>
    <row r="6464" spans="1:9">
      <c r="A6464" t="str">
        <f>"0220762 "</f>
        <v xml:space="preserve">0220762 </v>
      </c>
      <c r="B6464" t="s">
        <v>21727</v>
      </c>
      <c r="C6464">
        <v>2526</v>
      </c>
      <c r="D6464" t="s">
        <v>21812</v>
      </c>
      <c r="E6464">
        <v>2</v>
      </c>
      <c r="F6464" t="s">
        <v>884</v>
      </c>
      <c r="G6464" t="s">
        <v>21730</v>
      </c>
      <c r="H6464">
        <v>2526</v>
      </c>
      <c r="I6464" t="s">
        <v>21813</v>
      </c>
    </row>
    <row r="6465" spans="1:9">
      <c r="A6465" t="str">
        <f>"0220763 "</f>
        <v xml:space="preserve">0220763 </v>
      </c>
      <c r="B6465" t="s">
        <v>21727</v>
      </c>
      <c r="C6465">
        <v>2527</v>
      </c>
      <c r="D6465" t="s">
        <v>21814</v>
      </c>
      <c r="E6465">
        <v>2</v>
      </c>
      <c r="F6465" t="s">
        <v>21815</v>
      </c>
      <c r="G6465" t="s">
        <v>21730</v>
      </c>
      <c r="H6465">
        <v>2527</v>
      </c>
      <c r="I6465" t="s">
        <v>21813</v>
      </c>
    </row>
    <row r="6466" spans="1:9">
      <c r="A6466" t="str">
        <f>"0220778 "</f>
        <v xml:space="preserve">0220778 </v>
      </c>
      <c r="B6466" t="s">
        <v>21727</v>
      </c>
      <c r="C6466">
        <v>2546</v>
      </c>
      <c r="D6466" t="s">
        <v>21816</v>
      </c>
      <c r="E6466">
        <v>2</v>
      </c>
      <c r="F6466" t="s">
        <v>21797</v>
      </c>
      <c r="G6466" t="s">
        <v>21730</v>
      </c>
      <c r="H6466">
        <v>2546</v>
      </c>
      <c r="I6466" t="s">
        <v>21817</v>
      </c>
    </row>
    <row r="6467" spans="1:9">
      <c r="A6467" t="str">
        <f>"0220798 "</f>
        <v xml:space="preserve">0220798 </v>
      </c>
      <c r="B6467" t="s">
        <v>21727</v>
      </c>
      <c r="C6467">
        <v>2567</v>
      </c>
      <c r="D6467" t="s">
        <v>21818</v>
      </c>
      <c r="E6467">
        <v>2</v>
      </c>
      <c r="F6467" t="s">
        <v>21819</v>
      </c>
      <c r="G6467" t="s">
        <v>21730</v>
      </c>
      <c r="H6467">
        <v>2567</v>
      </c>
      <c r="I6467" t="s">
        <v>6865</v>
      </c>
    </row>
    <row r="6468" spans="1:9">
      <c r="A6468" t="str">
        <f>"0220821 "</f>
        <v xml:space="preserve">0220821 </v>
      </c>
      <c r="B6468" t="s">
        <v>21727</v>
      </c>
      <c r="C6468">
        <v>2593</v>
      </c>
      <c r="D6468" t="s">
        <v>21820</v>
      </c>
      <c r="E6468">
        <v>2</v>
      </c>
      <c r="F6468" t="s">
        <v>928</v>
      </c>
      <c r="G6468" t="s">
        <v>21730</v>
      </c>
      <c r="H6468">
        <v>2593</v>
      </c>
      <c r="I6468" t="s">
        <v>6311</v>
      </c>
    </row>
    <row r="6469" spans="1:9">
      <c r="A6469" t="str">
        <f>"0220839 "</f>
        <v xml:space="preserve">0220839 </v>
      </c>
      <c r="B6469" t="s">
        <v>21727</v>
      </c>
      <c r="C6469">
        <v>2611</v>
      </c>
      <c r="D6469" t="s">
        <v>21821</v>
      </c>
      <c r="E6469">
        <v>4</v>
      </c>
      <c r="F6469" t="s">
        <v>21822</v>
      </c>
      <c r="G6469" t="s">
        <v>21730</v>
      </c>
      <c r="H6469">
        <v>2611</v>
      </c>
      <c r="I6469" t="s">
        <v>21823</v>
      </c>
    </row>
    <row r="6470" spans="1:9">
      <c r="A6470" t="str">
        <f>"0220843 "</f>
        <v xml:space="preserve">0220843 </v>
      </c>
      <c r="B6470" t="s">
        <v>21727</v>
      </c>
      <c r="C6470">
        <v>2615</v>
      </c>
      <c r="D6470" t="s">
        <v>21824</v>
      </c>
      <c r="E6470">
        <v>4</v>
      </c>
      <c r="F6470" t="s">
        <v>21825</v>
      </c>
      <c r="G6470" t="s">
        <v>21730</v>
      </c>
      <c r="H6470">
        <v>2615</v>
      </c>
      <c r="I6470" t="s">
        <v>21826</v>
      </c>
    </row>
    <row r="6471" spans="1:9">
      <c r="A6471" t="str">
        <f>"0220844 "</f>
        <v xml:space="preserve">0220844 </v>
      </c>
      <c r="B6471" t="s">
        <v>21727</v>
      </c>
      <c r="C6471">
        <v>2616</v>
      </c>
      <c r="D6471" t="s">
        <v>21827</v>
      </c>
      <c r="E6471">
        <v>1</v>
      </c>
      <c r="F6471" t="s">
        <v>21828</v>
      </c>
      <c r="G6471" t="s">
        <v>21730</v>
      </c>
      <c r="H6471">
        <v>2616</v>
      </c>
      <c r="I6471" t="s">
        <v>21829</v>
      </c>
    </row>
    <row r="6472" spans="1:9">
      <c r="A6472" t="str">
        <f>"0220855 "</f>
        <v xml:space="preserve">0220855 </v>
      </c>
      <c r="B6472" t="s">
        <v>21727</v>
      </c>
      <c r="C6472">
        <v>2627</v>
      </c>
      <c r="D6472" t="s">
        <v>21830</v>
      </c>
      <c r="E6472">
        <v>4</v>
      </c>
      <c r="F6472" t="s">
        <v>21815</v>
      </c>
      <c r="G6472" t="s">
        <v>21730</v>
      </c>
      <c r="H6472">
        <v>2627</v>
      </c>
      <c r="I6472" t="s">
        <v>21831</v>
      </c>
    </row>
    <row r="6473" spans="1:9">
      <c r="A6473" t="str">
        <f>"0220856 "</f>
        <v xml:space="preserve">0220856 </v>
      </c>
      <c r="B6473" t="s">
        <v>21727</v>
      </c>
      <c r="C6473">
        <v>2628</v>
      </c>
      <c r="D6473" t="s">
        <v>21832</v>
      </c>
      <c r="E6473">
        <v>2</v>
      </c>
      <c r="F6473" t="s">
        <v>21833</v>
      </c>
      <c r="G6473" t="s">
        <v>21730</v>
      </c>
      <c r="H6473">
        <v>2628</v>
      </c>
      <c r="I6473" t="s">
        <v>21834</v>
      </c>
    </row>
    <row r="6474" spans="1:9">
      <c r="A6474" t="str">
        <f>"0221259 "</f>
        <v xml:space="preserve">0221259 </v>
      </c>
      <c r="B6474" t="s">
        <v>21727</v>
      </c>
      <c r="C6474">
        <v>4009</v>
      </c>
      <c r="D6474" t="s">
        <v>21835</v>
      </c>
      <c r="E6474">
        <v>2</v>
      </c>
      <c r="F6474" t="s">
        <v>21836</v>
      </c>
      <c r="G6474" t="s">
        <v>21730</v>
      </c>
      <c r="H6474">
        <v>4009</v>
      </c>
      <c r="I6474" t="s">
        <v>21837</v>
      </c>
    </row>
    <row r="6475" spans="1:9">
      <c r="A6475" t="str">
        <f>"0221265 "</f>
        <v xml:space="preserve">0221265 </v>
      </c>
      <c r="B6475" t="s">
        <v>21727</v>
      </c>
      <c r="C6475">
        <v>4015</v>
      </c>
      <c r="D6475" t="s">
        <v>21838</v>
      </c>
      <c r="E6475">
        <v>2</v>
      </c>
      <c r="F6475" t="s">
        <v>21784</v>
      </c>
      <c r="G6475" t="s">
        <v>21730</v>
      </c>
      <c r="H6475">
        <v>4015</v>
      </c>
      <c r="I6475" t="s">
        <v>21839</v>
      </c>
    </row>
    <row r="6476" spans="1:9">
      <c r="A6476" t="str">
        <f>"0221323 "</f>
        <v xml:space="preserve">0221323 </v>
      </c>
      <c r="B6476" t="s">
        <v>21727</v>
      </c>
      <c r="C6476">
        <v>4115</v>
      </c>
      <c r="D6476" t="s">
        <v>21840</v>
      </c>
      <c r="E6476" t="s">
        <v>16</v>
      </c>
      <c r="F6476" t="s">
        <v>21778</v>
      </c>
      <c r="G6476" t="s">
        <v>21730</v>
      </c>
      <c r="H6476">
        <v>4115</v>
      </c>
      <c r="I6476" t="s">
        <v>21841</v>
      </c>
    </row>
    <row r="6477" spans="1:9">
      <c r="A6477" t="str">
        <f>"0221450 "</f>
        <v xml:space="preserve">0221450 </v>
      </c>
      <c r="B6477" t="s">
        <v>21727</v>
      </c>
      <c r="C6477">
        <v>4302</v>
      </c>
      <c r="D6477" t="s">
        <v>21842</v>
      </c>
      <c r="E6477">
        <v>2</v>
      </c>
      <c r="F6477" t="s">
        <v>21843</v>
      </c>
      <c r="G6477" t="s">
        <v>21730</v>
      </c>
      <c r="H6477">
        <v>4302</v>
      </c>
      <c r="I6477" t="s">
        <v>21844</v>
      </c>
    </row>
    <row r="6478" spans="1:9">
      <c r="A6478" t="str">
        <f>"0221520 "</f>
        <v xml:space="preserve">0221520 </v>
      </c>
      <c r="B6478" t="s">
        <v>21727</v>
      </c>
      <c r="C6478">
        <v>4406</v>
      </c>
      <c r="D6478" t="s">
        <v>21845</v>
      </c>
      <c r="E6478">
        <v>2</v>
      </c>
      <c r="F6478" t="s">
        <v>21778</v>
      </c>
      <c r="G6478" t="s">
        <v>21730</v>
      </c>
      <c r="H6478">
        <v>4406</v>
      </c>
      <c r="I6478" t="s">
        <v>21846</v>
      </c>
    </row>
    <row r="6479" spans="1:9">
      <c r="A6479" t="str">
        <f>"0221533 "</f>
        <v xml:space="preserve">0221533 </v>
      </c>
      <c r="B6479" t="s">
        <v>21727</v>
      </c>
      <c r="C6479">
        <v>4426</v>
      </c>
      <c r="D6479" t="s">
        <v>21847</v>
      </c>
      <c r="E6479">
        <v>2</v>
      </c>
      <c r="F6479" t="s">
        <v>21848</v>
      </c>
      <c r="G6479" t="s">
        <v>21730</v>
      </c>
      <c r="H6479">
        <v>4426</v>
      </c>
      <c r="I6479" t="s">
        <v>5241</v>
      </c>
    </row>
    <row r="6480" spans="1:9">
      <c r="A6480" t="str">
        <f>"0221544 "</f>
        <v xml:space="preserve">0221544 </v>
      </c>
      <c r="B6480" t="s">
        <v>21727</v>
      </c>
      <c r="C6480">
        <v>4444</v>
      </c>
      <c r="D6480" t="s">
        <v>21849</v>
      </c>
      <c r="E6480">
        <v>2</v>
      </c>
      <c r="F6480" t="s">
        <v>21843</v>
      </c>
      <c r="G6480" t="s">
        <v>21730</v>
      </c>
      <c r="H6480">
        <v>4444</v>
      </c>
      <c r="I6480" t="s">
        <v>14513</v>
      </c>
    </row>
    <row r="6481" spans="1:9">
      <c r="A6481" t="str">
        <f>"0221581 "</f>
        <v xml:space="preserve">0221581 </v>
      </c>
      <c r="B6481" t="s">
        <v>21727</v>
      </c>
      <c r="C6481">
        <v>4490</v>
      </c>
      <c r="D6481" t="s">
        <v>21850</v>
      </c>
      <c r="E6481">
        <v>4</v>
      </c>
      <c r="F6481" t="s">
        <v>21851</v>
      </c>
      <c r="G6481" t="s">
        <v>21730</v>
      </c>
      <c r="H6481">
        <v>4490</v>
      </c>
      <c r="I6481" t="s">
        <v>5877</v>
      </c>
    </row>
    <row r="6482" spans="1:9">
      <c r="A6482" t="str">
        <f>"0221593 "</f>
        <v xml:space="preserve">0221593 </v>
      </c>
      <c r="B6482" t="s">
        <v>21727</v>
      </c>
      <c r="C6482">
        <v>4508</v>
      </c>
      <c r="D6482" t="s">
        <v>21852</v>
      </c>
      <c r="E6482">
        <v>4</v>
      </c>
      <c r="F6482" t="s">
        <v>21836</v>
      </c>
      <c r="G6482" t="s">
        <v>21730</v>
      </c>
      <c r="H6482">
        <v>4508</v>
      </c>
      <c r="I6482" t="s">
        <v>21853</v>
      </c>
    </row>
    <row r="6483" spans="1:9">
      <c r="A6483" t="str">
        <f>"0221596 "</f>
        <v xml:space="preserve">0221596 </v>
      </c>
      <c r="B6483" t="s">
        <v>21727</v>
      </c>
      <c r="C6483">
        <v>4511</v>
      </c>
      <c r="D6483" t="s">
        <v>21854</v>
      </c>
      <c r="E6483">
        <v>2</v>
      </c>
      <c r="F6483" t="s">
        <v>21843</v>
      </c>
      <c r="G6483" t="s">
        <v>21730</v>
      </c>
      <c r="H6483">
        <v>4511</v>
      </c>
      <c r="I6483" t="s">
        <v>21855</v>
      </c>
    </row>
    <row r="6484" spans="1:9">
      <c r="A6484" t="str">
        <f>"0221599 "</f>
        <v xml:space="preserve">0221599 </v>
      </c>
      <c r="B6484" t="s">
        <v>21727</v>
      </c>
      <c r="C6484">
        <v>4516</v>
      </c>
      <c r="D6484" t="s">
        <v>21856</v>
      </c>
      <c r="E6484">
        <v>4</v>
      </c>
      <c r="F6484" t="s">
        <v>21851</v>
      </c>
      <c r="G6484" t="s">
        <v>21730</v>
      </c>
      <c r="H6484">
        <v>4516</v>
      </c>
      <c r="I6484" t="s">
        <v>21857</v>
      </c>
    </row>
    <row r="6485" spans="1:9">
      <c r="A6485" t="str">
        <f>"0221620 "</f>
        <v xml:space="preserve">0221620 </v>
      </c>
      <c r="B6485" t="s">
        <v>21727</v>
      </c>
      <c r="C6485">
        <v>4544</v>
      </c>
      <c r="D6485" t="s">
        <v>21858</v>
      </c>
      <c r="E6485">
        <v>2</v>
      </c>
      <c r="F6485" t="s">
        <v>21848</v>
      </c>
      <c r="G6485" t="s">
        <v>21730</v>
      </c>
      <c r="H6485">
        <v>4544</v>
      </c>
      <c r="I6485" t="s">
        <v>21859</v>
      </c>
    </row>
    <row r="6486" spans="1:9">
      <c r="A6486" t="str">
        <f>"0221621 "</f>
        <v xml:space="preserve">0221621 </v>
      </c>
      <c r="B6486" t="s">
        <v>21727</v>
      </c>
      <c r="C6486">
        <v>4547</v>
      </c>
      <c r="D6486" t="s">
        <v>21860</v>
      </c>
      <c r="E6486">
        <v>2</v>
      </c>
      <c r="F6486" t="s">
        <v>21767</v>
      </c>
      <c r="G6486" t="s">
        <v>21730</v>
      </c>
      <c r="H6486">
        <v>4547</v>
      </c>
      <c r="I6486" t="s">
        <v>6188</v>
      </c>
    </row>
    <row r="6487" spans="1:9">
      <c r="A6487" t="str">
        <f>"0221626 "</f>
        <v xml:space="preserve">0221626 </v>
      </c>
      <c r="B6487" t="s">
        <v>21727</v>
      </c>
      <c r="C6487">
        <v>4552</v>
      </c>
      <c r="D6487" t="s">
        <v>21861</v>
      </c>
      <c r="E6487">
        <v>2</v>
      </c>
      <c r="F6487" t="s">
        <v>21862</v>
      </c>
      <c r="G6487" t="s">
        <v>21730</v>
      </c>
      <c r="H6487">
        <v>4552</v>
      </c>
      <c r="I6487" t="s">
        <v>21863</v>
      </c>
    </row>
    <row r="6488" spans="1:9">
      <c r="A6488" t="str">
        <f>"0221648 "</f>
        <v xml:space="preserve">0221648 </v>
      </c>
      <c r="B6488" t="s">
        <v>21727</v>
      </c>
      <c r="C6488">
        <v>4577</v>
      </c>
      <c r="D6488" t="s">
        <v>21864</v>
      </c>
      <c r="E6488">
        <v>2</v>
      </c>
      <c r="F6488" t="s">
        <v>21865</v>
      </c>
      <c r="G6488" t="s">
        <v>21730</v>
      </c>
      <c r="H6488">
        <v>4577</v>
      </c>
      <c r="I6488" t="s">
        <v>21866</v>
      </c>
    </row>
    <row r="6489" spans="1:9">
      <c r="A6489" t="str">
        <f>"0221653 "</f>
        <v xml:space="preserve">0221653 </v>
      </c>
      <c r="B6489" t="s">
        <v>21727</v>
      </c>
      <c r="C6489">
        <v>4587</v>
      </c>
      <c r="D6489" t="s">
        <v>21867</v>
      </c>
      <c r="E6489">
        <v>2</v>
      </c>
      <c r="F6489" t="s">
        <v>5492</v>
      </c>
      <c r="G6489" t="s">
        <v>21730</v>
      </c>
      <c r="H6489">
        <v>4587</v>
      </c>
      <c r="I6489" t="s">
        <v>21868</v>
      </c>
    </row>
    <row r="6490" spans="1:9">
      <c r="A6490" t="str">
        <f>"0221668 "</f>
        <v xml:space="preserve">0221668 </v>
      </c>
      <c r="B6490" t="s">
        <v>21727</v>
      </c>
      <c r="C6490">
        <v>4603</v>
      </c>
      <c r="D6490" t="s">
        <v>21869</v>
      </c>
      <c r="E6490">
        <v>2</v>
      </c>
      <c r="F6490" t="s">
        <v>1793</v>
      </c>
      <c r="G6490" t="s">
        <v>21730</v>
      </c>
      <c r="H6490">
        <v>4603</v>
      </c>
      <c r="I6490" t="s">
        <v>21870</v>
      </c>
    </row>
    <row r="6491" spans="1:9">
      <c r="A6491" t="str">
        <f>"0221670 "</f>
        <v xml:space="preserve">0221670 </v>
      </c>
      <c r="B6491" t="s">
        <v>21727</v>
      </c>
      <c r="C6491">
        <v>4605</v>
      </c>
      <c r="D6491" t="s">
        <v>21871</v>
      </c>
      <c r="E6491">
        <v>2</v>
      </c>
      <c r="F6491" t="s">
        <v>21872</v>
      </c>
      <c r="G6491" t="s">
        <v>21730</v>
      </c>
      <c r="H6491">
        <v>4605</v>
      </c>
      <c r="I6491" t="s">
        <v>21873</v>
      </c>
    </row>
    <row r="6492" spans="1:9">
      <c r="A6492" t="str">
        <f>"0221676 "</f>
        <v xml:space="preserve">0221676 </v>
      </c>
      <c r="B6492" t="s">
        <v>21727</v>
      </c>
      <c r="C6492">
        <v>4611</v>
      </c>
      <c r="D6492" t="s">
        <v>21874</v>
      </c>
      <c r="E6492">
        <v>2</v>
      </c>
      <c r="F6492" t="s">
        <v>21875</v>
      </c>
      <c r="G6492" t="s">
        <v>21730</v>
      </c>
      <c r="H6492">
        <v>4611</v>
      </c>
      <c r="I6492" t="s">
        <v>21876</v>
      </c>
    </row>
    <row r="6493" spans="1:9">
      <c r="A6493" t="str">
        <f>"0221686 "</f>
        <v xml:space="preserve">0221686 </v>
      </c>
      <c r="B6493" t="s">
        <v>21727</v>
      </c>
      <c r="C6493">
        <v>4621</v>
      </c>
      <c r="D6493" t="s">
        <v>21877</v>
      </c>
      <c r="E6493">
        <v>2</v>
      </c>
      <c r="F6493" t="s">
        <v>21836</v>
      </c>
      <c r="G6493" t="s">
        <v>21730</v>
      </c>
      <c r="H6493">
        <v>4621</v>
      </c>
      <c r="I6493" t="s">
        <v>21878</v>
      </c>
    </row>
    <row r="6494" spans="1:9">
      <c r="A6494" t="str">
        <f>"0221692 "</f>
        <v xml:space="preserve">0221692 </v>
      </c>
      <c r="B6494" t="s">
        <v>21727</v>
      </c>
      <c r="C6494">
        <v>4627</v>
      </c>
      <c r="D6494" t="s">
        <v>21879</v>
      </c>
      <c r="E6494">
        <v>2</v>
      </c>
      <c r="F6494" t="s">
        <v>21819</v>
      </c>
      <c r="G6494" t="s">
        <v>21730</v>
      </c>
      <c r="H6494">
        <v>4627</v>
      </c>
      <c r="I6494" t="s">
        <v>21880</v>
      </c>
    </row>
    <row r="6495" spans="1:9">
      <c r="A6495" t="str">
        <f>"0221693 "</f>
        <v xml:space="preserve">0221693 </v>
      </c>
      <c r="B6495" t="s">
        <v>21727</v>
      </c>
      <c r="C6495">
        <v>4628</v>
      </c>
      <c r="D6495" t="s">
        <v>21881</v>
      </c>
      <c r="E6495">
        <v>2</v>
      </c>
      <c r="F6495" t="s">
        <v>21843</v>
      </c>
      <c r="G6495" t="s">
        <v>21730</v>
      </c>
      <c r="H6495">
        <v>4628</v>
      </c>
      <c r="I6495" t="s">
        <v>7019</v>
      </c>
    </row>
    <row r="6496" spans="1:9">
      <c r="A6496" t="str">
        <f>"0221694 "</f>
        <v xml:space="preserve">0221694 </v>
      </c>
      <c r="B6496" t="s">
        <v>21727</v>
      </c>
      <c r="C6496">
        <v>4629</v>
      </c>
      <c r="D6496" t="s">
        <v>21882</v>
      </c>
      <c r="E6496">
        <v>2</v>
      </c>
      <c r="F6496" t="s">
        <v>21843</v>
      </c>
      <c r="G6496" t="s">
        <v>21730</v>
      </c>
      <c r="H6496">
        <v>4629</v>
      </c>
      <c r="I6496" t="s">
        <v>21883</v>
      </c>
    </row>
    <row r="6497" spans="1:9">
      <c r="A6497" t="str">
        <f>"0221696 "</f>
        <v xml:space="preserve">0221696 </v>
      </c>
      <c r="B6497" t="s">
        <v>21727</v>
      </c>
      <c r="C6497">
        <v>4631</v>
      </c>
      <c r="D6497" t="s">
        <v>21884</v>
      </c>
      <c r="E6497">
        <v>2</v>
      </c>
      <c r="F6497" t="s">
        <v>21767</v>
      </c>
      <c r="G6497" t="s">
        <v>21730</v>
      </c>
      <c r="H6497">
        <v>4631</v>
      </c>
      <c r="I6497" t="s">
        <v>14830</v>
      </c>
    </row>
    <row r="6498" spans="1:9">
      <c r="A6498" t="str">
        <f>"0221697 "</f>
        <v xml:space="preserve">0221697 </v>
      </c>
      <c r="B6498" t="s">
        <v>21727</v>
      </c>
      <c r="C6498">
        <v>4632</v>
      </c>
      <c r="D6498" t="s">
        <v>21885</v>
      </c>
      <c r="E6498">
        <v>4</v>
      </c>
      <c r="F6498" t="s">
        <v>21886</v>
      </c>
      <c r="G6498" t="s">
        <v>21730</v>
      </c>
      <c r="H6498">
        <v>4632</v>
      </c>
      <c r="I6498" t="s">
        <v>5677</v>
      </c>
    </row>
    <row r="6499" spans="1:9">
      <c r="A6499" t="str">
        <f>"0221701 "</f>
        <v xml:space="preserve">0221701 </v>
      </c>
      <c r="B6499" t="s">
        <v>21727</v>
      </c>
      <c r="C6499">
        <v>4636</v>
      </c>
      <c r="D6499" t="s">
        <v>21887</v>
      </c>
      <c r="E6499">
        <v>2</v>
      </c>
      <c r="F6499" t="s">
        <v>21888</v>
      </c>
      <c r="G6499" t="s">
        <v>21730</v>
      </c>
      <c r="H6499">
        <v>4636</v>
      </c>
      <c r="I6499" t="s">
        <v>21889</v>
      </c>
    </row>
    <row r="6500" spans="1:9">
      <c r="A6500" t="str">
        <f>"0221708 "</f>
        <v xml:space="preserve">0221708 </v>
      </c>
      <c r="B6500" t="s">
        <v>21727</v>
      </c>
      <c r="C6500">
        <v>4643</v>
      </c>
      <c r="D6500" t="s">
        <v>21890</v>
      </c>
      <c r="E6500" t="s">
        <v>16</v>
      </c>
      <c r="F6500" t="s">
        <v>3354</v>
      </c>
      <c r="G6500" t="s">
        <v>21730</v>
      </c>
      <c r="H6500">
        <v>4643</v>
      </c>
      <c r="I6500" t="s">
        <v>21891</v>
      </c>
    </row>
    <row r="6501" spans="1:9">
      <c r="A6501" t="str">
        <f>"0221710 "</f>
        <v xml:space="preserve">0221710 </v>
      </c>
      <c r="B6501" t="s">
        <v>21727</v>
      </c>
      <c r="C6501">
        <v>4645</v>
      </c>
      <c r="D6501" t="s">
        <v>21892</v>
      </c>
      <c r="E6501">
        <v>4</v>
      </c>
      <c r="F6501" t="s">
        <v>21843</v>
      </c>
      <c r="G6501" t="s">
        <v>21730</v>
      </c>
      <c r="H6501">
        <v>4645</v>
      </c>
      <c r="I6501" t="s">
        <v>21893</v>
      </c>
    </row>
    <row r="6502" spans="1:9">
      <c r="A6502" t="str">
        <f>"0221718 "</f>
        <v xml:space="preserve">0221718 </v>
      </c>
      <c r="B6502" t="s">
        <v>21727</v>
      </c>
      <c r="C6502">
        <v>4655</v>
      </c>
      <c r="D6502" t="s">
        <v>21894</v>
      </c>
      <c r="E6502">
        <v>2</v>
      </c>
      <c r="F6502" t="s">
        <v>21895</v>
      </c>
      <c r="G6502" t="s">
        <v>21730</v>
      </c>
      <c r="H6502">
        <v>4655</v>
      </c>
      <c r="I6502" t="s">
        <v>21896</v>
      </c>
    </row>
    <row r="6503" spans="1:9">
      <c r="A6503" t="str">
        <f>"0221744 "</f>
        <v xml:space="preserve">0221744 </v>
      </c>
      <c r="B6503" t="s">
        <v>21727</v>
      </c>
      <c r="C6503">
        <v>4683</v>
      </c>
      <c r="D6503" t="s">
        <v>21897</v>
      </c>
      <c r="E6503">
        <v>2</v>
      </c>
      <c r="F6503" t="s">
        <v>21898</v>
      </c>
      <c r="G6503" t="s">
        <v>21730</v>
      </c>
      <c r="H6503">
        <v>4683</v>
      </c>
      <c r="I6503" t="s">
        <v>21899</v>
      </c>
    </row>
    <row r="6504" spans="1:9">
      <c r="A6504" t="str">
        <f>"0221749 "</f>
        <v xml:space="preserve">0221749 </v>
      </c>
      <c r="B6504" t="s">
        <v>21727</v>
      </c>
      <c r="C6504">
        <v>4688</v>
      </c>
      <c r="D6504" t="s">
        <v>21900</v>
      </c>
      <c r="E6504" t="s">
        <v>16</v>
      </c>
      <c r="F6504" t="s">
        <v>19680</v>
      </c>
      <c r="G6504" t="s">
        <v>21730</v>
      </c>
      <c r="H6504">
        <v>4688</v>
      </c>
      <c r="I6504" t="s">
        <v>21901</v>
      </c>
    </row>
    <row r="6505" spans="1:9">
      <c r="A6505" t="str">
        <f>"0221750 "</f>
        <v xml:space="preserve">0221750 </v>
      </c>
      <c r="B6505" t="s">
        <v>21727</v>
      </c>
      <c r="C6505">
        <v>4689</v>
      </c>
      <c r="D6505" t="s">
        <v>21902</v>
      </c>
      <c r="E6505">
        <v>2</v>
      </c>
      <c r="F6505" t="s">
        <v>19680</v>
      </c>
      <c r="G6505" t="s">
        <v>21730</v>
      </c>
      <c r="H6505">
        <v>4689</v>
      </c>
      <c r="I6505" t="s">
        <v>21903</v>
      </c>
    </row>
    <row r="6506" spans="1:9">
      <c r="A6506" t="str">
        <f>"0221762 "</f>
        <v xml:space="preserve">0221762 </v>
      </c>
      <c r="B6506" t="s">
        <v>21727</v>
      </c>
      <c r="C6506">
        <v>4701</v>
      </c>
      <c r="D6506" t="s">
        <v>21904</v>
      </c>
      <c r="E6506">
        <v>2</v>
      </c>
      <c r="F6506" s="1">
        <v>42941</v>
      </c>
      <c r="G6506" t="s">
        <v>21730</v>
      </c>
      <c r="H6506">
        <v>4701</v>
      </c>
      <c r="I6506" t="s">
        <v>21905</v>
      </c>
    </row>
    <row r="6507" spans="1:9">
      <c r="A6507" t="str">
        <f>"0221764 "</f>
        <v xml:space="preserve">0221764 </v>
      </c>
      <c r="B6507" t="s">
        <v>21727</v>
      </c>
      <c r="C6507">
        <v>4710</v>
      </c>
      <c r="D6507" t="s">
        <v>21906</v>
      </c>
      <c r="E6507">
        <v>2</v>
      </c>
      <c r="F6507" t="s">
        <v>21907</v>
      </c>
      <c r="G6507" t="s">
        <v>21730</v>
      </c>
      <c r="H6507">
        <v>4710</v>
      </c>
      <c r="I6507" t="s">
        <v>21908</v>
      </c>
    </row>
    <row r="6508" spans="1:9">
      <c r="A6508" t="str">
        <f>"0221766 "</f>
        <v xml:space="preserve">0221766 </v>
      </c>
      <c r="B6508" t="s">
        <v>21727</v>
      </c>
      <c r="C6508">
        <v>4713</v>
      </c>
      <c r="D6508" t="s">
        <v>21909</v>
      </c>
      <c r="E6508" t="s">
        <v>16</v>
      </c>
      <c r="F6508" t="s">
        <v>21910</v>
      </c>
      <c r="G6508" t="s">
        <v>21730</v>
      </c>
      <c r="H6508">
        <v>4713</v>
      </c>
      <c r="I6508" t="s">
        <v>6609</v>
      </c>
    </row>
    <row r="6509" spans="1:9">
      <c r="A6509" t="str">
        <f>"0221769 "</f>
        <v xml:space="preserve">0221769 </v>
      </c>
      <c r="B6509" t="s">
        <v>21727</v>
      </c>
      <c r="C6509">
        <v>4716</v>
      </c>
      <c r="D6509" t="s">
        <v>21911</v>
      </c>
      <c r="E6509">
        <v>2</v>
      </c>
      <c r="F6509" t="s">
        <v>21912</v>
      </c>
      <c r="G6509" t="s">
        <v>21730</v>
      </c>
      <c r="H6509">
        <v>4716</v>
      </c>
      <c r="I6509" t="s">
        <v>21913</v>
      </c>
    </row>
    <row r="6510" spans="1:9">
      <c r="A6510" t="str">
        <f>"0221808 "</f>
        <v xml:space="preserve">0221808 </v>
      </c>
      <c r="B6510" t="s">
        <v>21727</v>
      </c>
      <c r="C6510">
        <v>4769</v>
      </c>
      <c r="D6510" t="s">
        <v>21914</v>
      </c>
      <c r="E6510">
        <v>2</v>
      </c>
      <c r="F6510" t="s">
        <v>21910</v>
      </c>
      <c r="G6510" t="s">
        <v>21730</v>
      </c>
      <c r="H6510">
        <v>4769</v>
      </c>
      <c r="I6510" t="s">
        <v>21915</v>
      </c>
    </row>
    <row r="6511" spans="1:9">
      <c r="A6511" t="str">
        <f>"0221818 "</f>
        <v xml:space="preserve">0221818 </v>
      </c>
      <c r="B6511" t="s">
        <v>21727</v>
      </c>
      <c r="C6511">
        <v>4779</v>
      </c>
      <c r="D6511" t="s">
        <v>21916</v>
      </c>
      <c r="E6511">
        <v>4</v>
      </c>
      <c r="F6511" t="s">
        <v>21888</v>
      </c>
      <c r="G6511" t="s">
        <v>21730</v>
      </c>
      <c r="H6511">
        <v>4779</v>
      </c>
      <c r="I6511" t="s">
        <v>6944</v>
      </c>
    </row>
    <row r="6512" spans="1:9">
      <c r="A6512" t="str">
        <f>"0221820 "</f>
        <v xml:space="preserve">0221820 </v>
      </c>
      <c r="B6512" t="s">
        <v>21727</v>
      </c>
      <c r="C6512">
        <v>4781</v>
      </c>
      <c r="D6512" t="s">
        <v>21917</v>
      </c>
      <c r="E6512">
        <v>2</v>
      </c>
      <c r="F6512" t="s">
        <v>21888</v>
      </c>
      <c r="G6512" t="s">
        <v>21730</v>
      </c>
      <c r="H6512">
        <v>4781</v>
      </c>
      <c r="I6512" t="s">
        <v>21918</v>
      </c>
    </row>
    <row r="6513" spans="1:9">
      <c r="A6513" t="str">
        <f>"0221868 "</f>
        <v xml:space="preserve">0221868 </v>
      </c>
      <c r="B6513" t="s">
        <v>21727</v>
      </c>
      <c r="C6513">
        <v>4830</v>
      </c>
      <c r="D6513" t="s">
        <v>21919</v>
      </c>
      <c r="E6513">
        <v>4</v>
      </c>
      <c r="F6513" t="s">
        <v>21907</v>
      </c>
      <c r="G6513" t="s">
        <v>21730</v>
      </c>
      <c r="H6513">
        <v>4830</v>
      </c>
      <c r="I6513" t="s">
        <v>21920</v>
      </c>
    </row>
    <row r="6514" spans="1:9">
      <c r="A6514" t="str">
        <f>"0221874 "</f>
        <v xml:space="preserve">0221874 </v>
      </c>
      <c r="B6514" t="s">
        <v>21727</v>
      </c>
      <c r="C6514">
        <v>4837</v>
      </c>
      <c r="D6514" t="s">
        <v>21921</v>
      </c>
      <c r="E6514">
        <v>2</v>
      </c>
      <c r="F6514" t="s">
        <v>21922</v>
      </c>
      <c r="G6514" t="s">
        <v>21730</v>
      </c>
      <c r="H6514">
        <v>4837</v>
      </c>
      <c r="I6514" t="s">
        <v>6894</v>
      </c>
    </row>
    <row r="6515" spans="1:9">
      <c r="A6515" t="str">
        <f>"0221884 "</f>
        <v xml:space="preserve">0221884 </v>
      </c>
      <c r="B6515" t="s">
        <v>21727</v>
      </c>
      <c r="C6515">
        <v>4847</v>
      </c>
      <c r="D6515" t="s">
        <v>21923</v>
      </c>
      <c r="E6515">
        <v>2</v>
      </c>
      <c r="F6515" t="s">
        <v>21922</v>
      </c>
      <c r="G6515" t="s">
        <v>21730</v>
      </c>
      <c r="H6515">
        <v>4847</v>
      </c>
      <c r="I6515" t="s">
        <v>21924</v>
      </c>
    </row>
    <row r="6516" spans="1:9">
      <c r="A6516" t="str">
        <f>"0221886 "</f>
        <v xml:space="preserve">0221886 </v>
      </c>
      <c r="B6516" t="s">
        <v>21727</v>
      </c>
      <c r="C6516">
        <v>4849</v>
      </c>
      <c r="D6516" t="s">
        <v>21925</v>
      </c>
      <c r="E6516">
        <v>2</v>
      </c>
      <c r="F6516" t="s">
        <v>21926</v>
      </c>
      <c r="G6516" t="s">
        <v>21730</v>
      </c>
      <c r="H6516">
        <v>4849</v>
      </c>
      <c r="I6516" t="s">
        <v>21927</v>
      </c>
    </row>
    <row r="6517" spans="1:9">
      <c r="A6517" t="str">
        <f>"0221897 "</f>
        <v xml:space="preserve">0221897 </v>
      </c>
      <c r="B6517" t="s">
        <v>21727</v>
      </c>
      <c r="C6517">
        <v>4860</v>
      </c>
      <c r="D6517" t="s">
        <v>21928</v>
      </c>
      <c r="E6517">
        <v>4</v>
      </c>
      <c r="F6517" t="s">
        <v>21822</v>
      </c>
      <c r="G6517" t="s">
        <v>21730</v>
      </c>
      <c r="H6517">
        <v>4860</v>
      </c>
      <c r="I6517" t="s">
        <v>7122</v>
      </c>
    </row>
    <row r="6518" spans="1:9">
      <c r="A6518" t="str">
        <f>"0221904 "</f>
        <v xml:space="preserve">0221904 </v>
      </c>
      <c r="B6518" t="s">
        <v>21727</v>
      </c>
      <c r="C6518">
        <v>4867</v>
      </c>
      <c r="D6518" t="s">
        <v>21929</v>
      </c>
      <c r="E6518">
        <v>4</v>
      </c>
      <c r="F6518" t="s">
        <v>21930</v>
      </c>
      <c r="G6518" t="s">
        <v>21730</v>
      </c>
      <c r="H6518">
        <v>4867</v>
      </c>
      <c r="I6518" t="s">
        <v>6876</v>
      </c>
    </row>
    <row r="6519" spans="1:9">
      <c r="A6519" t="str">
        <f>"0221921 "</f>
        <v xml:space="preserve">0221921 </v>
      </c>
      <c r="B6519" t="s">
        <v>21727</v>
      </c>
      <c r="C6519">
        <v>4888</v>
      </c>
      <c r="D6519" t="s">
        <v>21931</v>
      </c>
      <c r="E6519">
        <v>2</v>
      </c>
      <c r="F6519" t="s">
        <v>21778</v>
      </c>
      <c r="G6519" t="s">
        <v>21730</v>
      </c>
      <c r="H6519">
        <v>4888</v>
      </c>
      <c r="I6519" t="s">
        <v>21932</v>
      </c>
    </row>
    <row r="6520" spans="1:9">
      <c r="A6520" t="str">
        <f>"0221951 "</f>
        <v xml:space="preserve">0221951 </v>
      </c>
      <c r="B6520" t="s">
        <v>21727</v>
      </c>
      <c r="C6520">
        <v>4921</v>
      </c>
      <c r="D6520" t="s">
        <v>21933</v>
      </c>
      <c r="E6520" t="s">
        <v>16</v>
      </c>
      <c r="F6520" t="s">
        <v>21934</v>
      </c>
      <c r="G6520" t="s">
        <v>21730</v>
      </c>
      <c r="H6520">
        <v>4921</v>
      </c>
      <c r="I6520" t="s">
        <v>6655</v>
      </c>
    </row>
    <row r="6521" spans="1:9">
      <c r="A6521" t="str">
        <f>"0221954 "</f>
        <v xml:space="preserve">0221954 </v>
      </c>
      <c r="B6521" t="s">
        <v>21727</v>
      </c>
      <c r="C6521">
        <v>4924</v>
      </c>
      <c r="D6521" t="s">
        <v>21935</v>
      </c>
      <c r="E6521" t="s">
        <v>16</v>
      </c>
      <c r="F6521" t="s">
        <v>21836</v>
      </c>
      <c r="G6521" t="s">
        <v>21730</v>
      </c>
      <c r="H6521">
        <v>4924</v>
      </c>
      <c r="I6521" t="s">
        <v>21936</v>
      </c>
    </row>
    <row r="6522" spans="1:9">
      <c r="A6522" t="str">
        <f>"0221964 "</f>
        <v xml:space="preserve">0221964 </v>
      </c>
      <c r="B6522" t="s">
        <v>21727</v>
      </c>
      <c r="C6522">
        <v>4934</v>
      </c>
      <c r="D6522" t="s">
        <v>21937</v>
      </c>
      <c r="E6522">
        <v>4</v>
      </c>
      <c r="F6522" t="s">
        <v>1526</v>
      </c>
      <c r="G6522" t="s">
        <v>21730</v>
      </c>
      <c r="H6522">
        <v>4934</v>
      </c>
      <c r="I6522" t="s">
        <v>21938</v>
      </c>
    </row>
    <row r="6523" spans="1:9">
      <c r="A6523" t="str">
        <f>"0224730 "</f>
        <v xml:space="preserve">0224730 </v>
      </c>
      <c r="B6523" t="s">
        <v>21727</v>
      </c>
      <c r="C6523">
        <v>50129</v>
      </c>
      <c r="D6523" t="s">
        <v>21939</v>
      </c>
      <c r="E6523">
        <v>2</v>
      </c>
      <c r="F6523" t="s">
        <v>21940</v>
      </c>
      <c r="G6523" t="s">
        <v>21730</v>
      </c>
      <c r="H6523">
        <v>50129</v>
      </c>
      <c r="I6523" t="s">
        <v>21941</v>
      </c>
    </row>
    <row r="6524" spans="1:9">
      <c r="A6524" t="str">
        <f>"0224752 "</f>
        <v xml:space="preserve">0224752 </v>
      </c>
      <c r="B6524" t="s">
        <v>21727</v>
      </c>
      <c r="C6524">
        <v>50151</v>
      </c>
      <c r="D6524" t="s">
        <v>21942</v>
      </c>
      <c r="E6524">
        <v>2</v>
      </c>
      <c r="F6524" t="s">
        <v>21943</v>
      </c>
      <c r="G6524" t="s">
        <v>21730</v>
      </c>
      <c r="H6524">
        <v>50151</v>
      </c>
      <c r="I6524" t="s">
        <v>5066</v>
      </c>
    </row>
    <row r="6525" spans="1:9">
      <c r="A6525" t="str">
        <f>"0224798 "</f>
        <v xml:space="preserve">0224798 </v>
      </c>
      <c r="B6525" t="s">
        <v>21727</v>
      </c>
      <c r="C6525">
        <v>50201</v>
      </c>
      <c r="D6525" t="s">
        <v>21944</v>
      </c>
      <c r="E6525">
        <v>1</v>
      </c>
      <c r="F6525" t="s">
        <v>21945</v>
      </c>
      <c r="G6525" t="s">
        <v>21730</v>
      </c>
      <c r="H6525">
        <v>50201</v>
      </c>
      <c r="I6525" t="s">
        <v>21946</v>
      </c>
    </row>
    <row r="6526" spans="1:9">
      <c r="A6526" t="str">
        <f>"0224821 "</f>
        <v xml:space="preserve">0224821 </v>
      </c>
      <c r="B6526" t="s">
        <v>21727</v>
      </c>
      <c r="C6526">
        <v>50224</v>
      </c>
      <c r="D6526" t="s">
        <v>21947</v>
      </c>
      <c r="E6526">
        <v>4</v>
      </c>
      <c r="F6526" t="s">
        <v>21948</v>
      </c>
      <c r="G6526" t="s">
        <v>21730</v>
      </c>
      <c r="H6526">
        <v>50224</v>
      </c>
      <c r="I6526" t="s">
        <v>21949</v>
      </c>
    </row>
    <row r="6527" spans="1:9">
      <c r="A6527" t="str">
        <f>"0224886 "</f>
        <v xml:space="preserve">0224886 </v>
      </c>
      <c r="B6527" t="s">
        <v>21727</v>
      </c>
      <c r="C6527">
        <v>50290</v>
      </c>
      <c r="D6527" t="s">
        <v>21950</v>
      </c>
      <c r="E6527">
        <v>2</v>
      </c>
      <c r="F6527" t="s">
        <v>21951</v>
      </c>
      <c r="G6527" t="s">
        <v>21730</v>
      </c>
      <c r="H6527">
        <v>50290</v>
      </c>
      <c r="I6527" t="s">
        <v>21952</v>
      </c>
    </row>
    <row r="6528" spans="1:9">
      <c r="A6528" t="str">
        <f>"0224905 "</f>
        <v xml:space="preserve">0224905 </v>
      </c>
      <c r="B6528" t="s">
        <v>21727</v>
      </c>
      <c r="C6528">
        <v>50309</v>
      </c>
      <c r="D6528" t="s">
        <v>21953</v>
      </c>
      <c r="E6528">
        <v>2</v>
      </c>
      <c r="F6528" t="s">
        <v>21954</v>
      </c>
      <c r="G6528" t="s">
        <v>21730</v>
      </c>
      <c r="H6528">
        <v>50309</v>
      </c>
      <c r="I6528" t="s">
        <v>21955</v>
      </c>
    </row>
    <row r="6529" spans="1:9">
      <c r="A6529" t="str">
        <f>"0224912 "</f>
        <v xml:space="preserve">0224912 </v>
      </c>
      <c r="B6529" t="s">
        <v>21727</v>
      </c>
      <c r="C6529">
        <v>50316</v>
      </c>
      <c r="D6529" t="s">
        <v>21956</v>
      </c>
      <c r="E6529">
        <v>2</v>
      </c>
      <c r="F6529" t="s">
        <v>21957</v>
      </c>
      <c r="G6529" t="s">
        <v>21730</v>
      </c>
      <c r="H6529">
        <v>50316</v>
      </c>
      <c r="I6529" t="s">
        <v>21958</v>
      </c>
    </row>
    <row r="6530" spans="1:9">
      <c r="A6530" t="str">
        <f>"0224922 "</f>
        <v xml:space="preserve">0224922 </v>
      </c>
      <c r="B6530" t="s">
        <v>21727</v>
      </c>
      <c r="C6530">
        <v>50326</v>
      </c>
      <c r="D6530" t="s">
        <v>21959</v>
      </c>
      <c r="E6530">
        <v>2</v>
      </c>
      <c r="F6530" t="s">
        <v>21960</v>
      </c>
      <c r="G6530" t="s">
        <v>21730</v>
      </c>
      <c r="H6530">
        <v>50326</v>
      </c>
      <c r="I6530" t="s">
        <v>21961</v>
      </c>
    </row>
    <row r="6531" spans="1:9">
      <c r="A6531" t="str">
        <f>"0224938 "</f>
        <v xml:space="preserve">0224938 </v>
      </c>
      <c r="B6531" t="s">
        <v>21727</v>
      </c>
      <c r="C6531">
        <v>50343</v>
      </c>
      <c r="D6531" t="s">
        <v>21962</v>
      </c>
      <c r="E6531">
        <v>4</v>
      </c>
      <c r="F6531" t="s">
        <v>21744</v>
      </c>
      <c r="G6531" t="s">
        <v>21730</v>
      </c>
      <c r="H6531">
        <v>50343</v>
      </c>
      <c r="I6531" t="s">
        <v>21963</v>
      </c>
    </row>
    <row r="6532" spans="1:9">
      <c r="A6532" t="str">
        <f>"0224942 "</f>
        <v xml:space="preserve">0224942 </v>
      </c>
      <c r="B6532" t="s">
        <v>21727</v>
      </c>
      <c r="C6532">
        <v>50347</v>
      </c>
      <c r="D6532" t="s">
        <v>21964</v>
      </c>
      <c r="E6532">
        <v>2</v>
      </c>
      <c r="F6532" t="s">
        <v>21764</v>
      </c>
      <c r="G6532" t="s">
        <v>21730</v>
      </c>
      <c r="H6532">
        <v>50347</v>
      </c>
      <c r="I6532" t="s">
        <v>21965</v>
      </c>
    </row>
    <row r="6533" spans="1:9">
      <c r="A6533" t="str">
        <f>"0224943 "</f>
        <v xml:space="preserve">0224943 </v>
      </c>
      <c r="B6533" t="s">
        <v>21727</v>
      </c>
      <c r="C6533">
        <v>50348</v>
      </c>
      <c r="D6533" t="s">
        <v>21966</v>
      </c>
      <c r="E6533">
        <v>2</v>
      </c>
      <c r="F6533" t="s">
        <v>21967</v>
      </c>
      <c r="G6533" t="s">
        <v>21730</v>
      </c>
      <c r="H6533">
        <v>50348</v>
      </c>
      <c r="I6533" t="s">
        <v>21968</v>
      </c>
    </row>
    <row r="6534" spans="1:9">
      <c r="A6534" t="str">
        <f>"0225111 "</f>
        <v xml:space="preserve">0225111 </v>
      </c>
      <c r="B6534" t="s">
        <v>21727</v>
      </c>
      <c r="C6534">
        <v>50545</v>
      </c>
      <c r="D6534" t="s">
        <v>21969</v>
      </c>
      <c r="E6534">
        <v>2</v>
      </c>
      <c r="F6534" t="s">
        <v>21970</v>
      </c>
      <c r="G6534" t="s">
        <v>21730</v>
      </c>
      <c r="H6534">
        <v>50545</v>
      </c>
      <c r="I6534" t="s">
        <v>21971</v>
      </c>
    </row>
    <row r="6535" spans="1:9">
      <c r="A6535" t="str">
        <f>"0225112 "</f>
        <v xml:space="preserve">0225112 </v>
      </c>
      <c r="B6535" t="s">
        <v>21727</v>
      </c>
      <c r="C6535">
        <v>50546</v>
      </c>
      <c r="D6535" t="s">
        <v>21972</v>
      </c>
      <c r="E6535">
        <v>1</v>
      </c>
      <c r="F6535" t="s">
        <v>21736</v>
      </c>
      <c r="G6535" t="s">
        <v>21730</v>
      </c>
      <c r="H6535">
        <v>50546</v>
      </c>
      <c r="I6535" t="s">
        <v>21973</v>
      </c>
    </row>
    <row r="6536" spans="1:9">
      <c r="A6536" t="str">
        <f>"0225116 "</f>
        <v xml:space="preserve">0225116 </v>
      </c>
      <c r="B6536" t="s">
        <v>21727</v>
      </c>
      <c r="C6536">
        <v>50550</v>
      </c>
      <c r="D6536" t="s">
        <v>21974</v>
      </c>
      <c r="E6536">
        <v>2</v>
      </c>
      <c r="F6536" t="s">
        <v>21975</v>
      </c>
      <c r="G6536" t="s">
        <v>21730</v>
      </c>
      <c r="H6536">
        <v>50550</v>
      </c>
      <c r="I6536" t="s">
        <v>21976</v>
      </c>
    </row>
    <row r="6537" spans="1:9">
      <c r="A6537" t="str">
        <f>"0225117 "</f>
        <v xml:space="preserve">0225117 </v>
      </c>
      <c r="B6537" t="s">
        <v>21727</v>
      </c>
      <c r="C6537">
        <v>50551</v>
      </c>
      <c r="D6537" t="s">
        <v>21977</v>
      </c>
      <c r="E6537">
        <v>2</v>
      </c>
      <c r="F6537" t="s">
        <v>21978</v>
      </c>
      <c r="G6537" t="s">
        <v>21730</v>
      </c>
      <c r="H6537">
        <v>50551</v>
      </c>
      <c r="I6537" t="s">
        <v>21979</v>
      </c>
    </row>
    <row r="6538" spans="1:9">
      <c r="A6538" t="str">
        <f>"0225210 "</f>
        <v xml:space="preserve">0225210 </v>
      </c>
      <c r="B6538" t="s">
        <v>21727</v>
      </c>
      <c r="C6538">
        <v>50651</v>
      </c>
      <c r="D6538" t="s">
        <v>21980</v>
      </c>
      <c r="E6538">
        <v>1</v>
      </c>
      <c r="F6538" t="s">
        <v>21981</v>
      </c>
      <c r="G6538" t="s">
        <v>21730</v>
      </c>
      <c r="H6538">
        <v>50651</v>
      </c>
      <c r="I6538" t="s">
        <v>21982</v>
      </c>
    </row>
    <row r="6539" spans="1:9">
      <c r="A6539" t="str">
        <f>"0225254 "</f>
        <v xml:space="preserve">0225254 </v>
      </c>
      <c r="B6539" t="s">
        <v>21727</v>
      </c>
      <c r="C6539">
        <v>50697</v>
      </c>
      <c r="D6539" t="s">
        <v>21983</v>
      </c>
      <c r="E6539">
        <v>2</v>
      </c>
      <c r="F6539" t="s">
        <v>21741</v>
      </c>
      <c r="G6539" t="s">
        <v>21730</v>
      </c>
      <c r="H6539">
        <v>50697</v>
      </c>
      <c r="I6539" t="s">
        <v>21984</v>
      </c>
    </row>
    <row r="6540" spans="1:9">
      <c r="A6540" t="str">
        <f>"0225411 "</f>
        <v xml:space="preserve">0225411 </v>
      </c>
      <c r="B6540" t="s">
        <v>21727</v>
      </c>
      <c r="C6540">
        <v>50864</v>
      </c>
      <c r="D6540" t="s">
        <v>21985</v>
      </c>
      <c r="E6540">
        <v>2</v>
      </c>
      <c r="F6540" t="s">
        <v>21986</v>
      </c>
      <c r="G6540" t="s">
        <v>21730</v>
      </c>
      <c r="H6540">
        <v>50864</v>
      </c>
      <c r="I6540" t="s">
        <v>21987</v>
      </c>
    </row>
    <row r="6541" spans="1:9">
      <c r="A6541" t="str">
        <f>"0225592 "</f>
        <v xml:space="preserve">0225592 </v>
      </c>
      <c r="B6541" t="s">
        <v>21727</v>
      </c>
      <c r="C6541">
        <v>51060</v>
      </c>
      <c r="D6541" t="s">
        <v>21988</v>
      </c>
      <c r="E6541">
        <v>1</v>
      </c>
      <c r="F6541" t="s">
        <v>1499</v>
      </c>
      <c r="G6541" t="s">
        <v>21730</v>
      </c>
      <c r="H6541">
        <v>51060</v>
      </c>
      <c r="I6541" t="s">
        <v>21989</v>
      </c>
    </row>
    <row r="6542" spans="1:9">
      <c r="A6542" t="str">
        <f>"0225593 "</f>
        <v xml:space="preserve">0225593 </v>
      </c>
      <c r="B6542" t="s">
        <v>21727</v>
      </c>
      <c r="C6542">
        <v>51061</v>
      </c>
      <c r="D6542" t="s">
        <v>21990</v>
      </c>
      <c r="E6542">
        <v>1</v>
      </c>
      <c r="F6542" t="s">
        <v>1499</v>
      </c>
      <c r="G6542" t="s">
        <v>21730</v>
      </c>
      <c r="H6542">
        <v>51061</v>
      </c>
      <c r="I6542" t="s">
        <v>21991</v>
      </c>
    </row>
    <row r="6543" spans="1:9">
      <c r="A6543" t="str">
        <f>"0225665 "</f>
        <v xml:space="preserve">0225665 </v>
      </c>
      <c r="B6543" t="s">
        <v>21727</v>
      </c>
      <c r="C6543">
        <v>51136</v>
      </c>
      <c r="D6543" t="s">
        <v>21992</v>
      </c>
      <c r="E6543">
        <v>2</v>
      </c>
      <c r="F6543" t="s">
        <v>21790</v>
      </c>
      <c r="G6543" t="s">
        <v>21730</v>
      </c>
      <c r="H6543">
        <v>51136</v>
      </c>
      <c r="I6543" t="s">
        <v>21993</v>
      </c>
    </row>
    <row r="6544" spans="1:9">
      <c r="A6544" t="str">
        <f>"0225826 "</f>
        <v xml:space="preserve">0225826 </v>
      </c>
      <c r="B6544" t="s">
        <v>21727</v>
      </c>
      <c r="C6544">
        <v>51298</v>
      </c>
      <c r="D6544" t="s">
        <v>21994</v>
      </c>
      <c r="E6544" t="s">
        <v>16</v>
      </c>
      <c r="F6544" t="s">
        <v>21778</v>
      </c>
      <c r="G6544" t="s">
        <v>21730</v>
      </c>
      <c r="H6544">
        <v>51298</v>
      </c>
      <c r="I6544" t="s">
        <v>21995</v>
      </c>
    </row>
    <row r="6545" spans="1:9">
      <c r="A6545" t="str">
        <f>"0225876 "</f>
        <v xml:space="preserve">0225876 </v>
      </c>
      <c r="B6545" t="s">
        <v>21727</v>
      </c>
      <c r="C6545">
        <v>51349</v>
      </c>
      <c r="D6545" t="s">
        <v>21996</v>
      </c>
      <c r="E6545">
        <v>2</v>
      </c>
      <c r="F6545" t="s">
        <v>21997</v>
      </c>
      <c r="G6545" t="s">
        <v>21730</v>
      </c>
      <c r="H6545">
        <v>51349</v>
      </c>
      <c r="I6545" t="s">
        <v>21998</v>
      </c>
    </row>
    <row r="6546" spans="1:9">
      <c r="A6546" t="str">
        <f>"0225947 "</f>
        <v xml:space="preserve">0225947 </v>
      </c>
      <c r="B6546" t="s">
        <v>21727</v>
      </c>
      <c r="C6546">
        <v>51421</v>
      </c>
      <c r="D6546" t="s">
        <v>21999</v>
      </c>
      <c r="E6546">
        <v>4</v>
      </c>
      <c r="F6546" t="s">
        <v>1018</v>
      </c>
      <c r="G6546" t="s">
        <v>21730</v>
      </c>
      <c r="H6546">
        <v>51421</v>
      </c>
      <c r="I6546" t="s">
        <v>22000</v>
      </c>
    </row>
    <row r="6547" spans="1:9">
      <c r="A6547" t="str">
        <f>"0225980 "</f>
        <v xml:space="preserve">0225980 </v>
      </c>
      <c r="B6547" t="s">
        <v>21727</v>
      </c>
      <c r="C6547">
        <v>51455</v>
      </c>
      <c r="D6547" t="s">
        <v>22001</v>
      </c>
      <c r="E6547">
        <v>2</v>
      </c>
      <c r="F6547" t="s">
        <v>21981</v>
      </c>
      <c r="G6547" t="s">
        <v>21730</v>
      </c>
      <c r="H6547">
        <v>51455</v>
      </c>
      <c r="I6547" t="s">
        <v>22002</v>
      </c>
    </row>
    <row r="6548" spans="1:9">
      <c r="A6548" t="str">
        <f>"0226029 "</f>
        <v xml:space="preserve">0226029 </v>
      </c>
      <c r="B6548" t="s">
        <v>21727</v>
      </c>
      <c r="C6548">
        <v>51504</v>
      </c>
      <c r="D6548" t="s">
        <v>22003</v>
      </c>
      <c r="E6548">
        <v>2</v>
      </c>
      <c r="F6548" t="s">
        <v>21975</v>
      </c>
      <c r="G6548" t="s">
        <v>21730</v>
      </c>
      <c r="H6548">
        <v>51504</v>
      </c>
      <c r="I6548" t="s">
        <v>22004</v>
      </c>
    </row>
    <row r="6549" spans="1:9">
      <c r="A6549" t="str">
        <f>"0226100 "</f>
        <v xml:space="preserve">0226100 </v>
      </c>
      <c r="B6549" t="s">
        <v>21727</v>
      </c>
      <c r="C6549">
        <v>51575</v>
      </c>
      <c r="D6549" t="s">
        <v>22005</v>
      </c>
      <c r="E6549">
        <v>2</v>
      </c>
      <c r="F6549" t="s">
        <v>22006</v>
      </c>
      <c r="G6549" t="s">
        <v>21730</v>
      </c>
      <c r="H6549">
        <v>51575</v>
      </c>
      <c r="I6549" t="s">
        <v>22007</v>
      </c>
    </row>
    <row r="6550" spans="1:9">
      <c r="A6550" t="str">
        <f>"0226112 "</f>
        <v xml:space="preserve">0226112 </v>
      </c>
      <c r="B6550" t="s">
        <v>21727</v>
      </c>
      <c r="C6550">
        <v>51587</v>
      </c>
      <c r="D6550" t="s">
        <v>22008</v>
      </c>
      <c r="E6550">
        <v>1</v>
      </c>
      <c r="F6550" t="s">
        <v>21808</v>
      </c>
      <c r="G6550" t="s">
        <v>21730</v>
      </c>
      <c r="H6550">
        <v>51587</v>
      </c>
      <c r="I6550" t="s">
        <v>22009</v>
      </c>
    </row>
    <row r="6551" spans="1:9">
      <c r="A6551" t="str">
        <f>"0226217 "</f>
        <v xml:space="preserve">0226217 </v>
      </c>
      <c r="B6551" t="s">
        <v>21727</v>
      </c>
      <c r="C6551">
        <v>51696</v>
      </c>
      <c r="D6551" t="s">
        <v>22010</v>
      </c>
      <c r="E6551">
        <v>2</v>
      </c>
      <c r="F6551" t="s">
        <v>14060</v>
      </c>
      <c r="G6551" t="s">
        <v>21730</v>
      </c>
      <c r="H6551">
        <v>51696</v>
      </c>
      <c r="I6551" t="s">
        <v>22011</v>
      </c>
    </row>
    <row r="6552" spans="1:9">
      <c r="A6552" t="str">
        <f>"0222163 "</f>
        <v xml:space="preserve">0222163 </v>
      </c>
      <c r="B6552" t="s">
        <v>21727</v>
      </c>
      <c r="C6552">
        <v>5197</v>
      </c>
      <c r="D6552" t="s">
        <v>22012</v>
      </c>
      <c r="E6552" t="s">
        <v>16</v>
      </c>
      <c r="F6552" t="s">
        <v>22013</v>
      </c>
      <c r="G6552" t="s">
        <v>21730</v>
      </c>
      <c r="H6552">
        <v>5197</v>
      </c>
      <c r="I6552" t="s">
        <v>5378</v>
      </c>
    </row>
    <row r="6553" spans="1:9">
      <c r="A6553" t="str">
        <f>"0226479 "</f>
        <v xml:space="preserve">0226479 </v>
      </c>
      <c r="B6553" t="s">
        <v>21727</v>
      </c>
      <c r="C6553">
        <v>51975</v>
      </c>
      <c r="D6553" t="s">
        <v>22014</v>
      </c>
      <c r="E6553">
        <v>2</v>
      </c>
      <c r="F6553" t="s">
        <v>21970</v>
      </c>
      <c r="G6553" t="s">
        <v>21730</v>
      </c>
      <c r="H6553">
        <v>51975</v>
      </c>
      <c r="I6553" t="s">
        <v>22015</v>
      </c>
    </row>
    <row r="6554" spans="1:9">
      <c r="A6554" t="str">
        <f>"0226483 "</f>
        <v xml:space="preserve">0226483 </v>
      </c>
      <c r="B6554" t="s">
        <v>21727</v>
      </c>
      <c r="C6554">
        <v>51979</v>
      </c>
      <c r="D6554" t="s">
        <v>22016</v>
      </c>
      <c r="E6554">
        <v>1</v>
      </c>
      <c r="F6554" t="s">
        <v>14079</v>
      </c>
      <c r="G6554" t="s">
        <v>21730</v>
      </c>
      <c r="H6554">
        <v>51979</v>
      </c>
      <c r="I6554" t="s">
        <v>22017</v>
      </c>
    </row>
    <row r="6555" spans="1:9">
      <c r="A6555" t="str">
        <f>"0226510 "</f>
        <v xml:space="preserve">0226510 </v>
      </c>
      <c r="B6555" t="s">
        <v>21727</v>
      </c>
      <c r="C6555">
        <v>52006</v>
      </c>
      <c r="D6555" t="s">
        <v>22018</v>
      </c>
      <c r="E6555">
        <v>1</v>
      </c>
      <c r="F6555" t="s">
        <v>22019</v>
      </c>
      <c r="G6555" t="s">
        <v>21730</v>
      </c>
      <c r="H6555">
        <v>52006</v>
      </c>
      <c r="I6555" t="s">
        <v>22020</v>
      </c>
    </row>
    <row r="6556" spans="1:9">
      <c r="A6556" t="str">
        <f>"0226599 "</f>
        <v xml:space="preserve">0226599 </v>
      </c>
      <c r="B6556" t="s">
        <v>21727</v>
      </c>
      <c r="C6556">
        <v>52105</v>
      </c>
      <c r="D6556" t="s">
        <v>22021</v>
      </c>
      <c r="E6556">
        <v>1</v>
      </c>
      <c r="F6556" t="s">
        <v>22022</v>
      </c>
      <c r="G6556" t="s">
        <v>21730</v>
      </c>
      <c r="H6556">
        <v>52105</v>
      </c>
      <c r="I6556" t="s">
        <v>22023</v>
      </c>
    </row>
    <row r="6557" spans="1:9">
      <c r="A6557" t="str">
        <f>"0226808 "</f>
        <v xml:space="preserve">0226808 </v>
      </c>
      <c r="B6557" t="s">
        <v>21727</v>
      </c>
      <c r="C6557">
        <v>52316</v>
      </c>
      <c r="D6557" t="s">
        <v>22024</v>
      </c>
      <c r="E6557">
        <v>1</v>
      </c>
      <c r="F6557" t="s">
        <v>22025</v>
      </c>
      <c r="G6557" t="s">
        <v>21730</v>
      </c>
      <c r="H6557">
        <v>52316</v>
      </c>
      <c r="I6557" t="s">
        <v>22026</v>
      </c>
    </row>
    <row r="6558" spans="1:9">
      <c r="A6558" t="str">
        <f>"0222320 "</f>
        <v xml:space="preserve">0222320 </v>
      </c>
      <c r="B6558" t="s">
        <v>21727</v>
      </c>
      <c r="C6558">
        <v>5406</v>
      </c>
      <c r="D6558" t="s">
        <v>22027</v>
      </c>
      <c r="E6558">
        <v>2</v>
      </c>
      <c r="F6558" t="s">
        <v>21825</v>
      </c>
      <c r="G6558" t="s">
        <v>21730</v>
      </c>
      <c r="H6558">
        <v>5406</v>
      </c>
      <c r="I6558" t="s">
        <v>22028</v>
      </c>
    </row>
    <row r="6559" spans="1:9">
      <c r="A6559" t="str">
        <f>"0222321 "</f>
        <v xml:space="preserve">0222321 </v>
      </c>
      <c r="B6559" t="s">
        <v>21727</v>
      </c>
      <c r="C6559">
        <v>5407</v>
      </c>
      <c r="D6559" t="s">
        <v>22029</v>
      </c>
      <c r="E6559">
        <v>2</v>
      </c>
      <c r="F6559" t="s">
        <v>884</v>
      </c>
      <c r="G6559" t="s">
        <v>21730</v>
      </c>
      <c r="H6559">
        <v>5407</v>
      </c>
      <c r="I6559" t="s">
        <v>5397</v>
      </c>
    </row>
    <row r="6560" spans="1:9">
      <c r="A6560" t="str">
        <f>"0222414 "</f>
        <v xml:space="preserve">0222414 </v>
      </c>
      <c r="B6560" t="s">
        <v>21727</v>
      </c>
      <c r="C6560">
        <v>5516</v>
      </c>
      <c r="D6560" t="s">
        <v>22030</v>
      </c>
      <c r="E6560" t="s">
        <v>16</v>
      </c>
      <c r="F6560" t="s">
        <v>21773</v>
      </c>
      <c r="G6560" t="s">
        <v>21730</v>
      </c>
      <c r="H6560">
        <v>5516</v>
      </c>
      <c r="I6560" t="s">
        <v>22031</v>
      </c>
    </row>
    <row r="6561" spans="1:9">
      <c r="A6561" t="str">
        <f>"0222500 "</f>
        <v xml:space="preserve">0222500 </v>
      </c>
      <c r="B6561" t="s">
        <v>21727</v>
      </c>
      <c r="C6561">
        <v>5608</v>
      </c>
      <c r="D6561" t="s">
        <v>22032</v>
      </c>
      <c r="E6561">
        <v>2</v>
      </c>
      <c r="F6561" t="s">
        <v>1774</v>
      </c>
      <c r="G6561" t="s">
        <v>21730</v>
      </c>
      <c r="H6561">
        <v>5608</v>
      </c>
      <c r="I6561" t="s">
        <v>22033</v>
      </c>
    </row>
    <row r="6562" spans="1:9">
      <c r="A6562" t="str">
        <f>"0222513 "</f>
        <v xml:space="preserve">0222513 </v>
      </c>
      <c r="B6562" t="s">
        <v>21727</v>
      </c>
      <c r="C6562">
        <v>5621</v>
      </c>
      <c r="D6562" t="s">
        <v>22034</v>
      </c>
      <c r="E6562">
        <v>2</v>
      </c>
      <c r="F6562" t="s">
        <v>21815</v>
      </c>
      <c r="G6562" t="s">
        <v>21730</v>
      </c>
      <c r="H6562">
        <v>5621</v>
      </c>
      <c r="I6562" t="s">
        <v>22035</v>
      </c>
    </row>
    <row r="6563" spans="1:9">
      <c r="A6563" t="str">
        <f>"0222522 "</f>
        <v xml:space="preserve">0222522 </v>
      </c>
      <c r="B6563" t="s">
        <v>21727</v>
      </c>
      <c r="C6563">
        <v>5630</v>
      </c>
      <c r="D6563" t="s">
        <v>22036</v>
      </c>
      <c r="E6563">
        <v>1</v>
      </c>
      <c r="F6563" t="s">
        <v>1774</v>
      </c>
      <c r="G6563" t="s">
        <v>21730</v>
      </c>
      <c r="H6563">
        <v>5630</v>
      </c>
      <c r="I6563" t="s">
        <v>5385</v>
      </c>
    </row>
    <row r="6564" spans="1:9">
      <c r="A6564" t="str">
        <f>"0222533 "</f>
        <v xml:space="preserve">0222533 </v>
      </c>
      <c r="B6564" t="s">
        <v>21727</v>
      </c>
      <c r="C6564">
        <v>5642</v>
      </c>
      <c r="D6564" t="s">
        <v>22037</v>
      </c>
      <c r="E6564">
        <v>2</v>
      </c>
      <c r="F6564" t="s">
        <v>22038</v>
      </c>
      <c r="G6564" t="s">
        <v>21730</v>
      </c>
      <c r="H6564">
        <v>5642</v>
      </c>
      <c r="I6564" t="s">
        <v>5205</v>
      </c>
    </row>
    <row r="6565" spans="1:9">
      <c r="A6565" t="str">
        <f>"0222550 "</f>
        <v xml:space="preserve">0222550 </v>
      </c>
      <c r="B6565" t="s">
        <v>21727</v>
      </c>
      <c r="C6565">
        <v>5672</v>
      </c>
      <c r="D6565" t="s">
        <v>22039</v>
      </c>
      <c r="E6565">
        <v>2</v>
      </c>
      <c r="F6565" t="s">
        <v>1038</v>
      </c>
      <c r="G6565" t="s">
        <v>21730</v>
      </c>
      <c r="H6565">
        <v>5672</v>
      </c>
      <c r="I6565" t="s">
        <v>5138</v>
      </c>
    </row>
    <row r="6566" spans="1:9">
      <c r="A6566" t="str">
        <f>"0222583 "</f>
        <v xml:space="preserve">0222583 </v>
      </c>
      <c r="B6566" t="s">
        <v>21727</v>
      </c>
      <c r="C6566">
        <v>5710</v>
      </c>
      <c r="D6566" t="s">
        <v>22040</v>
      </c>
      <c r="E6566">
        <v>2</v>
      </c>
      <c r="F6566" t="s">
        <v>936</v>
      </c>
      <c r="G6566" t="s">
        <v>21730</v>
      </c>
      <c r="H6566">
        <v>5710</v>
      </c>
      <c r="I6566" t="s">
        <v>22041</v>
      </c>
    </row>
    <row r="6567" spans="1:9">
      <c r="A6567" t="str">
        <f>"0222585 "</f>
        <v xml:space="preserve">0222585 </v>
      </c>
      <c r="B6567" t="s">
        <v>21727</v>
      </c>
      <c r="C6567">
        <v>5712</v>
      </c>
      <c r="D6567" t="s">
        <v>22042</v>
      </c>
      <c r="E6567">
        <v>2</v>
      </c>
      <c r="F6567" t="s">
        <v>22043</v>
      </c>
      <c r="G6567" t="s">
        <v>21730</v>
      </c>
      <c r="H6567">
        <v>5712</v>
      </c>
      <c r="I6567" t="s">
        <v>22044</v>
      </c>
    </row>
    <row r="6568" spans="1:9">
      <c r="A6568" t="str">
        <f>"0222586 "</f>
        <v xml:space="preserve">0222586 </v>
      </c>
      <c r="B6568" t="s">
        <v>21727</v>
      </c>
      <c r="C6568">
        <v>5713</v>
      </c>
      <c r="D6568" t="s">
        <v>22045</v>
      </c>
      <c r="E6568">
        <v>2</v>
      </c>
      <c r="F6568" t="s">
        <v>22043</v>
      </c>
      <c r="G6568" t="s">
        <v>21730</v>
      </c>
      <c r="H6568">
        <v>5713</v>
      </c>
      <c r="I6568" t="s">
        <v>22046</v>
      </c>
    </row>
    <row r="6569" spans="1:9">
      <c r="A6569" t="str">
        <f>"0222628 "</f>
        <v xml:space="preserve">0222628 </v>
      </c>
      <c r="B6569" t="s">
        <v>21727</v>
      </c>
      <c r="C6569">
        <v>5770</v>
      </c>
      <c r="D6569" t="s">
        <v>22047</v>
      </c>
      <c r="E6569" t="s">
        <v>16</v>
      </c>
      <c r="F6569" t="s">
        <v>21836</v>
      </c>
      <c r="G6569" t="s">
        <v>21730</v>
      </c>
      <c r="H6569">
        <v>5770</v>
      </c>
      <c r="I6569" t="s">
        <v>5700</v>
      </c>
    </row>
    <row r="6570" spans="1:9">
      <c r="A6570" t="str">
        <f>"0222663 "</f>
        <v xml:space="preserve">0222663 </v>
      </c>
      <c r="B6570" t="s">
        <v>21727</v>
      </c>
      <c r="C6570">
        <v>5830</v>
      </c>
      <c r="D6570" t="s">
        <v>22048</v>
      </c>
      <c r="E6570">
        <v>2</v>
      </c>
      <c r="F6570" t="s">
        <v>22049</v>
      </c>
      <c r="G6570" t="s">
        <v>21730</v>
      </c>
      <c r="H6570">
        <v>5830</v>
      </c>
      <c r="I6570" t="s">
        <v>5221</v>
      </c>
    </row>
    <row r="6571" spans="1:9">
      <c r="A6571" t="str">
        <f>"0222691 "</f>
        <v xml:space="preserve">0222691 </v>
      </c>
      <c r="B6571" t="s">
        <v>21727</v>
      </c>
      <c r="C6571">
        <v>5874</v>
      </c>
      <c r="D6571" t="s">
        <v>22050</v>
      </c>
      <c r="E6571">
        <v>2</v>
      </c>
      <c r="F6571" t="s">
        <v>22051</v>
      </c>
      <c r="G6571" t="s">
        <v>21730</v>
      </c>
      <c r="H6571">
        <v>5874</v>
      </c>
      <c r="I6571" t="s">
        <v>22052</v>
      </c>
    </row>
    <row r="6572" spans="1:9">
      <c r="A6572" t="str">
        <f>"0222713 "</f>
        <v xml:space="preserve">0222713 </v>
      </c>
      <c r="B6572" t="s">
        <v>21727</v>
      </c>
      <c r="C6572">
        <v>5905</v>
      </c>
      <c r="D6572" t="s">
        <v>22053</v>
      </c>
      <c r="E6572">
        <v>2</v>
      </c>
      <c r="F6572" t="s">
        <v>21797</v>
      </c>
      <c r="G6572" t="s">
        <v>21730</v>
      </c>
      <c r="H6572">
        <v>5905</v>
      </c>
      <c r="I6572" t="s">
        <v>5607</v>
      </c>
    </row>
    <row r="6573" spans="1:9">
      <c r="A6573" t="str">
        <f>"0222714 "</f>
        <v xml:space="preserve">0222714 </v>
      </c>
      <c r="B6573" t="s">
        <v>21727</v>
      </c>
      <c r="C6573">
        <v>5906</v>
      </c>
      <c r="D6573" t="s">
        <v>22054</v>
      </c>
      <c r="E6573">
        <v>2</v>
      </c>
      <c r="F6573" t="s">
        <v>21797</v>
      </c>
      <c r="G6573" t="s">
        <v>21730</v>
      </c>
      <c r="H6573">
        <v>5906</v>
      </c>
      <c r="I6573" t="s">
        <v>5610</v>
      </c>
    </row>
    <row r="6574" spans="1:9">
      <c r="A6574" t="str">
        <f>"0222717 "</f>
        <v xml:space="preserve">0222717 </v>
      </c>
      <c r="B6574" t="s">
        <v>21727</v>
      </c>
      <c r="C6574">
        <v>5909</v>
      </c>
      <c r="D6574" t="s">
        <v>22055</v>
      </c>
      <c r="E6574">
        <v>2</v>
      </c>
      <c r="F6574" t="s">
        <v>21808</v>
      </c>
      <c r="G6574" t="s">
        <v>21730</v>
      </c>
      <c r="H6574">
        <v>5909</v>
      </c>
      <c r="I6574" t="s">
        <v>5550</v>
      </c>
    </row>
    <row r="6575" spans="1:9">
      <c r="A6575" t="str">
        <f>"0222729 "</f>
        <v xml:space="preserve">0222729 </v>
      </c>
      <c r="B6575" t="s">
        <v>21727</v>
      </c>
      <c r="C6575">
        <v>5922</v>
      </c>
      <c r="D6575" t="s">
        <v>22056</v>
      </c>
      <c r="E6575">
        <v>1</v>
      </c>
      <c r="F6575" t="s">
        <v>22057</v>
      </c>
      <c r="G6575" t="s">
        <v>21730</v>
      </c>
      <c r="H6575">
        <v>5922</v>
      </c>
      <c r="I6575" t="s">
        <v>22058</v>
      </c>
    </row>
    <row r="6576" spans="1:9">
      <c r="A6576" t="str">
        <f>"0222890 "</f>
        <v xml:space="preserve">0222890 </v>
      </c>
      <c r="B6576" t="s">
        <v>21727</v>
      </c>
      <c r="C6576">
        <v>6267</v>
      </c>
      <c r="D6576" t="s">
        <v>22059</v>
      </c>
      <c r="E6576">
        <v>2</v>
      </c>
      <c r="F6576" t="s">
        <v>21957</v>
      </c>
      <c r="G6576" t="s">
        <v>21730</v>
      </c>
      <c r="H6576">
        <v>6267</v>
      </c>
      <c r="I6576" t="s">
        <v>22060</v>
      </c>
    </row>
    <row r="6577" spans="1:9">
      <c r="A6577" t="str">
        <f>"0222945 "</f>
        <v xml:space="preserve">0222945 </v>
      </c>
      <c r="B6577" t="s">
        <v>21727</v>
      </c>
      <c r="C6577">
        <v>6359</v>
      </c>
      <c r="D6577" t="s">
        <v>22061</v>
      </c>
      <c r="E6577">
        <v>2</v>
      </c>
      <c r="F6577" t="s">
        <v>22062</v>
      </c>
      <c r="G6577" t="s">
        <v>21730</v>
      </c>
      <c r="H6577">
        <v>6359</v>
      </c>
      <c r="I6577" t="s">
        <v>6759</v>
      </c>
    </row>
    <row r="6578" spans="1:9">
      <c r="A6578" t="str">
        <f>"0222948 "</f>
        <v xml:space="preserve">0222948 </v>
      </c>
      <c r="B6578" t="s">
        <v>21727</v>
      </c>
      <c r="C6578">
        <v>6362</v>
      </c>
      <c r="D6578" t="s">
        <v>22063</v>
      </c>
      <c r="E6578">
        <v>1</v>
      </c>
      <c r="F6578" t="s">
        <v>11577</v>
      </c>
      <c r="G6578" t="s">
        <v>21730</v>
      </c>
      <c r="H6578">
        <v>6362</v>
      </c>
      <c r="I6578" t="s">
        <v>22064</v>
      </c>
    </row>
    <row r="6579" spans="1:9">
      <c r="A6579" t="str">
        <f>"0222949 "</f>
        <v xml:space="preserve">0222949 </v>
      </c>
      <c r="B6579" t="s">
        <v>21727</v>
      </c>
      <c r="C6579">
        <v>6363</v>
      </c>
      <c r="D6579" t="s">
        <v>22065</v>
      </c>
      <c r="E6579">
        <v>1</v>
      </c>
      <c r="F6579" t="s">
        <v>21764</v>
      </c>
      <c r="G6579" t="s">
        <v>21730</v>
      </c>
      <c r="H6579">
        <v>6363</v>
      </c>
      <c r="I6579" t="s">
        <v>22066</v>
      </c>
    </row>
    <row r="6580" spans="1:9">
      <c r="A6580" t="str">
        <f>"0222950 "</f>
        <v xml:space="preserve">0222950 </v>
      </c>
      <c r="B6580" t="s">
        <v>21727</v>
      </c>
      <c r="C6580">
        <v>6364</v>
      </c>
      <c r="D6580" t="s">
        <v>22067</v>
      </c>
      <c r="E6580">
        <v>2</v>
      </c>
      <c r="F6580" t="s">
        <v>22068</v>
      </c>
      <c r="G6580" t="s">
        <v>21730</v>
      </c>
      <c r="H6580">
        <v>6364</v>
      </c>
      <c r="I6580" t="s">
        <v>22069</v>
      </c>
    </row>
    <row r="6581" spans="1:9">
      <c r="A6581" t="str">
        <f>"0222952 "</f>
        <v xml:space="preserve">0222952 </v>
      </c>
      <c r="B6581" t="s">
        <v>21727</v>
      </c>
      <c r="C6581">
        <v>6366</v>
      </c>
      <c r="D6581" t="s">
        <v>22070</v>
      </c>
      <c r="E6581">
        <v>1</v>
      </c>
      <c r="F6581" t="s">
        <v>21741</v>
      </c>
      <c r="G6581" t="s">
        <v>21730</v>
      </c>
      <c r="H6581">
        <v>6366</v>
      </c>
      <c r="I6581" t="s">
        <v>22071</v>
      </c>
    </row>
    <row r="6582" spans="1:9">
      <c r="A6582" t="str">
        <f>"0222955 "</f>
        <v xml:space="preserve">0222955 </v>
      </c>
      <c r="B6582" t="s">
        <v>21727</v>
      </c>
      <c r="C6582">
        <v>6369</v>
      </c>
      <c r="D6582" t="s">
        <v>22072</v>
      </c>
      <c r="E6582">
        <v>2</v>
      </c>
      <c r="F6582" t="s">
        <v>21975</v>
      </c>
      <c r="G6582" t="s">
        <v>21730</v>
      </c>
      <c r="H6582">
        <v>6369</v>
      </c>
      <c r="I6582" t="s">
        <v>22073</v>
      </c>
    </row>
    <row r="6583" spans="1:9">
      <c r="A6583" t="str">
        <f>"0228335 "</f>
        <v xml:space="preserve">0228335 </v>
      </c>
      <c r="B6583" t="s">
        <v>21727</v>
      </c>
      <c r="C6583" t="s">
        <v>22074</v>
      </c>
      <c r="D6583" t="s">
        <v>22075</v>
      </c>
      <c r="E6583">
        <v>3</v>
      </c>
      <c r="F6583" t="s">
        <v>22076</v>
      </c>
      <c r="G6583" t="s">
        <v>21730</v>
      </c>
      <c r="H6583" t="s">
        <v>22074</v>
      </c>
      <c r="I6583" t="s">
        <v>22077</v>
      </c>
    </row>
    <row r="6584" spans="1:9">
      <c r="A6584" t="str">
        <f>"0228339 "</f>
        <v xml:space="preserve">0228339 </v>
      </c>
      <c r="B6584" t="s">
        <v>21727</v>
      </c>
      <c r="C6584" t="s">
        <v>22078</v>
      </c>
      <c r="D6584" t="s">
        <v>22079</v>
      </c>
      <c r="E6584">
        <v>2</v>
      </c>
      <c r="F6584" t="s">
        <v>928</v>
      </c>
      <c r="G6584" t="s">
        <v>21730</v>
      </c>
      <c r="H6584" t="s">
        <v>22078</v>
      </c>
      <c r="I6584" t="s">
        <v>6443</v>
      </c>
    </row>
    <row r="6585" spans="1:9">
      <c r="A6585" t="str">
        <f>"0228342 "</f>
        <v xml:space="preserve">0228342 </v>
      </c>
      <c r="B6585" t="s">
        <v>21727</v>
      </c>
      <c r="C6585" t="s">
        <v>22080</v>
      </c>
      <c r="D6585" t="s">
        <v>22081</v>
      </c>
      <c r="E6585">
        <v>3</v>
      </c>
      <c r="F6585" t="s">
        <v>22082</v>
      </c>
      <c r="G6585" t="s">
        <v>21730</v>
      </c>
      <c r="H6585" t="s">
        <v>22080</v>
      </c>
      <c r="I6585" t="s">
        <v>22083</v>
      </c>
    </row>
    <row r="6586" spans="1:9">
      <c r="A6586" t="str">
        <f>"0228370 "</f>
        <v xml:space="preserve">0228370 </v>
      </c>
      <c r="B6586" t="s">
        <v>21727</v>
      </c>
      <c r="C6586" t="s">
        <v>22084</v>
      </c>
      <c r="D6586" t="s">
        <v>22085</v>
      </c>
      <c r="E6586">
        <v>1</v>
      </c>
      <c r="F6586" t="s">
        <v>22086</v>
      </c>
      <c r="G6586" t="s">
        <v>21730</v>
      </c>
      <c r="H6586" t="s">
        <v>22084</v>
      </c>
      <c r="I6586" t="s">
        <v>22087</v>
      </c>
    </row>
    <row r="6587" spans="1:9">
      <c r="A6587" t="str">
        <f>"0228371 "</f>
        <v xml:space="preserve">0228371 </v>
      </c>
      <c r="B6587" t="s">
        <v>21727</v>
      </c>
      <c r="C6587" t="s">
        <v>22088</v>
      </c>
      <c r="D6587" t="s">
        <v>22089</v>
      </c>
      <c r="E6587">
        <v>2</v>
      </c>
      <c r="F6587" t="s">
        <v>21790</v>
      </c>
      <c r="G6587" t="s">
        <v>21730</v>
      </c>
      <c r="H6587" t="s">
        <v>22088</v>
      </c>
      <c r="I6587" t="s">
        <v>5710</v>
      </c>
    </row>
    <row r="6588" spans="1:9">
      <c r="A6588" t="str">
        <f>"0228372 "</f>
        <v xml:space="preserve">0228372 </v>
      </c>
      <c r="B6588" t="s">
        <v>21727</v>
      </c>
      <c r="C6588" t="s">
        <v>22090</v>
      </c>
      <c r="D6588" t="s">
        <v>22091</v>
      </c>
      <c r="E6588">
        <v>2</v>
      </c>
      <c r="F6588" t="s">
        <v>928</v>
      </c>
      <c r="G6588" t="s">
        <v>21730</v>
      </c>
      <c r="H6588" t="s">
        <v>22090</v>
      </c>
      <c r="I6588" t="s">
        <v>22092</v>
      </c>
    </row>
    <row r="6589" spans="1:9">
      <c r="A6589" t="str">
        <f>"0228376 "</f>
        <v xml:space="preserve">0228376 </v>
      </c>
      <c r="B6589" t="s">
        <v>21727</v>
      </c>
      <c r="C6589" t="s">
        <v>22093</v>
      </c>
      <c r="D6589" t="s">
        <v>22094</v>
      </c>
      <c r="E6589">
        <v>3</v>
      </c>
      <c r="F6589" t="s">
        <v>1079</v>
      </c>
      <c r="G6589" t="s">
        <v>21730</v>
      </c>
      <c r="H6589" t="s">
        <v>22093</v>
      </c>
      <c r="I6589" t="s">
        <v>6707</v>
      </c>
    </row>
    <row r="6590" spans="1:9">
      <c r="A6590" t="str">
        <f>"0228410 "</f>
        <v xml:space="preserve">0228410 </v>
      </c>
      <c r="B6590" t="s">
        <v>21727</v>
      </c>
      <c r="C6590" t="s">
        <v>22095</v>
      </c>
      <c r="D6590" t="s">
        <v>22096</v>
      </c>
      <c r="E6590">
        <v>1</v>
      </c>
      <c r="F6590" t="s">
        <v>928</v>
      </c>
      <c r="G6590" t="s">
        <v>21730</v>
      </c>
      <c r="H6590" t="s">
        <v>22095</v>
      </c>
      <c r="I6590" t="s">
        <v>22097</v>
      </c>
    </row>
    <row r="6591" spans="1:9">
      <c r="A6591" t="str">
        <f>"0228422 "</f>
        <v xml:space="preserve">0228422 </v>
      </c>
      <c r="B6591" t="s">
        <v>21727</v>
      </c>
      <c r="C6591" t="s">
        <v>22098</v>
      </c>
      <c r="D6591" t="s">
        <v>22099</v>
      </c>
      <c r="E6591">
        <v>2</v>
      </c>
      <c r="F6591" t="s">
        <v>21970</v>
      </c>
      <c r="G6591" t="s">
        <v>21730</v>
      </c>
      <c r="H6591" t="s">
        <v>22098</v>
      </c>
      <c r="I6591" t="s">
        <v>22100</v>
      </c>
    </row>
    <row r="6592" spans="1:9">
      <c r="A6592" t="str">
        <f>"0228510 "</f>
        <v xml:space="preserve">0228510 </v>
      </c>
      <c r="B6592" t="s">
        <v>21727</v>
      </c>
      <c r="C6592" t="s">
        <v>22101</v>
      </c>
      <c r="D6592" t="s">
        <v>22102</v>
      </c>
      <c r="E6592">
        <v>1</v>
      </c>
      <c r="F6592" t="s">
        <v>22103</v>
      </c>
      <c r="G6592" t="s">
        <v>21730</v>
      </c>
      <c r="H6592" t="s">
        <v>22101</v>
      </c>
      <c r="I6592" t="s">
        <v>22104</v>
      </c>
    </row>
    <row r="6593" spans="1:9">
      <c r="A6593" t="str">
        <f>"0228515 "</f>
        <v xml:space="preserve">0228515 </v>
      </c>
      <c r="B6593" t="s">
        <v>21727</v>
      </c>
      <c r="C6593" t="s">
        <v>22105</v>
      </c>
      <c r="D6593" t="s">
        <v>22106</v>
      </c>
      <c r="E6593">
        <v>2</v>
      </c>
      <c r="F6593" t="s">
        <v>928</v>
      </c>
      <c r="G6593" t="s">
        <v>21730</v>
      </c>
      <c r="H6593" t="s">
        <v>22105</v>
      </c>
      <c r="I6593" t="s">
        <v>6037</v>
      </c>
    </row>
    <row r="6594" spans="1:9">
      <c r="A6594" t="str">
        <f>"0228546 "</f>
        <v xml:space="preserve">0228546 </v>
      </c>
      <c r="B6594" t="s">
        <v>21727</v>
      </c>
      <c r="C6594" t="s">
        <v>22107</v>
      </c>
      <c r="D6594" t="s">
        <v>22108</v>
      </c>
      <c r="E6594">
        <v>2</v>
      </c>
      <c r="F6594" t="s">
        <v>22109</v>
      </c>
      <c r="G6594" t="s">
        <v>21730</v>
      </c>
      <c r="H6594" t="s">
        <v>22107</v>
      </c>
      <c r="I6594" t="s">
        <v>6304</v>
      </c>
    </row>
    <row r="6595" spans="1:9">
      <c r="A6595" t="str">
        <f>"0228550 "</f>
        <v xml:space="preserve">0228550 </v>
      </c>
      <c r="B6595" t="s">
        <v>21727</v>
      </c>
      <c r="C6595" t="s">
        <v>22110</v>
      </c>
      <c r="D6595" t="s">
        <v>22111</v>
      </c>
      <c r="E6595">
        <v>2</v>
      </c>
      <c r="F6595" t="s">
        <v>928</v>
      </c>
      <c r="G6595" t="s">
        <v>21730</v>
      </c>
      <c r="H6595" t="s">
        <v>22110</v>
      </c>
      <c r="I6595" t="s">
        <v>5692</v>
      </c>
    </row>
    <row r="6596" spans="1:9">
      <c r="A6596" t="str">
        <f>"0228563 "</f>
        <v xml:space="preserve">0228563 </v>
      </c>
      <c r="B6596" t="s">
        <v>21727</v>
      </c>
      <c r="C6596" t="s">
        <v>22112</v>
      </c>
      <c r="D6596" t="s">
        <v>22113</v>
      </c>
      <c r="E6596">
        <v>1</v>
      </c>
      <c r="F6596" t="s">
        <v>22086</v>
      </c>
      <c r="G6596" t="s">
        <v>21730</v>
      </c>
      <c r="H6596" t="s">
        <v>22112</v>
      </c>
      <c r="I6596" t="s">
        <v>22114</v>
      </c>
    </row>
    <row r="6597" spans="1:9">
      <c r="A6597" t="str">
        <f>"0228570 "</f>
        <v xml:space="preserve">0228570 </v>
      </c>
      <c r="B6597" t="s">
        <v>21727</v>
      </c>
      <c r="C6597" t="s">
        <v>22115</v>
      </c>
      <c r="D6597" t="s">
        <v>22116</v>
      </c>
      <c r="E6597">
        <v>2</v>
      </c>
      <c r="F6597" t="s">
        <v>22103</v>
      </c>
      <c r="G6597" t="s">
        <v>21730</v>
      </c>
      <c r="H6597" t="s">
        <v>22115</v>
      </c>
      <c r="I6597" t="s">
        <v>22117</v>
      </c>
    </row>
    <row r="6598" spans="1:9">
      <c r="A6598" t="str">
        <f>"0228571 "</f>
        <v xml:space="preserve">0228571 </v>
      </c>
      <c r="B6598" t="s">
        <v>21727</v>
      </c>
      <c r="C6598" t="s">
        <v>22118</v>
      </c>
      <c r="D6598" t="s">
        <v>22119</v>
      </c>
      <c r="E6598">
        <v>2</v>
      </c>
      <c r="F6598" t="s">
        <v>22086</v>
      </c>
      <c r="G6598" t="s">
        <v>21730</v>
      </c>
      <c r="H6598" t="s">
        <v>22118</v>
      </c>
      <c r="I6598" t="s">
        <v>22120</v>
      </c>
    </row>
    <row r="6599" spans="1:9">
      <c r="A6599" t="str">
        <f>"0228579 "</f>
        <v xml:space="preserve">0228579 </v>
      </c>
      <c r="B6599" t="s">
        <v>21727</v>
      </c>
      <c r="C6599" t="s">
        <v>22121</v>
      </c>
      <c r="D6599" t="s">
        <v>22122</v>
      </c>
      <c r="E6599">
        <v>4</v>
      </c>
      <c r="F6599" t="s">
        <v>22123</v>
      </c>
      <c r="G6599" t="s">
        <v>21730</v>
      </c>
      <c r="H6599" t="s">
        <v>22121</v>
      </c>
      <c r="I6599" t="s">
        <v>14909</v>
      </c>
    </row>
    <row r="6600" spans="1:9">
      <c r="A6600" t="str">
        <f>"0228628 "</f>
        <v xml:space="preserve">0228628 </v>
      </c>
      <c r="B6600" t="s">
        <v>21727</v>
      </c>
      <c r="C6600" t="s">
        <v>22124</v>
      </c>
      <c r="D6600" t="s">
        <v>22125</v>
      </c>
      <c r="E6600">
        <v>2</v>
      </c>
      <c r="F6600" t="s">
        <v>6675</v>
      </c>
      <c r="G6600" t="s">
        <v>21730</v>
      </c>
      <c r="H6600" t="s">
        <v>22124</v>
      </c>
      <c r="I6600" t="s">
        <v>22126</v>
      </c>
    </row>
    <row r="6601" spans="1:9">
      <c r="A6601" t="str">
        <f>"0228630 "</f>
        <v xml:space="preserve">0228630 </v>
      </c>
      <c r="B6601" t="s">
        <v>21727</v>
      </c>
      <c r="C6601" t="s">
        <v>22127</v>
      </c>
      <c r="D6601" t="s">
        <v>22128</v>
      </c>
      <c r="E6601">
        <v>1</v>
      </c>
      <c r="F6601" t="s">
        <v>22129</v>
      </c>
      <c r="G6601" t="s">
        <v>21730</v>
      </c>
      <c r="H6601" t="s">
        <v>22127</v>
      </c>
      <c r="I6601" t="s">
        <v>6624</v>
      </c>
    </row>
    <row r="6602" spans="1:9">
      <c r="A6602" t="str">
        <f>"0228685 "</f>
        <v xml:space="preserve">0228685 </v>
      </c>
      <c r="B6602" t="s">
        <v>21727</v>
      </c>
      <c r="C6602" t="s">
        <v>22130</v>
      </c>
      <c r="D6602" t="s">
        <v>22131</v>
      </c>
      <c r="E6602">
        <v>2</v>
      </c>
      <c r="F6602" t="s">
        <v>22086</v>
      </c>
      <c r="G6602" t="s">
        <v>21730</v>
      </c>
      <c r="H6602" t="s">
        <v>22130</v>
      </c>
      <c r="I6602" t="s">
        <v>22132</v>
      </c>
    </row>
    <row r="6603" spans="1:9">
      <c r="A6603" t="str">
        <f>"0228691 "</f>
        <v xml:space="preserve">0228691 </v>
      </c>
      <c r="B6603" t="s">
        <v>21727</v>
      </c>
      <c r="C6603" t="s">
        <v>22133</v>
      </c>
      <c r="D6603" t="s">
        <v>22134</v>
      </c>
      <c r="E6603">
        <v>2</v>
      </c>
      <c r="F6603" t="s">
        <v>22135</v>
      </c>
      <c r="G6603" t="s">
        <v>21730</v>
      </c>
      <c r="H6603" t="s">
        <v>22133</v>
      </c>
      <c r="I6603" t="s">
        <v>22136</v>
      </c>
    </row>
    <row r="6604" spans="1:9">
      <c r="A6604" t="str">
        <f>"0228692 "</f>
        <v xml:space="preserve">0228692 </v>
      </c>
      <c r="B6604" t="s">
        <v>21727</v>
      </c>
      <c r="C6604" t="s">
        <v>22137</v>
      </c>
      <c r="D6604" t="s">
        <v>22138</v>
      </c>
      <c r="E6604">
        <v>2</v>
      </c>
      <c r="F6604" t="s">
        <v>22139</v>
      </c>
      <c r="G6604" t="s">
        <v>21730</v>
      </c>
      <c r="H6604" t="s">
        <v>22137</v>
      </c>
      <c r="I6604" t="s">
        <v>22140</v>
      </c>
    </row>
    <row r="6605" spans="1:9">
      <c r="A6605" t="str">
        <f>"0228701 "</f>
        <v xml:space="preserve">0228701 </v>
      </c>
      <c r="B6605" t="s">
        <v>21727</v>
      </c>
      <c r="C6605" t="s">
        <v>22141</v>
      </c>
      <c r="D6605" t="s">
        <v>22142</v>
      </c>
      <c r="E6605">
        <v>2</v>
      </c>
      <c r="F6605" t="s">
        <v>22139</v>
      </c>
      <c r="G6605" t="s">
        <v>21730</v>
      </c>
      <c r="H6605" t="s">
        <v>22141</v>
      </c>
      <c r="I6605" t="s">
        <v>6835</v>
      </c>
    </row>
    <row r="6606" spans="1:9">
      <c r="A6606" t="str">
        <f>"0228704 "</f>
        <v xml:space="preserve">0228704 </v>
      </c>
      <c r="B6606" t="s">
        <v>21727</v>
      </c>
      <c r="C6606" t="s">
        <v>22143</v>
      </c>
      <c r="D6606" t="s">
        <v>22144</v>
      </c>
      <c r="E6606">
        <v>2</v>
      </c>
      <c r="F6606" t="s">
        <v>22145</v>
      </c>
      <c r="G6606" t="s">
        <v>21730</v>
      </c>
      <c r="H6606" t="s">
        <v>22143</v>
      </c>
      <c r="I6606" t="s">
        <v>22146</v>
      </c>
    </row>
    <row r="6607" spans="1:9">
      <c r="A6607" t="str">
        <f>"0228710 "</f>
        <v xml:space="preserve">0228710 </v>
      </c>
      <c r="B6607" t="s">
        <v>21727</v>
      </c>
      <c r="C6607" t="s">
        <v>22147</v>
      </c>
      <c r="D6607" t="s">
        <v>22148</v>
      </c>
      <c r="E6607">
        <v>2</v>
      </c>
      <c r="F6607" t="s">
        <v>1018</v>
      </c>
      <c r="G6607" t="s">
        <v>21730</v>
      </c>
      <c r="H6607" t="s">
        <v>22147</v>
      </c>
      <c r="I6607" t="s">
        <v>22149</v>
      </c>
    </row>
    <row r="6608" spans="1:9">
      <c r="A6608" t="str">
        <f>"0228737 "</f>
        <v xml:space="preserve">0228737 </v>
      </c>
      <c r="B6608" t="s">
        <v>21727</v>
      </c>
      <c r="C6608" t="s">
        <v>22150</v>
      </c>
      <c r="D6608" t="s">
        <v>22151</v>
      </c>
      <c r="E6608">
        <v>1</v>
      </c>
      <c r="F6608" t="s">
        <v>21764</v>
      </c>
      <c r="G6608" t="s">
        <v>21730</v>
      </c>
      <c r="H6608" t="s">
        <v>22150</v>
      </c>
      <c r="I6608" t="s">
        <v>22152</v>
      </c>
    </row>
    <row r="6609" spans="1:9">
      <c r="A6609" t="str">
        <f>"0228745 "</f>
        <v xml:space="preserve">0228745 </v>
      </c>
      <c r="B6609" t="s">
        <v>21727</v>
      </c>
      <c r="C6609" t="s">
        <v>22153</v>
      </c>
      <c r="D6609" t="s">
        <v>22154</v>
      </c>
      <c r="E6609">
        <v>1</v>
      </c>
      <c r="F6609" t="s">
        <v>21773</v>
      </c>
      <c r="G6609" t="s">
        <v>21730</v>
      </c>
      <c r="H6609" t="s">
        <v>22153</v>
      </c>
      <c r="I6609" t="s">
        <v>22155</v>
      </c>
    </row>
    <row r="6610" spans="1:9">
      <c r="A6610" t="str">
        <f>"0228804 "</f>
        <v xml:space="preserve">0228804 </v>
      </c>
      <c r="B6610" t="s">
        <v>21727</v>
      </c>
      <c r="C6610" t="s">
        <v>22156</v>
      </c>
      <c r="D6610" t="s">
        <v>22157</v>
      </c>
      <c r="E6610">
        <v>1</v>
      </c>
      <c r="F6610" t="s">
        <v>6675</v>
      </c>
      <c r="G6610" t="s">
        <v>21730</v>
      </c>
      <c r="H6610" t="s">
        <v>22156</v>
      </c>
      <c r="I6610" t="s">
        <v>5986</v>
      </c>
    </row>
    <row r="6611" spans="1:9">
      <c r="A6611" t="str">
        <f>"0229118 "</f>
        <v xml:space="preserve">0229118 </v>
      </c>
      <c r="B6611" t="s">
        <v>21727</v>
      </c>
      <c r="C6611" t="s">
        <v>22158</v>
      </c>
      <c r="D6611" t="s">
        <v>22159</v>
      </c>
      <c r="E6611">
        <v>1</v>
      </c>
      <c r="F6611" t="s">
        <v>22160</v>
      </c>
      <c r="G6611" t="s">
        <v>21730</v>
      </c>
      <c r="H6611" t="s">
        <v>22158</v>
      </c>
      <c r="I6611" t="s">
        <v>6289</v>
      </c>
    </row>
    <row r="6612" spans="1:9">
      <c r="A6612" t="str">
        <f>"0229119 "</f>
        <v xml:space="preserve">0229119 </v>
      </c>
      <c r="B6612" t="s">
        <v>21727</v>
      </c>
      <c r="C6612" t="s">
        <v>22161</v>
      </c>
      <c r="D6612" t="s">
        <v>22162</v>
      </c>
      <c r="E6612">
        <v>1</v>
      </c>
      <c r="F6612" t="s">
        <v>22160</v>
      </c>
      <c r="G6612" t="s">
        <v>21730</v>
      </c>
      <c r="H6612" t="s">
        <v>22161</v>
      </c>
      <c r="I6612" t="s">
        <v>5647</v>
      </c>
    </row>
    <row r="6613" spans="1:9">
      <c r="A6613" t="str">
        <f>"0229143 "</f>
        <v xml:space="preserve">0229143 </v>
      </c>
      <c r="B6613" t="s">
        <v>21727</v>
      </c>
      <c r="C6613" t="s">
        <v>22163</v>
      </c>
      <c r="D6613" t="s">
        <v>22164</v>
      </c>
      <c r="E6613">
        <v>1</v>
      </c>
      <c r="F6613" t="s">
        <v>22165</v>
      </c>
      <c r="G6613" t="s">
        <v>21730</v>
      </c>
      <c r="H6613" t="s">
        <v>22163</v>
      </c>
      <c r="I6613" t="s">
        <v>5584</v>
      </c>
    </row>
    <row r="6614" spans="1:9">
      <c r="A6614" t="str">
        <f>"0229193 "</f>
        <v xml:space="preserve">0229193 </v>
      </c>
      <c r="B6614" t="s">
        <v>21727</v>
      </c>
      <c r="C6614" t="s">
        <v>22166</v>
      </c>
      <c r="D6614" t="s">
        <v>22167</v>
      </c>
      <c r="E6614">
        <v>1</v>
      </c>
      <c r="F6614" t="s">
        <v>22168</v>
      </c>
      <c r="G6614" t="s">
        <v>21730</v>
      </c>
      <c r="H6614" t="s">
        <v>22166</v>
      </c>
      <c r="I6614" t="s">
        <v>6389</v>
      </c>
    </row>
    <row r="6615" spans="1:9">
      <c r="A6615" t="str">
        <f>"0229194 "</f>
        <v xml:space="preserve">0229194 </v>
      </c>
      <c r="B6615" t="s">
        <v>21727</v>
      </c>
      <c r="C6615" t="s">
        <v>22169</v>
      </c>
      <c r="D6615" t="s">
        <v>22170</v>
      </c>
      <c r="E6615">
        <v>1</v>
      </c>
      <c r="F6615" t="s">
        <v>6249</v>
      </c>
      <c r="G6615" t="s">
        <v>21730</v>
      </c>
      <c r="H6615" t="s">
        <v>22169</v>
      </c>
      <c r="I6615" t="s">
        <v>22171</v>
      </c>
    </row>
    <row r="6616" spans="1:9">
      <c r="A6616" t="str">
        <f>"0229438 "</f>
        <v xml:space="preserve">0229438 </v>
      </c>
      <c r="B6616" t="s">
        <v>21727</v>
      </c>
      <c r="C6616" t="s">
        <v>22172</v>
      </c>
      <c r="D6616" t="s">
        <v>22173</v>
      </c>
      <c r="E6616">
        <v>2</v>
      </c>
      <c r="F6616" t="s">
        <v>22174</v>
      </c>
      <c r="G6616" t="s">
        <v>21730</v>
      </c>
      <c r="H6616" t="s">
        <v>22172</v>
      </c>
      <c r="I6616" t="s">
        <v>6558</v>
      </c>
    </row>
    <row r="6617" spans="1:9">
      <c r="A6617" t="str">
        <f>"0229444 "</f>
        <v xml:space="preserve">0229444 </v>
      </c>
      <c r="B6617" t="s">
        <v>21727</v>
      </c>
      <c r="C6617" t="s">
        <v>22175</v>
      </c>
      <c r="D6617" t="s">
        <v>22176</v>
      </c>
      <c r="E6617">
        <v>1</v>
      </c>
      <c r="F6617" t="s">
        <v>12426</v>
      </c>
      <c r="G6617" t="s">
        <v>21730</v>
      </c>
      <c r="H6617" t="s">
        <v>22175</v>
      </c>
      <c r="I6617" t="s">
        <v>22177</v>
      </c>
    </row>
    <row r="6618" spans="1:9">
      <c r="A6618" t="str">
        <f>"0229445 "</f>
        <v xml:space="preserve">0229445 </v>
      </c>
      <c r="B6618" t="s">
        <v>21727</v>
      </c>
      <c r="C6618" t="s">
        <v>22178</v>
      </c>
      <c r="D6618" t="s">
        <v>22179</v>
      </c>
      <c r="E6618">
        <v>1</v>
      </c>
      <c r="F6618" t="s">
        <v>12426</v>
      </c>
      <c r="G6618" t="s">
        <v>21730</v>
      </c>
      <c r="H6618" t="s">
        <v>22178</v>
      </c>
      <c r="I6618" t="s">
        <v>22180</v>
      </c>
    </row>
    <row r="6619" spans="1:9">
      <c r="A6619" t="str">
        <f>"0229867 "</f>
        <v xml:space="preserve">0229867 </v>
      </c>
      <c r="B6619" t="s">
        <v>21727</v>
      </c>
      <c r="C6619" t="s">
        <v>22181</v>
      </c>
      <c r="D6619" t="s">
        <v>22182</v>
      </c>
      <c r="E6619">
        <v>1</v>
      </c>
      <c r="F6619" t="s">
        <v>21764</v>
      </c>
      <c r="G6619" t="s">
        <v>21730</v>
      </c>
      <c r="H6619" t="s">
        <v>22181</v>
      </c>
      <c r="I6619" t="s">
        <v>22183</v>
      </c>
    </row>
    <row r="6620" spans="1:9">
      <c r="A6620" t="str">
        <f>"0229875 "</f>
        <v xml:space="preserve">0229875 </v>
      </c>
      <c r="B6620" t="s">
        <v>21727</v>
      </c>
      <c r="C6620" t="s">
        <v>22184</v>
      </c>
      <c r="D6620" t="s">
        <v>22185</v>
      </c>
      <c r="E6620">
        <v>1</v>
      </c>
      <c r="F6620" t="s">
        <v>21773</v>
      </c>
      <c r="G6620" t="s">
        <v>21730</v>
      </c>
      <c r="H6620" t="s">
        <v>22184</v>
      </c>
      <c r="I6620" t="s">
        <v>22186</v>
      </c>
    </row>
    <row r="6621" spans="1:9">
      <c r="A6621" t="str">
        <f>"0229935 "</f>
        <v xml:space="preserve">0229935 </v>
      </c>
      <c r="B6621" t="s">
        <v>21727</v>
      </c>
      <c r="C6621" t="s">
        <v>22187</v>
      </c>
      <c r="D6621" t="s">
        <v>22188</v>
      </c>
      <c r="E6621">
        <v>1</v>
      </c>
      <c r="F6621" t="s">
        <v>6675</v>
      </c>
      <c r="G6621" t="s">
        <v>21730</v>
      </c>
      <c r="H6621" t="s">
        <v>22187</v>
      </c>
      <c r="I6621" t="s">
        <v>5989</v>
      </c>
    </row>
    <row r="6622" spans="1:9">
      <c r="A6622" t="str">
        <f>"0229936 "</f>
        <v xml:space="preserve">0229936 </v>
      </c>
      <c r="B6622" t="s">
        <v>21727</v>
      </c>
      <c r="C6622" t="s">
        <v>22189</v>
      </c>
      <c r="D6622" t="s">
        <v>22190</v>
      </c>
      <c r="E6622">
        <v>1</v>
      </c>
      <c r="F6622" t="s">
        <v>22082</v>
      </c>
      <c r="G6622" t="s">
        <v>21730</v>
      </c>
      <c r="H6622" t="s">
        <v>22189</v>
      </c>
      <c r="I6622" t="s">
        <v>22191</v>
      </c>
    </row>
    <row r="6623" spans="1:9">
      <c r="A6623" t="str">
        <f>"0229970 "</f>
        <v xml:space="preserve">0229970 </v>
      </c>
      <c r="B6623" t="s">
        <v>21727</v>
      </c>
      <c r="C6623" t="s">
        <v>22192</v>
      </c>
      <c r="D6623" t="s">
        <v>22193</v>
      </c>
      <c r="E6623">
        <v>2</v>
      </c>
      <c r="F6623" t="s">
        <v>21790</v>
      </c>
      <c r="G6623" t="s">
        <v>21730</v>
      </c>
      <c r="H6623" t="s">
        <v>22192</v>
      </c>
      <c r="I6623" t="s">
        <v>22194</v>
      </c>
    </row>
    <row r="6624" spans="1:9">
      <c r="A6624" t="str">
        <f>"0229976 "</f>
        <v xml:space="preserve">0229976 </v>
      </c>
      <c r="B6624" t="s">
        <v>21727</v>
      </c>
      <c r="C6624" t="s">
        <v>22195</v>
      </c>
      <c r="D6624" t="s">
        <v>22196</v>
      </c>
      <c r="E6624">
        <v>1</v>
      </c>
      <c r="F6624" t="s">
        <v>22076</v>
      </c>
      <c r="G6624" t="s">
        <v>21730</v>
      </c>
      <c r="H6624" t="s">
        <v>22195</v>
      </c>
      <c r="I6624" t="s">
        <v>6261</v>
      </c>
    </row>
    <row r="6625" spans="1:9">
      <c r="A6625" t="str">
        <f>"0229977 "</f>
        <v xml:space="preserve">0229977 </v>
      </c>
      <c r="B6625" t="s">
        <v>21727</v>
      </c>
      <c r="C6625" t="s">
        <v>22197</v>
      </c>
      <c r="D6625" t="s">
        <v>22198</v>
      </c>
      <c r="E6625">
        <v>2</v>
      </c>
      <c r="F6625" t="s">
        <v>22076</v>
      </c>
      <c r="G6625" t="s">
        <v>21730</v>
      </c>
      <c r="H6625" t="s">
        <v>22197</v>
      </c>
      <c r="I6625" t="s">
        <v>6168</v>
      </c>
    </row>
    <row r="6626" spans="1:9">
      <c r="A6626" t="str">
        <f>"0229990 "</f>
        <v xml:space="preserve">0229990 </v>
      </c>
      <c r="B6626" t="s">
        <v>21727</v>
      </c>
      <c r="C6626" t="s">
        <v>22199</v>
      </c>
      <c r="D6626" t="s">
        <v>22200</v>
      </c>
      <c r="E6626">
        <v>4</v>
      </c>
      <c r="F6626" t="s">
        <v>21957</v>
      </c>
      <c r="G6626" t="s">
        <v>21730</v>
      </c>
      <c r="H6626" t="s">
        <v>22199</v>
      </c>
      <c r="I6626" t="s">
        <v>22201</v>
      </c>
    </row>
    <row r="6627" spans="1:9">
      <c r="A6627" t="str">
        <f>"0230010 "</f>
        <v xml:space="preserve">0230010 </v>
      </c>
      <c r="B6627" t="s">
        <v>21727</v>
      </c>
      <c r="C6627" t="s">
        <v>22202</v>
      </c>
      <c r="D6627" t="s">
        <v>22203</v>
      </c>
      <c r="E6627">
        <v>2</v>
      </c>
      <c r="F6627" t="s">
        <v>22204</v>
      </c>
      <c r="G6627" t="s">
        <v>21730</v>
      </c>
      <c r="H6627" t="s">
        <v>22202</v>
      </c>
      <c r="I6627" t="s">
        <v>6421</v>
      </c>
    </row>
    <row r="6628" spans="1:9">
      <c r="A6628" t="str">
        <f>"0230022 "</f>
        <v xml:space="preserve">0230022 </v>
      </c>
      <c r="B6628" t="s">
        <v>21727</v>
      </c>
      <c r="C6628" t="s">
        <v>22205</v>
      </c>
      <c r="D6628" t="s">
        <v>22206</v>
      </c>
      <c r="E6628">
        <v>4</v>
      </c>
      <c r="F6628" t="s">
        <v>13847</v>
      </c>
      <c r="G6628" t="s">
        <v>21730</v>
      </c>
      <c r="H6628" t="s">
        <v>22205</v>
      </c>
      <c r="I6628" t="s">
        <v>6745</v>
      </c>
    </row>
    <row r="6629" spans="1:9">
      <c r="A6629" t="str">
        <f>"0230028 "</f>
        <v xml:space="preserve">0230028 </v>
      </c>
      <c r="B6629" t="s">
        <v>21727</v>
      </c>
      <c r="C6629" t="s">
        <v>22207</v>
      </c>
      <c r="D6629" t="s">
        <v>22208</v>
      </c>
      <c r="E6629">
        <v>2</v>
      </c>
      <c r="F6629" t="s">
        <v>22076</v>
      </c>
      <c r="G6629" t="s">
        <v>21730</v>
      </c>
      <c r="H6629" t="s">
        <v>22207</v>
      </c>
      <c r="I6629" t="s">
        <v>6196</v>
      </c>
    </row>
    <row r="6630" spans="1:9">
      <c r="A6630" t="str">
        <f>"0230044 "</f>
        <v xml:space="preserve">0230044 </v>
      </c>
      <c r="B6630" t="s">
        <v>21727</v>
      </c>
      <c r="C6630" t="s">
        <v>22209</v>
      </c>
      <c r="D6630" t="s">
        <v>22210</v>
      </c>
      <c r="E6630">
        <v>2</v>
      </c>
      <c r="F6630" t="s">
        <v>22211</v>
      </c>
      <c r="G6630" t="s">
        <v>21730</v>
      </c>
      <c r="H6630" t="s">
        <v>22209</v>
      </c>
      <c r="I6630" t="s">
        <v>22212</v>
      </c>
    </row>
    <row r="6631" spans="1:9">
      <c r="A6631" t="str">
        <f>"0230060 "</f>
        <v xml:space="preserve">0230060 </v>
      </c>
      <c r="B6631" t="s">
        <v>21727</v>
      </c>
      <c r="C6631" t="s">
        <v>22213</v>
      </c>
      <c r="D6631" t="s">
        <v>22214</v>
      </c>
      <c r="E6631">
        <v>2</v>
      </c>
      <c r="F6631" t="s">
        <v>1075</v>
      </c>
      <c r="G6631" t="s">
        <v>21730</v>
      </c>
      <c r="H6631" t="s">
        <v>22213</v>
      </c>
      <c r="I6631" t="s">
        <v>6501</v>
      </c>
    </row>
    <row r="6632" spans="1:9">
      <c r="A6632" t="str">
        <f>"0230124 "</f>
        <v xml:space="preserve">0230124 </v>
      </c>
      <c r="B6632" t="s">
        <v>21727</v>
      </c>
      <c r="C6632" t="s">
        <v>22215</v>
      </c>
      <c r="D6632" t="s">
        <v>22216</v>
      </c>
      <c r="E6632" t="s">
        <v>16</v>
      </c>
      <c r="F6632" t="s">
        <v>22211</v>
      </c>
      <c r="G6632" t="s">
        <v>21730</v>
      </c>
      <c r="H6632" t="s">
        <v>22215</v>
      </c>
      <c r="I6632" t="s">
        <v>22217</v>
      </c>
    </row>
    <row r="6633" spans="1:9">
      <c r="A6633" t="str">
        <f>"0230147 "</f>
        <v xml:space="preserve">0230147 </v>
      </c>
      <c r="B6633" t="s">
        <v>21727</v>
      </c>
      <c r="C6633" t="s">
        <v>22218</v>
      </c>
      <c r="D6633" t="s">
        <v>22219</v>
      </c>
      <c r="E6633">
        <v>2</v>
      </c>
      <c r="F6633" t="s">
        <v>22109</v>
      </c>
      <c r="G6633" t="s">
        <v>21730</v>
      </c>
      <c r="H6633" t="s">
        <v>22218</v>
      </c>
      <c r="I6633" t="s">
        <v>22220</v>
      </c>
    </row>
    <row r="6634" spans="1:9">
      <c r="A6634" t="str">
        <f>"0230159 "</f>
        <v xml:space="preserve">0230159 </v>
      </c>
      <c r="B6634" t="s">
        <v>21727</v>
      </c>
      <c r="C6634" t="s">
        <v>22221</v>
      </c>
      <c r="D6634" t="s">
        <v>22222</v>
      </c>
      <c r="E6634">
        <v>2</v>
      </c>
      <c r="F6634" t="s">
        <v>22049</v>
      </c>
      <c r="G6634" t="s">
        <v>21730</v>
      </c>
      <c r="H6634" t="s">
        <v>22221</v>
      </c>
      <c r="I6634" t="s">
        <v>5655</v>
      </c>
    </row>
    <row r="6635" spans="1:9">
      <c r="A6635" t="str">
        <f>"0230164 "</f>
        <v xml:space="preserve">0230164 </v>
      </c>
      <c r="B6635" t="s">
        <v>21727</v>
      </c>
      <c r="C6635" t="s">
        <v>22223</v>
      </c>
      <c r="D6635" t="s">
        <v>22224</v>
      </c>
      <c r="E6635">
        <v>2</v>
      </c>
      <c r="F6635" t="s">
        <v>22049</v>
      </c>
      <c r="G6635" t="s">
        <v>21730</v>
      </c>
      <c r="H6635" t="s">
        <v>22223</v>
      </c>
      <c r="I6635" t="s">
        <v>22225</v>
      </c>
    </row>
    <row r="6636" spans="1:9">
      <c r="A6636" t="str">
        <f>"0230166 "</f>
        <v xml:space="preserve">0230166 </v>
      </c>
      <c r="B6636" t="s">
        <v>21727</v>
      </c>
      <c r="C6636" t="s">
        <v>22226</v>
      </c>
      <c r="D6636" t="s">
        <v>22227</v>
      </c>
      <c r="E6636">
        <v>3</v>
      </c>
      <c r="F6636" t="s">
        <v>22076</v>
      </c>
      <c r="G6636" t="s">
        <v>21730</v>
      </c>
      <c r="H6636" t="s">
        <v>22226</v>
      </c>
      <c r="I6636" t="s">
        <v>5859</v>
      </c>
    </row>
    <row r="6637" spans="1:9">
      <c r="A6637" t="str">
        <f>"0230179 "</f>
        <v xml:space="preserve">0230179 </v>
      </c>
      <c r="B6637" t="s">
        <v>21727</v>
      </c>
      <c r="C6637" t="s">
        <v>22228</v>
      </c>
      <c r="D6637" t="s">
        <v>22229</v>
      </c>
      <c r="E6637">
        <v>4</v>
      </c>
      <c r="F6637" t="s">
        <v>22211</v>
      </c>
      <c r="G6637" t="s">
        <v>21730</v>
      </c>
      <c r="H6637" t="s">
        <v>22228</v>
      </c>
      <c r="I6637" t="s">
        <v>22230</v>
      </c>
    </row>
    <row r="6638" spans="1:9">
      <c r="A6638" t="str">
        <f>"0230195 "</f>
        <v xml:space="preserve">0230195 </v>
      </c>
      <c r="B6638" t="s">
        <v>21727</v>
      </c>
      <c r="C6638" t="s">
        <v>22231</v>
      </c>
      <c r="D6638" t="s">
        <v>22232</v>
      </c>
      <c r="E6638">
        <v>2</v>
      </c>
      <c r="F6638" t="s">
        <v>22233</v>
      </c>
      <c r="G6638" t="s">
        <v>21730</v>
      </c>
      <c r="H6638" t="s">
        <v>22231</v>
      </c>
      <c r="I6638" t="s">
        <v>5167</v>
      </c>
    </row>
    <row r="6639" spans="1:9">
      <c r="A6639" t="str">
        <f>"0230201 "</f>
        <v xml:space="preserve">0230201 </v>
      </c>
      <c r="B6639" t="s">
        <v>21727</v>
      </c>
      <c r="C6639" t="s">
        <v>22234</v>
      </c>
      <c r="D6639" t="s">
        <v>22235</v>
      </c>
      <c r="E6639">
        <v>2</v>
      </c>
      <c r="F6639" t="s">
        <v>21626</v>
      </c>
      <c r="G6639" t="s">
        <v>21730</v>
      </c>
      <c r="H6639" t="s">
        <v>22234</v>
      </c>
      <c r="I6639" t="s">
        <v>6134</v>
      </c>
    </row>
    <row r="6640" spans="1:9">
      <c r="A6640" t="str">
        <f>"0230209 "</f>
        <v xml:space="preserve">0230209 </v>
      </c>
      <c r="B6640" t="s">
        <v>21727</v>
      </c>
      <c r="C6640" t="s">
        <v>22236</v>
      </c>
      <c r="D6640" t="s">
        <v>22237</v>
      </c>
      <c r="E6640">
        <v>2</v>
      </c>
      <c r="F6640" t="s">
        <v>22211</v>
      </c>
      <c r="G6640" t="s">
        <v>21730</v>
      </c>
      <c r="H6640" t="s">
        <v>22236</v>
      </c>
      <c r="I6640" t="s">
        <v>22238</v>
      </c>
    </row>
    <row r="6641" spans="1:9">
      <c r="A6641" t="str">
        <f>"0230243 "</f>
        <v xml:space="preserve">0230243 </v>
      </c>
      <c r="B6641" t="s">
        <v>21727</v>
      </c>
      <c r="C6641" t="s">
        <v>22239</v>
      </c>
      <c r="D6641" t="s">
        <v>22240</v>
      </c>
      <c r="E6641">
        <v>2</v>
      </c>
      <c r="F6641" t="s">
        <v>928</v>
      </c>
      <c r="G6641" t="s">
        <v>21730</v>
      </c>
      <c r="H6641" t="s">
        <v>22239</v>
      </c>
      <c r="I6641" t="s">
        <v>22241</v>
      </c>
    </row>
    <row r="6642" spans="1:9">
      <c r="A6642" t="str">
        <f>"0230244 "</f>
        <v xml:space="preserve">0230244 </v>
      </c>
      <c r="B6642" t="s">
        <v>21727</v>
      </c>
      <c r="C6642" t="s">
        <v>22242</v>
      </c>
      <c r="D6642" t="s">
        <v>22243</v>
      </c>
      <c r="E6642">
        <v>1</v>
      </c>
      <c r="F6642" t="s">
        <v>22086</v>
      </c>
      <c r="G6642" t="s">
        <v>21730</v>
      </c>
      <c r="H6642" t="s">
        <v>22242</v>
      </c>
      <c r="I6642" t="s">
        <v>22244</v>
      </c>
    </row>
    <row r="6643" spans="1:9">
      <c r="A6643" t="str">
        <f>"0230255 "</f>
        <v xml:space="preserve">0230255 </v>
      </c>
      <c r="B6643" t="s">
        <v>21727</v>
      </c>
      <c r="C6643" t="s">
        <v>22245</v>
      </c>
      <c r="D6643" t="s">
        <v>22246</v>
      </c>
      <c r="E6643">
        <v>1</v>
      </c>
      <c r="F6643" t="s">
        <v>22247</v>
      </c>
      <c r="G6643" t="s">
        <v>21730</v>
      </c>
      <c r="H6643" t="s">
        <v>22245</v>
      </c>
      <c r="I6643" t="s">
        <v>22248</v>
      </c>
    </row>
    <row r="6644" spans="1:9">
      <c r="A6644" t="str">
        <f>"0230281 "</f>
        <v xml:space="preserve">0230281 </v>
      </c>
      <c r="B6644" t="s">
        <v>21727</v>
      </c>
      <c r="C6644" t="s">
        <v>22249</v>
      </c>
      <c r="D6644" t="s">
        <v>22250</v>
      </c>
      <c r="E6644">
        <v>4</v>
      </c>
      <c r="F6644" t="s">
        <v>936</v>
      </c>
      <c r="G6644" t="s">
        <v>21730</v>
      </c>
      <c r="H6644" t="s">
        <v>22249</v>
      </c>
      <c r="I6644" t="s">
        <v>22251</v>
      </c>
    </row>
    <row r="6645" spans="1:9">
      <c r="A6645" t="str">
        <f>"0230284 "</f>
        <v xml:space="preserve">0230284 </v>
      </c>
      <c r="B6645" t="s">
        <v>21727</v>
      </c>
      <c r="C6645" t="s">
        <v>22252</v>
      </c>
      <c r="D6645" t="s">
        <v>22253</v>
      </c>
      <c r="E6645">
        <v>2</v>
      </c>
      <c r="F6645" t="s">
        <v>21970</v>
      </c>
      <c r="G6645" t="s">
        <v>21730</v>
      </c>
      <c r="H6645" t="s">
        <v>22252</v>
      </c>
      <c r="I6645" t="s">
        <v>22254</v>
      </c>
    </row>
    <row r="6646" spans="1:9">
      <c r="A6646" t="str">
        <f>"0230318 "</f>
        <v xml:space="preserve">0230318 </v>
      </c>
      <c r="B6646" t="s">
        <v>21727</v>
      </c>
      <c r="C6646" t="s">
        <v>22255</v>
      </c>
      <c r="D6646" t="s">
        <v>22256</v>
      </c>
      <c r="E6646">
        <v>2</v>
      </c>
      <c r="F6646" t="s">
        <v>22086</v>
      </c>
      <c r="G6646" t="s">
        <v>21730</v>
      </c>
      <c r="H6646" t="s">
        <v>22255</v>
      </c>
      <c r="I6646" t="s">
        <v>22257</v>
      </c>
    </row>
    <row r="6647" spans="1:9">
      <c r="A6647" t="str">
        <f>"0230346 "</f>
        <v xml:space="preserve">0230346 </v>
      </c>
      <c r="B6647" t="s">
        <v>21727</v>
      </c>
      <c r="C6647" t="s">
        <v>22258</v>
      </c>
      <c r="D6647" t="s">
        <v>22259</v>
      </c>
      <c r="E6647">
        <v>1</v>
      </c>
      <c r="F6647" t="s">
        <v>928</v>
      </c>
      <c r="G6647" t="s">
        <v>21730</v>
      </c>
      <c r="H6647" t="s">
        <v>22258</v>
      </c>
      <c r="I6647" t="s">
        <v>22260</v>
      </c>
    </row>
    <row r="6648" spans="1:9">
      <c r="A6648" t="str">
        <f>"0230365 "</f>
        <v xml:space="preserve">0230365 </v>
      </c>
      <c r="B6648" t="s">
        <v>21727</v>
      </c>
      <c r="C6648" t="s">
        <v>22261</v>
      </c>
      <c r="D6648" t="s">
        <v>22262</v>
      </c>
      <c r="E6648">
        <v>2</v>
      </c>
      <c r="F6648" t="s">
        <v>22086</v>
      </c>
      <c r="G6648" t="s">
        <v>21730</v>
      </c>
      <c r="H6648" t="s">
        <v>22261</v>
      </c>
      <c r="I6648" t="s">
        <v>22263</v>
      </c>
    </row>
    <row r="6649" spans="1:9">
      <c r="A6649" t="str">
        <f>"0230377 "</f>
        <v xml:space="preserve">0230377 </v>
      </c>
      <c r="B6649" t="s">
        <v>21727</v>
      </c>
      <c r="C6649" t="s">
        <v>22264</v>
      </c>
      <c r="D6649" t="s">
        <v>22265</v>
      </c>
      <c r="E6649">
        <v>4</v>
      </c>
      <c r="F6649" t="s">
        <v>22266</v>
      </c>
      <c r="G6649" t="s">
        <v>21730</v>
      </c>
      <c r="H6649" t="s">
        <v>22264</v>
      </c>
      <c r="I6649" t="s">
        <v>5707</v>
      </c>
    </row>
    <row r="6650" spans="1:9">
      <c r="A6650" t="str">
        <f>"0230380 "</f>
        <v xml:space="preserve">0230380 </v>
      </c>
      <c r="B6650" t="s">
        <v>21727</v>
      </c>
      <c r="C6650" t="s">
        <v>22267</v>
      </c>
      <c r="D6650" t="s">
        <v>22268</v>
      </c>
      <c r="E6650">
        <v>2</v>
      </c>
      <c r="F6650" t="s">
        <v>928</v>
      </c>
      <c r="G6650" t="s">
        <v>21730</v>
      </c>
      <c r="H6650" t="s">
        <v>22267</v>
      </c>
      <c r="I6650" t="s">
        <v>6456</v>
      </c>
    </row>
    <row r="6651" spans="1:9">
      <c r="A6651" t="str">
        <f>"0230381 "</f>
        <v xml:space="preserve">0230381 </v>
      </c>
      <c r="B6651" t="s">
        <v>21727</v>
      </c>
      <c r="C6651" t="s">
        <v>22269</v>
      </c>
      <c r="D6651" t="s">
        <v>22270</v>
      </c>
      <c r="E6651">
        <v>2</v>
      </c>
      <c r="F6651" t="s">
        <v>928</v>
      </c>
      <c r="G6651" t="s">
        <v>21730</v>
      </c>
      <c r="H6651" t="s">
        <v>22269</v>
      </c>
      <c r="I6651" t="s">
        <v>22271</v>
      </c>
    </row>
    <row r="6652" spans="1:9">
      <c r="A6652" t="str">
        <f>"0230408 "</f>
        <v xml:space="preserve">0230408 </v>
      </c>
      <c r="B6652" t="s">
        <v>21727</v>
      </c>
      <c r="C6652" t="s">
        <v>22272</v>
      </c>
      <c r="D6652" t="s">
        <v>22273</v>
      </c>
      <c r="E6652">
        <v>4</v>
      </c>
      <c r="F6652" t="s">
        <v>22274</v>
      </c>
      <c r="G6652" t="s">
        <v>21730</v>
      </c>
      <c r="H6652" t="s">
        <v>22272</v>
      </c>
      <c r="I6652" t="s">
        <v>6417</v>
      </c>
    </row>
    <row r="6653" spans="1:9">
      <c r="A6653" t="str">
        <f>"0230409 "</f>
        <v xml:space="preserve">0230409 </v>
      </c>
      <c r="B6653" t="s">
        <v>21727</v>
      </c>
      <c r="C6653" t="s">
        <v>22275</v>
      </c>
      <c r="D6653" t="s">
        <v>22276</v>
      </c>
      <c r="E6653">
        <v>1</v>
      </c>
      <c r="F6653" t="s">
        <v>22277</v>
      </c>
      <c r="G6653" t="s">
        <v>21730</v>
      </c>
      <c r="H6653" t="s">
        <v>22275</v>
      </c>
      <c r="I6653" t="s">
        <v>22278</v>
      </c>
    </row>
    <row r="6654" spans="1:9">
      <c r="A6654" t="str">
        <f>"0230421 "</f>
        <v xml:space="preserve">0230421 </v>
      </c>
      <c r="B6654" t="s">
        <v>21727</v>
      </c>
      <c r="C6654" t="s">
        <v>22279</v>
      </c>
      <c r="D6654" t="s">
        <v>22280</v>
      </c>
      <c r="E6654" t="s">
        <v>16</v>
      </c>
      <c r="F6654" t="s">
        <v>21790</v>
      </c>
      <c r="G6654" t="s">
        <v>21730</v>
      </c>
      <c r="H6654" t="s">
        <v>22279</v>
      </c>
      <c r="I6654" t="s">
        <v>6413</v>
      </c>
    </row>
    <row r="6655" spans="1:9">
      <c r="A6655" t="str">
        <f>"0230422 "</f>
        <v xml:space="preserve">0230422 </v>
      </c>
      <c r="B6655" t="s">
        <v>21727</v>
      </c>
      <c r="C6655" t="s">
        <v>22281</v>
      </c>
      <c r="D6655" t="s">
        <v>22282</v>
      </c>
      <c r="E6655">
        <v>2</v>
      </c>
      <c r="F6655" t="s">
        <v>21773</v>
      </c>
      <c r="G6655" t="s">
        <v>21730</v>
      </c>
      <c r="H6655" t="s">
        <v>22281</v>
      </c>
      <c r="I6655" t="s">
        <v>22283</v>
      </c>
    </row>
    <row r="6656" spans="1:9">
      <c r="A6656" t="str">
        <f>"0230424 "</f>
        <v xml:space="preserve">0230424 </v>
      </c>
      <c r="B6656" t="s">
        <v>21727</v>
      </c>
      <c r="C6656" t="s">
        <v>22284</v>
      </c>
      <c r="D6656" t="s">
        <v>22285</v>
      </c>
      <c r="E6656">
        <v>2</v>
      </c>
      <c r="F6656" t="s">
        <v>22109</v>
      </c>
      <c r="G6656" t="s">
        <v>21730</v>
      </c>
      <c r="H6656" t="s">
        <v>22284</v>
      </c>
      <c r="I6656" t="s">
        <v>22286</v>
      </c>
    </row>
    <row r="6657" spans="1:9">
      <c r="A6657" t="str">
        <f>"0230475 "</f>
        <v xml:space="preserve">0230475 </v>
      </c>
      <c r="B6657" t="s">
        <v>21727</v>
      </c>
      <c r="C6657" t="s">
        <v>22287</v>
      </c>
      <c r="D6657" t="s">
        <v>22288</v>
      </c>
      <c r="E6657">
        <v>1</v>
      </c>
      <c r="F6657" t="s">
        <v>1745</v>
      </c>
      <c r="G6657" t="s">
        <v>21730</v>
      </c>
      <c r="H6657" t="s">
        <v>22287</v>
      </c>
      <c r="I6657" t="s">
        <v>6326</v>
      </c>
    </row>
    <row r="6658" spans="1:9">
      <c r="A6658" t="str">
        <f>"0230505 "</f>
        <v xml:space="preserve">0230505 </v>
      </c>
      <c r="B6658" t="s">
        <v>21727</v>
      </c>
      <c r="C6658" t="s">
        <v>22289</v>
      </c>
      <c r="D6658" t="s">
        <v>22290</v>
      </c>
      <c r="E6658">
        <v>2</v>
      </c>
      <c r="F6658" t="s">
        <v>22291</v>
      </c>
      <c r="G6658" t="s">
        <v>21730</v>
      </c>
      <c r="H6658" t="s">
        <v>22289</v>
      </c>
      <c r="I6658" t="s">
        <v>6027</v>
      </c>
    </row>
    <row r="6659" spans="1:9">
      <c r="A6659" t="str">
        <f>"0230506 "</f>
        <v xml:space="preserve">0230506 </v>
      </c>
      <c r="B6659" t="s">
        <v>21727</v>
      </c>
      <c r="C6659" t="s">
        <v>22292</v>
      </c>
      <c r="D6659" t="s">
        <v>22293</v>
      </c>
      <c r="E6659">
        <v>2</v>
      </c>
      <c r="F6659" t="s">
        <v>22291</v>
      </c>
      <c r="G6659" t="s">
        <v>21730</v>
      </c>
      <c r="H6659" t="s">
        <v>22292</v>
      </c>
      <c r="I6659" t="s">
        <v>22294</v>
      </c>
    </row>
    <row r="6660" spans="1:9">
      <c r="A6660" t="str">
        <f>"0230515 "</f>
        <v xml:space="preserve">0230515 </v>
      </c>
      <c r="B6660" t="s">
        <v>21727</v>
      </c>
      <c r="C6660" t="s">
        <v>22295</v>
      </c>
      <c r="D6660" t="s">
        <v>22296</v>
      </c>
      <c r="E6660">
        <v>4</v>
      </c>
      <c r="F6660" t="s">
        <v>22297</v>
      </c>
      <c r="G6660" t="s">
        <v>21730</v>
      </c>
      <c r="H6660" t="s">
        <v>22295</v>
      </c>
      <c r="I6660" t="s">
        <v>5150</v>
      </c>
    </row>
    <row r="6661" spans="1:9">
      <c r="A6661" t="str">
        <f>"0230529 "</f>
        <v xml:space="preserve">0230529 </v>
      </c>
      <c r="B6661" t="s">
        <v>21727</v>
      </c>
      <c r="C6661" t="s">
        <v>22298</v>
      </c>
      <c r="D6661" t="s">
        <v>22299</v>
      </c>
      <c r="E6661">
        <v>2</v>
      </c>
      <c r="F6661" t="s">
        <v>10278</v>
      </c>
      <c r="G6661" t="s">
        <v>21730</v>
      </c>
      <c r="H6661" t="s">
        <v>22298</v>
      </c>
      <c r="I6661" t="s">
        <v>5354</v>
      </c>
    </row>
    <row r="6662" spans="1:9">
      <c r="A6662" t="str">
        <f>"0230535 "</f>
        <v xml:space="preserve">0230535 </v>
      </c>
      <c r="B6662" t="s">
        <v>21727</v>
      </c>
      <c r="C6662" t="s">
        <v>22300</v>
      </c>
      <c r="D6662" t="s">
        <v>22301</v>
      </c>
      <c r="E6662">
        <v>1</v>
      </c>
      <c r="F6662" t="s">
        <v>21957</v>
      </c>
      <c r="G6662" t="s">
        <v>21730</v>
      </c>
      <c r="H6662" t="s">
        <v>22300</v>
      </c>
      <c r="I6662" t="s">
        <v>5651</v>
      </c>
    </row>
    <row r="6663" spans="1:9">
      <c r="A6663" t="str">
        <f>"0230537 "</f>
        <v xml:space="preserve">0230537 </v>
      </c>
      <c r="B6663" t="s">
        <v>21727</v>
      </c>
      <c r="C6663" t="s">
        <v>22302</v>
      </c>
      <c r="D6663" t="s">
        <v>22303</v>
      </c>
      <c r="E6663">
        <v>4</v>
      </c>
      <c r="F6663" t="s">
        <v>21790</v>
      </c>
      <c r="G6663" t="s">
        <v>21730</v>
      </c>
      <c r="H6663" t="s">
        <v>22302</v>
      </c>
      <c r="I6663" t="s">
        <v>6417</v>
      </c>
    </row>
    <row r="6664" spans="1:9">
      <c r="A6664" t="str">
        <f>"0230538 "</f>
        <v xml:space="preserve">0230538 </v>
      </c>
      <c r="B6664" t="s">
        <v>21727</v>
      </c>
      <c r="C6664" t="s">
        <v>22304</v>
      </c>
      <c r="D6664" t="s">
        <v>22305</v>
      </c>
      <c r="E6664">
        <v>5</v>
      </c>
      <c r="F6664" t="s">
        <v>1075</v>
      </c>
      <c r="G6664" t="s">
        <v>21730</v>
      </c>
      <c r="H6664" t="s">
        <v>22304</v>
      </c>
      <c r="I6664" t="s">
        <v>22306</v>
      </c>
    </row>
    <row r="6665" spans="1:9">
      <c r="A6665" t="str">
        <f>"0230547 "</f>
        <v xml:space="preserve">0230547 </v>
      </c>
      <c r="B6665" t="s">
        <v>21727</v>
      </c>
      <c r="C6665" t="s">
        <v>22307</v>
      </c>
      <c r="D6665" t="s">
        <v>22308</v>
      </c>
      <c r="E6665">
        <v>1</v>
      </c>
      <c r="F6665" t="s">
        <v>22309</v>
      </c>
      <c r="G6665" t="s">
        <v>21730</v>
      </c>
      <c r="H6665" t="s">
        <v>22307</v>
      </c>
      <c r="I6665" t="s">
        <v>5554</v>
      </c>
    </row>
    <row r="6666" spans="1:9">
      <c r="A6666" t="str">
        <f>"0230548 "</f>
        <v xml:space="preserve">0230548 </v>
      </c>
      <c r="B6666" t="s">
        <v>21727</v>
      </c>
      <c r="C6666" t="s">
        <v>22310</v>
      </c>
      <c r="D6666" t="s">
        <v>22311</v>
      </c>
      <c r="E6666">
        <v>2</v>
      </c>
      <c r="F6666" t="s">
        <v>22312</v>
      </c>
      <c r="G6666" t="s">
        <v>21730</v>
      </c>
      <c r="H6666" t="s">
        <v>22310</v>
      </c>
      <c r="I6666" t="s">
        <v>5558</v>
      </c>
    </row>
    <row r="6667" spans="1:9">
      <c r="A6667" t="str">
        <f>"0230549 "</f>
        <v xml:space="preserve">0230549 </v>
      </c>
      <c r="B6667" t="s">
        <v>21727</v>
      </c>
      <c r="C6667" t="s">
        <v>22313</v>
      </c>
      <c r="D6667" t="s">
        <v>22314</v>
      </c>
      <c r="E6667">
        <v>1</v>
      </c>
      <c r="F6667" t="s">
        <v>22315</v>
      </c>
      <c r="G6667" t="s">
        <v>21730</v>
      </c>
      <c r="H6667" t="s">
        <v>22313</v>
      </c>
      <c r="I6667" t="s">
        <v>5122</v>
      </c>
    </row>
    <row r="6668" spans="1:9">
      <c r="A6668" t="str">
        <f>"0230554 "</f>
        <v xml:space="preserve">0230554 </v>
      </c>
      <c r="B6668" t="s">
        <v>21727</v>
      </c>
      <c r="C6668" t="s">
        <v>22316</v>
      </c>
      <c r="D6668" t="s">
        <v>22317</v>
      </c>
      <c r="E6668">
        <v>2</v>
      </c>
      <c r="F6668" t="s">
        <v>22318</v>
      </c>
      <c r="G6668" t="s">
        <v>21730</v>
      </c>
      <c r="H6668" t="s">
        <v>22316</v>
      </c>
      <c r="I6668" t="s">
        <v>5704</v>
      </c>
    </row>
    <row r="6669" spans="1:9">
      <c r="A6669" t="str">
        <f>"0230558 "</f>
        <v xml:space="preserve">0230558 </v>
      </c>
      <c r="B6669" t="s">
        <v>21727</v>
      </c>
      <c r="C6669" t="s">
        <v>22319</v>
      </c>
      <c r="D6669" t="s">
        <v>22320</v>
      </c>
      <c r="E6669">
        <v>2</v>
      </c>
      <c r="F6669" t="s">
        <v>21790</v>
      </c>
      <c r="G6669" t="s">
        <v>21730</v>
      </c>
      <c r="H6669" t="s">
        <v>22319</v>
      </c>
      <c r="I6669" t="s">
        <v>5030</v>
      </c>
    </row>
    <row r="6670" spans="1:9">
      <c r="A6670" t="str">
        <f>"0230588 "</f>
        <v xml:space="preserve">0230588 </v>
      </c>
      <c r="B6670" t="s">
        <v>21727</v>
      </c>
      <c r="C6670" t="s">
        <v>22321</v>
      </c>
      <c r="D6670" t="s">
        <v>22322</v>
      </c>
      <c r="E6670">
        <v>2</v>
      </c>
      <c r="F6670" t="s">
        <v>21997</v>
      </c>
      <c r="G6670" t="s">
        <v>21730</v>
      </c>
      <c r="H6670" t="s">
        <v>22321</v>
      </c>
      <c r="I6670" t="s">
        <v>5128</v>
      </c>
    </row>
    <row r="6671" spans="1:9">
      <c r="A6671" t="str">
        <f>"0230593 "</f>
        <v xml:space="preserve">0230593 </v>
      </c>
      <c r="B6671" t="s">
        <v>21727</v>
      </c>
      <c r="C6671" t="s">
        <v>22323</v>
      </c>
      <c r="D6671" t="s">
        <v>22324</v>
      </c>
      <c r="E6671">
        <v>3</v>
      </c>
      <c r="F6671" t="s">
        <v>21957</v>
      </c>
      <c r="G6671" t="s">
        <v>21730</v>
      </c>
      <c r="H6671" t="s">
        <v>22323</v>
      </c>
      <c r="I6671" t="s">
        <v>22325</v>
      </c>
    </row>
    <row r="6672" spans="1:9">
      <c r="A6672" t="str">
        <f>"0230601 "</f>
        <v xml:space="preserve">0230601 </v>
      </c>
      <c r="B6672" t="s">
        <v>21727</v>
      </c>
      <c r="C6672" t="s">
        <v>22326</v>
      </c>
      <c r="D6672" t="s">
        <v>22327</v>
      </c>
      <c r="E6672">
        <v>1</v>
      </c>
      <c r="F6672" t="s">
        <v>22086</v>
      </c>
      <c r="G6672" t="s">
        <v>21730</v>
      </c>
      <c r="H6672" t="s">
        <v>22326</v>
      </c>
      <c r="I6672" t="s">
        <v>6813</v>
      </c>
    </row>
    <row r="6673" spans="1:9">
      <c r="A6673" t="str">
        <f>"0230631 "</f>
        <v xml:space="preserve">0230631 </v>
      </c>
      <c r="B6673" t="s">
        <v>21727</v>
      </c>
      <c r="C6673" t="s">
        <v>22328</v>
      </c>
      <c r="D6673" t="s">
        <v>22329</v>
      </c>
      <c r="E6673">
        <v>4</v>
      </c>
      <c r="F6673" t="s">
        <v>22330</v>
      </c>
      <c r="G6673" t="s">
        <v>21730</v>
      </c>
      <c r="H6673" t="s">
        <v>22328</v>
      </c>
      <c r="I6673" t="s">
        <v>6902</v>
      </c>
    </row>
    <row r="6674" spans="1:9">
      <c r="A6674" t="str">
        <f>"0230635 "</f>
        <v xml:space="preserve">0230635 </v>
      </c>
      <c r="B6674" t="s">
        <v>21727</v>
      </c>
      <c r="C6674" t="s">
        <v>22331</v>
      </c>
      <c r="D6674" t="s">
        <v>22332</v>
      </c>
      <c r="E6674">
        <v>1</v>
      </c>
      <c r="F6674" t="s">
        <v>22333</v>
      </c>
      <c r="G6674" t="s">
        <v>21730</v>
      </c>
      <c r="H6674" t="s">
        <v>22331</v>
      </c>
      <c r="I6674" t="s">
        <v>22334</v>
      </c>
    </row>
    <row r="6675" spans="1:9">
      <c r="A6675" t="str">
        <f>"0230645 "</f>
        <v xml:space="preserve">0230645 </v>
      </c>
      <c r="B6675" t="s">
        <v>21727</v>
      </c>
      <c r="C6675" t="s">
        <v>22335</v>
      </c>
      <c r="D6675" t="s">
        <v>22336</v>
      </c>
      <c r="E6675">
        <v>4</v>
      </c>
      <c r="F6675" t="s">
        <v>22139</v>
      </c>
      <c r="G6675" t="s">
        <v>21730</v>
      </c>
      <c r="H6675" t="s">
        <v>22335</v>
      </c>
      <c r="I6675" t="s">
        <v>6333</v>
      </c>
    </row>
    <row r="6676" spans="1:9">
      <c r="A6676" t="str">
        <f>"0230648 "</f>
        <v xml:space="preserve">0230648 </v>
      </c>
      <c r="B6676" t="s">
        <v>21727</v>
      </c>
      <c r="C6676" t="s">
        <v>22337</v>
      </c>
      <c r="D6676" t="s">
        <v>22338</v>
      </c>
      <c r="E6676">
        <v>1</v>
      </c>
      <c r="F6676" t="s">
        <v>22339</v>
      </c>
      <c r="G6676" t="s">
        <v>21730</v>
      </c>
      <c r="H6676" t="s">
        <v>22337</v>
      </c>
      <c r="I6676" t="s">
        <v>22340</v>
      </c>
    </row>
    <row r="6677" spans="1:9">
      <c r="A6677" t="str">
        <f>"0230655 "</f>
        <v xml:space="preserve">0230655 </v>
      </c>
      <c r="B6677" t="s">
        <v>21727</v>
      </c>
      <c r="C6677" t="s">
        <v>22341</v>
      </c>
      <c r="D6677" t="s">
        <v>22342</v>
      </c>
      <c r="E6677">
        <v>1</v>
      </c>
      <c r="F6677" t="s">
        <v>22006</v>
      </c>
      <c r="G6677" t="s">
        <v>21730</v>
      </c>
      <c r="H6677" t="s">
        <v>22341</v>
      </c>
      <c r="I6677" t="s">
        <v>22343</v>
      </c>
    </row>
    <row r="6678" spans="1:9">
      <c r="A6678" t="str">
        <f>"0230671 "</f>
        <v xml:space="preserve">0230671 </v>
      </c>
      <c r="B6678" t="s">
        <v>21727</v>
      </c>
      <c r="C6678" t="s">
        <v>22344</v>
      </c>
      <c r="D6678" t="s">
        <v>22345</v>
      </c>
      <c r="E6678">
        <v>2</v>
      </c>
      <c r="F6678" t="s">
        <v>928</v>
      </c>
      <c r="G6678" t="s">
        <v>21730</v>
      </c>
      <c r="H6678" t="s">
        <v>22344</v>
      </c>
      <c r="I6678" t="s">
        <v>15060</v>
      </c>
    </row>
    <row r="6679" spans="1:9">
      <c r="A6679" t="str">
        <f>"0230672 "</f>
        <v xml:space="preserve">0230672 </v>
      </c>
      <c r="B6679" t="s">
        <v>21727</v>
      </c>
      <c r="C6679" t="s">
        <v>22346</v>
      </c>
      <c r="D6679" t="s">
        <v>22347</v>
      </c>
      <c r="E6679">
        <v>2</v>
      </c>
      <c r="F6679" t="s">
        <v>884</v>
      </c>
      <c r="G6679" t="s">
        <v>21730</v>
      </c>
      <c r="H6679" t="s">
        <v>22346</v>
      </c>
      <c r="I6679" t="s">
        <v>22348</v>
      </c>
    </row>
    <row r="6680" spans="1:9">
      <c r="A6680" t="str">
        <f>"0230673 "</f>
        <v xml:space="preserve">0230673 </v>
      </c>
      <c r="B6680" t="s">
        <v>21727</v>
      </c>
      <c r="C6680" t="s">
        <v>22349</v>
      </c>
      <c r="D6680" t="s">
        <v>22350</v>
      </c>
      <c r="E6680">
        <v>4</v>
      </c>
      <c r="F6680" t="s">
        <v>21790</v>
      </c>
      <c r="G6680" t="s">
        <v>21730</v>
      </c>
      <c r="H6680" t="s">
        <v>22349</v>
      </c>
      <c r="I6680" t="s">
        <v>6308</v>
      </c>
    </row>
    <row r="6681" spans="1:9">
      <c r="A6681" t="str">
        <f>"0230688 "</f>
        <v xml:space="preserve">0230688 </v>
      </c>
      <c r="B6681" t="s">
        <v>21727</v>
      </c>
      <c r="C6681" t="s">
        <v>22351</v>
      </c>
      <c r="D6681" t="s">
        <v>22352</v>
      </c>
      <c r="E6681">
        <v>1</v>
      </c>
      <c r="F6681" t="s">
        <v>21951</v>
      </c>
      <c r="G6681" t="s">
        <v>21730</v>
      </c>
      <c r="H6681" t="s">
        <v>22351</v>
      </c>
      <c r="I6681" t="s">
        <v>5291</v>
      </c>
    </row>
    <row r="6682" spans="1:9">
      <c r="A6682" t="str">
        <f>"0230729 "</f>
        <v xml:space="preserve">0230729 </v>
      </c>
      <c r="B6682" t="s">
        <v>21727</v>
      </c>
      <c r="C6682" t="s">
        <v>22353</v>
      </c>
      <c r="D6682" t="s">
        <v>22354</v>
      </c>
      <c r="E6682" t="s">
        <v>16</v>
      </c>
      <c r="F6682" t="s">
        <v>22109</v>
      </c>
      <c r="G6682" t="s">
        <v>21730</v>
      </c>
      <c r="H6682" t="s">
        <v>22353</v>
      </c>
      <c r="I6682" t="s">
        <v>5636</v>
      </c>
    </row>
    <row r="6683" spans="1:9">
      <c r="A6683" t="str">
        <f>"0230769 "</f>
        <v xml:space="preserve">0230769 </v>
      </c>
      <c r="B6683" t="s">
        <v>21727</v>
      </c>
      <c r="C6683" t="s">
        <v>22355</v>
      </c>
      <c r="D6683" t="s">
        <v>22356</v>
      </c>
      <c r="E6683">
        <v>1</v>
      </c>
      <c r="F6683" t="s">
        <v>10328</v>
      </c>
      <c r="G6683" t="s">
        <v>21730</v>
      </c>
      <c r="H6683" t="s">
        <v>22355</v>
      </c>
      <c r="I6683" t="s">
        <v>5153</v>
      </c>
    </row>
    <row r="6684" spans="1:9">
      <c r="A6684" t="str">
        <f>"0230783 "</f>
        <v xml:space="preserve">0230783 </v>
      </c>
      <c r="B6684" t="s">
        <v>21727</v>
      </c>
      <c r="C6684" t="s">
        <v>22357</v>
      </c>
      <c r="D6684" t="s">
        <v>22358</v>
      </c>
      <c r="E6684">
        <v>1</v>
      </c>
      <c r="F6684" t="s">
        <v>850</v>
      </c>
      <c r="G6684" t="s">
        <v>21730</v>
      </c>
      <c r="H6684" t="s">
        <v>22357</v>
      </c>
      <c r="I6684" t="s">
        <v>22359</v>
      </c>
    </row>
    <row r="6685" spans="1:9">
      <c r="A6685" t="str">
        <f>"0230784 "</f>
        <v xml:space="preserve">0230784 </v>
      </c>
      <c r="B6685" t="s">
        <v>21727</v>
      </c>
      <c r="C6685" t="s">
        <v>22360</v>
      </c>
      <c r="D6685" t="s">
        <v>22361</v>
      </c>
      <c r="E6685">
        <v>1</v>
      </c>
      <c r="F6685" t="s">
        <v>21957</v>
      </c>
      <c r="G6685" t="s">
        <v>21730</v>
      </c>
      <c r="H6685" t="s">
        <v>22360</v>
      </c>
      <c r="I6685" t="s">
        <v>5639</v>
      </c>
    </row>
    <row r="6686" spans="1:9">
      <c r="A6686" t="str">
        <f>"0230799 "</f>
        <v xml:space="preserve">0230799 </v>
      </c>
      <c r="B6686" t="s">
        <v>21727</v>
      </c>
      <c r="C6686" t="s">
        <v>22362</v>
      </c>
      <c r="D6686" t="s">
        <v>22363</v>
      </c>
      <c r="E6686">
        <v>2</v>
      </c>
      <c r="F6686" t="s">
        <v>884</v>
      </c>
      <c r="G6686" t="s">
        <v>21730</v>
      </c>
      <c r="H6686" t="s">
        <v>22362</v>
      </c>
      <c r="I6686" t="s">
        <v>22364</v>
      </c>
    </row>
    <row r="6687" spans="1:9">
      <c r="A6687" t="str">
        <f>"0230802 "</f>
        <v xml:space="preserve">0230802 </v>
      </c>
      <c r="B6687" t="s">
        <v>21727</v>
      </c>
      <c r="C6687" t="s">
        <v>22365</v>
      </c>
      <c r="D6687" t="s">
        <v>22366</v>
      </c>
      <c r="E6687">
        <v>2</v>
      </c>
      <c r="F6687" t="s">
        <v>22367</v>
      </c>
      <c r="G6687" t="s">
        <v>21730</v>
      </c>
      <c r="H6687" t="s">
        <v>22365</v>
      </c>
      <c r="I6687" t="s">
        <v>5704</v>
      </c>
    </row>
    <row r="6688" spans="1:9">
      <c r="A6688" t="str">
        <f>"0230804 "</f>
        <v xml:space="preserve">0230804 </v>
      </c>
      <c r="B6688" t="s">
        <v>21727</v>
      </c>
      <c r="C6688" t="s">
        <v>22368</v>
      </c>
      <c r="D6688" t="s">
        <v>22369</v>
      </c>
      <c r="E6688">
        <v>1</v>
      </c>
      <c r="F6688" t="s">
        <v>718</v>
      </c>
      <c r="G6688" t="s">
        <v>21730</v>
      </c>
      <c r="H6688" t="s">
        <v>22368</v>
      </c>
      <c r="I6688" t="s">
        <v>5118</v>
      </c>
    </row>
    <row r="6689" spans="1:9">
      <c r="A6689" t="str">
        <f>"0230823 "</f>
        <v xml:space="preserve">0230823 </v>
      </c>
      <c r="B6689" t="s">
        <v>21727</v>
      </c>
      <c r="C6689" t="s">
        <v>22370</v>
      </c>
      <c r="D6689" t="s">
        <v>22371</v>
      </c>
      <c r="E6689">
        <v>1</v>
      </c>
      <c r="F6689" t="s">
        <v>22372</v>
      </c>
      <c r="G6689" t="s">
        <v>21730</v>
      </c>
      <c r="H6689" t="s">
        <v>22370</v>
      </c>
      <c r="I6689" t="s">
        <v>5816</v>
      </c>
    </row>
    <row r="6690" spans="1:9">
      <c r="A6690" t="str">
        <f>"0230853 "</f>
        <v xml:space="preserve">0230853 </v>
      </c>
      <c r="B6690" t="s">
        <v>21727</v>
      </c>
      <c r="C6690" t="s">
        <v>22373</v>
      </c>
      <c r="D6690" t="s">
        <v>22374</v>
      </c>
      <c r="E6690">
        <v>1</v>
      </c>
      <c r="F6690" t="s">
        <v>6675</v>
      </c>
      <c r="G6690" t="s">
        <v>21730</v>
      </c>
      <c r="H6690" t="s">
        <v>22373</v>
      </c>
      <c r="I6690" t="s">
        <v>22375</v>
      </c>
    </row>
    <row r="6691" spans="1:9">
      <c r="A6691" t="str">
        <f>"0230868 "</f>
        <v xml:space="preserve">0230868 </v>
      </c>
      <c r="B6691" t="s">
        <v>21727</v>
      </c>
      <c r="C6691" t="s">
        <v>22376</v>
      </c>
      <c r="D6691" t="s">
        <v>22377</v>
      </c>
      <c r="E6691">
        <v>2</v>
      </c>
      <c r="F6691" t="s">
        <v>22378</v>
      </c>
      <c r="G6691" t="s">
        <v>21730</v>
      </c>
      <c r="H6691" t="s">
        <v>22376</v>
      </c>
      <c r="I6691" t="s">
        <v>22379</v>
      </c>
    </row>
    <row r="6692" spans="1:9">
      <c r="A6692" t="str">
        <f>"0230870 "</f>
        <v xml:space="preserve">0230870 </v>
      </c>
      <c r="B6692" t="s">
        <v>21727</v>
      </c>
      <c r="C6692" t="s">
        <v>22380</v>
      </c>
      <c r="D6692" t="s">
        <v>22381</v>
      </c>
      <c r="E6692">
        <v>1</v>
      </c>
      <c r="F6692" t="s">
        <v>21970</v>
      </c>
      <c r="G6692" t="s">
        <v>21730</v>
      </c>
      <c r="H6692" t="s">
        <v>22380</v>
      </c>
      <c r="I6692" t="s">
        <v>22382</v>
      </c>
    </row>
    <row r="6693" spans="1:9">
      <c r="A6693" t="str">
        <f>"0230871 "</f>
        <v xml:space="preserve">0230871 </v>
      </c>
      <c r="B6693" t="s">
        <v>21727</v>
      </c>
      <c r="C6693" t="s">
        <v>22383</v>
      </c>
      <c r="D6693" t="s">
        <v>22384</v>
      </c>
      <c r="E6693">
        <v>1</v>
      </c>
      <c r="F6693" t="s">
        <v>22266</v>
      </c>
      <c r="G6693" t="s">
        <v>21730</v>
      </c>
      <c r="H6693" t="s">
        <v>22383</v>
      </c>
      <c r="I6693" t="s">
        <v>6832</v>
      </c>
    </row>
    <row r="6694" spans="1:9">
      <c r="A6694" t="str">
        <f>"0230892 "</f>
        <v xml:space="preserve">0230892 </v>
      </c>
      <c r="B6694" t="s">
        <v>21727</v>
      </c>
      <c r="C6694" t="s">
        <v>22385</v>
      </c>
      <c r="D6694" t="s">
        <v>22386</v>
      </c>
      <c r="E6694">
        <v>2</v>
      </c>
      <c r="F6694" t="s">
        <v>22387</v>
      </c>
      <c r="G6694" t="s">
        <v>21730</v>
      </c>
      <c r="H6694" t="s">
        <v>22385</v>
      </c>
      <c r="I6694" t="s">
        <v>22388</v>
      </c>
    </row>
    <row r="6695" spans="1:9">
      <c r="A6695" t="str">
        <f>"0230901 "</f>
        <v xml:space="preserve">0230901 </v>
      </c>
      <c r="B6695" t="s">
        <v>21727</v>
      </c>
      <c r="C6695" t="s">
        <v>22389</v>
      </c>
      <c r="D6695" t="s">
        <v>22390</v>
      </c>
      <c r="E6695">
        <v>4</v>
      </c>
      <c r="F6695" t="s">
        <v>21790</v>
      </c>
      <c r="G6695" t="s">
        <v>21730</v>
      </c>
      <c r="H6695" t="s">
        <v>22389</v>
      </c>
      <c r="I6695" t="s">
        <v>6330</v>
      </c>
    </row>
    <row r="6696" spans="1:9">
      <c r="A6696" t="str">
        <f>"0230904 "</f>
        <v xml:space="preserve">0230904 </v>
      </c>
      <c r="B6696" t="s">
        <v>21727</v>
      </c>
      <c r="C6696" t="s">
        <v>22391</v>
      </c>
      <c r="D6696" t="s">
        <v>22392</v>
      </c>
      <c r="E6696">
        <v>1</v>
      </c>
      <c r="F6696" t="s">
        <v>22339</v>
      </c>
      <c r="G6696" t="s">
        <v>21730</v>
      </c>
      <c r="H6696" t="s">
        <v>22391</v>
      </c>
      <c r="I6696" t="s">
        <v>22393</v>
      </c>
    </row>
    <row r="6697" spans="1:9">
      <c r="A6697" t="str">
        <f>"0230908 "</f>
        <v xml:space="preserve">0230908 </v>
      </c>
      <c r="B6697" t="s">
        <v>21727</v>
      </c>
      <c r="C6697" t="s">
        <v>22394</v>
      </c>
      <c r="D6697" t="s">
        <v>22395</v>
      </c>
      <c r="E6697">
        <v>1</v>
      </c>
      <c r="F6697" t="s">
        <v>22006</v>
      </c>
      <c r="G6697" t="s">
        <v>21730</v>
      </c>
      <c r="H6697" t="s">
        <v>22394</v>
      </c>
      <c r="I6697" t="s">
        <v>22396</v>
      </c>
    </row>
    <row r="6698" spans="1:9">
      <c r="A6698" t="str">
        <f>"0230914 "</f>
        <v xml:space="preserve">0230914 </v>
      </c>
      <c r="B6698" t="s">
        <v>21727</v>
      </c>
      <c r="C6698" t="s">
        <v>22397</v>
      </c>
      <c r="D6698" t="s">
        <v>22398</v>
      </c>
      <c r="E6698" t="s">
        <v>16</v>
      </c>
      <c r="F6698" t="s">
        <v>21790</v>
      </c>
      <c r="G6698" t="s">
        <v>21730</v>
      </c>
      <c r="H6698" t="s">
        <v>22397</v>
      </c>
      <c r="I6698" t="s">
        <v>22399</v>
      </c>
    </row>
    <row r="6699" spans="1:9">
      <c r="A6699" t="str">
        <f>"0230921 "</f>
        <v xml:space="preserve">0230921 </v>
      </c>
      <c r="B6699" t="s">
        <v>21727</v>
      </c>
      <c r="C6699" t="s">
        <v>22400</v>
      </c>
      <c r="D6699" t="s">
        <v>22401</v>
      </c>
      <c r="E6699">
        <v>1</v>
      </c>
      <c r="F6699" t="s">
        <v>22109</v>
      </c>
      <c r="G6699" t="s">
        <v>21730</v>
      </c>
      <c r="H6699" t="s">
        <v>22400</v>
      </c>
      <c r="I6699" t="s">
        <v>22402</v>
      </c>
    </row>
    <row r="6700" spans="1:9">
      <c r="A6700" t="str">
        <f>"0230964 "</f>
        <v xml:space="preserve">0230964 </v>
      </c>
      <c r="B6700" t="s">
        <v>21727</v>
      </c>
      <c r="C6700" t="s">
        <v>22403</v>
      </c>
      <c r="D6700" t="s">
        <v>22404</v>
      </c>
      <c r="E6700">
        <v>1</v>
      </c>
      <c r="F6700" t="s">
        <v>10328</v>
      </c>
      <c r="G6700" t="s">
        <v>21730</v>
      </c>
      <c r="H6700" t="s">
        <v>22403</v>
      </c>
      <c r="I6700" t="s">
        <v>5151</v>
      </c>
    </row>
    <row r="6701" spans="1:9">
      <c r="A6701" t="str">
        <f>"0230969 "</f>
        <v xml:space="preserve">0230969 </v>
      </c>
      <c r="B6701" t="s">
        <v>21727</v>
      </c>
      <c r="C6701" t="s">
        <v>22405</v>
      </c>
      <c r="D6701" t="s">
        <v>22406</v>
      </c>
      <c r="E6701">
        <v>1</v>
      </c>
      <c r="F6701" t="s">
        <v>850</v>
      </c>
      <c r="G6701" t="s">
        <v>21730</v>
      </c>
      <c r="H6701" t="s">
        <v>22405</v>
      </c>
      <c r="I6701" t="s">
        <v>22407</v>
      </c>
    </row>
    <row r="6702" spans="1:9">
      <c r="A6702" t="str">
        <f>"0230992 "</f>
        <v xml:space="preserve">0230992 </v>
      </c>
      <c r="B6702" t="s">
        <v>21727</v>
      </c>
      <c r="C6702" t="s">
        <v>22408</v>
      </c>
      <c r="D6702" t="s">
        <v>22409</v>
      </c>
      <c r="E6702">
        <v>1</v>
      </c>
      <c r="F6702" t="s">
        <v>22372</v>
      </c>
      <c r="G6702" t="s">
        <v>21730</v>
      </c>
      <c r="H6702" t="s">
        <v>22408</v>
      </c>
      <c r="I6702" t="s">
        <v>5813</v>
      </c>
    </row>
    <row r="6703" spans="1:9">
      <c r="A6703" t="str">
        <f>"0231017 "</f>
        <v xml:space="preserve">0231017 </v>
      </c>
      <c r="B6703" t="s">
        <v>21727</v>
      </c>
      <c r="C6703" t="s">
        <v>22410</v>
      </c>
      <c r="D6703" t="s">
        <v>22411</v>
      </c>
      <c r="E6703">
        <v>1</v>
      </c>
      <c r="F6703" t="s">
        <v>21970</v>
      </c>
      <c r="G6703" t="s">
        <v>21730</v>
      </c>
      <c r="H6703" t="s">
        <v>22410</v>
      </c>
      <c r="I6703" t="s">
        <v>22412</v>
      </c>
    </row>
    <row r="6704" spans="1:9">
      <c r="A6704" t="str">
        <f>"0231018 "</f>
        <v xml:space="preserve">0231018 </v>
      </c>
      <c r="B6704" t="s">
        <v>21727</v>
      </c>
      <c r="C6704" t="s">
        <v>22413</v>
      </c>
      <c r="D6704" t="s">
        <v>22414</v>
      </c>
      <c r="E6704">
        <v>1</v>
      </c>
      <c r="F6704" t="s">
        <v>22266</v>
      </c>
      <c r="G6704" t="s">
        <v>21730</v>
      </c>
      <c r="H6704" t="s">
        <v>22413</v>
      </c>
      <c r="I6704" t="s">
        <v>6829</v>
      </c>
    </row>
    <row r="6705" spans="1:9">
      <c r="A6705" t="str">
        <f>"0231032 "</f>
        <v xml:space="preserve">0231032 </v>
      </c>
      <c r="B6705" t="s">
        <v>21727</v>
      </c>
      <c r="C6705" t="s">
        <v>22415</v>
      </c>
      <c r="D6705" t="s">
        <v>22416</v>
      </c>
      <c r="E6705">
        <v>1</v>
      </c>
      <c r="F6705" t="s">
        <v>21970</v>
      </c>
      <c r="G6705" t="s">
        <v>21730</v>
      </c>
      <c r="H6705" t="s">
        <v>22415</v>
      </c>
      <c r="I6705" t="s">
        <v>22417</v>
      </c>
    </row>
    <row r="6706" spans="1:9">
      <c r="A6706" t="str">
        <f>"0231079 "</f>
        <v xml:space="preserve">0231079 </v>
      </c>
      <c r="B6706" t="s">
        <v>21727</v>
      </c>
      <c r="C6706" t="s">
        <v>22418</v>
      </c>
      <c r="D6706" t="s">
        <v>22419</v>
      </c>
      <c r="E6706">
        <v>1</v>
      </c>
      <c r="F6706" t="s">
        <v>21997</v>
      </c>
      <c r="G6706" t="s">
        <v>21730</v>
      </c>
      <c r="H6706" t="s">
        <v>22418</v>
      </c>
      <c r="I6706" t="s">
        <v>22420</v>
      </c>
    </row>
    <row r="6707" spans="1:9">
      <c r="A6707" t="str">
        <f>"0231098 "</f>
        <v xml:space="preserve">0231098 </v>
      </c>
      <c r="B6707" t="s">
        <v>21727</v>
      </c>
      <c r="C6707" t="s">
        <v>22421</v>
      </c>
      <c r="D6707" t="s">
        <v>22422</v>
      </c>
      <c r="E6707" t="s">
        <v>16</v>
      </c>
      <c r="F6707" t="s">
        <v>948</v>
      </c>
      <c r="G6707" t="s">
        <v>21730</v>
      </c>
      <c r="H6707" t="s">
        <v>22421</v>
      </c>
      <c r="I6707" t="s">
        <v>5440</v>
      </c>
    </row>
    <row r="6708" spans="1:9">
      <c r="A6708" t="str">
        <f>"0231113 "</f>
        <v xml:space="preserve">0231113 </v>
      </c>
      <c r="B6708" t="s">
        <v>21727</v>
      </c>
      <c r="C6708" t="s">
        <v>22423</v>
      </c>
      <c r="D6708" t="s">
        <v>22424</v>
      </c>
      <c r="E6708">
        <v>3</v>
      </c>
      <c r="F6708" t="s">
        <v>22006</v>
      </c>
      <c r="G6708" t="s">
        <v>21730</v>
      </c>
      <c r="H6708" t="s">
        <v>22423</v>
      </c>
      <c r="I6708" t="s">
        <v>6399</v>
      </c>
    </row>
    <row r="6709" spans="1:9">
      <c r="A6709" t="str">
        <f>"0212254 "</f>
        <v xml:space="preserve">0212254 </v>
      </c>
      <c r="B6709" t="s">
        <v>22425</v>
      </c>
      <c r="D6709" t="s">
        <v>22426</v>
      </c>
      <c r="E6709">
        <v>4</v>
      </c>
      <c r="F6709" t="s">
        <v>22427</v>
      </c>
      <c r="G6709" t="s">
        <v>22425</v>
      </c>
    </row>
    <row r="6710" spans="1:9">
      <c r="A6710" t="str">
        <f>"0211919 "</f>
        <v xml:space="preserve">0211919 </v>
      </c>
      <c r="B6710" t="s">
        <v>22425</v>
      </c>
      <c r="C6710">
        <v>1011</v>
      </c>
      <c r="D6710" t="s">
        <v>22428</v>
      </c>
      <c r="E6710" t="s">
        <v>16</v>
      </c>
      <c r="F6710" t="s">
        <v>22429</v>
      </c>
      <c r="G6710" t="s">
        <v>22425</v>
      </c>
      <c r="H6710">
        <v>1011</v>
      </c>
    </row>
    <row r="6711" spans="1:9">
      <c r="A6711" t="str">
        <f>"0211923 "</f>
        <v xml:space="preserve">0211923 </v>
      </c>
      <c r="B6711" t="s">
        <v>22425</v>
      </c>
      <c r="C6711">
        <v>1024</v>
      </c>
      <c r="D6711" t="s">
        <v>22430</v>
      </c>
      <c r="E6711" t="s">
        <v>16</v>
      </c>
      <c r="F6711" t="s">
        <v>22431</v>
      </c>
      <c r="G6711" t="s">
        <v>22425</v>
      </c>
      <c r="H6711">
        <v>1024</v>
      </c>
    </row>
    <row r="6712" spans="1:9">
      <c r="A6712" t="str">
        <f>"0212058 "</f>
        <v xml:space="preserve">0212058 </v>
      </c>
      <c r="B6712" t="s">
        <v>22425</v>
      </c>
      <c r="C6712">
        <v>1081</v>
      </c>
      <c r="D6712" t="s">
        <v>22432</v>
      </c>
      <c r="E6712" t="s">
        <v>16</v>
      </c>
      <c r="F6712" t="s">
        <v>22433</v>
      </c>
      <c r="G6712" t="s">
        <v>22425</v>
      </c>
      <c r="H6712">
        <v>1081</v>
      </c>
    </row>
    <row r="6713" spans="1:9">
      <c r="A6713" t="str">
        <f>"0212059 "</f>
        <v xml:space="preserve">0212059 </v>
      </c>
      <c r="B6713" t="s">
        <v>22425</v>
      </c>
      <c r="C6713">
        <v>1091</v>
      </c>
      <c r="D6713" t="s">
        <v>22434</v>
      </c>
      <c r="E6713" t="s">
        <v>16</v>
      </c>
      <c r="F6713" t="s">
        <v>22435</v>
      </c>
      <c r="G6713" t="s">
        <v>22425</v>
      </c>
      <c r="H6713">
        <v>1091</v>
      </c>
    </row>
    <row r="6714" spans="1:9">
      <c r="A6714" t="str">
        <f>"0211949 "</f>
        <v xml:space="preserve">0211949 </v>
      </c>
      <c r="B6714" t="s">
        <v>22425</v>
      </c>
      <c r="C6714">
        <v>1141</v>
      </c>
      <c r="D6714" t="s">
        <v>22436</v>
      </c>
      <c r="E6714" t="s">
        <v>16</v>
      </c>
      <c r="F6714" t="s">
        <v>22437</v>
      </c>
      <c r="G6714" t="s">
        <v>22425</v>
      </c>
      <c r="H6714">
        <v>1141</v>
      </c>
    </row>
    <row r="6715" spans="1:9">
      <c r="A6715" t="str">
        <f>"0211948 "</f>
        <v xml:space="preserve">0211948 </v>
      </c>
      <c r="B6715" t="s">
        <v>22425</v>
      </c>
      <c r="C6715">
        <v>1144</v>
      </c>
      <c r="D6715" t="s">
        <v>22438</v>
      </c>
      <c r="E6715">
        <v>3</v>
      </c>
      <c r="F6715" t="s">
        <v>22439</v>
      </c>
      <c r="G6715" t="s">
        <v>22425</v>
      </c>
      <c r="H6715">
        <v>1144</v>
      </c>
    </row>
    <row r="6716" spans="1:9">
      <c r="A6716" t="str">
        <f>"0211944 "</f>
        <v xml:space="preserve">0211944 </v>
      </c>
      <c r="B6716" t="s">
        <v>22425</v>
      </c>
      <c r="C6716">
        <v>1541</v>
      </c>
      <c r="D6716" t="s">
        <v>22440</v>
      </c>
      <c r="E6716" t="s">
        <v>16</v>
      </c>
      <c r="F6716" t="s">
        <v>22441</v>
      </c>
      <c r="G6716" t="s">
        <v>22425</v>
      </c>
      <c r="H6716">
        <v>1541</v>
      </c>
    </row>
    <row r="6717" spans="1:9">
      <c r="A6717" t="str">
        <f>"0211943 "</f>
        <v xml:space="preserve">0211943 </v>
      </c>
      <c r="B6717" t="s">
        <v>22425</v>
      </c>
      <c r="C6717">
        <v>1544</v>
      </c>
      <c r="D6717" t="s">
        <v>22442</v>
      </c>
      <c r="E6717">
        <v>5</v>
      </c>
      <c r="F6717" t="s">
        <v>22443</v>
      </c>
      <c r="G6717" t="s">
        <v>22425</v>
      </c>
      <c r="H6717">
        <v>1544</v>
      </c>
    </row>
    <row r="6718" spans="1:9">
      <c r="A6718" t="str">
        <f>"0211967 "</f>
        <v xml:space="preserve">0211967 </v>
      </c>
      <c r="B6718" t="s">
        <v>22425</v>
      </c>
      <c r="C6718">
        <v>1848</v>
      </c>
      <c r="D6718" t="s">
        <v>22444</v>
      </c>
      <c r="E6718">
        <v>1</v>
      </c>
      <c r="F6718" t="s">
        <v>22445</v>
      </c>
      <c r="G6718" t="s">
        <v>22425</v>
      </c>
      <c r="H6718">
        <v>1848</v>
      </c>
    </row>
    <row r="6719" spans="1:9">
      <c r="A6719" t="str">
        <f>"0211970 "</f>
        <v xml:space="preserve">0211970 </v>
      </c>
      <c r="B6719" t="s">
        <v>22425</v>
      </c>
      <c r="C6719">
        <v>1858</v>
      </c>
      <c r="D6719" t="s">
        <v>22446</v>
      </c>
      <c r="E6719">
        <v>1</v>
      </c>
      <c r="F6719" t="s">
        <v>22447</v>
      </c>
      <c r="G6719" t="s">
        <v>22425</v>
      </c>
      <c r="H6719">
        <v>1858</v>
      </c>
    </row>
    <row r="6720" spans="1:9">
      <c r="A6720" t="str">
        <f>"0211985 "</f>
        <v xml:space="preserve">0211985 </v>
      </c>
      <c r="B6720" t="s">
        <v>22425</v>
      </c>
      <c r="C6720">
        <v>2746</v>
      </c>
      <c r="D6720" t="s">
        <v>22448</v>
      </c>
      <c r="E6720">
        <v>2</v>
      </c>
      <c r="F6720" t="s">
        <v>22449</v>
      </c>
      <c r="G6720" t="s">
        <v>22425</v>
      </c>
      <c r="H6720">
        <v>2746</v>
      </c>
    </row>
    <row r="6721" spans="1:9">
      <c r="A6721" t="str">
        <f>"0211984 "</f>
        <v xml:space="preserve">0211984 </v>
      </c>
      <c r="B6721" t="s">
        <v>22425</v>
      </c>
      <c r="C6721">
        <v>2748</v>
      </c>
      <c r="D6721" t="s">
        <v>22450</v>
      </c>
      <c r="E6721">
        <v>1</v>
      </c>
      <c r="F6721" t="s">
        <v>22451</v>
      </c>
      <c r="G6721" t="s">
        <v>22425</v>
      </c>
      <c r="H6721">
        <v>2748</v>
      </c>
    </row>
    <row r="6722" spans="1:9">
      <c r="A6722" t="str">
        <f>"0212012 "</f>
        <v xml:space="preserve">0212012 </v>
      </c>
      <c r="B6722" t="s">
        <v>22425</v>
      </c>
      <c r="C6722">
        <v>3001</v>
      </c>
      <c r="D6722" t="s">
        <v>22452</v>
      </c>
      <c r="E6722" t="s">
        <v>16</v>
      </c>
      <c r="F6722" t="s">
        <v>22453</v>
      </c>
      <c r="G6722" t="s">
        <v>22425</v>
      </c>
      <c r="H6722">
        <v>3001</v>
      </c>
    </row>
    <row r="6723" spans="1:9">
      <c r="A6723" t="str">
        <f>"0212013 "</f>
        <v xml:space="preserve">0212013 </v>
      </c>
      <c r="B6723" t="s">
        <v>22425</v>
      </c>
      <c r="C6723">
        <v>3241</v>
      </c>
      <c r="D6723" t="s">
        <v>22454</v>
      </c>
      <c r="E6723" t="s">
        <v>16</v>
      </c>
      <c r="F6723" t="s">
        <v>22455</v>
      </c>
      <c r="G6723" t="s">
        <v>22425</v>
      </c>
      <c r="H6723">
        <v>3241</v>
      </c>
    </row>
    <row r="6724" spans="1:9">
      <c r="A6724" t="str">
        <f>"0211931 "</f>
        <v xml:space="preserve">0211931 </v>
      </c>
      <c r="B6724" t="s">
        <v>22425</v>
      </c>
      <c r="C6724">
        <v>4111</v>
      </c>
      <c r="D6724" t="s">
        <v>22456</v>
      </c>
      <c r="E6724" t="s">
        <v>16</v>
      </c>
      <c r="F6724" t="s">
        <v>22457</v>
      </c>
      <c r="G6724" t="s">
        <v>22425</v>
      </c>
      <c r="H6724">
        <v>4111</v>
      </c>
    </row>
    <row r="6725" spans="1:9">
      <c r="A6725" t="str">
        <f>"0211930 "</f>
        <v xml:space="preserve">0211930 </v>
      </c>
      <c r="B6725" t="s">
        <v>22425</v>
      </c>
      <c r="C6725">
        <v>4114</v>
      </c>
      <c r="D6725" t="s">
        <v>22458</v>
      </c>
      <c r="E6725">
        <v>5</v>
      </c>
      <c r="F6725" t="s">
        <v>22459</v>
      </c>
      <c r="G6725" t="s">
        <v>22425</v>
      </c>
      <c r="H6725">
        <v>4114</v>
      </c>
    </row>
    <row r="6726" spans="1:9">
      <c r="A6726" t="str">
        <f>"0212028 "</f>
        <v xml:space="preserve">0212028 </v>
      </c>
      <c r="B6726" t="s">
        <v>22425</v>
      </c>
      <c r="C6726">
        <v>4301</v>
      </c>
      <c r="D6726" t="s">
        <v>22460</v>
      </c>
      <c r="E6726" t="s">
        <v>16</v>
      </c>
      <c r="F6726" t="s">
        <v>22461</v>
      </c>
      <c r="G6726" t="s">
        <v>22425</v>
      </c>
      <c r="H6726">
        <v>4301</v>
      </c>
    </row>
    <row r="6727" spans="1:9">
      <c r="A6727" t="str">
        <f>"0212030 "</f>
        <v xml:space="preserve">0212030 </v>
      </c>
      <c r="B6727" t="s">
        <v>22425</v>
      </c>
      <c r="C6727">
        <v>4311</v>
      </c>
      <c r="D6727" t="s">
        <v>22462</v>
      </c>
      <c r="E6727" t="s">
        <v>16</v>
      </c>
      <c r="F6727" t="s">
        <v>22463</v>
      </c>
      <c r="G6727" t="s">
        <v>22425</v>
      </c>
      <c r="H6727">
        <v>4311</v>
      </c>
    </row>
    <row r="6728" spans="1:9">
      <c r="A6728" t="str">
        <f>"0212041 "</f>
        <v xml:space="preserve">0212041 </v>
      </c>
      <c r="B6728" t="s">
        <v>22425</v>
      </c>
      <c r="C6728">
        <v>4581</v>
      </c>
      <c r="D6728" t="s">
        <v>22464</v>
      </c>
      <c r="E6728" t="s">
        <v>16</v>
      </c>
      <c r="F6728" t="s">
        <v>22465</v>
      </c>
      <c r="G6728" t="s">
        <v>22425</v>
      </c>
      <c r="H6728">
        <v>4581</v>
      </c>
    </row>
    <row r="6729" spans="1:9">
      <c r="A6729" t="str">
        <f>"0212245 "</f>
        <v xml:space="preserve">0212245 </v>
      </c>
      <c r="B6729" t="s">
        <v>22425</v>
      </c>
      <c r="C6729">
        <v>7124</v>
      </c>
      <c r="D6729" t="s">
        <v>22466</v>
      </c>
      <c r="E6729" t="s">
        <v>16</v>
      </c>
      <c r="F6729" t="s">
        <v>22467</v>
      </c>
      <c r="G6729" t="s">
        <v>22425</v>
      </c>
      <c r="H6729">
        <v>7124</v>
      </c>
    </row>
    <row r="6730" spans="1:9">
      <c r="A6730" t="str">
        <f>"0212244 "</f>
        <v xml:space="preserve">0212244 </v>
      </c>
      <c r="B6730" t="s">
        <v>22425</v>
      </c>
      <c r="C6730">
        <v>7131</v>
      </c>
      <c r="D6730" t="s">
        <v>22468</v>
      </c>
      <c r="E6730" t="s">
        <v>16</v>
      </c>
      <c r="F6730" t="s">
        <v>22469</v>
      </c>
      <c r="G6730" t="s">
        <v>22425</v>
      </c>
      <c r="H6730">
        <v>7131</v>
      </c>
    </row>
    <row r="6731" spans="1:9">
      <c r="A6731" t="str">
        <f>"0212246 "</f>
        <v xml:space="preserve">0212246 </v>
      </c>
      <c r="B6731" t="s">
        <v>22425</v>
      </c>
      <c r="C6731">
        <v>7137</v>
      </c>
      <c r="D6731" t="s">
        <v>22470</v>
      </c>
      <c r="E6731">
        <v>1</v>
      </c>
      <c r="F6731" t="s">
        <v>22471</v>
      </c>
      <c r="G6731" t="s">
        <v>22425</v>
      </c>
      <c r="H6731">
        <v>7137</v>
      </c>
    </row>
    <row r="6732" spans="1:9">
      <c r="A6732" t="str">
        <f>"0212238 "</f>
        <v xml:space="preserve">0212238 </v>
      </c>
      <c r="B6732" t="s">
        <v>22425</v>
      </c>
      <c r="C6732">
        <v>7201</v>
      </c>
      <c r="D6732" t="s">
        <v>22472</v>
      </c>
      <c r="E6732" t="s">
        <v>16</v>
      </c>
      <c r="F6732" t="s">
        <v>22473</v>
      </c>
      <c r="G6732" t="s">
        <v>22425</v>
      </c>
      <c r="H6732">
        <v>7201</v>
      </c>
    </row>
    <row r="6733" spans="1:9">
      <c r="A6733" t="str">
        <f>"0212223 "</f>
        <v xml:space="preserve">0212223 </v>
      </c>
      <c r="B6733" t="s">
        <v>22425</v>
      </c>
      <c r="C6733">
        <v>9401</v>
      </c>
      <c r="D6733" t="s">
        <v>22474</v>
      </c>
      <c r="E6733" t="s">
        <v>16</v>
      </c>
      <c r="F6733" t="s">
        <v>22475</v>
      </c>
      <c r="G6733" t="s">
        <v>22425</v>
      </c>
      <c r="H6733">
        <v>9401</v>
      </c>
    </row>
    <row r="6734" spans="1:9">
      <c r="A6734" t="str">
        <f>"0212233 "</f>
        <v xml:space="preserve">0212233 </v>
      </c>
      <c r="B6734" t="s">
        <v>22425</v>
      </c>
      <c r="C6734">
        <v>9801</v>
      </c>
      <c r="D6734" t="s">
        <v>22476</v>
      </c>
      <c r="E6734" t="s">
        <v>16</v>
      </c>
      <c r="F6734" t="s">
        <v>22477</v>
      </c>
      <c r="G6734" t="s">
        <v>22425</v>
      </c>
      <c r="H6734">
        <v>9801</v>
      </c>
    </row>
    <row r="6735" spans="1:9">
      <c r="A6735" t="str">
        <f>"0199200 "</f>
        <v xml:space="preserve">0199200 </v>
      </c>
      <c r="B6735" t="s">
        <v>22478</v>
      </c>
      <c r="C6735" t="s">
        <v>22479</v>
      </c>
      <c r="D6735" t="s">
        <v>22480</v>
      </c>
      <c r="E6735">
        <v>1</v>
      </c>
      <c r="F6735" t="s">
        <v>3776</v>
      </c>
      <c r="G6735" t="s">
        <v>22478</v>
      </c>
      <c r="H6735" t="s">
        <v>22479</v>
      </c>
      <c r="I6735" t="s">
        <v>855</v>
      </c>
    </row>
    <row r="6736" spans="1:9">
      <c r="A6736" t="str">
        <f>"0199203 "</f>
        <v xml:space="preserve">0199203 </v>
      </c>
      <c r="B6736" t="s">
        <v>22478</v>
      </c>
      <c r="C6736" t="s">
        <v>22481</v>
      </c>
      <c r="D6736" t="s">
        <v>22482</v>
      </c>
      <c r="E6736">
        <v>1</v>
      </c>
      <c r="F6736" t="s">
        <v>22483</v>
      </c>
      <c r="G6736" t="s">
        <v>22478</v>
      </c>
      <c r="H6736" t="s">
        <v>22481</v>
      </c>
      <c r="I6736" t="s">
        <v>22484</v>
      </c>
    </row>
    <row r="6737" spans="1:9">
      <c r="A6737" t="str">
        <f>"0199209 "</f>
        <v xml:space="preserve">0199209 </v>
      </c>
      <c r="B6737" t="s">
        <v>22478</v>
      </c>
      <c r="C6737" t="s">
        <v>22485</v>
      </c>
      <c r="D6737" t="s">
        <v>22486</v>
      </c>
      <c r="E6737">
        <v>2</v>
      </c>
      <c r="F6737" t="s">
        <v>22487</v>
      </c>
      <c r="G6737" t="s">
        <v>22478</v>
      </c>
      <c r="H6737" t="s">
        <v>22485</v>
      </c>
      <c r="I6737" t="s">
        <v>22488</v>
      </c>
    </row>
    <row r="6738" spans="1:9">
      <c r="A6738" t="str">
        <f>"0199215 "</f>
        <v xml:space="preserve">0199215 </v>
      </c>
      <c r="B6738" t="s">
        <v>22478</v>
      </c>
      <c r="C6738" t="s">
        <v>22489</v>
      </c>
      <c r="D6738" t="s">
        <v>22490</v>
      </c>
      <c r="E6738">
        <v>1</v>
      </c>
      <c r="F6738" t="s">
        <v>22491</v>
      </c>
      <c r="G6738" t="s">
        <v>22478</v>
      </c>
      <c r="H6738" t="s">
        <v>22489</v>
      </c>
      <c r="I6738" t="s">
        <v>22492</v>
      </c>
    </row>
    <row r="6739" spans="1:9">
      <c r="A6739" t="str">
        <f>"0199216 "</f>
        <v xml:space="preserve">0199216 </v>
      </c>
      <c r="B6739" t="s">
        <v>22478</v>
      </c>
      <c r="C6739" t="s">
        <v>22493</v>
      </c>
      <c r="D6739" t="s">
        <v>22494</v>
      </c>
      <c r="E6739">
        <v>1</v>
      </c>
      <c r="F6739" t="s">
        <v>22495</v>
      </c>
      <c r="G6739" t="s">
        <v>22478</v>
      </c>
      <c r="H6739" t="s">
        <v>22493</v>
      </c>
      <c r="I6739" t="s">
        <v>22496</v>
      </c>
    </row>
    <row r="6740" spans="1:9">
      <c r="A6740" t="str">
        <f>"0199219 "</f>
        <v xml:space="preserve">0199219 </v>
      </c>
      <c r="B6740" t="s">
        <v>22478</v>
      </c>
      <c r="C6740" t="s">
        <v>22497</v>
      </c>
      <c r="D6740" t="s">
        <v>22498</v>
      </c>
      <c r="E6740">
        <v>2</v>
      </c>
      <c r="F6740" t="s">
        <v>22499</v>
      </c>
      <c r="G6740" t="s">
        <v>22478</v>
      </c>
      <c r="H6740" t="s">
        <v>22497</v>
      </c>
      <c r="I6740" t="s">
        <v>881</v>
      </c>
    </row>
    <row r="6741" spans="1:9">
      <c r="A6741" t="str">
        <f>"0199220 "</f>
        <v xml:space="preserve">0199220 </v>
      </c>
      <c r="B6741" t="s">
        <v>22478</v>
      </c>
      <c r="C6741" t="s">
        <v>22500</v>
      </c>
      <c r="D6741" t="s">
        <v>22501</v>
      </c>
      <c r="E6741">
        <v>2</v>
      </c>
      <c r="F6741" t="s">
        <v>22502</v>
      </c>
      <c r="G6741" t="s">
        <v>22478</v>
      </c>
      <c r="H6741" t="s">
        <v>22500</v>
      </c>
      <c r="I6741" t="s">
        <v>22503</v>
      </c>
    </row>
    <row r="6742" spans="1:9">
      <c r="A6742" t="str">
        <f>"0199223 "</f>
        <v xml:space="preserve">0199223 </v>
      </c>
      <c r="B6742" t="s">
        <v>22478</v>
      </c>
      <c r="C6742" t="s">
        <v>22504</v>
      </c>
      <c r="D6742" t="s">
        <v>22505</v>
      </c>
      <c r="E6742">
        <v>1</v>
      </c>
      <c r="F6742" t="s">
        <v>22506</v>
      </c>
      <c r="G6742" t="s">
        <v>22478</v>
      </c>
      <c r="H6742" t="s">
        <v>22504</v>
      </c>
      <c r="I6742" t="s">
        <v>22507</v>
      </c>
    </row>
    <row r="6743" spans="1:9">
      <c r="A6743" t="str">
        <f>"0199224 "</f>
        <v xml:space="preserve">0199224 </v>
      </c>
      <c r="B6743" t="s">
        <v>22478</v>
      </c>
      <c r="C6743" t="s">
        <v>22508</v>
      </c>
      <c r="D6743" t="s">
        <v>22509</v>
      </c>
      <c r="E6743">
        <v>3</v>
      </c>
      <c r="F6743" t="s">
        <v>11979</v>
      </c>
      <c r="G6743" t="s">
        <v>22478</v>
      </c>
      <c r="H6743" t="s">
        <v>22508</v>
      </c>
      <c r="I6743" t="s">
        <v>22510</v>
      </c>
    </row>
    <row r="6744" spans="1:9">
      <c r="A6744" t="str">
        <f>"0199233 "</f>
        <v xml:space="preserve">0199233 </v>
      </c>
      <c r="B6744" t="s">
        <v>22478</v>
      </c>
      <c r="C6744" t="s">
        <v>22511</v>
      </c>
      <c r="D6744" t="s">
        <v>22512</v>
      </c>
      <c r="E6744">
        <v>1</v>
      </c>
      <c r="F6744" t="s">
        <v>10768</v>
      </c>
      <c r="G6744" t="s">
        <v>22478</v>
      </c>
      <c r="H6744" t="s">
        <v>22511</v>
      </c>
      <c r="I6744" t="s">
        <v>823</v>
      </c>
    </row>
    <row r="6745" spans="1:9">
      <c r="A6745" t="str">
        <f>"0199235 "</f>
        <v xml:space="preserve">0199235 </v>
      </c>
      <c r="B6745" t="s">
        <v>22478</v>
      </c>
      <c r="C6745" t="s">
        <v>22513</v>
      </c>
      <c r="D6745" t="s">
        <v>22514</v>
      </c>
      <c r="E6745">
        <v>3</v>
      </c>
      <c r="F6745" t="s">
        <v>22515</v>
      </c>
      <c r="G6745" t="s">
        <v>22478</v>
      </c>
      <c r="H6745" t="s">
        <v>22513</v>
      </c>
      <c r="I6745" t="s">
        <v>18828</v>
      </c>
    </row>
    <row r="6746" spans="1:9">
      <c r="A6746" t="str">
        <f>"0199240 "</f>
        <v xml:space="preserve">0199240 </v>
      </c>
      <c r="B6746" t="s">
        <v>22478</v>
      </c>
      <c r="C6746" t="s">
        <v>22516</v>
      </c>
      <c r="D6746" t="s">
        <v>22517</v>
      </c>
      <c r="E6746">
        <v>1</v>
      </c>
      <c r="F6746" t="s">
        <v>683</v>
      </c>
      <c r="G6746" t="s">
        <v>22478</v>
      </c>
      <c r="H6746" t="s">
        <v>22516</v>
      </c>
      <c r="I6746" t="s">
        <v>877</v>
      </c>
    </row>
    <row r="6747" spans="1:9">
      <c r="A6747" t="str">
        <f>"0199247 "</f>
        <v xml:space="preserve">0199247 </v>
      </c>
      <c r="B6747" t="s">
        <v>22478</v>
      </c>
      <c r="C6747" t="s">
        <v>22518</v>
      </c>
      <c r="D6747" t="s">
        <v>22519</v>
      </c>
      <c r="E6747">
        <v>2</v>
      </c>
      <c r="F6747" t="s">
        <v>22520</v>
      </c>
      <c r="G6747" t="s">
        <v>22478</v>
      </c>
      <c r="H6747" t="s">
        <v>22518</v>
      </c>
      <c r="I6747" t="s">
        <v>22521</v>
      </c>
    </row>
    <row r="6748" spans="1:9">
      <c r="A6748" t="str">
        <f>"0199257 "</f>
        <v xml:space="preserve">0199257 </v>
      </c>
      <c r="B6748" t="s">
        <v>22478</v>
      </c>
      <c r="C6748" t="s">
        <v>22522</v>
      </c>
      <c r="D6748" t="s">
        <v>22523</v>
      </c>
      <c r="E6748">
        <v>1</v>
      </c>
      <c r="F6748" t="s">
        <v>10498</v>
      </c>
      <c r="G6748" t="s">
        <v>22478</v>
      </c>
      <c r="H6748" t="s">
        <v>22522</v>
      </c>
      <c r="I6748" t="s">
        <v>22524</v>
      </c>
    </row>
    <row r="6749" spans="1:9">
      <c r="A6749" t="str">
        <f>"0199259 "</f>
        <v xml:space="preserve">0199259 </v>
      </c>
      <c r="B6749" t="s">
        <v>22478</v>
      </c>
      <c r="C6749" t="s">
        <v>22525</v>
      </c>
      <c r="D6749" t="s">
        <v>22526</v>
      </c>
      <c r="E6749">
        <v>1</v>
      </c>
      <c r="F6749" t="s">
        <v>22527</v>
      </c>
      <c r="G6749" t="s">
        <v>22478</v>
      </c>
      <c r="H6749" t="s">
        <v>22525</v>
      </c>
      <c r="I6749" t="s">
        <v>22528</v>
      </c>
    </row>
    <row r="6750" spans="1:9">
      <c r="A6750" t="str">
        <f>"0199261 "</f>
        <v xml:space="preserve">0199261 </v>
      </c>
      <c r="B6750" t="s">
        <v>22478</v>
      </c>
      <c r="C6750" t="s">
        <v>22529</v>
      </c>
      <c r="D6750" t="s">
        <v>22530</v>
      </c>
      <c r="E6750">
        <v>1</v>
      </c>
      <c r="F6750" t="s">
        <v>10635</v>
      </c>
      <c r="G6750" t="s">
        <v>22478</v>
      </c>
      <c r="H6750" t="s">
        <v>22529</v>
      </c>
      <c r="I6750" t="s">
        <v>22531</v>
      </c>
    </row>
    <row r="6751" spans="1:9">
      <c r="A6751" t="str">
        <f>"0199265 "</f>
        <v xml:space="preserve">0199265 </v>
      </c>
      <c r="B6751" t="s">
        <v>22478</v>
      </c>
      <c r="C6751" t="s">
        <v>22532</v>
      </c>
      <c r="D6751" t="s">
        <v>22533</v>
      </c>
      <c r="E6751">
        <v>2</v>
      </c>
      <c r="F6751" t="s">
        <v>22534</v>
      </c>
      <c r="G6751" t="s">
        <v>22478</v>
      </c>
      <c r="H6751" t="s">
        <v>22532</v>
      </c>
      <c r="I6751" t="s">
        <v>22535</v>
      </c>
    </row>
    <row r="6752" spans="1:9">
      <c r="A6752" t="str">
        <f>"0199269 "</f>
        <v xml:space="preserve">0199269 </v>
      </c>
      <c r="B6752" t="s">
        <v>22478</v>
      </c>
      <c r="C6752" t="s">
        <v>22536</v>
      </c>
      <c r="D6752" t="s">
        <v>22537</v>
      </c>
      <c r="E6752">
        <v>1</v>
      </c>
      <c r="F6752" t="s">
        <v>22538</v>
      </c>
      <c r="G6752" t="s">
        <v>22478</v>
      </c>
      <c r="H6752" t="s">
        <v>22536</v>
      </c>
      <c r="I6752" t="s">
        <v>941</v>
      </c>
    </row>
    <row r="6753" spans="1:9">
      <c r="A6753" t="str">
        <f>"0199272 "</f>
        <v xml:space="preserve">0199272 </v>
      </c>
      <c r="B6753" t="s">
        <v>22478</v>
      </c>
      <c r="C6753" t="s">
        <v>22539</v>
      </c>
      <c r="D6753" t="s">
        <v>22540</v>
      </c>
      <c r="E6753">
        <v>1</v>
      </c>
      <c r="F6753" t="s">
        <v>2021</v>
      </c>
      <c r="G6753" t="s">
        <v>22478</v>
      </c>
      <c r="H6753" t="s">
        <v>22539</v>
      </c>
      <c r="I6753" t="s">
        <v>22541</v>
      </c>
    </row>
    <row r="6754" spans="1:9">
      <c r="A6754" t="str">
        <f>"0199275 "</f>
        <v xml:space="preserve">0199275 </v>
      </c>
      <c r="B6754" t="s">
        <v>22478</v>
      </c>
      <c r="C6754" t="s">
        <v>22542</v>
      </c>
      <c r="D6754" t="s">
        <v>22543</v>
      </c>
      <c r="E6754">
        <v>2</v>
      </c>
      <c r="F6754" t="s">
        <v>22544</v>
      </c>
      <c r="G6754" t="s">
        <v>22478</v>
      </c>
      <c r="H6754" t="s">
        <v>22542</v>
      </c>
      <c r="I6754" t="s">
        <v>885</v>
      </c>
    </row>
    <row r="6755" spans="1:9">
      <c r="A6755" t="str">
        <f>"0199279 "</f>
        <v xml:space="preserve">0199279 </v>
      </c>
      <c r="B6755" t="s">
        <v>22478</v>
      </c>
      <c r="C6755" t="s">
        <v>22545</v>
      </c>
      <c r="D6755" t="s">
        <v>22546</v>
      </c>
      <c r="E6755">
        <v>2</v>
      </c>
      <c r="F6755" t="s">
        <v>22547</v>
      </c>
      <c r="G6755" t="s">
        <v>22478</v>
      </c>
      <c r="H6755" t="s">
        <v>22545</v>
      </c>
      <c r="I6755" t="s">
        <v>22548</v>
      </c>
    </row>
    <row r="6756" spans="1:9">
      <c r="A6756" t="str">
        <f>"0199284 "</f>
        <v xml:space="preserve">0199284 </v>
      </c>
      <c r="B6756" t="s">
        <v>22478</v>
      </c>
      <c r="C6756" t="s">
        <v>22549</v>
      </c>
      <c r="D6756" t="s">
        <v>22550</v>
      </c>
      <c r="E6756">
        <v>2</v>
      </c>
      <c r="F6756" t="s">
        <v>22551</v>
      </c>
      <c r="G6756" t="s">
        <v>22478</v>
      </c>
      <c r="H6756" t="s">
        <v>22549</v>
      </c>
      <c r="I6756" t="s">
        <v>22552</v>
      </c>
    </row>
    <row r="6757" spans="1:9">
      <c r="A6757" t="str">
        <f>"0199288 "</f>
        <v xml:space="preserve">0199288 </v>
      </c>
      <c r="B6757" t="s">
        <v>22478</v>
      </c>
      <c r="C6757" t="s">
        <v>22553</v>
      </c>
      <c r="D6757" t="s">
        <v>22554</v>
      </c>
      <c r="E6757">
        <v>2</v>
      </c>
      <c r="F6757" t="s">
        <v>22555</v>
      </c>
      <c r="G6757" t="s">
        <v>22478</v>
      </c>
      <c r="H6757" t="s">
        <v>22553</v>
      </c>
      <c r="I6757" t="s">
        <v>961</v>
      </c>
    </row>
    <row r="6758" spans="1:9">
      <c r="A6758" t="str">
        <f>"0199294 "</f>
        <v xml:space="preserve">0199294 </v>
      </c>
      <c r="B6758" t="s">
        <v>22478</v>
      </c>
      <c r="C6758" t="s">
        <v>22556</v>
      </c>
      <c r="D6758" t="s">
        <v>22557</v>
      </c>
      <c r="E6758">
        <v>1</v>
      </c>
      <c r="F6758" t="s">
        <v>22558</v>
      </c>
      <c r="G6758" t="s">
        <v>22478</v>
      </c>
      <c r="H6758" t="s">
        <v>22556</v>
      </c>
      <c r="I6758" t="s">
        <v>22559</v>
      </c>
    </row>
    <row r="6759" spans="1:9">
      <c r="A6759" t="str">
        <f>"0199295 "</f>
        <v xml:space="preserve">0199295 </v>
      </c>
      <c r="B6759" t="s">
        <v>22478</v>
      </c>
      <c r="C6759" t="s">
        <v>22560</v>
      </c>
      <c r="D6759" t="s">
        <v>22561</v>
      </c>
      <c r="E6759">
        <v>1</v>
      </c>
      <c r="F6759" t="s">
        <v>22562</v>
      </c>
      <c r="G6759" t="s">
        <v>22478</v>
      </c>
      <c r="H6759" t="s">
        <v>22560</v>
      </c>
      <c r="I6759" t="s">
        <v>22563</v>
      </c>
    </row>
    <row r="6760" spans="1:9">
      <c r="A6760" t="str">
        <f>"0199297 "</f>
        <v xml:space="preserve">0199297 </v>
      </c>
      <c r="B6760" t="s">
        <v>22478</v>
      </c>
      <c r="C6760" t="s">
        <v>22564</v>
      </c>
      <c r="D6760" t="s">
        <v>22565</v>
      </c>
      <c r="E6760">
        <v>2</v>
      </c>
      <c r="F6760" t="s">
        <v>22566</v>
      </c>
      <c r="G6760" t="s">
        <v>22478</v>
      </c>
      <c r="H6760" t="s">
        <v>22564</v>
      </c>
      <c r="I6760" t="s">
        <v>22567</v>
      </c>
    </row>
    <row r="6761" spans="1:9">
      <c r="A6761" t="str">
        <f>"0199299 "</f>
        <v xml:space="preserve">0199299 </v>
      </c>
      <c r="B6761" t="s">
        <v>22478</v>
      </c>
      <c r="C6761" t="s">
        <v>22568</v>
      </c>
      <c r="D6761" t="s">
        <v>22569</v>
      </c>
      <c r="E6761">
        <v>1</v>
      </c>
      <c r="F6761" t="s">
        <v>22544</v>
      </c>
      <c r="G6761" t="s">
        <v>22478</v>
      </c>
      <c r="H6761" t="s">
        <v>22568</v>
      </c>
      <c r="I6761" t="s">
        <v>913</v>
      </c>
    </row>
    <row r="6762" spans="1:9">
      <c r="A6762" t="str">
        <f>"0199300 "</f>
        <v xml:space="preserve">0199300 </v>
      </c>
      <c r="B6762" t="s">
        <v>22478</v>
      </c>
      <c r="C6762" t="s">
        <v>22570</v>
      </c>
      <c r="D6762" t="s">
        <v>22571</v>
      </c>
      <c r="E6762" t="s">
        <v>16</v>
      </c>
      <c r="F6762" t="s">
        <v>22572</v>
      </c>
      <c r="G6762" t="s">
        <v>22478</v>
      </c>
      <c r="H6762" t="s">
        <v>22570</v>
      </c>
      <c r="I6762" t="s">
        <v>953</v>
      </c>
    </row>
    <row r="6763" spans="1:9">
      <c r="A6763" t="str">
        <f>"0199301 "</f>
        <v xml:space="preserve">0199301 </v>
      </c>
      <c r="B6763" t="s">
        <v>22478</v>
      </c>
      <c r="C6763" t="s">
        <v>22573</v>
      </c>
      <c r="D6763" t="s">
        <v>22574</v>
      </c>
      <c r="E6763" t="s">
        <v>16</v>
      </c>
      <c r="F6763" t="s">
        <v>22575</v>
      </c>
      <c r="G6763" t="s">
        <v>22478</v>
      </c>
      <c r="H6763" t="s">
        <v>22573</v>
      </c>
      <c r="I6763" t="s">
        <v>22576</v>
      </c>
    </row>
    <row r="6764" spans="1:9">
      <c r="A6764" t="str">
        <f>"0199305 "</f>
        <v xml:space="preserve">0199305 </v>
      </c>
      <c r="B6764" t="s">
        <v>22478</v>
      </c>
      <c r="C6764" t="s">
        <v>22577</v>
      </c>
      <c r="D6764" t="s">
        <v>22578</v>
      </c>
      <c r="E6764" t="s">
        <v>16</v>
      </c>
      <c r="F6764" t="s">
        <v>22579</v>
      </c>
      <c r="G6764" t="s">
        <v>22478</v>
      </c>
      <c r="H6764" t="s">
        <v>22577</v>
      </c>
      <c r="I6764" t="s">
        <v>22580</v>
      </c>
    </row>
    <row r="6765" spans="1:9">
      <c r="A6765" t="str">
        <f>"0199306 "</f>
        <v xml:space="preserve">0199306 </v>
      </c>
      <c r="B6765" t="s">
        <v>22478</v>
      </c>
      <c r="C6765" t="s">
        <v>22581</v>
      </c>
      <c r="D6765" t="s">
        <v>22582</v>
      </c>
      <c r="E6765">
        <v>3</v>
      </c>
      <c r="F6765" t="s">
        <v>22583</v>
      </c>
      <c r="G6765" t="s">
        <v>22478</v>
      </c>
      <c r="H6765" t="s">
        <v>22581</v>
      </c>
      <c r="I6765" t="s">
        <v>969</v>
      </c>
    </row>
    <row r="6766" spans="1:9">
      <c r="A6766" t="str">
        <f>"0199322 "</f>
        <v xml:space="preserve">0199322 </v>
      </c>
      <c r="B6766" t="s">
        <v>22478</v>
      </c>
      <c r="C6766" t="s">
        <v>22584</v>
      </c>
      <c r="D6766" t="s">
        <v>22585</v>
      </c>
      <c r="E6766">
        <v>1</v>
      </c>
      <c r="F6766" t="s">
        <v>22586</v>
      </c>
      <c r="G6766" t="s">
        <v>22478</v>
      </c>
      <c r="H6766" t="s">
        <v>22584</v>
      </c>
      <c r="I6766" t="s">
        <v>22587</v>
      </c>
    </row>
    <row r="6767" spans="1:9">
      <c r="A6767" t="str">
        <f>"0199323 "</f>
        <v xml:space="preserve">0199323 </v>
      </c>
      <c r="B6767" t="s">
        <v>22478</v>
      </c>
      <c r="C6767" t="s">
        <v>22588</v>
      </c>
      <c r="D6767" t="s">
        <v>22589</v>
      </c>
      <c r="E6767">
        <v>5</v>
      </c>
      <c r="F6767" t="s">
        <v>22590</v>
      </c>
      <c r="G6767" t="s">
        <v>22478</v>
      </c>
      <c r="H6767" t="s">
        <v>22588</v>
      </c>
      <c r="I6767" t="s">
        <v>22591</v>
      </c>
    </row>
    <row r="6768" spans="1:9">
      <c r="A6768" t="str">
        <f>"0199326 "</f>
        <v xml:space="preserve">0199326 </v>
      </c>
      <c r="B6768" t="s">
        <v>22478</v>
      </c>
      <c r="C6768" t="s">
        <v>22592</v>
      </c>
      <c r="D6768" t="s">
        <v>22593</v>
      </c>
      <c r="E6768">
        <v>5</v>
      </c>
      <c r="F6768" t="s">
        <v>22491</v>
      </c>
      <c r="G6768" t="s">
        <v>22478</v>
      </c>
      <c r="H6768" t="s">
        <v>22592</v>
      </c>
      <c r="I6768" t="s">
        <v>22594</v>
      </c>
    </row>
    <row r="6769" spans="1:9">
      <c r="A6769" t="str">
        <f>"0199333 "</f>
        <v xml:space="preserve">0199333 </v>
      </c>
      <c r="B6769" t="s">
        <v>22478</v>
      </c>
      <c r="C6769" t="s">
        <v>22595</v>
      </c>
      <c r="D6769" t="s">
        <v>22596</v>
      </c>
      <c r="E6769">
        <v>1</v>
      </c>
      <c r="F6769" t="s">
        <v>22597</v>
      </c>
      <c r="G6769" t="s">
        <v>22478</v>
      </c>
      <c r="H6769" t="s">
        <v>22595</v>
      </c>
      <c r="I6769" t="s">
        <v>22598</v>
      </c>
    </row>
    <row r="6770" spans="1:9">
      <c r="A6770" t="str">
        <f>"0199340 "</f>
        <v xml:space="preserve">0199340 </v>
      </c>
      <c r="B6770" t="s">
        <v>22478</v>
      </c>
      <c r="C6770" t="s">
        <v>22599</v>
      </c>
      <c r="D6770" t="s">
        <v>22600</v>
      </c>
      <c r="E6770">
        <v>1</v>
      </c>
      <c r="F6770" t="s">
        <v>22483</v>
      </c>
      <c r="G6770" t="s">
        <v>22478</v>
      </c>
      <c r="H6770" t="s">
        <v>22599</v>
      </c>
      <c r="I6770" t="s">
        <v>22601</v>
      </c>
    </row>
    <row r="6771" spans="1:9">
      <c r="A6771" t="str">
        <f>"0199343 "</f>
        <v xml:space="preserve">0199343 </v>
      </c>
      <c r="B6771" t="s">
        <v>22478</v>
      </c>
      <c r="C6771" t="s">
        <v>22602</v>
      </c>
      <c r="D6771" t="s">
        <v>22603</v>
      </c>
      <c r="E6771">
        <v>1</v>
      </c>
      <c r="F6771" t="s">
        <v>22604</v>
      </c>
      <c r="G6771" t="s">
        <v>22478</v>
      </c>
      <c r="H6771" t="s">
        <v>22602</v>
      </c>
      <c r="I6771" t="s">
        <v>22605</v>
      </c>
    </row>
    <row r="6772" spans="1:9">
      <c r="A6772" t="str">
        <f>"0199347 "</f>
        <v xml:space="preserve">0199347 </v>
      </c>
      <c r="B6772" t="s">
        <v>22478</v>
      </c>
      <c r="C6772" t="s">
        <v>22606</v>
      </c>
      <c r="D6772" t="s">
        <v>22607</v>
      </c>
      <c r="E6772">
        <v>1</v>
      </c>
      <c r="F6772" t="s">
        <v>22608</v>
      </c>
      <c r="G6772" t="s">
        <v>22478</v>
      </c>
      <c r="H6772" t="s">
        <v>22606</v>
      </c>
      <c r="I6772" t="s">
        <v>11915</v>
      </c>
    </row>
    <row r="6773" spans="1:9">
      <c r="A6773" t="str">
        <f>"0199349 "</f>
        <v xml:space="preserve">0199349 </v>
      </c>
      <c r="B6773" t="s">
        <v>22478</v>
      </c>
      <c r="C6773" t="s">
        <v>22609</v>
      </c>
      <c r="D6773" t="s">
        <v>22610</v>
      </c>
      <c r="E6773">
        <v>1</v>
      </c>
      <c r="F6773" t="s">
        <v>22467</v>
      </c>
      <c r="G6773" t="s">
        <v>22478</v>
      </c>
      <c r="H6773" t="s">
        <v>22609</v>
      </c>
      <c r="I6773" t="s">
        <v>22611</v>
      </c>
    </row>
    <row r="6774" spans="1:9">
      <c r="A6774" t="str">
        <f>"0199352 "</f>
        <v xml:space="preserve">0199352 </v>
      </c>
      <c r="B6774" t="s">
        <v>22478</v>
      </c>
      <c r="C6774" t="s">
        <v>22612</v>
      </c>
      <c r="D6774" t="s">
        <v>22613</v>
      </c>
      <c r="E6774">
        <v>3</v>
      </c>
      <c r="F6774" t="s">
        <v>22614</v>
      </c>
      <c r="G6774" t="s">
        <v>22478</v>
      </c>
      <c r="H6774" t="s">
        <v>22612</v>
      </c>
      <c r="I6774" t="s">
        <v>22615</v>
      </c>
    </row>
    <row r="6775" spans="1:9">
      <c r="A6775" t="str">
        <f>"0199353 "</f>
        <v xml:space="preserve">0199353 </v>
      </c>
      <c r="B6775" t="s">
        <v>22478</v>
      </c>
      <c r="C6775" t="s">
        <v>22616</v>
      </c>
      <c r="D6775" t="s">
        <v>22617</v>
      </c>
      <c r="E6775">
        <v>1</v>
      </c>
      <c r="F6775" t="s">
        <v>3948</v>
      </c>
      <c r="G6775" t="s">
        <v>22478</v>
      </c>
      <c r="H6775" t="s">
        <v>22616</v>
      </c>
      <c r="I6775" t="s">
        <v>22618</v>
      </c>
    </row>
    <row r="6776" spans="1:9">
      <c r="A6776" t="str">
        <f>"0199354 "</f>
        <v xml:space="preserve">0199354 </v>
      </c>
      <c r="B6776" t="s">
        <v>22478</v>
      </c>
      <c r="C6776" t="s">
        <v>22619</v>
      </c>
      <c r="D6776" t="s">
        <v>22620</v>
      </c>
      <c r="E6776">
        <v>4</v>
      </c>
      <c r="F6776" t="s">
        <v>22621</v>
      </c>
      <c r="G6776" t="s">
        <v>22478</v>
      </c>
      <c r="H6776" t="s">
        <v>22619</v>
      </c>
      <c r="I6776" t="s">
        <v>22622</v>
      </c>
    </row>
    <row r="6777" spans="1:9">
      <c r="A6777" t="str">
        <f>"0199355 "</f>
        <v xml:space="preserve">0199355 </v>
      </c>
      <c r="B6777" t="s">
        <v>22478</v>
      </c>
      <c r="C6777" t="s">
        <v>22623</v>
      </c>
      <c r="D6777" t="s">
        <v>22624</v>
      </c>
      <c r="E6777">
        <v>1</v>
      </c>
      <c r="F6777" t="s">
        <v>22625</v>
      </c>
      <c r="G6777" t="s">
        <v>22478</v>
      </c>
      <c r="H6777" t="s">
        <v>22623</v>
      </c>
      <c r="I6777" t="s">
        <v>22626</v>
      </c>
    </row>
    <row r="6778" spans="1:9">
      <c r="A6778" t="str">
        <f>"0199356 "</f>
        <v xml:space="preserve">0199356 </v>
      </c>
      <c r="B6778" t="s">
        <v>22478</v>
      </c>
      <c r="C6778" t="s">
        <v>22627</v>
      </c>
      <c r="D6778" t="s">
        <v>22628</v>
      </c>
      <c r="E6778">
        <v>5</v>
      </c>
      <c r="F6778" t="s">
        <v>22586</v>
      </c>
      <c r="G6778" t="s">
        <v>22478</v>
      </c>
      <c r="H6778" t="s">
        <v>22627</v>
      </c>
      <c r="I6778" t="s">
        <v>22629</v>
      </c>
    </row>
    <row r="6779" spans="1:9">
      <c r="A6779" t="str">
        <f>"0199357 "</f>
        <v xml:space="preserve">0199357 </v>
      </c>
      <c r="B6779" t="s">
        <v>22478</v>
      </c>
      <c r="C6779" t="s">
        <v>22630</v>
      </c>
      <c r="D6779" t="s">
        <v>22631</v>
      </c>
      <c r="E6779" t="s">
        <v>16</v>
      </c>
      <c r="F6779" t="s">
        <v>22632</v>
      </c>
      <c r="G6779" t="s">
        <v>22478</v>
      </c>
      <c r="H6779" t="s">
        <v>22630</v>
      </c>
      <c r="I6779" t="s">
        <v>22633</v>
      </c>
    </row>
    <row r="6780" spans="1:9">
      <c r="A6780" t="str">
        <f>"0199360 "</f>
        <v xml:space="preserve">0199360 </v>
      </c>
      <c r="B6780" t="s">
        <v>22478</v>
      </c>
      <c r="C6780" t="s">
        <v>22634</v>
      </c>
      <c r="D6780" t="s">
        <v>22635</v>
      </c>
      <c r="E6780">
        <v>2</v>
      </c>
      <c r="F6780" t="s">
        <v>22636</v>
      </c>
      <c r="G6780" t="s">
        <v>22478</v>
      </c>
      <c r="H6780" t="s">
        <v>22634</v>
      </c>
      <c r="I6780" t="s">
        <v>22637</v>
      </c>
    </row>
    <row r="6781" spans="1:9">
      <c r="A6781" t="str">
        <f>"0199363 "</f>
        <v xml:space="preserve">0199363 </v>
      </c>
      <c r="B6781" t="s">
        <v>22478</v>
      </c>
      <c r="C6781" t="s">
        <v>22638</v>
      </c>
      <c r="D6781" t="s">
        <v>22639</v>
      </c>
      <c r="E6781">
        <v>1</v>
      </c>
      <c r="F6781" t="s">
        <v>22640</v>
      </c>
      <c r="G6781" t="s">
        <v>22478</v>
      </c>
      <c r="H6781" t="s">
        <v>22638</v>
      </c>
      <c r="I6781" t="s">
        <v>22641</v>
      </c>
    </row>
    <row r="6782" spans="1:9">
      <c r="A6782" t="str">
        <f>"0199369 "</f>
        <v xml:space="preserve">0199369 </v>
      </c>
      <c r="B6782" t="s">
        <v>22478</v>
      </c>
      <c r="C6782" t="s">
        <v>22642</v>
      </c>
      <c r="D6782" t="s">
        <v>22643</v>
      </c>
      <c r="E6782">
        <v>1</v>
      </c>
      <c r="F6782" t="s">
        <v>22644</v>
      </c>
      <c r="G6782" t="s">
        <v>22478</v>
      </c>
      <c r="H6782" t="s">
        <v>22642</v>
      </c>
      <c r="I6782" t="s">
        <v>22645</v>
      </c>
    </row>
    <row r="6783" spans="1:9">
      <c r="A6783" t="str">
        <f>"0199371 "</f>
        <v xml:space="preserve">0199371 </v>
      </c>
      <c r="B6783" t="s">
        <v>22478</v>
      </c>
      <c r="C6783" t="s">
        <v>22646</v>
      </c>
      <c r="D6783" t="s">
        <v>22647</v>
      </c>
      <c r="E6783">
        <v>1</v>
      </c>
      <c r="F6783" t="s">
        <v>20280</v>
      </c>
      <c r="G6783" t="s">
        <v>22478</v>
      </c>
      <c r="H6783" t="s">
        <v>22646</v>
      </c>
      <c r="I6783" t="s">
        <v>22648</v>
      </c>
    </row>
    <row r="6784" spans="1:9">
      <c r="A6784" t="str">
        <f>"0199373 "</f>
        <v xml:space="preserve">0199373 </v>
      </c>
      <c r="B6784" t="s">
        <v>22478</v>
      </c>
      <c r="C6784" t="s">
        <v>22649</v>
      </c>
      <c r="D6784" t="s">
        <v>22650</v>
      </c>
      <c r="E6784">
        <v>1</v>
      </c>
      <c r="F6784" t="s">
        <v>22651</v>
      </c>
      <c r="G6784" t="s">
        <v>22478</v>
      </c>
      <c r="H6784" t="s">
        <v>22649</v>
      </c>
      <c r="I6784" t="s">
        <v>22652</v>
      </c>
    </row>
    <row r="6785" spans="1:9">
      <c r="A6785" t="str">
        <f>"0199378 "</f>
        <v xml:space="preserve">0199378 </v>
      </c>
      <c r="B6785" t="s">
        <v>22478</v>
      </c>
      <c r="C6785" t="s">
        <v>22653</v>
      </c>
      <c r="D6785" t="s">
        <v>22654</v>
      </c>
      <c r="E6785">
        <v>2</v>
      </c>
      <c r="F6785" t="s">
        <v>22655</v>
      </c>
      <c r="G6785" t="s">
        <v>22478</v>
      </c>
      <c r="H6785" t="s">
        <v>22653</v>
      </c>
      <c r="I6785" t="s">
        <v>22656</v>
      </c>
    </row>
    <row r="6786" spans="1:9">
      <c r="A6786" t="str">
        <f>"0199379 "</f>
        <v xml:space="preserve">0199379 </v>
      </c>
      <c r="B6786" t="s">
        <v>22478</v>
      </c>
      <c r="C6786" t="s">
        <v>22657</v>
      </c>
      <c r="D6786" t="s">
        <v>22658</v>
      </c>
      <c r="E6786">
        <v>1</v>
      </c>
      <c r="F6786" t="s">
        <v>22659</v>
      </c>
      <c r="G6786" t="s">
        <v>22478</v>
      </c>
      <c r="H6786" t="s">
        <v>22657</v>
      </c>
      <c r="I6786" t="s">
        <v>22660</v>
      </c>
    </row>
    <row r="6787" spans="1:9">
      <c r="A6787" t="str">
        <f>"0199383 "</f>
        <v xml:space="preserve">0199383 </v>
      </c>
      <c r="B6787" t="s">
        <v>22478</v>
      </c>
      <c r="C6787" t="s">
        <v>22661</v>
      </c>
      <c r="D6787" t="s">
        <v>22662</v>
      </c>
      <c r="E6787">
        <v>2</v>
      </c>
      <c r="F6787" t="s">
        <v>22663</v>
      </c>
      <c r="G6787" t="s">
        <v>22478</v>
      </c>
      <c r="H6787" t="s">
        <v>22661</v>
      </c>
      <c r="I6787" t="s">
        <v>22664</v>
      </c>
    </row>
    <row r="6788" spans="1:9">
      <c r="A6788" t="str">
        <f>"0199387 "</f>
        <v xml:space="preserve">0199387 </v>
      </c>
      <c r="B6788" t="s">
        <v>22478</v>
      </c>
      <c r="C6788" t="s">
        <v>22665</v>
      </c>
      <c r="D6788" t="s">
        <v>22666</v>
      </c>
      <c r="E6788">
        <v>4</v>
      </c>
      <c r="F6788" t="s">
        <v>22667</v>
      </c>
      <c r="G6788" t="s">
        <v>22478</v>
      </c>
      <c r="H6788" t="s">
        <v>22665</v>
      </c>
      <c r="I6788" t="s">
        <v>22668</v>
      </c>
    </row>
    <row r="6789" spans="1:9">
      <c r="A6789" t="str">
        <f>"0199388 "</f>
        <v xml:space="preserve">0199388 </v>
      </c>
      <c r="B6789" t="s">
        <v>22478</v>
      </c>
      <c r="C6789" t="s">
        <v>22669</v>
      </c>
      <c r="D6789" t="s">
        <v>22670</v>
      </c>
      <c r="E6789">
        <v>2</v>
      </c>
      <c r="F6789" t="s">
        <v>22671</v>
      </c>
      <c r="G6789" t="s">
        <v>22478</v>
      </c>
      <c r="H6789" t="s">
        <v>22669</v>
      </c>
      <c r="I6789" t="s">
        <v>22672</v>
      </c>
    </row>
    <row r="6790" spans="1:9">
      <c r="A6790" t="str">
        <f>"0199395 "</f>
        <v xml:space="preserve">0199395 </v>
      </c>
      <c r="B6790" t="s">
        <v>22478</v>
      </c>
      <c r="C6790" t="s">
        <v>22673</v>
      </c>
      <c r="D6790" t="s">
        <v>22674</v>
      </c>
      <c r="E6790">
        <v>1</v>
      </c>
      <c r="F6790" t="s">
        <v>22675</v>
      </c>
      <c r="G6790" t="s">
        <v>22478</v>
      </c>
      <c r="H6790" t="s">
        <v>22673</v>
      </c>
      <c r="I6790" t="s">
        <v>22676</v>
      </c>
    </row>
    <row r="6791" spans="1:9">
      <c r="A6791" t="str">
        <f>"0199397 "</f>
        <v xml:space="preserve">0199397 </v>
      </c>
      <c r="B6791" t="s">
        <v>22478</v>
      </c>
      <c r="C6791" t="s">
        <v>22677</v>
      </c>
      <c r="D6791" t="s">
        <v>22678</v>
      </c>
      <c r="E6791">
        <v>1</v>
      </c>
      <c r="F6791" t="s">
        <v>22679</v>
      </c>
      <c r="G6791" t="s">
        <v>22478</v>
      </c>
      <c r="H6791" t="s">
        <v>22677</v>
      </c>
      <c r="I6791" t="s">
        <v>22680</v>
      </c>
    </row>
    <row r="6792" spans="1:9">
      <c r="A6792" t="str">
        <f>"0199399 "</f>
        <v xml:space="preserve">0199399 </v>
      </c>
      <c r="B6792" t="s">
        <v>22478</v>
      </c>
      <c r="C6792" t="s">
        <v>22681</v>
      </c>
      <c r="D6792" t="s">
        <v>22682</v>
      </c>
      <c r="E6792" t="s">
        <v>16</v>
      </c>
      <c r="F6792" t="s">
        <v>7354</v>
      </c>
      <c r="G6792" t="s">
        <v>22478</v>
      </c>
      <c r="H6792" t="s">
        <v>22681</v>
      </c>
      <c r="I6792" t="s">
        <v>22683</v>
      </c>
    </row>
    <row r="6793" spans="1:9">
      <c r="A6793" t="str">
        <f>"0199400 "</f>
        <v xml:space="preserve">0199400 </v>
      </c>
      <c r="B6793" t="s">
        <v>22478</v>
      </c>
      <c r="C6793" t="s">
        <v>22684</v>
      </c>
      <c r="D6793" t="s">
        <v>22685</v>
      </c>
      <c r="E6793">
        <v>2</v>
      </c>
      <c r="F6793" t="s">
        <v>22686</v>
      </c>
      <c r="G6793" t="s">
        <v>22478</v>
      </c>
      <c r="H6793" t="s">
        <v>22684</v>
      </c>
      <c r="I6793" t="s">
        <v>22687</v>
      </c>
    </row>
    <row r="6794" spans="1:9">
      <c r="A6794" t="str">
        <f>"0199401 "</f>
        <v xml:space="preserve">0199401 </v>
      </c>
      <c r="B6794" t="s">
        <v>22478</v>
      </c>
      <c r="C6794" t="s">
        <v>22688</v>
      </c>
      <c r="D6794" t="s">
        <v>22689</v>
      </c>
      <c r="E6794">
        <v>1</v>
      </c>
      <c r="F6794" t="s">
        <v>22690</v>
      </c>
      <c r="G6794" t="s">
        <v>22478</v>
      </c>
      <c r="H6794" t="s">
        <v>22688</v>
      </c>
      <c r="I6794" t="s">
        <v>1050</v>
      </c>
    </row>
    <row r="6795" spans="1:9">
      <c r="A6795" t="str">
        <f>"0199403 "</f>
        <v xml:space="preserve">0199403 </v>
      </c>
      <c r="B6795" t="s">
        <v>22478</v>
      </c>
      <c r="C6795" t="s">
        <v>22691</v>
      </c>
      <c r="D6795" t="s">
        <v>22692</v>
      </c>
      <c r="E6795">
        <v>1</v>
      </c>
      <c r="F6795" t="s">
        <v>22693</v>
      </c>
      <c r="G6795" t="s">
        <v>22478</v>
      </c>
      <c r="H6795" t="s">
        <v>22691</v>
      </c>
      <c r="I6795" t="s">
        <v>22694</v>
      </c>
    </row>
    <row r="6796" spans="1:9">
      <c r="A6796" t="str">
        <f>"0199405 "</f>
        <v xml:space="preserve">0199405 </v>
      </c>
      <c r="B6796" t="s">
        <v>22478</v>
      </c>
      <c r="C6796" t="s">
        <v>22695</v>
      </c>
      <c r="D6796" t="s">
        <v>22696</v>
      </c>
      <c r="E6796">
        <v>4</v>
      </c>
      <c r="F6796" t="s">
        <v>22697</v>
      </c>
      <c r="G6796" t="s">
        <v>22478</v>
      </c>
      <c r="H6796" t="s">
        <v>22695</v>
      </c>
      <c r="I6796" t="s">
        <v>980</v>
      </c>
    </row>
    <row r="6797" spans="1:9">
      <c r="A6797" t="str">
        <f>"0199410 "</f>
        <v xml:space="preserve">0199410 </v>
      </c>
      <c r="B6797" t="s">
        <v>22478</v>
      </c>
      <c r="C6797" t="s">
        <v>22698</v>
      </c>
      <c r="D6797" t="s">
        <v>22699</v>
      </c>
      <c r="E6797">
        <v>1</v>
      </c>
      <c r="F6797" t="s">
        <v>22700</v>
      </c>
      <c r="G6797" t="s">
        <v>22478</v>
      </c>
      <c r="H6797" t="s">
        <v>22698</v>
      </c>
      <c r="I6797" t="s">
        <v>22701</v>
      </c>
    </row>
    <row r="6798" spans="1:9">
      <c r="A6798" t="str">
        <f>"0199411 "</f>
        <v xml:space="preserve">0199411 </v>
      </c>
      <c r="B6798" t="s">
        <v>22478</v>
      </c>
      <c r="C6798" t="s">
        <v>22702</v>
      </c>
      <c r="D6798" t="s">
        <v>22703</v>
      </c>
      <c r="E6798">
        <v>2</v>
      </c>
      <c r="F6798" t="s">
        <v>22697</v>
      </c>
      <c r="G6798" t="s">
        <v>22478</v>
      </c>
      <c r="H6798" t="s">
        <v>22702</v>
      </c>
      <c r="I6798" t="s">
        <v>22704</v>
      </c>
    </row>
    <row r="6799" spans="1:9">
      <c r="A6799" t="str">
        <f>"0199413 "</f>
        <v xml:space="preserve">0199413 </v>
      </c>
      <c r="B6799" t="s">
        <v>22478</v>
      </c>
      <c r="C6799" t="s">
        <v>22705</v>
      </c>
      <c r="D6799" t="s">
        <v>22706</v>
      </c>
      <c r="E6799">
        <v>2</v>
      </c>
      <c r="F6799" t="s">
        <v>22707</v>
      </c>
      <c r="G6799" t="s">
        <v>22478</v>
      </c>
      <c r="H6799" t="s">
        <v>22705</v>
      </c>
      <c r="I6799" t="s">
        <v>22708</v>
      </c>
    </row>
    <row r="6800" spans="1:9">
      <c r="A6800" t="str">
        <f>"0199415 "</f>
        <v xml:space="preserve">0199415 </v>
      </c>
      <c r="B6800" t="s">
        <v>22478</v>
      </c>
      <c r="C6800" t="s">
        <v>22709</v>
      </c>
      <c r="D6800" t="s">
        <v>22710</v>
      </c>
      <c r="E6800">
        <v>3</v>
      </c>
      <c r="F6800" t="s">
        <v>10124</v>
      </c>
      <c r="G6800" t="s">
        <v>22478</v>
      </c>
      <c r="H6800" t="s">
        <v>22709</v>
      </c>
      <c r="I6800" t="s">
        <v>22711</v>
      </c>
    </row>
    <row r="6801" spans="1:9">
      <c r="A6801" t="str">
        <f>"0199419 "</f>
        <v xml:space="preserve">0199419 </v>
      </c>
      <c r="B6801" t="s">
        <v>22478</v>
      </c>
      <c r="C6801" t="s">
        <v>22712</v>
      </c>
      <c r="D6801" t="s">
        <v>22713</v>
      </c>
      <c r="E6801">
        <v>5</v>
      </c>
      <c r="F6801" t="s">
        <v>22714</v>
      </c>
      <c r="G6801" t="s">
        <v>22478</v>
      </c>
      <c r="H6801" t="s">
        <v>22712</v>
      </c>
      <c r="I6801" t="s">
        <v>18779</v>
      </c>
    </row>
    <row r="6802" spans="1:9">
      <c r="A6802" t="str">
        <f>"0199420 "</f>
        <v xml:space="preserve">0199420 </v>
      </c>
      <c r="B6802" t="s">
        <v>22478</v>
      </c>
      <c r="C6802" t="s">
        <v>22715</v>
      </c>
      <c r="D6802" t="s">
        <v>22716</v>
      </c>
      <c r="E6802">
        <v>1</v>
      </c>
      <c r="F6802" t="s">
        <v>22717</v>
      </c>
      <c r="G6802" t="s">
        <v>22478</v>
      </c>
      <c r="H6802" t="s">
        <v>22715</v>
      </c>
      <c r="I6802" t="s">
        <v>22718</v>
      </c>
    </row>
    <row r="6803" spans="1:9">
      <c r="A6803" t="str">
        <f>"0199421 "</f>
        <v xml:space="preserve">0199421 </v>
      </c>
      <c r="B6803" t="s">
        <v>22478</v>
      </c>
      <c r="C6803" t="s">
        <v>22719</v>
      </c>
      <c r="D6803" t="s">
        <v>22720</v>
      </c>
      <c r="E6803">
        <v>1</v>
      </c>
      <c r="F6803" t="s">
        <v>22721</v>
      </c>
      <c r="G6803" t="s">
        <v>22478</v>
      </c>
      <c r="H6803" t="s">
        <v>22719</v>
      </c>
      <c r="I6803" t="s">
        <v>22722</v>
      </c>
    </row>
    <row r="6804" spans="1:9">
      <c r="A6804" t="str">
        <f>"0199422 "</f>
        <v xml:space="preserve">0199422 </v>
      </c>
      <c r="B6804" t="s">
        <v>22478</v>
      </c>
      <c r="C6804" t="s">
        <v>22723</v>
      </c>
      <c r="D6804" t="s">
        <v>22724</v>
      </c>
      <c r="E6804">
        <v>1</v>
      </c>
      <c r="F6804" t="s">
        <v>22725</v>
      </c>
      <c r="G6804" t="s">
        <v>22478</v>
      </c>
      <c r="H6804" t="s">
        <v>22723</v>
      </c>
      <c r="I6804" t="s">
        <v>22726</v>
      </c>
    </row>
    <row r="6805" spans="1:9">
      <c r="A6805" t="str">
        <f>"0199432 "</f>
        <v xml:space="preserve">0199432 </v>
      </c>
      <c r="B6805" t="s">
        <v>22478</v>
      </c>
      <c r="C6805" t="s">
        <v>22727</v>
      </c>
      <c r="D6805" t="s">
        <v>22728</v>
      </c>
      <c r="E6805">
        <v>2</v>
      </c>
      <c r="F6805" t="s">
        <v>22729</v>
      </c>
      <c r="G6805" t="s">
        <v>22478</v>
      </c>
      <c r="H6805" t="s">
        <v>22727</v>
      </c>
      <c r="I6805" t="s">
        <v>1004</v>
      </c>
    </row>
    <row r="6806" spans="1:9">
      <c r="A6806" t="str">
        <f>"0199433 "</f>
        <v xml:space="preserve">0199433 </v>
      </c>
      <c r="B6806" t="s">
        <v>22478</v>
      </c>
      <c r="C6806" t="s">
        <v>22730</v>
      </c>
      <c r="D6806" t="s">
        <v>22731</v>
      </c>
      <c r="E6806">
        <v>1</v>
      </c>
      <c r="F6806" t="s">
        <v>22538</v>
      </c>
      <c r="G6806" t="s">
        <v>22478</v>
      </c>
      <c r="H6806" t="s">
        <v>22730</v>
      </c>
      <c r="I6806" t="s">
        <v>22732</v>
      </c>
    </row>
    <row r="6807" spans="1:9">
      <c r="A6807" t="str">
        <f>"0199435 "</f>
        <v xml:space="preserve">0199435 </v>
      </c>
      <c r="B6807" t="s">
        <v>22478</v>
      </c>
      <c r="C6807" t="s">
        <v>22733</v>
      </c>
      <c r="D6807" t="s">
        <v>22734</v>
      </c>
      <c r="E6807">
        <v>5</v>
      </c>
      <c r="F6807" t="s">
        <v>22735</v>
      </c>
      <c r="G6807" t="s">
        <v>22478</v>
      </c>
      <c r="H6807" t="s">
        <v>22733</v>
      </c>
      <c r="I6807" t="s">
        <v>22736</v>
      </c>
    </row>
    <row r="6808" spans="1:9">
      <c r="A6808" t="str">
        <f>"0199441 "</f>
        <v xml:space="preserve">0199441 </v>
      </c>
      <c r="B6808" t="s">
        <v>22478</v>
      </c>
      <c r="C6808" t="s">
        <v>22737</v>
      </c>
      <c r="D6808" t="s">
        <v>22738</v>
      </c>
      <c r="E6808">
        <v>5</v>
      </c>
      <c r="F6808" t="s">
        <v>22739</v>
      </c>
      <c r="G6808" t="s">
        <v>22478</v>
      </c>
      <c r="H6808" t="s">
        <v>22737</v>
      </c>
      <c r="I6808" t="s">
        <v>22740</v>
      </c>
    </row>
    <row r="6809" spans="1:9">
      <c r="A6809" t="str">
        <f>"0199449 "</f>
        <v xml:space="preserve">0199449 </v>
      </c>
      <c r="B6809" t="s">
        <v>22478</v>
      </c>
      <c r="C6809" t="s">
        <v>22741</v>
      </c>
      <c r="D6809" t="s">
        <v>22742</v>
      </c>
      <c r="E6809">
        <v>1</v>
      </c>
      <c r="F6809" t="s">
        <v>22743</v>
      </c>
      <c r="G6809" t="s">
        <v>22478</v>
      </c>
      <c r="H6809" t="s">
        <v>22741</v>
      </c>
      <c r="I6809" t="s">
        <v>22744</v>
      </c>
    </row>
    <row r="6810" spans="1:9">
      <c r="A6810" t="str">
        <f>"0199453 "</f>
        <v xml:space="preserve">0199453 </v>
      </c>
      <c r="B6810" t="s">
        <v>22478</v>
      </c>
      <c r="C6810" t="s">
        <v>22745</v>
      </c>
      <c r="D6810" t="s">
        <v>22746</v>
      </c>
      <c r="E6810">
        <v>1</v>
      </c>
      <c r="F6810" t="s">
        <v>10657</v>
      </c>
      <c r="G6810" t="s">
        <v>22478</v>
      </c>
      <c r="H6810" t="s">
        <v>22745</v>
      </c>
      <c r="I6810" t="s">
        <v>22747</v>
      </c>
    </row>
    <row r="6811" spans="1:9">
      <c r="A6811" t="str">
        <f>"0199454 "</f>
        <v xml:space="preserve">0199454 </v>
      </c>
      <c r="B6811" t="s">
        <v>22478</v>
      </c>
      <c r="C6811" t="s">
        <v>22748</v>
      </c>
      <c r="D6811" t="s">
        <v>22749</v>
      </c>
      <c r="E6811">
        <v>3</v>
      </c>
      <c r="F6811" t="s">
        <v>10454</v>
      </c>
      <c r="G6811" t="s">
        <v>22478</v>
      </c>
      <c r="H6811" t="s">
        <v>22748</v>
      </c>
      <c r="I6811" t="s">
        <v>22750</v>
      </c>
    </row>
    <row r="6812" spans="1:9">
      <c r="A6812" t="str">
        <f>"0199456 "</f>
        <v xml:space="preserve">0199456 </v>
      </c>
      <c r="B6812" t="s">
        <v>22478</v>
      </c>
      <c r="C6812" t="s">
        <v>22751</v>
      </c>
      <c r="D6812" t="s">
        <v>22752</v>
      </c>
      <c r="E6812">
        <v>3</v>
      </c>
      <c r="F6812" t="s">
        <v>22753</v>
      </c>
      <c r="G6812" t="s">
        <v>22478</v>
      </c>
      <c r="H6812" t="s">
        <v>22751</v>
      </c>
      <c r="I6812" t="s">
        <v>22754</v>
      </c>
    </row>
    <row r="6813" spans="1:9">
      <c r="A6813" t="str">
        <f>"0199459 "</f>
        <v xml:space="preserve">0199459 </v>
      </c>
      <c r="B6813" t="s">
        <v>22478</v>
      </c>
      <c r="C6813" t="s">
        <v>22755</v>
      </c>
      <c r="D6813" t="s">
        <v>22756</v>
      </c>
      <c r="E6813">
        <v>1</v>
      </c>
      <c r="F6813" t="s">
        <v>22757</v>
      </c>
      <c r="G6813" t="s">
        <v>22478</v>
      </c>
      <c r="H6813" t="s">
        <v>22755</v>
      </c>
      <c r="I6813" t="s">
        <v>22758</v>
      </c>
    </row>
    <row r="6814" spans="1:9">
      <c r="A6814" t="str">
        <f>"0199461 "</f>
        <v xml:space="preserve">0199461 </v>
      </c>
      <c r="B6814" t="s">
        <v>22478</v>
      </c>
      <c r="C6814" t="s">
        <v>22759</v>
      </c>
      <c r="D6814" t="s">
        <v>22760</v>
      </c>
      <c r="E6814">
        <v>3</v>
      </c>
      <c r="F6814" t="s">
        <v>22761</v>
      </c>
      <c r="G6814" t="s">
        <v>22478</v>
      </c>
      <c r="H6814" t="s">
        <v>22759</v>
      </c>
      <c r="I6814" t="s">
        <v>22762</v>
      </c>
    </row>
    <row r="6815" spans="1:9">
      <c r="A6815" t="str">
        <f>"0199466 "</f>
        <v xml:space="preserve">0199466 </v>
      </c>
      <c r="B6815" t="s">
        <v>22478</v>
      </c>
      <c r="C6815" t="s">
        <v>22763</v>
      </c>
      <c r="D6815" t="s">
        <v>22764</v>
      </c>
      <c r="E6815">
        <v>3</v>
      </c>
      <c r="F6815" t="s">
        <v>1355</v>
      </c>
      <c r="G6815" t="s">
        <v>22478</v>
      </c>
      <c r="H6815" t="s">
        <v>22763</v>
      </c>
      <c r="I6815" t="s">
        <v>18746</v>
      </c>
    </row>
    <row r="6816" spans="1:9">
      <c r="A6816" t="str">
        <f>"0199491 "</f>
        <v xml:space="preserve">0199491 </v>
      </c>
      <c r="B6816" t="s">
        <v>22478</v>
      </c>
      <c r="C6816" t="s">
        <v>22765</v>
      </c>
      <c r="D6816" t="s">
        <v>22766</v>
      </c>
      <c r="E6816">
        <v>1</v>
      </c>
      <c r="F6816" t="s">
        <v>4071</v>
      </c>
      <c r="G6816" t="s">
        <v>22478</v>
      </c>
      <c r="H6816" t="s">
        <v>22765</v>
      </c>
      <c r="I6816" t="s">
        <v>1053</v>
      </c>
    </row>
    <row r="6817" spans="1:9">
      <c r="A6817" t="str">
        <f>"0199511 "</f>
        <v xml:space="preserve">0199511 </v>
      </c>
      <c r="B6817" t="s">
        <v>22478</v>
      </c>
      <c r="C6817" t="s">
        <v>22767</v>
      </c>
      <c r="D6817" t="s">
        <v>22768</v>
      </c>
      <c r="E6817">
        <v>4</v>
      </c>
      <c r="F6817" t="s">
        <v>22769</v>
      </c>
      <c r="G6817" t="s">
        <v>22478</v>
      </c>
      <c r="H6817" t="s">
        <v>22767</v>
      </c>
      <c r="I6817" t="s">
        <v>22770</v>
      </c>
    </row>
    <row r="6818" spans="1:9">
      <c r="A6818" t="str">
        <f>"0199512 "</f>
        <v xml:space="preserve">0199512 </v>
      </c>
      <c r="B6818" t="s">
        <v>22478</v>
      </c>
      <c r="C6818" t="s">
        <v>22771</v>
      </c>
      <c r="D6818" t="s">
        <v>22772</v>
      </c>
      <c r="E6818">
        <v>1</v>
      </c>
      <c r="F6818" t="s">
        <v>22773</v>
      </c>
      <c r="G6818" t="s">
        <v>22478</v>
      </c>
      <c r="H6818" t="s">
        <v>22771</v>
      </c>
      <c r="I6818" t="s">
        <v>11930</v>
      </c>
    </row>
    <row r="6819" spans="1:9">
      <c r="A6819" t="str">
        <f>"0199517 "</f>
        <v xml:space="preserve">0199517 </v>
      </c>
      <c r="B6819" t="s">
        <v>22478</v>
      </c>
      <c r="C6819" t="s">
        <v>22774</v>
      </c>
      <c r="D6819" t="s">
        <v>22775</v>
      </c>
      <c r="E6819">
        <v>2</v>
      </c>
      <c r="F6819" t="s">
        <v>22776</v>
      </c>
      <c r="G6819" t="s">
        <v>22478</v>
      </c>
      <c r="H6819" t="s">
        <v>22774</v>
      </c>
      <c r="I6819" t="s">
        <v>22777</v>
      </c>
    </row>
    <row r="6820" spans="1:9">
      <c r="A6820" t="str">
        <f>"0199526 "</f>
        <v xml:space="preserve">0199526 </v>
      </c>
      <c r="B6820" t="s">
        <v>22478</v>
      </c>
      <c r="C6820" t="s">
        <v>22778</v>
      </c>
      <c r="D6820" t="s">
        <v>22779</v>
      </c>
      <c r="E6820">
        <v>1</v>
      </c>
      <c r="F6820" t="s">
        <v>22780</v>
      </c>
      <c r="G6820" t="s">
        <v>22478</v>
      </c>
      <c r="H6820" t="s">
        <v>22778</v>
      </c>
      <c r="I6820" t="s">
        <v>22781</v>
      </c>
    </row>
    <row r="6821" spans="1:9">
      <c r="A6821" t="str">
        <f>"0199527 "</f>
        <v xml:space="preserve">0199527 </v>
      </c>
      <c r="B6821" t="s">
        <v>22478</v>
      </c>
      <c r="C6821" t="s">
        <v>22782</v>
      </c>
      <c r="D6821" t="s">
        <v>22783</v>
      </c>
      <c r="E6821">
        <v>1</v>
      </c>
      <c r="F6821" t="s">
        <v>22739</v>
      </c>
      <c r="G6821" t="s">
        <v>22478</v>
      </c>
      <c r="H6821" t="s">
        <v>22782</v>
      </c>
      <c r="I6821" t="s">
        <v>22784</v>
      </c>
    </row>
    <row r="6822" spans="1:9">
      <c r="A6822" t="str">
        <f>"0199528 "</f>
        <v xml:space="preserve">0199528 </v>
      </c>
      <c r="B6822" t="s">
        <v>22478</v>
      </c>
      <c r="C6822" t="s">
        <v>22785</v>
      </c>
      <c r="D6822" t="s">
        <v>22786</v>
      </c>
      <c r="E6822">
        <v>1</v>
      </c>
      <c r="F6822" t="s">
        <v>22583</v>
      </c>
      <c r="G6822" t="s">
        <v>22478</v>
      </c>
      <c r="H6822" t="s">
        <v>22785</v>
      </c>
      <c r="I6822" t="s">
        <v>22787</v>
      </c>
    </row>
    <row r="6823" spans="1:9">
      <c r="A6823" t="str">
        <f>"0199537 "</f>
        <v xml:space="preserve">0199537 </v>
      </c>
      <c r="B6823" t="s">
        <v>22478</v>
      </c>
      <c r="C6823" t="s">
        <v>22788</v>
      </c>
      <c r="D6823" t="s">
        <v>22789</v>
      </c>
      <c r="E6823">
        <v>2</v>
      </c>
      <c r="F6823" t="s">
        <v>22790</v>
      </c>
      <c r="G6823" t="s">
        <v>22478</v>
      </c>
      <c r="H6823" t="s">
        <v>22788</v>
      </c>
      <c r="I6823" t="s">
        <v>11946</v>
      </c>
    </row>
    <row r="6824" spans="1:9">
      <c r="A6824" t="str">
        <f>"0199545 "</f>
        <v xml:space="preserve">0199545 </v>
      </c>
      <c r="B6824" t="s">
        <v>22478</v>
      </c>
      <c r="C6824" t="s">
        <v>22791</v>
      </c>
      <c r="D6824" t="s">
        <v>22792</v>
      </c>
      <c r="E6824">
        <v>1</v>
      </c>
      <c r="F6824" t="s">
        <v>22586</v>
      </c>
      <c r="G6824" t="s">
        <v>22478</v>
      </c>
      <c r="H6824" t="s">
        <v>22791</v>
      </c>
      <c r="I6824" t="s">
        <v>18791</v>
      </c>
    </row>
    <row r="6825" spans="1:9">
      <c r="A6825" t="str">
        <f>"0199585 "</f>
        <v xml:space="preserve">0199585 </v>
      </c>
      <c r="B6825" t="s">
        <v>22478</v>
      </c>
      <c r="C6825" t="s">
        <v>22793</v>
      </c>
      <c r="D6825" t="s">
        <v>22794</v>
      </c>
      <c r="E6825">
        <v>2</v>
      </c>
      <c r="F6825" t="s">
        <v>22795</v>
      </c>
      <c r="G6825" t="s">
        <v>22478</v>
      </c>
      <c r="H6825" t="s">
        <v>22793</v>
      </c>
      <c r="I6825" t="s">
        <v>22796</v>
      </c>
    </row>
    <row r="6826" spans="1:9">
      <c r="A6826" t="str">
        <f>"0199588 "</f>
        <v xml:space="preserve">0199588 </v>
      </c>
      <c r="B6826" t="s">
        <v>22478</v>
      </c>
      <c r="C6826" t="s">
        <v>22797</v>
      </c>
      <c r="D6826" t="s">
        <v>22798</v>
      </c>
      <c r="E6826">
        <v>1</v>
      </c>
      <c r="F6826" t="s">
        <v>22799</v>
      </c>
      <c r="G6826" t="s">
        <v>22478</v>
      </c>
      <c r="H6826" t="s">
        <v>22797</v>
      </c>
      <c r="I6826" t="s">
        <v>22800</v>
      </c>
    </row>
    <row r="6827" spans="1:9">
      <c r="A6827" t="str">
        <f>"0204433 "</f>
        <v xml:space="preserve">0204433 </v>
      </c>
      <c r="B6827" t="s">
        <v>22478</v>
      </c>
      <c r="C6827" t="s">
        <v>22801</v>
      </c>
      <c r="D6827" t="s">
        <v>22802</v>
      </c>
      <c r="E6827">
        <v>1</v>
      </c>
      <c r="F6827" t="s">
        <v>22803</v>
      </c>
      <c r="G6827" t="s">
        <v>22478</v>
      </c>
      <c r="H6827" t="s">
        <v>22801</v>
      </c>
      <c r="I6827" t="s">
        <v>22804</v>
      </c>
    </row>
    <row r="6828" spans="1:9">
      <c r="A6828" t="str">
        <f>"0199623 "</f>
        <v xml:space="preserve">0199623 </v>
      </c>
      <c r="B6828" t="s">
        <v>22478</v>
      </c>
      <c r="C6828" t="s">
        <v>22805</v>
      </c>
      <c r="D6828" t="s">
        <v>22806</v>
      </c>
      <c r="E6828">
        <v>1</v>
      </c>
      <c r="F6828" t="s">
        <v>22807</v>
      </c>
      <c r="G6828" t="s">
        <v>22478</v>
      </c>
      <c r="H6828" t="s">
        <v>22805</v>
      </c>
      <c r="I6828" t="s">
        <v>761</v>
      </c>
    </row>
    <row r="6829" spans="1:9">
      <c r="A6829" t="str">
        <f>"0199624 "</f>
        <v xml:space="preserve">0199624 </v>
      </c>
      <c r="B6829" t="s">
        <v>22478</v>
      </c>
      <c r="C6829" t="s">
        <v>22808</v>
      </c>
      <c r="D6829" t="s">
        <v>22809</v>
      </c>
      <c r="E6829">
        <v>1</v>
      </c>
      <c r="F6829" t="s">
        <v>22810</v>
      </c>
      <c r="G6829" t="s">
        <v>22478</v>
      </c>
      <c r="H6829" t="s">
        <v>22808</v>
      </c>
      <c r="I6829" t="s">
        <v>769</v>
      </c>
    </row>
    <row r="6830" spans="1:9">
      <c r="A6830" t="str">
        <f>"0199631 "</f>
        <v xml:space="preserve">0199631 </v>
      </c>
      <c r="B6830" t="s">
        <v>22478</v>
      </c>
      <c r="C6830" t="s">
        <v>22811</v>
      </c>
      <c r="D6830" t="s">
        <v>22812</v>
      </c>
      <c r="E6830">
        <v>1</v>
      </c>
      <c r="F6830" t="s">
        <v>22813</v>
      </c>
      <c r="G6830" t="s">
        <v>22478</v>
      </c>
      <c r="H6830" t="s">
        <v>22811</v>
      </c>
      <c r="I6830" t="s">
        <v>785</v>
      </c>
    </row>
    <row r="6831" spans="1:9">
      <c r="A6831" t="str">
        <f>"0199655 "</f>
        <v xml:space="preserve">0199655 </v>
      </c>
      <c r="B6831" t="s">
        <v>22478</v>
      </c>
      <c r="C6831" t="s">
        <v>22814</v>
      </c>
      <c r="D6831" t="s">
        <v>22815</v>
      </c>
      <c r="E6831">
        <v>2</v>
      </c>
      <c r="F6831" t="s">
        <v>22816</v>
      </c>
      <c r="G6831" t="s">
        <v>22478</v>
      </c>
      <c r="H6831" t="s">
        <v>22814</v>
      </c>
      <c r="I6831" t="s">
        <v>22817</v>
      </c>
    </row>
    <row r="6832" spans="1:9">
      <c r="A6832" t="str">
        <f>"0199661 "</f>
        <v xml:space="preserve">0199661 </v>
      </c>
      <c r="B6832" t="s">
        <v>22478</v>
      </c>
      <c r="C6832" t="s">
        <v>22818</v>
      </c>
      <c r="D6832" t="s">
        <v>22819</v>
      </c>
      <c r="E6832">
        <v>1</v>
      </c>
      <c r="F6832" t="s">
        <v>22820</v>
      </c>
      <c r="G6832" t="s">
        <v>22478</v>
      </c>
      <c r="H6832" t="s">
        <v>22818</v>
      </c>
      <c r="I6832" t="s">
        <v>843</v>
      </c>
    </row>
    <row r="6833" spans="1:9">
      <c r="A6833" t="str">
        <f>"0199663 "</f>
        <v xml:space="preserve">0199663 </v>
      </c>
      <c r="B6833" t="s">
        <v>22478</v>
      </c>
      <c r="C6833" t="s">
        <v>22821</v>
      </c>
      <c r="D6833" t="s">
        <v>22822</v>
      </c>
      <c r="E6833">
        <v>2</v>
      </c>
      <c r="F6833" t="s">
        <v>22823</v>
      </c>
      <c r="G6833" t="s">
        <v>22478</v>
      </c>
      <c r="H6833" t="s">
        <v>22821</v>
      </c>
      <c r="I6833" t="s">
        <v>22824</v>
      </c>
    </row>
    <row r="6834" spans="1:9">
      <c r="A6834" t="str">
        <f>"0199669 "</f>
        <v xml:space="preserve">0199669 </v>
      </c>
      <c r="B6834" t="s">
        <v>22478</v>
      </c>
      <c r="C6834" t="s">
        <v>22825</v>
      </c>
      <c r="D6834" t="s">
        <v>22826</v>
      </c>
      <c r="E6834">
        <v>1</v>
      </c>
      <c r="F6834" t="s">
        <v>10540</v>
      </c>
      <c r="G6834" t="s">
        <v>22478</v>
      </c>
      <c r="H6834" t="s">
        <v>22825</v>
      </c>
      <c r="I6834" t="s">
        <v>22827</v>
      </c>
    </row>
    <row r="6835" spans="1:9">
      <c r="A6835" t="str">
        <f>"0199697 "</f>
        <v xml:space="preserve">0199697 </v>
      </c>
      <c r="B6835" t="s">
        <v>22478</v>
      </c>
      <c r="C6835" t="s">
        <v>22828</v>
      </c>
      <c r="D6835" t="s">
        <v>22829</v>
      </c>
      <c r="E6835">
        <v>1</v>
      </c>
      <c r="F6835" t="s">
        <v>22830</v>
      </c>
      <c r="G6835" t="s">
        <v>22478</v>
      </c>
      <c r="H6835" t="s">
        <v>22828</v>
      </c>
      <c r="I6835" t="s">
        <v>22831</v>
      </c>
    </row>
    <row r="6836" spans="1:9">
      <c r="A6836" t="str">
        <f>"0199714 "</f>
        <v xml:space="preserve">0199714 </v>
      </c>
      <c r="B6836" t="s">
        <v>22478</v>
      </c>
      <c r="C6836" t="s">
        <v>22832</v>
      </c>
      <c r="D6836" t="s">
        <v>22833</v>
      </c>
      <c r="E6836">
        <v>1</v>
      </c>
      <c r="F6836" t="s">
        <v>10817</v>
      </c>
      <c r="G6836" t="s">
        <v>22478</v>
      </c>
      <c r="H6836" t="s">
        <v>22832</v>
      </c>
      <c r="I6836" t="s">
        <v>707</v>
      </c>
    </row>
    <row r="6837" spans="1:9">
      <c r="A6837" t="str">
        <f>"0199722 "</f>
        <v xml:space="preserve">0199722 </v>
      </c>
      <c r="B6837" t="s">
        <v>22478</v>
      </c>
      <c r="C6837" t="s">
        <v>22834</v>
      </c>
      <c r="D6837" t="s">
        <v>22835</v>
      </c>
      <c r="E6837">
        <v>1</v>
      </c>
      <c r="F6837" t="s">
        <v>22836</v>
      </c>
      <c r="G6837" t="s">
        <v>22478</v>
      </c>
      <c r="H6837" t="s">
        <v>22834</v>
      </c>
      <c r="I6837" t="s">
        <v>22837</v>
      </c>
    </row>
    <row r="6838" spans="1:9">
      <c r="A6838" t="str">
        <f>"0199748 "</f>
        <v xml:space="preserve">0199748 </v>
      </c>
      <c r="B6838" t="s">
        <v>22478</v>
      </c>
      <c r="C6838" t="s">
        <v>22838</v>
      </c>
      <c r="D6838" t="s">
        <v>22839</v>
      </c>
      <c r="E6838">
        <v>4</v>
      </c>
      <c r="F6838" t="s">
        <v>22840</v>
      </c>
      <c r="G6838" t="s">
        <v>22478</v>
      </c>
      <c r="H6838" t="s">
        <v>22838</v>
      </c>
      <c r="I6838" t="s">
        <v>765</v>
      </c>
    </row>
    <row r="6839" spans="1:9">
      <c r="A6839" t="str">
        <f>"0199762 "</f>
        <v xml:space="preserve">0199762 </v>
      </c>
      <c r="B6839" t="s">
        <v>22478</v>
      </c>
      <c r="C6839" t="s">
        <v>22841</v>
      </c>
      <c r="D6839" t="s">
        <v>22842</v>
      </c>
      <c r="E6839">
        <v>1</v>
      </c>
      <c r="F6839" t="s">
        <v>22843</v>
      </c>
      <c r="G6839" t="s">
        <v>22478</v>
      </c>
      <c r="H6839" t="s">
        <v>22841</v>
      </c>
      <c r="I6839" t="s">
        <v>22844</v>
      </c>
    </row>
    <row r="6840" spans="1:9">
      <c r="A6840" t="str">
        <f>"0199771 "</f>
        <v xml:space="preserve">0199771 </v>
      </c>
      <c r="B6840" t="s">
        <v>22478</v>
      </c>
      <c r="C6840" t="s">
        <v>22845</v>
      </c>
      <c r="D6840" t="s">
        <v>22846</v>
      </c>
      <c r="E6840" t="s">
        <v>16</v>
      </c>
      <c r="F6840" t="s">
        <v>22847</v>
      </c>
      <c r="G6840" t="s">
        <v>22478</v>
      </c>
      <c r="H6840" t="s">
        <v>22845</v>
      </c>
      <c r="I6840" t="s">
        <v>11761</v>
      </c>
    </row>
    <row r="6841" spans="1:9">
      <c r="A6841" t="str">
        <f>"0203199 "</f>
        <v xml:space="preserve">0203199 </v>
      </c>
      <c r="B6841" t="s">
        <v>22478</v>
      </c>
      <c r="C6841" t="s">
        <v>22848</v>
      </c>
      <c r="D6841" t="s">
        <v>22849</v>
      </c>
      <c r="E6841">
        <v>1</v>
      </c>
      <c r="F6841" t="s">
        <v>22850</v>
      </c>
      <c r="G6841" t="s">
        <v>22478</v>
      </c>
      <c r="H6841" t="s">
        <v>22848</v>
      </c>
      <c r="I6841" t="s">
        <v>22851</v>
      </c>
    </row>
    <row r="6842" spans="1:9">
      <c r="A6842" t="str">
        <f>"0199786 "</f>
        <v xml:space="preserve">0199786 </v>
      </c>
      <c r="B6842" t="s">
        <v>22478</v>
      </c>
      <c r="C6842" t="s">
        <v>22852</v>
      </c>
      <c r="D6842" t="s">
        <v>22853</v>
      </c>
      <c r="E6842">
        <v>2</v>
      </c>
      <c r="F6842" t="s">
        <v>22854</v>
      </c>
      <c r="G6842" t="s">
        <v>22478</v>
      </c>
      <c r="H6842" t="s">
        <v>22852</v>
      </c>
      <c r="I6842" t="s">
        <v>22855</v>
      </c>
    </row>
    <row r="6843" spans="1:9">
      <c r="A6843" t="str">
        <f>"0199789 "</f>
        <v xml:space="preserve">0199789 </v>
      </c>
      <c r="B6843" t="s">
        <v>22478</v>
      </c>
      <c r="C6843" t="s">
        <v>22856</v>
      </c>
      <c r="D6843" t="s">
        <v>22857</v>
      </c>
      <c r="E6843">
        <v>2</v>
      </c>
      <c r="F6843" t="s">
        <v>22858</v>
      </c>
      <c r="G6843" t="s">
        <v>22478</v>
      </c>
      <c r="H6843" t="s">
        <v>22856</v>
      </c>
      <c r="I6843" t="s">
        <v>1118</v>
      </c>
    </row>
    <row r="6844" spans="1:9">
      <c r="A6844" t="str">
        <f>"0199791 "</f>
        <v xml:space="preserve">0199791 </v>
      </c>
      <c r="B6844" t="s">
        <v>22478</v>
      </c>
      <c r="C6844" t="s">
        <v>22859</v>
      </c>
      <c r="D6844" t="s">
        <v>22860</v>
      </c>
      <c r="E6844">
        <v>1</v>
      </c>
      <c r="F6844" t="s">
        <v>22850</v>
      </c>
      <c r="G6844" t="s">
        <v>22478</v>
      </c>
      <c r="H6844" t="s">
        <v>22859</v>
      </c>
      <c r="I6844" t="s">
        <v>1148</v>
      </c>
    </row>
    <row r="6845" spans="1:9">
      <c r="A6845" t="str">
        <f>"0199794 "</f>
        <v xml:space="preserve">0199794 </v>
      </c>
      <c r="B6845" t="s">
        <v>22478</v>
      </c>
      <c r="C6845" t="s">
        <v>22861</v>
      </c>
      <c r="D6845" t="s">
        <v>22862</v>
      </c>
      <c r="E6845">
        <v>1</v>
      </c>
      <c r="F6845" t="s">
        <v>22863</v>
      </c>
      <c r="G6845" t="s">
        <v>22478</v>
      </c>
      <c r="H6845" t="s">
        <v>22861</v>
      </c>
      <c r="I6845" t="s">
        <v>1271</v>
      </c>
    </row>
    <row r="6846" spans="1:9">
      <c r="A6846" t="str">
        <f>"0199795 "</f>
        <v xml:space="preserve">0199795 </v>
      </c>
      <c r="B6846" t="s">
        <v>22478</v>
      </c>
      <c r="C6846" t="s">
        <v>22864</v>
      </c>
      <c r="D6846" t="s">
        <v>22865</v>
      </c>
      <c r="E6846">
        <v>1</v>
      </c>
      <c r="F6846" t="s">
        <v>22866</v>
      </c>
      <c r="G6846" t="s">
        <v>22478</v>
      </c>
      <c r="H6846" t="s">
        <v>22864</v>
      </c>
      <c r="I6846" t="s">
        <v>22867</v>
      </c>
    </row>
    <row r="6847" spans="1:9">
      <c r="A6847" t="str">
        <f>"0199796 "</f>
        <v xml:space="preserve">0199796 </v>
      </c>
      <c r="B6847" t="s">
        <v>22478</v>
      </c>
      <c r="C6847" t="s">
        <v>22868</v>
      </c>
      <c r="D6847" t="s">
        <v>22869</v>
      </c>
      <c r="E6847">
        <v>2</v>
      </c>
      <c r="F6847" t="s">
        <v>22870</v>
      </c>
      <c r="G6847" t="s">
        <v>22478</v>
      </c>
      <c r="H6847" t="s">
        <v>22868</v>
      </c>
      <c r="I6847" t="s">
        <v>22871</v>
      </c>
    </row>
    <row r="6848" spans="1:9">
      <c r="A6848" t="str">
        <f>"0199802 "</f>
        <v xml:space="preserve">0199802 </v>
      </c>
      <c r="B6848" t="s">
        <v>22478</v>
      </c>
      <c r="C6848" t="s">
        <v>22872</v>
      </c>
      <c r="D6848" t="s">
        <v>22873</v>
      </c>
      <c r="E6848">
        <v>5</v>
      </c>
      <c r="F6848" t="s">
        <v>22874</v>
      </c>
      <c r="G6848" t="s">
        <v>22478</v>
      </c>
      <c r="H6848" t="s">
        <v>22872</v>
      </c>
      <c r="I6848" t="s">
        <v>22875</v>
      </c>
    </row>
    <row r="6849" spans="1:9">
      <c r="A6849" t="str">
        <f>"0199807 "</f>
        <v xml:space="preserve">0199807 </v>
      </c>
      <c r="B6849" t="s">
        <v>22478</v>
      </c>
      <c r="C6849" t="s">
        <v>22876</v>
      </c>
      <c r="D6849" t="s">
        <v>22877</v>
      </c>
      <c r="E6849">
        <v>3</v>
      </c>
      <c r="F6849" t="s">
        <v>10309</v>
      </c>
      <c r="G6849" t="s">
        <v>22478</v>
      </c>
      <c r="H6849" t="s">
        <v>22876</v>
      </c>
      <c r="I6849" t="s">
        <v>1154</v>
      </c>
    </row>
    <row r="6850" spans="1:9">
      <c r="A6850" t="str">
        <f>"0199808 "</f>
        <v xml:space="preserve">0199808 </v>
      </c>
      <c r="B6850" t="s">
        <v>22478</v>
      </c>
      <c r="C6850" t="s">
        <v>22878</v>
      </c>
      <c r="D6850" t="s">
        <v>22879</v>
      </c>
      <c r="E6850">
        <v>1</v>
      </c>
      <c r="F6850" t="s">
        <v>22880</v>
      </c>
      <c r="G6850" t="s">
        <v>22478</v>
      </c>
      <c r="H6850" t="s">
        <v>22878</v>
      </c>
      <c r="I6850" t="s">
        <v>22881</v>
      </c>
    </row>
    <row r="6851" spans="1:9">
      <c r="A6851" t="str">
        <f>"0199810 "</f>
        <v xml:space="preserve">0199810 </v>
      </c>
      <c r="B6851" t="s">
        <v>22478</v>
      </c>
      <c r="C6851" t="s">
        <v>22882</v>
      </c>
      <c r="D6851" t="s">
        <v>22883</v>
      </c>
      <c r="E6851">
        <v>3</v>
      </c>
      <c r="F6851" t="s">
        <v>22884</v>
      </c>
      <c r="G6851" t="s">
        <v>22478</v>
      </c>
      <c r="H6851" t="s">
        <v>22882</v>
      </c>
      <c r="I6851" t="s">
        <v>1165</v>
      </c>
    </row>
    <row r="6852" spans="1:9">
      <c r="A6852" t="str">
        <f>"0199812 "</f>
        <v xml:space="preserve">0199812 </v>
      </c>
      <c r="B6852" t="s">
        <v>22478</v>
      </c>
      <c r="C6852" t="s">
        <v>22885</v>
      </c>
      <c r="D6852" t="s">
        <v>22886</v>
      </c>
      <c r="E6852">
        <v>1</v>
      </c>
      <c r="F6852" t="s">
        <v>22887</v>
      </c>
      <c r="G6852" t="s">
        <v>22478</v>
      </c>
      <c r="H6852" t="s">
        <v>22885</v>
      </c>
      <c r="I6852" t="s">
        <v>22888</v>
      </c>
    </row>
    <row r="6853" spans="1:9">
      <c r="A6853" t="str">
        <f>"0199814 "</f>
        <v xml:space="preserve">0199814 </v>
      </c>
      <c r="B6853" t="s">
        <v>22478</v>
      </c>
      <c r="C6853" t="s">
        <v>22889</v>
      </c>
      <c r="D6853" t="s">
        <v>22890</v>
      </c>
      <c r="E6853">
        <v>2</v>
      </c>
      <c r="F6853" t="s">
        <v>15938</v>
      </c>
      <c r="G6853" t="s">
        <v>22478</v>
      </c>
      <c r="H6853" t="s">
        <v>22889</v>
      </c>
      <c r="I6853" t="s">
        <v>22891</v>
      </c>
    </row>
    <row r="6854" spans="1:9">
      <c r="A6854" t="str">
        <f>"0199818 "</f>
        <v xml:space="preserve">0199818 </v>
      </c>
      <c r="B6854" t="s">
        <v>22478</v>
      </c>
      <c r="C6854" t="s">
        <v>22892</v>
      </c>
      <c r="D6854" t="s">
        <v>22893</v>
      </c>
      <c r="E6854">
        <v>1</v>
      </c>
      <c r="F6854" t="s">
        <v>22894</v>
      </c>
      <c r="G6854" t="s">
        <v>22478</v>
      </c>
      <c r="H6854" t="s">
        <v>22892</v>
      </c>
      <c r="I6854" t="s">
        <v>1299</v>
      </c>
    </row>
    <row r="6855" spans="1:9">
      <c r="A6855" t="str">
        <f>"0199820 "</f>
        <v xml:space="preserve">0199820 </v>
      </c>
      <c r="B6855" t="s">
        <v>22478</v>
      </c>
      <c r="C6855" t="s">
        <v>22895</v>
      </c>
      <c r="D6855" t="s">
        <v>22896</v>
      </c>
      <c r="E6855">
        <v>1</v>
      </c>
      <c r="F6855" t="s">
        <v>22897</v>
      </c>
      <c r="G6855" t="s">
        <v>22478</v>
      </c>
      <c r="H6855" t="s">
        <v>22895</v>
      </c>
      <c r="I6855" t="s">
        <v>1137</v>
      </c>
    </row>
    <row r="6856" spans="1:9">
      <c r="A6856" t="str">
        <f>"0199821 "</f>
        <v xml:space="preserve">0199821 </v>
      </c>
      <c r="B6856" t="s">
        <v>22478</v>
      </c>
      <c r="C6856" t="s">
        <v>22898</v>
      </c>
      <c r="D6856" t="s">
        <v>22899</v>
      </c>
      <c r="E6856">
        <v>2</v>
      </c>
      <c r="F6856" t="s">
        <v>262</v>
      </c>
      <c r="G6856" t="s">
        <v>22478</v>
      </c>
      <c r="H6856" t="s">
        <v>22898</v>
      </c>
      <c r="I6856" t="s">
        <v>11716</v>
      </c>
    </row>
    <row r="6857" spans="1:9">
      <c r="A6857" t="str">
        <f>"0199826 "</f>
        <v xml:space="preserve">0199826 </v>
      </c>
      <c r="B6857" t="s">
        <v>22478</v>
      </c>
      <c r="C6857" t="s">
        <v>22900</v>
      </c>
      <c r="D6857" t="s">
        <v>22901</v>
      </c>
      <c r="E6857">
        <v>3</v>
      </c>
      <c r="F6857" t="s">
        <v>22902</v>
      </c>
      <c r="G6857" t="s">
        <v>22478</v>
      </c>
      <c r="H6857" t="s">
        <v>22900</v>
      </c>
      <c r="I6857" t="s">
        <v>22903</v>
      </c>
    </row>
    <row r="6858" spans="1:9">
      <c r="A6858" t="str">
        <f>"0199827 "</f>
        <v xml:space="preserve">0199827 </v>
      </c>
      <c r="B6858" t="s">
        <v>22478</v>
      </c>
      <c r="C6858" t="s">
        <v>22904</v>
      </c>
      <c r="D6858" t="s">
        <v>22905</v>
      </c>
      <c r="E6858">
        <v>4</v>
      </c>
      <c r="F6858" t="s">
        <v>11672</v>
      </c>
      <c r="G6858" t="s">
        <v>22478</v>
      </c>
      <c r="H6858" t="s">
        <v>22904</v>
      </c>
      <c r="I6858" t="s">
        <v>22906</v>
      </c>
    </row>
    <row r="6859" spans="1:9">
      <c r="A6859" t="str">
        <f>"0199832 "</f>
        <v xml:space="preserve">0199832 </v>
      </c>
      <c r="B6859" t="s">
        <v>22478</v>
      </c>
      <c r="C6859" t="s">
        <v>22907</v>
      </c>
      <c r="D6859" t="s">
        <v>22908</v>
      </c>
      <c r="E6859">
        <v>1</v>
      </c>
      <c r="F6859" t="s">
        <v>10352</v>
      </c>
      <c r="G6859" t="s">
        <v>22478</v>
      </c>
      <c r="H6859" t="s">
        <v>22907</v>
      </c>
      <c r="I6859" t="s">
        <v>22909</v>
      </c>
    </row>
    <row r="6860" spans="1:9">
      <c r="A6860" t="str">
        <f>"0199834 "</f>
        <v xml:space="preserve">0199834 </v>
      </c>
      <c r="B6860" t="s">
        <v>22478</v>
      </c>
      <c r="C6860" t="s">
        <v>22910</v>
      </c>
      <c r="D6860" t="s">
        <v>22911</v>
      </c>
      <c r="E6860">
        <v>2</v>
      </c>
      <c r="F6860" t="s">
        <v>22912</v>
      </c>
      <c r="G6860" t="s">
        <v>22478</v>
      </c>
      <c r="H6860" t="s">
        <v>22910</v>
      </c>
      <c r="I6860" t="s">
        <v>22913</v>
      </c>
    </row>
    <row r="6861" spans="1:9">
      <c r="A6861" t="str">
        <f>"0199842 "</f>
        <v xml:space="preserve">0199842 </v>
      </c>
      <c r="B6861" t="s">
        <v>22478</v>
      </c>
      <c r="C6861" t="s">
        <v>22914</v>
      </c>
      <c r="D6861" t="s">
        <v>22915</v>
      </c>
      <c r="E6861">
        <v>2</v>
      </c>
      <c r="F6861" t="s">
        <v>10494</v>
      </c>
      <c r="G6861" t="s">
        <v>22478</v>
      </c>
      <c r="H6861" t="s">
        <v>22914</v>
      </c>
      <c r="I6861" t="s">
        <v>22916</v>
      </c>
    </row>
    <row r="6862" spans="1:9">
      <c r="A6862" t="str">
        <f>"0199843 "</f>
        <v xml:space="preserve">0199843 </v>
      </c>
      <c r="B6862" t="s">
        <v>22478</v>
      </c>
      <c r="C6862" t="s">
        <v>22917</v>
      </c>
      <c r="D6862" t="s">
        <v>22918</v>
      </c>
      <c r="E6862">
        <v>1</v>
      </c>
      <c r="F6862" t="s">
        <v>22919</v>
      </c>
      <c r="G6862" t="s">
        <v>22478</v>
      </c>
      <c r="H6862" t="s">
        <v>22917</v>
      </c>
      <c r="I6862" t="s">
        <v>22920</v>
      </c>
    </row>
    <row r="6863" spans="1:9">
      <c r="A6863" t="str">
        <f>"0199847 "</f>
        <v xml:space="preserve">0199847 </v>
      </c>
      <c r="B6863" t="s">
        <v>22478</v>
      </c>
      <c r="C6863" t="s">
        <v>22921</v>
      </c>
      <c r="D6863" t="s">
        <v>22922</v>
      </c>
      <c r="E6863">
        <v>2</v>
      </c>
      <c r="F6863" t="s">
        <v>10635</v>
      </c>
      <c r="G6863" t="s">
        <v>22478</v>
      </c>
      <c r="H6863" t="s">
        <v>22921</v>
      </c>
      <c r="I6863" t="s">
        <v>22923</v>
      </c>
    </row>
    <row r="6864" spans="1:9">
      <c r="A6864" t="str">
        <f>"0199851 "</f>
        <v xml:space="preserve">0199851 </v>
      </c>
      <c r="B6864" t="s">
        <v>22478</v>
      </c>
      <c r="C6864" t="s">
        <v>22924</v>
      </c>
      <c r="D6864" t="s">
        <v>22925</v>
      </c>
      <c r="E6864" t="s">
        <v>16</v>
      </c>
      <c r="F6864" t="s">
        <v>22926</v>
      </c>
      <c r="G6864" t="s">
        <v>22478</v>
      </c>
      <c r="H6864" t="s">
        <v>22924</v>
      </c>
      <c r="I6864" t="s">
        <v>11776</v>
      </c>
    </row>
    <row r="6865" spans="1:9">
      <c r="A6865" t="str">
        <f>"0199857 "</f>
        <v xml:space="preserve">0199857 </v>
      </c>
      <c r="B6865" t="s">
        <v>22478</v>
      </c>
      <c r="C6865" t="s">
        <v>22927</v>
      </c>
      <c r="D6865" t="s">
        <v>22928</v>
      </c>
      <c r="E6865">
        <v>1</v>
      </c>
      <c r="F6865" t="s">
        <v>22697</v>
      </c>
      <c r="G6865" t="s">
        <v>22478</v>
      </c>
      <c r="H6865" t="s">
        <v>22927</v>
      </c>
      <c r="I6865" t="s">
        <v>1226</v>
      </c>
    </row>
    <row r="6866" spans="1:9">
      <c r="A6866" t="str">
        <f>"0199869 "</f>
        <v xml:space="preserve">0199869 </v>
      </c>
      <c r="B6866" t="s">
        <v>22478</v>
      </c>
      <c r="C6866" t="s">
        <v>22929</v>
      </c>
      <c r="D6866" t="s">
        <v>22930</v>
      </c>
      <c r="E6866">
        <v>2</v>
      </c>
      <c r="F6866" t="s">
        <v>22931</v>
      </c>
      <c r="G6866" t="s">
        <v>22478</v>
      </c>
      <c r="H6866" t="s">
        <v>22929</v>
      </c>
      <c r="I6866" t="s">
        <v>22932</v>
      </c>
    </row>
    <row r="6867" spans="1:9">
      <c r="A6867" t="str">
        <f>"0199872 "</f>
        <v xml:space="preserve">0199872 </v>
      </c>
      <c r="B6867" t="s">
        <v>22478</v>
      </c>
      <c r="C6867" t="s">
        <v>22933</v>
      </c>
      <c r="D6867" t="s">
        <v>22934</v>
      </c>
      <c r="E6867">
        <v>1</v>
      </c>
      <c r="F6867" t="s">
        <v>3948</v>
      </c>
      <c r="G6867" t="s">
        <v>22478</v>
      </c>
      <c r="H6867" t="s">
        <v>22933</v>
      </c>
      <c r="I6867" t="s">
        <v>22935</v>
      </c>
    </row>
    <row r="6868" spans="1:9">
      <c r="A6868" t="str">
        <f>"0199885 "</f>
        <v xml:space="preserve">0199885 </v>
      </c>
      <c r="B6868" t="s">
        <v>22478</v>
      </c>
      <c r="C6868" t="s">
        <v>22936</v>
      </c>
      <c r="D6868" t="s">
        <v>22937</v>
      </c>
      <c r="E6868">
        <v>1</v>
      </c>
      <c r="F6868" t="s">
        <v>22538</v>
      </c>
      <c r="G6868" t="s">
        <v>22478</v>
      </c>
      <c r="H6868" t="s">
        <v>22936</v>
      </c>
      <c r="I6868" t="s">
        <v>22938</v>
      </c>
    </row>
    <row r="6869" spans="1:9">
      <c r="A6869" t="str">
        <f>"0199887 "</f>
        <v xml:space="preserve">0199887 </v>
      </c>
      <c r="B6869" t="s">
        <v>22478</v>
      </c>
      <c r="C6869" t="s">
        <v>22939</v>
      </c>
      <c r="D6869" t="s">
        <v>22940</v>
      </c>
      <c r="E6869">
        <v>2</v>
      </c>
      <c r="F6869" t="s">
        <v>10817</v>
      </c>
      <c r="G6869" t="s">
        <v>22478</v>
      </c>
      <c r="H6869" t="s">
        <v>22939</v>
      </c>
      <c r="I6869" t="s">
        <v>22941</v>
      </c>
    </row>
    <row r="6870" spans="1:9">
      <c r="A6870" t="str">
        <f>"0199923 "</f>
        <v xml:space="preserve">0199923 </v>
      </c>
      <c r="B6870" t="s">
        <v>22478</v>
      </c>
      <c r="C6870" t="s">
        <v>22942</v>
      </c>
      <c r="D6870" t="s">
        <v>22943</v>
      </c>
      <c r="E6870">
        <v>1</v>
      </c>
      <c r="F6870" t="s">
        <v>22850</v>
      </c>
      <c r="G6870" t="s">
        <v>22478</v>
      </c>
      <c r="H6870" t="s">
        <v>22942</v>
      </c>
      <c r="I6870" t="s">
        <v>1279</v>
      </c>
    </row>
    <row r="6871" spans="1:9">
      <c r="A6871" t="str">
        <f>"0199928 "</f>
        <v xml:space="preserve">0199928 </v>
      </c>
      <c r="B6871" t="s">
        <v>22478</v>
      </c>
      <c r="C6871" t="s">
        <v>22944</v>
      </c>
      <c r="D6871" t="s">
        <v>22945</v>
      </c>
      <c r="E6871">
        <v>1</v>
      </c>
      <c r="F6871" t="s">
        <v>11034</v>
      </c>
      <c r="G6871" t="s">
        <v>22478</v>
      </c>
      <c r="H6871" t="s">
        <v>22944</v>
      </c>
      <c r="I6871" t="s">
        <v>22946</v>
      </c>
    </row>
    <row r="6872" spans="1:9">
      <c r="A6872" t="str">
        <f>"0199937 "</f>
        <v xml:space="preserve">0199937 </v>
      </c>
      <c r="B6872" t="s">
        <v>22478</v>
      </c>
      <c r="C6872" t="s">
        <v>22947</v>
      </c>
      <c r="D6872" t="s">
        <v>22948</v>
      </c>
      <c r="E6872">
        <v>1</v>
      </c>
      <c r="F6872" t="s">
        <v>22949</v>
      </c>
      <c r="G6872" t="s">
        <v>22478</v>
      </c>
      <c r="H6872" t="s">
        <v>22947</v>
      </c>
      <c r="I6872" t="s">
        <v>22950</v>
      </c>
    </row>
    <row r="6873" spans="1:9">
      <c r="A6873" t="str">
        <f>"0199954 "</f>
        <v xml:space="preserve">0199954 </v>
      </c>
      <c r="B6873" t="s">
        <v>22478</v>
      </c>
      <c r="C6873" t="s">
        <v>22951</v>
      </c>
      <c r="D6873" t="s">
        <v>22952</v>
      </c>
      <c r="E6873">
        <v>1</v>
      </c>
      <c r="F6873" t="s">
        <v>10443</v>
      </c>
      <c r="G6873" t="s">
        <v>22478</v>
      </c>
      <c r="H6873" t="s">
        <v>22951</v>
      </c>
      <c r="I6873" t="s">
        <v>22953</v>
      </c>
    </row>
    <row r="6874" spans="1:9">
      <c r="A6874" t="str">
        <f>"0199955 "</f>
        <v xml:space="preserve">0199955 </v>
      </c>
      <c r="B6874" t="s">
        <v>22478</v>
      </c>
      <c r="C6874" t="s">
        <v>22954</v>
      </c>
      <c r="D6874" t="s">
        <v>22955</v>
      </c>
      <c r="E6874">
        <v>1</v>
      </c>
      <c r="F6874" t="s">
        <v>22739</v>
      </c>
      <c r="G6874" t="s">
        <v>22478</v>
      </c>
      <c r="H6874" t="s">
        <v>22954</v>
      </c>
      <c r="I6874" t="s">
        <v>22956</v>
      </c>
    </row>
    <row r="6875" spans="1:9">
      <c r="A6875" t="str">
        <f>"0199978 "</f>
        <v xml:space="preserve">0199978 </v>
      </c>
      <c r="B6875" t="s">
        <v>22478</v>
      </c>
      <c r="C6875" t="s">
        <v>22957</v>
      </c>
      <c r="D6875" t="s">
        <v>22958</v>
      </c>
      <c r="E6875">
        <v>1</v>
      </c>
      <c r="F6875" t="s">
        <v>10423</v>
      </c>
      <c r="G6875" t="s">
        <v>22478</v>
      </c>
      <c r="H6875" t="s">
        <v>22957</v>
      </c>
      <c r="I6875" t="s">
        <v>22959</v>
      </c>
    </row>
    <row r="6876" spans="1:9">
      <c r="A6876" t="str">
        <f>"0199982 "</f>
        <v xml:space="preserve">0199982 </v>
      </c>
      <c r="B6876" t="s">
        <v>22478</v>
      </c>
      <c r="C6876" t="s">
        <v>22960</v>
      </c>
      <c r="D6876" t="s">
        <v>22961</v>
      </c>
      <c r="E6876">
        <v>1</v>
      </c>
      <c r="F6876" t="s">
        <v>22962</v>
      </c>
      <c r="G6876" t="s">
        <v>22478</v>
      </c>
      <c r="H6876" t="s">
        <v>22960</v>
      </c>
      <c r="I6876" t="s">
        <v>22963</v>
      </c>
    </row>
    <row r="6877" spans="1:9">
      <c r="A6877" t="str">
        <f>"0199984 "</f>
        <v xml:space="preserve">0199984 </v>
      </c>
      <c r="B6877" t="s">
        <v>22478</v>
      </c>
      <c r="C6877" t="s">
        <v>22964</v>
      </c>
      <c r="D6877" t="s">
        <v>22965</v>
      </c>
      <c r="E6877">
        <v>1</v>
      </c>
      <c r="F6877" t="s">
        <v>22614</v>
      </c>
      <c r="G6877" t="s">
        <v>22478</v>
      </c>
      <c r="H6877" t="s">
        <v>22964</v>
      </c>
      <c r="I6877" t="s">
        <v>22966</v>
      </c>
    </row>
    <row r="6878" spans="1:9">
      <c r="A6878" t="str">
        <f>"0199985 "</f>
        <v xml:space="preserve">0199985 </v>
      </c>
      <c r="B6878" t="s">
        <v>22478</v>
      </c>
      <c r="C6878" t="s">
        <v>22967</v>
      </c>
      <c r="D6878" t="s">
        <v>22968</v>
      </c>
      <c r="E6878">
        <v>2</v>
      </c>
      <c r="F6878" t="s">
        <v>22544</v>
      </c>
      <c r="G6878" t="s">
        <v>22478</v>
      </c>
      <c r="H6878" t="s">
        <v>22967</v>
      </c>
      <c r="I6878" t="s">
        <v>1299</v>
      </c>
    </row>
    <row r="6879" spans="1:9">
      <c r="A6879" t="str">
        <f>"0199993 "</f>
        <v xml:space="preserve">0199993 </v>
      </c>
      <c r="B6879" t="s">
        <v>22478</v>
      </c>
      <c r="C6879" t="s">
        <v>22969</v>
      </c>
      <c r="D6879" t="s">
        <v>22970</v>
      </c>
      <c r="E6879">
        <v>3</v>
      </c>
      <c r="F6879" t="s">
        <v>22850</v>
      </c>
      <c r="G6879" t="s">
        <v>22478</v>
      </c>
      <c r="H6879" t="s">
        <v>22969</v>
      </c>
      <c r="I6879" t="s">
        <v>22971</v>
      </c>
    </row>
    <row r="6880" spans="1:9">
      <c r="A6880" t="str">
        <f>"0199994 "</f>
        <v xml:space="preserve">0199994 </v>
      </c>
      <c r="B6880" t="s">
        <v>22478</v>
      </c>
      <c r="C6880" t="s">
        <v>22972</v>
      </c>
      <c r="D6880" t="s">
        <v>22973</v>
      </c>
      <c r="E6880">
        <v>1</v>
      </c>
      <c r="F6880" t="s">
        <v>22790</v>
      </c>
      <c r="G6880" t="s">
        <v>22478</v>
      </c>
      <c r="H6880" t="s">
        <v>22972</v>
      </c>
      <c r="I6880" t="s">
        <v>22974</v>
      </c>
    </row>
    <row r="6881" spans="1:9">
      <c r="A6881" t="str">
        <f>"0199997 "</f>
        <v xml:space="preserve">0199997 </v>
      </c>
      <c r="B6881" t="s">
        <v>22478</v>
      </c>
      <c r="C6881" t="s">
        <v>22975</v>
      </c>
      <c r="D6881" t="s">
        <v>22976</v>
      </c>
      <c r="E6881">
        <v>1</v>
      </c>
      <c r="F6881" t="s">
        <v>22863</v>
      </c>
      <c r="G6881" t="s">
        <v>22478</v>
      </c>
      <c r="H6881" t="s">
        <v>22975</v>
      </c>
      <c r="I6881" t="s">
        <v>22977</v>
      </c>
    </row>
    <row r="6882" spans="1:9">
      <c r="A6882" t="str">
        <f>"0200009 "</f>
        <v xml:space="preserve">0200009 </v>
      </c>
      <c r="B6882" t="s">
        <v>22478</v>
      </c>
      <c r="C6882" t="s">
        <v>22978</v>
      </c>
      <c r="D6882" t="s">
        <v>22979</v>
      </c>
      <c r="E6882">
        <v>1</v>
      </c>
      <c r="F6882" t="s">
        <v>22980</v>
      </c>
      <c r="G6882" t="s">
        <v>22478</v>
      </c>
      <c r="H6882" t="s">
        <v>22978</v>
      </c>
      <c r="I6882" t="s">
        <v>22981</v>
      </c>
    </row>
    <row r="6883" spans="1:9">
      <c r="A6883" t="str">
        <f>"0200012 "</f>
        <v xml:space="preserve">0200012 </v>
      </c>
      <c r="B6883" t="s">
        <v>22478</v>
      </c>
      <c r="C6883" t="s">
        <v>22982</v>
      </c>
      <c r="D6883" t="s">
        <v>22983</v>
      </c>
      <c r="E6883">
        <v>1</v>
      </c>
      <c r="F6883" t="s">
        <v>22984</v>
      </c>
      <c r="G6883" t="s">
        <v>22478</v>
      </c>
      <c r="H6883" t="s">
        <v>22982</v>
      </c>
      <c r="I6883" t="s">
        <v>22985</v>
      </c>
    </row>
    <row r="6884" spans="1:9">
      <c r="A6884" t="str">
        <f>"0200016 "</f>
        <v xml:space="preserve">0200016 </v>
      </c>
      <c r="B6884" t="s">
        <v>22478</v>
      </c>
      <c r="C6884" t="s">
        <v>22986</v>
      </c>
      <c r="D6884" t="s">
        <v>22987</v>
      </c>
      <c r="E6884">
        <v>1</v>
      </c>
      <c r="F6884" t="s">
        <v>22693</v>
      </c>
      <c r="G6884" t="s">
        <v>22478</v>
      </c>
      <c r="H6884" t="s">
        <v>22986</v>
      </c>
      <c r="I6884" t="s">
        <v>22988</v>
      </c>
    </row>
    <row r="6885" spans="1:9">
      <c r="A6885" t="str">
        <f>"0200027 "</f>
        <v xml:space="preserve">0200027 </v>
      </c>
      <c r="B6885" t="s">
        <v>22478</v>
      </c>
      <c r="C6885" t="s">
        <v>22989</v>
      </c>
      <c r="D6885" t="s">
        <v>22990</v>
      </c>
      <c r="E6885">
        <v>2</v>
      </c>
      <c r="F6885" t="s">
        <v>22991</v>
      </c>
      <c r="G6885" t="s">
        <v>22478</v>
      </c>
      <c r="H6885" t="s">
        <v>22989</v>
      </c>
      <c r="I6885" t="s">
        <v>1233</v>
      </c>
    </row>
    <row r="6886" spans="1:9">
      <c r="A6886" t="str">
        <f>"0200033 "</f>
        <v xml:space="preserve">0200033 </v>
      </c>
      <c r="B6886" t="s">
        <v>22478</v>
      </c>
      <c r="C6886" t="s">
        <v>22992</v>
      </c>
      <c r="D6886" t="s">
        <v>22993</v>
      </c>
      <c r="E6886">
        <v>1</v>
      </c>
      <c r="F6886" t="s">
        <v>22994</v>
      </c>
      <c r="G6886" t="s">
        <v>22478</v>
      </c>
      <c r="H6886" t="s">
        <v>22992</v>
      </c>
      <c r="I6886" t="s">
        <v>22995</v>
      </c>
    </row>
    <row r="6887" spans="1:9">
      <c r="A6887" t="str">
        <f>"0200048 "</f>
        <v xml:space="preserve">0200048 </v>
      </c>
      <c r="B6887" t="s">
        <v>22478</v>
      </c>
      <c r="C6887" t="s">
        <v>22996</v>
      </c>
      <c r="D6887" t="s">
        <v>22997</v>
      </c>
      <c r="E6887">
        <v>1</v>
      </c>
      <c r="F6887" t="s">
        <v>22998</v>
      </c>
      <c r="G6887" t="s">
        <v>22478</v>
      </c>
      <c r="H6887" t="s">
        <v>22996</v>
      </c>
      <c r="I6887" t="s">
        <v>22999</v>
      </c>
    </row>
    <row r="6888" spans="1:9">
      <c r="A6888" t="str">
        <f>"0200061 "</f>
        <v xml:space="preserve">0200061 </v>
      </c>
      <c r="B6888" t="s">
        <v>22478</v>
      </c>
      <c r="C6888" t="s">
        <v>23000</v>
      </c>
      <c r="D6888" t="s">
        <v>23001</v>
      </c>
      <c r="E6888">
        <v>1</v>
      </c>
      <c r="F6888" t="s">
        <v>23002</v>
      </c>
      <c r="G6888" t="s">
        <v>22478</v>
      </c>
      <c r="H6888" t="s">
        <v>23000</v>
      </c>
      <c r="I6888" t="s">
        <v>1334</v>
      </c>
    </row>
    <row r="6889" spans="1:9">
      <c r="A6889" t="str">
        <f>"0200062 "</f>
        <v xml:space="preserve">0200062 </v>
      </c>
      <c r="B6889" t="s">
        <v>22478</v>
      </c>
      <c r="C6889" t="s">
        <v>23003</v>
      </c>
      <c r="D6889" t="s">
        <v>23004</v>
      </c>
      <c r="E6889">
        <v>2</v>
      </c>
      <c r="F6889" t="s">
        <v>10817</v>
      </c>
      <c r="G6889" t="s">
        <v>22478</v>
      </c>
      <c r="H6889" t="s">
        <v>23003</v>
      </c>
      <c r="I6889" t="s">
        <v>1385</v>
      </c>
    </row>
    <row r="6890" spans="1:9">
      <c r="A6890" t="str">
        <f>"0200063 "</f>
        <v xml:space="preserve">0200063 </v>
      </c>
      <c r="B6890" t="s">
        <v>22478</v>
      </c>
      <c r="C6890" t="s">
        <v>23005</v>
      </c>
      <c r="D6890" t="s">
        <v>23006</v>
      </c>
      <c r="E6890" t="s">
        <v>16</v>
      </c>
      <c r="F6890" t="s">
        <v>22816</v>
      </c>
      <c r="G6890" t="s">
        <v>22478</v>
      </c>
      <c r="H6890" t="s">
        <v>23005</v>
      </c>
      <c r="I6890" t="s">
        <v>1377</v>
      </c>
    </row>
    <row r="6891" spans="1:9">
      <c r="A6891" t="str">
        <f>"0200066 "</f>
        <v xml:space="preserve">0200066 </v>
      </c>
      <c r="B6891" t="s">
        <v>22478</v>
      </c>
      <c r="C6891" t="s">
        <v>23007</v>
      </c>
      <c r="D6891" t="s">
        <v>23008</v>
      </c>
      <c r="E6891">
        <v>1</v>
      </c>
      <c r="F6891" t="s">
        <v>22816</v>
      </c>
      <c r="G6891" t="s">
        <v>22478</v>
      </c>
      <c r="H6891" t="s">
        <v>23007</v>
      </c>
      <c r="I6891" t="s">
        <v>23009</v>
      </c>
    </row>
    <row r="6892" spans="1:9">
      <c r="A6892" t="str">
        <f>"0200067 "</f>
        <v xml:space="preserve">0200067 </v>
      </c>
      <c r="B6892" t="s">
        <v>22478</v>
      </c>
      <c r="C6892" t="s">
        <v>23010</v>
      </c>
      <c r="D6892" t="s">
        <v>23011</v>
      </c>
      <c r="E6892">
        <v>2</v>
      </c>
      <c r="F6892" t="s">
        <v>22644</v>
      </c>
      <c r="G6892" t="s">
        <v>22478</v>
      </c>
      <c r="H6892" t="s">
        <v>23010</v>
      </c>
      <c r="I6892" t="s">
        <v>1381</v>
      </c>
    </row>
    <row r="6893" spans="1:9">
      <c r="A6893" t="str">
        <f>"0200069 "</f>
        <v xml:space="preserve">0200069 </v>
      </c>
      <c r="B6893" t="s">
        <v>22478</v>
      </c>
      <c r="C6893" t="s">
        <v>23012</v>
      </c>
      <c r="D6893" t="s">
        <v>23013</v>
      </c>
      <c r="E6893">
        <v>2</v>
      </c>
      <c r="F6893" t="s">
        <v>23014</v>
      </c>
      <c r="G6893" t="s">
        <v>22478</v>
      </c>
      <c r="H6893" t="s">
        <v>23012</v>
      </c>
      <c r="I6893" t="s">
        <v>23015</v>
      </c>
    </row>
    <row r="6894" spans="1:9">
      <c r="A6894" t="str">
        <f>"0200070 "</f>
        <v xml:space="preserve">0200070 </v>
      </c>
      <c r="B6894" t="s">
        <v>22478</v>
      </c>
      <c r="C6894" t="s">
        <v>23016</v>
      </c>
      <c r="D6894" t="s">
        <v>23017</v>
      </c>
      <c r="E6894">
        <v>1</v>
      </c>
      <c r="F6894" t="s">
        <v>23018</v>
      </c>
      <c r="G6894" t="s">
        <v>22478</v>
      </c>
      <c r="H6894" t="s">
        <v>23016</v>
      </c>
      <c r="I6894" t="s">
        <v>23019</v>
      </c>
    </row>
    <row r="6895" spans="1:9">
      <c r="A6895" t="str">
        <f>"0200071 "</f>
        <v xml:space="preserve">0200071 </v>
      </c>
      <c r="B6895" t="s">
        <v>22478</v>
      </c>
      <c r="C6895" t="s">
        <v>23020</v>
      </c>
      <c r="D6895" t="s">
        <v>23021</v>
      </c>
      <c r="E6895">
        <v>3</v>
      </c>
      <c r="F6895" t="s">
        <v>23022</v>
      </c>
      <c r="G6895" t="s">
        <v>22478</v>
      </c>
      <c r="H6895" t="s">
        <v>23020</v>
      </c>
      <c r="I6895" t="s">
        <v>23023</v>
      </c>
    </row>
    <row r="6896" spans="1:9">
      <c r="A6896" t="str">
        <f>"0200072 "</f>
        <v xml:space="preserve">0200072 </v>
      </c>
      <c r="B6896" t="s">
        <v>22478</v>
      </c>
      <c r="C6896" t="s">
        <v>23024</v>
      </c>
      <c r="D6896" t="s">
        <v>23025</v>
      </c>
      <c r="E6896" t="s">
        <v>16</v>
      </c>
      <c r="F6896" t="s">
        <v>23026</v>
      </c>
      <c r="G6896" t="s">
        <v>22478</v>
      </c>
      <c r="H6896" t="s">
        <v>23024</v>
      </c>
      <c r="I6896" t="s">
        <v>11641</v>
      </c>
    </row>
    <row r="6897" spans="1:9">
      <c r="A6897" t="str">
        <f>"0200073 "</f>
        <v xml:space="preserve">0200073 </v>
      </c>
      <c r="B6897" t="s">
        <v>22478</v>
      </c>
      <c r="C6897" t="s">
        <v>23027</v>
      </c>
      <c r="D6897" t="s">
        <v>23028</v>
      </c>
      <c r="E6897">
        <v>4</v>
      </c>
      <c r="F6897" t="s">
        <v>23029</v>
      </c>
      <c r="G6897" t="s">
        <v>22478</v>
      </c>
      <c r="H6897" t="s">
        <v>23027</v>
      </c>
      <c r="I6897" t="s">
        <v>1429</v>
      </c>
    </row>
    <row r="6898" spans="1:9">
      <c r="A6898" t="str">
        <f>"0200074 "</f>
        <v xml:space="preserve">0200074 </v>
      </c>
      <c r="B6898" t="s">
        <v>22478</v>
      </c>
      <c r="C6898" t="s">
        <v>23030</v>
      </c>
      <c r="D6898" t="s">
        <v>23031</v>
      </c>
      <c r="E6898">
        <v>3</v>
      </c>
      <c r="F6898" t="s">
        <v>10403</v>
      </c>
      <c r="G6898" t="s">
        <v>22478</v>
      </c>
      <c r="H6898" t="s">
        <v>23030</v>
      </c>
      <c r="I6898" t="s">
        <v>23032</v>
      </c>
    </row>
    <row r="6899" spans="1:9">
      <c r="A6899" t="str">
        <f>"0200076 "</f>
        <v xml:space="preserve">0200076 </v>
      </c>
      <c r="B6899" t="s">
        <v>22478</v>
      </c>
      <c r="C6899" t="s">
        <v>23033</v>
      </c>
      <c r="D6899" t="s">
        <v>23034</v>
      </c>
      <c r="E6899">
        <v>3</v>
      </c>
      <c r="F6899" t="s">
        <v>23035</v>
      </c>
      <c r="G6899" t="s">
        <v>22478</v>
      </c>
      <c r="H6899" t="s">
        <v>23033</v>
      </c>
      <c r="I6899" t="s">
        <v>23036</v>
      </c>
    </row>
    <row r="6900" spans="1:9">
      <c r="A6900" t="str">
        <f>"0200077 "</f>
        <v xml:space="preserve">0200077 </v>
      </c>
      <c r="B6900" t="s">
        <v>22478</v>
      </c>
      <c r="C6900" t="s">
        <v>23037</v>
      </c>
      <c r="D6900" t="s">
        <v>23038</v>
      </c>
      <c r="E6900">
        <v>2</v>
      </c>
      <c r="F6900" t="s">
        <v>23039</v>
      </c>
      <c r="G6900" t="s">
        <v>22478</v>
      </c>
      <c r="H6900" t="s">
        <v>23037</v>
      </c>
      <c r="I6900" t="s">
        <v>23040</v>
      </c>
    </row>
    <row r="6901" spans="1:9">
      <c r="A6901" t="str">
        <f>"0200079 "</f>
        <v xml:space="preserve">0200079 </v>
      </c>
      <c r="B6901" t="s">
        <v>22478</v>
      </c>
      <c r="C6901" t="s">
        <v>23041</v>
      </c>
      <c r="D6901" t="s">
        <v>23042</v>
      </c>
      <c r="E6901">
        <v>2</v>
      </c>
      <c r="F6901" t="s">
        <v>23043</v>
      </c>
      <c r="G6901" t="s">
        <v>22478</v>
      </c>
      <c r="H6901" t="s">
        <v>23041</v>
      </c>
      <c r="I6901" t="s">
        <v>23044</v>
      </c>
    </row>
    <row r="6902" spans="1:9">
      <c r="A6902" t="str">
        <f>"0200080 "</f>
        <v xml:space="preserve">0200080 </v>
      </c>
      <c r="B6902" t="s">
        <v>22478</v>
      </c>
      <c r="C6902" t="s">
        <v>23045</v>
      </c>
      <c r="D6902" t="s">
        <v>23046</v>
      </c>
      <c r="E6902">
        <v>5</v>
      </c>
      <c r="F6902" t="s">
        <v>23047</v>
      </c>
      <c r="G6902" t="s">
        <v>22478</v>
      </c>
      <c r="H6902" t="s">
        <v>23045</v>
      </c>
      <c r="I6902" t="s">
        <v>23048</v>
      </c>
    </row>
    <row r="6903" spans="1:9">
      <c r="A6903" t="str">
        <f>"0200081 "</f>
        <v xml:space="preserve">0200081 </v>
      </c>
      <c r="B6903" t="s">
        <v>22478</v>
      </c>
      <c r="C6903" t="s">
        <v>23049</v>
      </c>
      <c r="D6903" t="s">
        <v>23050</v>
      </c>
      <c r="E6903">
        <v>5</v>
      </c>
      <c r="F6903" t="s">
        <v>10817</v>
      </c>
      <c r="G6903" t="s">
        <v>22478</v>
      </c>
      <c r="H6903" t="s">
        <v>23049</v>
      </c>
      <c r="I6903" t="s">
        <v>23051</v>
      </c>
    </row>
    <row r="6904" spans="1:9">
      <c r="A6904" t="str">
        <f>"0200084 "</f>
        <v xml:space="preserve">0200084 </v>
      </c>
      <c r="B6904" t="s">
        <v>22478</v>
      </c>
      <c r="C6904" t="s">
        <v>23052</v>
      </c>
      <c r="D6904" t="s">
        <v>23053</v>
      </c>
      <c r="E6904">
        <v>1</v>
      </c>
      <c r="F6904" t="s">
        <v>22843</v>
      </c>
      <c r="G6904" t="s">
        <v>22478</v>
      </c>
      <c r="H6904" t="s">
        <v>23052</v>
      </c>
      <c r="I6904" t="s">
        <v>23054</v>
      </c>
    </row>
    <row r="6905" spans="1:9">
      <c r="A6905" t="str">
        <f>"0200085 "</f>
        <v xml:space="preserve">0200085 </v>
      </c>
      <c r="B6905" t="s">
        <v>22478</v>
      </c>
      <c r="C6905" t="s">
        <v>23055</v>
      </c>
      <c r="D6905" t="s">
        <v>23056</v>
      </c>
      <c r="E6905">
        <v>2</v>
      </c>
      <c r="F6905" t="s">
        <v>23057</v>
      </c>
      <c r="G6905" t="s">
        <v>22478</v>
      </c>
      <c r="H6905" t="s">
        <v>23055</v>
      </c>
      <c r="I6905" t="s">
        <v>11657</v>
      </c>
    </row>
    <row r="6906" spans="1:9">
      <c r="A6906" t="str">
        <f>"0200088 "</f>
        <v xml:space="preserve">0200088 </v>
      </c>
      <c r="B6906" t="s">
        <v>22478</v>
      </c>
      <c r="C6906" t="s">
        <v>23058</v>
      </c>
      <c r="D6906" t="s">
        <v>23059</v>
      </c>
      <c r="E6906">
        <v>2</v>
      </c>
      <c r="F6906" t="s">
        <v>23060</v>
      </c>
      <c r="G6906" t="s">
        <v>22478</v>
      </c>
      <c r="H6906" t="s">
        <v>23058</v>
      </c>
      <c r="I6906" t="s">
        <v>23061</v>
      </c>
    </row>
    <row r="6907" spans="1:9">
      <c r="A6907" t="str">
        <f>"0200095 "</f>
        <v xml:space="preserve">0200095 </v>
      </c>
      <c r="B6907" t="s">
        <v>22478</v>
      </c>
      <c r="C6907" t="s">
        <v>23062</v>
      </c>
      <c r="D6907" t="s">
        <v>23063</v>
      </c>
      <c r="E6907">
        <v>1</v>
      </c>
      <c r="F6907" t="s">
        <v>23064</v>
      </c>
      <c r="G6907" t="s">
        <v>22478</v>
      </c>
      <c r="H6907" t="s">
        <v>23062</v>
      </c>
      <c r="I6907" t="s">
        <v>23065</v>
      </c>
    </row>
    <row r="6908" spans="1:9">
      <c r="A6908" t="str">
        <f>"0200110 "</f>
        <v xml:space="preserve">0200110 </v>
      </c>
      <c r="B6908" t="s">
        <v>22478</v>
      </c>
      <c r="C6908" t="s">
        <v>23066</v>
      </c>
      <c r="D6908" t="s">
        <v>23067</v>
      </c>
      <c r="E6908">
        <v>1</v>
      </c>
      <c r="F6908" t="s">
        <v>23068</v>
      </c>
      <c r="G6908" t="s">
        <v>22478</v>
      </c>
      <c r="H6908" t="s">
        <v>23066</v>
      </c>
      <c r="I6908" t="s">
        <v>23069</v>
      </c>
    </row>
    <row r="6909" spans="1:9">
      <c r="A6909" t="str">
        <f>"0200113 "</f>
        <v xml:space="preserve">0200113 </v>
      </c>
      <c r="B6909" t="s">
        <v>22478</v>
      </c>
      <c r="C6909" t="s">
        <v>23070</v>
      </c>
      <c r="D6909" t="s">
        <v>23071</v>
      </c>
      <c r="E6909">
        <v>1</v>
      </c>
      <c r="F6909" t="s">
        <v>10153</v>
      </c>
      <c r="G6909" t="s">
        <v>22478</v>
      </c>
      <c r="H6909" t="s">
        <v>23070</v>
      </c>
      <c r="I6909" t="s">
        <v>23072</v>
      </c>
    </row>
    <row r="6910" spans="1:9">
      <c r="A6910" t="str">
        <f>"0200114 "</f>
        <v xml:space="preserve">0200114 </v>
      </c>
      <c r="B6910" t="s">
        <v>22478</v>
      </c>
      <c r="C6910" t="s">
        <v>23073</v>
      </c>
      <c r="D6910" t="s">
        <v>23074</v>
      </c>
      <c r="E6910">
        <v>2</v>
      </c>
      <c r="F6910" t="s">
        <v>23075</v>
      </c>
      <c r="G6910" t="s">
        <v>22478</v>
      </c>
      <c r="H6910" t="s">
        <v>23073</v>
      </c>
      <c r="I6910" t="s">
        <v>23076</v>
      </c>
    </row>
    <row r="6911" spans="1:9">
      <c r="A6911" t="str">
        <f>"0200117 "</f>
        <v xml:space="preserve">0200117 </v>
      </c>
      <c r="B6911" t="s">
        <v>22478</v>
      </c>
      <c r="C6911" t="s">
        <v>23077</v>
      </c>
      <c r="D6911" t="s">
        <v>23078</v>
      </c>
      <c r="E6911">
        <v>3</v>
      </c>
      <c r="F6911" t="s">
        <v>10817</v>
      </c>
      <c r="G6911" t="s">
        <v>22478</v>
      </c>
      <c r="H6911" t="s">
        <v>23077</v>
      </c>
      <c r="I6911" t="s">
        <v>23079</v>
      </c>
    </row>
    <row r="6912" spans="1:9">
      <c r="A6912" t="str">
        <f>"0200120 "</f>
        <v xml:space="preserve">0200120 </v>
      </c>
      <c r="B6912" t="s">
        <v>22478</v>
      </c>
      <c r="C6912" t="s">
        <v>23080</v>
      </c>
      <c r="D6912" t="s">
        <v>23081</v>
      </c>
      <c r="E6912">
        <v>1</v>
      </c>
      <c r="F6912" t="s">
        <v>23082</v>
      </c>
      <c r="G6912" t="s">
        <v>22478</v>
      </c>
      <c r="H6912" t="s">
        <v>23080</v>
      </c>
      <c r="I6912" t="s">
        <v>23083</v>
      </c>
    </row>
    <row r="6913" spans="1:9">
      <c r="A6913" t="str">
        <f>"0200127 "</f>
        <v xml:space="preserve">0200127 </v>
      </c>
      <c r="B6913" t="s">
        <v>22478</v>
      </c>
      <c r="C6913" t="s">
        <v>23084</v>
      </c>
      <c r="D6913" t="s">
        <v>23085</v>
      </c>
      <c r="E6913">
        <v>1</v>
      </c>
      <c r="F6913" t="s">
        <v>23086</v>
      </c>
      <c r="G6913" t="s">
        <v>22478</v>
      </c>
      <c r="H6913" t="s">
        <v>23084</v>
      </c>
      <c r="I6913" t="s">
        <v>23087</v>
      </c>
    </row>
    <row r="6914" spans="1:9">
      <c r="A6914" t="str">
        <f>"0200130 "</f>
        <v xml:space="preserve">0200130 </v>
      </c>
      <c r="B6914" t="s">
        <v>22478</v>
      </c>
      <c r="C6914" t="s">
        <v>23088</v>
      </c>
      <c r="D6914" t="s">
        <v>23089</v>
      </c>
      <c r="E6914">
        <v>1</v>
      </c>
      <c r="F6914" t="s">
        <v>10776</v>
      </c>
      <c r="G6914" t="s">
        <v>22478</v>
      </c>
      <c r="H6914" t="s">
        <v>23088</v>
      </c>
      <c r="I6914" t="s">
        <v>1453</v>
      </c>
    </row>
    <row r="6915" spans="1:9">
      <c r="A6915" t="str">
        <f>"0200133 "</f>
        <v xml:space="preserve">0200133 </v>
      </c>
      <c r="B6915" t="s">
        <v>22478</v>
      </c>
      <c r="C6915" t="s">
        <v>23090</v>
      </c>
      <c r="D6915" t="s">
        <v>23091</v>
      </c>
      <c r="E6915" t="s">
        <v>16</v>
      </c>
      <c r="F6915" t="s">
        <v>23092</v>
      </c>
      <c r="G6915" t="s">
        <v>22478</v>
      </c>
      <c r="H6915" t="s">
        <v>23090</v>
      </c>
      <c r="I6915" t="s">
        <v>11489</v>
      </c>
    </row>
    <row r="6916" spans="1:9">
      <c r="A6916" t="str">
        <f>"0200136 "</f>
        <v xml:space="preserve">0200136 </v>
      </c>
      <c r="B6916" t="s">
        <v>22478</v>
      </c>
      <c r="C6916" t="s">
        <v>23093</v>
      </c>
      <c r="D6916" t="s">
        <v>23094</v>
      </c>
      <c r="E6916">
        <v>4</v>
      </c>
      <c r="F6916" t="s">
        <v>23022</v>
      </c>
      <c r="G6916" t="s">
        <v>22478</v>
      </c>
      <c r="H6916" t="s">
        <v>23093</v>
      </c>
      <c r="I6916" t="s">
        <v>23095</v>
      </c>
    </row>
    <row r="6917" spans="1:9">
      <c r="A6917" t="str">
        <f>"0200138 "</f>
        <v xml:space="preserve">0200138 </v>
      </c>
      <c r="B6917" t="s">
        <v>22478</v>
      </c>
      <c r="C6917" t="s">
        <v>23096</v>
      </c>
      <c r="D6917" t="s">
        <v>23097</v>
      </c>
      <c r="E6917">
        <v>5</v>
      </c>
      <c r="F6917" t="s">
        <v>23098</v>
      </c>
      <c r="G6917" t="s">
        <v>22478</v>
      </c>
      <c r="H6917" t="s">
        <v>23096</v>
      </c>
      <c r="I6917" t="s">
        <v>11551</v>
      </c>
    </row>
    <row r="6918" spans="1:9">
      <c r="A6918" t="str">
        <f>"0200139 "</f>
        <v xml:space="preserve">0200139 </v>
      </c>
      <c r="B6918" t="s">
        <v>22478</v>
      </c>
      <c r="C6918" t="s">
        <v>23099</v>
      </c>
      <c r="D6918" t="s">
        <v>23100</v>
      </c>
      <c r="E6918">
        <v>1</v>
      </c>
      <c r="F6918" t="s">
        <v>10336</v>
      </c>
      <c r="G6918" t="s">
        <v>22478</v>
      </c>
      <c r="H6918" t="s">
        <v>23099</v>
      </c>
      <c r="I6918" t="s">
        <v>23101</v>
      </c>
    </row>
    <row r="6919" spans="1:9">
      <c r="A6919" t="str">
        <f>"0200140 "</f>
        <v xml:space="preserve">0200140 </v>
      </c>
      <c r="B6919" t="s">
        <v>22478</v>
      </c>
      <c r="C6919" t="s">
        <v>23102</v>
      </c>
      <c r="D6919" t="s">
        <v>23103</v>
      </c>
      <c r="E6919">
        <v>1</v>
      </c>
      <c r="F6919" t="s">
        <v>22725</v>
      </c>
      <c r="G6919" t="s">
        <v>22478</v>
      </c>
      <c r="H6919" t="s">
        <v>23102</v>
      </c>
      <c r="I6919" t="s">
        <v>23104</v>
      </c>
    </row>
    <row r="6920" spans="1:9">
      <c r="A6920" t="str">
        <f>"0200141 "</f>
        <v xml:space="preserve">0200141 </v>
      </c>
      <c r="B6920" t="s">
        <v>22478</v>
      </c>
      <c r="C6920" t="s">
        <v>23105</v>
      </c>
      <c r="D6920" t="s">
        <v>23106</v>
      </c>
      <c r="E6920">
        <v>2</v>
      </c>
      <c r="F6920" t="s">
        <v>23107</v>
      </c>
      <c r="G6920" t="s">
        <v>22478</v>
      </c>
      <c r="H6920" t="s">
        <v>23105</v>
      </c>
      <c r="I6920" t="s">
        <v>11418</v>
      </c>
    </row>
    <row r="6921" spans="1:9">
      <c r="A6921" t="str">
        <f>"0200142 "</f>
        <v xml:space="preserve">0200142 </v>
      </c>
      <c r="B6921" t="s">
        <v>22478</v>
      </c>
      <c r="C6921" t="s">
        <v>23108</v>
      </c>
      <c r="D6921" t="s">
        <v>23109</v>
      </c>
      <c r="E6921">
        <v>1</v>
      </c>
      <c r="F6921" t="s">
        <v>23110</v>
      </c>
      <c r="G6921" t="s">
        <v>22478</v>
      </c>
      <c r="H6921" t="s">
        <v>23108</v>
      </c>
      <c r="I6921" t="s">
        <v>23111</v>
      </c>
    </row>
    <row r="6922" spans="1:9">
      <c r="A6922" t="str">
        <f>"0200146 "</f>
        <v xml:space="preserve">0200146 </v>
      </c>
      <c r="B6922" t="s">
        <v>22478</v>
      </c>
      <c r="C6922" t="s">
        <v>23112</v>
      </c>
      <c r="D6922" t="s">
        <v>23113</v>
      </c>
      <c r="E6922">
        <v>1</v>
      </c>
      <c r="F6922" t="s">
        <v>23114</v>
      </c>
      <c r="G6922" t="s">
        <v>22478</v>
      </c>
      <c r="H6922" t="s">
        <v>23112</v>
      </c>
      <c r="I6922" t="s">
        <v>23115</v>
      </c>
    </row>
    <row r="6923" spans="1:9">
      <c r="A6923" t="str">
        <f>"0200150 "</f>
        <v xml:space="preserve">0200150 </v>
      </c>
      <c r="B6923" t="s">
        <v>22478</v>
      </c>
      <c r="C6923" t="s">
        <v>23116</v>
      </c>
      <c r="D6923" t="s">
        <v>23117</v>
      </c>
      <c r="E6923">
        <v>3</v>
      </c>
      <c r="F6923" t="s">
        <v>23118</v>
      </c>
      <c r="G6923" t="s">
        <v>22478</v>
      </c>
      <c r="H6923" t="s">
        <v>23116</v>
      </c>
      <c r="I6923" t="s">
        <v>11531</v>
      </c>
    </row>
    <row r="6924" spans="1:9">
      <c r="A6924" t="str">
        <f>"0200151 "</f>
        <v xml:space="preserve">0200151 </v>
      </c>
      <c r="B6924" t="s">
        <v>22478</v>
      </c>
      <c r="C6924" t="s">
        <v>23119</v>
      </c>
      <c r="D6924" t="s">
        <v>23120</v>
      </c>
      <c r="E6924">
        <v>1</v>
      </c>
      <c r="F6924" t="s">
        <v>23121</v>
      </c>
      <c r="G6924" t="s">
        <v>22478</v>
      </c>
      <c r="H6924" t="s">
        <v>23119</v>
      </c>
      <c r="I6924" t="s">
        <v>23122</v>
      </c>
    </row>
    <row r="6925" spans="1:9">
      <c r="A6925" t="str">
        <f>"0200155 "</f>
        <v xml:space="preserve">0200155 </v>
      </c>
      <c r="B6925" t="s">
        <v>22478</v>
      </c>
      <c r="C6925" t="s">
        <v>23123</v>
      </c>
      <c r="D6925" t="s">
        <v>23124</v>
      </c>
      <c r="E6925">
        <v>3</v>
      </c>
      <c r="F6925" t="s">
        <v>23125</v>
      </c>
      <c r="G6925" t="s">
        <v>22478</v>
      </c>
      <c r="H6925" t="s">
        <v>23123</v>
      </c>
      <c r="I6925" t="s">
        <v>23126</v>
      </c>
    </row>
    <row r="6926" spans="1:9">
      <c r="A6926" t="str">
        <f>"0200156 "</f>
        <v xml:space="preserve">0200156 </v>
      </c>
      <c r="B6926" t="s">
        <v>22478</v>
      </c>
      <c r="C6926" t="s">
        <v>23127</v>
      </c>
      <c r="D6926" t="s">
        <v>23128</v>
      </c>
      <c r="E6926">
        <v>1</v>
      </c>
      <c r="F6926" t="s">
        <v>23129</v>
      </c>
      <c r="G6926" t="s">
        <v>22478</v>
      </c>
      <c r="H6926" t="s">
        <v>23127</v>
      </c>
      <c r="I6926" t="s">
        <v>23130</v>
      </c>
    </row>
    <row r="6927" spans="1:9">
      <c r="A6927" t="str">
        <f>"0200158 "</f>
        <v xml:space="preserve">0200158 </v>
      </c>
      <c r="B6927" t="s">
        <v>22478</v>
      </c>
      <c r="C6927" t="s">
        <v>23131</v>
      </c>
      <c r="D6927" t="s">
        <v>23132</v>
      </c>
      <c r="E6927">
        <v>1</v>
      </c>
      <c r="F6927" t="s">
        <v>23133</v>
      </c>
      <c r="G6927" t="s">
        <v>22478</v>
      </c>
      <c r="H6927" t="s">
        <v>23131</v>
      </c>
      <c r="I6927" t="s">
        <v>23134</v>
      </c>
    </row>
    <row r="6928" spans="1:9">
      <c r="A6928" t="str">
        <f>"0200160 "</f>
        <v xml:space="preserve">0200160 </v>
      </c>
      <c r="B6928" t="s">
        <v>22478</v>
      </c>
      <c r="C6928" t="s">
        <v>23135</v>
      </c>
      <c r="D6928" t="s">
        <v>23136</v>
      </c>
      <c r="E6928">
        <v>1</v>
      </c>
      <c r="F6928" t="s">
        <v>23137</v>
      </c>
      <c r="G6928" t="s">
        <v>22478</v>
      </c>
      <c r="H6928" t="s">
        <v>23135</v>
      </c>
      <c r="I6928" t="s">
        <v>23138</v>
      </c>
    </row>
    <row r="6929" spans="1:9">
      <c r="A6929" t="str">
        <f>"0200167 "</f>
        <v xml:space="preserve">0200167 </v>
      </c>
      <c r="B6929" t="s">
        <v>22478</v>
      </c>
      <c r="C6929" t="s">
        <v>23139</v>
      </c>
      <c r="D6929" t="s">
        <v>23140</v>
      </c>
      <c r="E6929">
        <v>1</v>
      </c>
      <c r="F6929" t="s">
        <v>10544</v>
      </c>
      <c r="G6929" t="s">
        <v>22478</v>
      </c>
      <c r="H6929" t="s">
        <v>23139</v>
      </c>
      <c r="I6929" t="s">
        <v>23141</v>
      </c>
    </row>
    <row r="6930" spans="1:9">
      <c r="A6930" t="str">
        <f>"0200172 "</f>
        <v xml:space="preserve">0200172 </v>
      </c>
      <c r="B6930" t="s">
        <v>22478</v>
      </c>
      <c r="C6930" t="s">
        <v>23142</v>
      </c>
      <c r="D6930" t="s">
        <v>23143</v>
      </c>
      <c r="E6930">
        <v>2</v>
      </c>
      <c r="F6930" t="s">
        <v>23144</v>
      </c>
      <c r="G6930" t="s">
        <v>22478</v>
      </c>
      <c r="H6930" t="s">
        <v>23142</v>
      </c>
      <c r="I6930" t="s">
        <v>1352</v>
      </c>
    </row>
    <row r="6931" spans="1:9">
      <c r="A6931" t="str">
        <f>"0200176 "</f>
        <v xml:space="preserve">0200176 </v>
      </c>
      <c r="B6931" t="s">
        <v>22478</v>
      </c>
      <c r="C6931" t="s">
        <v>23145</v>
      </c>
      <c r="D6931" t="s">
        <v>23146</v>
      </c>
      <c r="E6931" t="s">
        <v>16</v>
      </c>
      <c r="F6931" t="s">
        <v>23147</v>
      </c>
      <c r="G6931" t="s">
        <v>22478</v>
      </c>
      <c r="H6931" t="s">
        <v>23145</v>
      </c>
      <c r="I6931" t="s">
        <v>23148</v>
      </c>
    </row>
    <row r="6932" spans="1:9">
      <c r="A6932" t="str">
        <f>"0200178 "</f>
        <v xml:space="preserve">0200178 </v>
      </c>
      <c r="B6932" t="s">
        <v>22478</v>
      </c>
      <c r="C6932" t="s">
        <v>23149</v>
      </c>
      <c r="D6932" t="s">
        <v>23150</v>
      </c>
      <c r="E6932">
        <v>1</v>
      </c>
      <c r="F6932" t="s">
        <v>23151</v>
      </c>
      <c r="G6932" t="s">
        <v>22478</v>
      </c>
      <c r="H6932" t="s">
        <v>23149</v>
      </c>
      <c r="I6932" t="s">
        <v>23152</v>
      </c>
    </row>
    <row r="6933" spans="1:9">
      <c r="A6933" t="str">
        <f>"0200186 "</f>
        <v xml:space="preserve">0200186 </v>
      </c>
      <c r="B6933" t="s">
        <v>22478</v>
      </c>
      <c r="C6933" t="s">
        <v>23153</v>
      </c>
      <c r="D6933" t="s">
        <v>23154</v>
      </c>
      <c r="E6933">
        <v>1</v>
      </c>
      <c r="F6933" t="s">
        <v>23155</v>
      </c>
      <c r="G6933" t="s">
        <v>22478</v>
      </c>
      <c r="H6933" t="s">
        <v>23153</v>
      </c>
      <c r="I6933" t="s">
        <v>23156</v>
      </c>
    </row>
    <row r="6934" spans="1:9">
      <c r="A6934" t="str">
        <f>"0200187 "</f>
        <v xml:space="preserve">0200187 </v>
      </c>
      <c r="B6934" t="s">
        <v>22478</v>
      </c>
      <c r="C6934" t="s">
        <v>23157</v>
      </c>
      <c r="D6934" t="s">
        <v>23158</v>
      </c>
      <c r="E6934">
        <v>5</v>
      </c>
      <c r="F6934" t="s">
        <v>14640</v>
      </c>
      <c r="G6934" t="s">
        <v>22478</v>
      </c>
      <c r="H6934" t="s">
        <v>23157</v>
      </c>
      <c r="I6934" t="s">
        <v>11613</v>
      </c>
    </row>
    <row r="6935" spans="1:9">
      <c r="A6935" t="str">
        <f>"0200190 "</f>
        <v xml:space="preserve">0200190 </v>
      </c>
      <c r="B6935" t="s">
        <v>22478</v>
      </c>
      <c r="C6935" t="s">
        <v>23159</v>
      </c>
      <c r="D6935" t="s">
        <v>23160</v>
      </c>
      <c r="E6935">
        <v>1</v>
      </c>
      <c r="F6935" t="s">
        <v>22850</v>
      </c>
      <c r="G6935" t="s">
        <v>22478</v>
      </c>
      <c r="H6935" t="s">
        <v>23159</v>
      </c>
      <c r="I6935" t="s">
        <v>23161</v>
      </c>
    </row>
    <row r="6936" spans="1:9">
      <c r="A6936" t="str">
        <f>"0200193 "</f>
        <v xml:space="preserve">0200193 </v>
      </c>
      <c r="B6936" t="s">
        <v>22478</v>
      </c>
      <c r="C6936" t="s">
        <v>23162</v>
      </c>
      <c r="D6936" t="s">
        <v>23163</v>
      </c>
      <c r="E6936">
        <v>1</v>
      </c>
      <c r="F6936" t="s">
        <v>23164</v>
      </c>
      <c r="G6936" t="s">
        <v>22478</v>
      </c>
      <c r="H6936" t="s">
        <v>23162</v>
      </c>
      <c r="I6936" t="s">
        <v>23165</v>
      </c>
    </row>
    <row r="6937" spans="1:9">
      <c r="A6937" t="str">
        <f>"0200196 "</f>
        <v xml:space="preserve">0200196 </v>
      </c>
      <c r="B6937" t="s">
        <v>22478</v>
      </c>
      <c r="C6937" t="s">
        <v>23166</v>
      </c>
      <c r="D6937" t="s">
        <v>23167</v>
      </c>
      <c r="E6937">
        <v>1</v>
      </c>
      <c r="F6937" t="s">
        <v>22894</v>
      </c>
      <c r="G6937" t="s">
        <v>22478</v>
      </c>
      <c r="H6937" t="s">
        <v>23166</v>
      </c>
      <c r="I6937" t="s">
        <v>23168</v>
      </c>
    </row>
    <row r="6938" spans="1:9">
      <c r="A6938" t="str">
        <f>"0200201 "</f>
        <v xml:space="preserve">0200201 </v>
      </c>
      <c r="B6938" t="s">
        <v>22478</v>
      </c>
      <c r="C6938" t="s">
        <v>23169</v>
      </c>
      <c r="D6938" t="s">
        <v>23170</v>
      </c>
      <c r="E6938">
        <v>3</v>
      </c>
      <c r="F6938" t="s">
        <v>23171</v>
      </c>
      <c r="G6938" t="s">
        <v>22478</v>
      </c>
      <c r="H6938" t="s">
        <v>23169</v>
      </c>
      <c r="I6938" t="s">
        <v>23172</v>
      </c>
    </row>
    <row r="6939" spans="1:9">
      <c r="A6939" t="str">
        <f>"0200203 "</f>
        <v xml:space="preserve">0200203 </v>
      </c>
      <c r="B6939" t="s">
        <v>22478</v>
      </c>
      <c r="C6939" t="s">
        <v>23173</v>
      </c>
      <c r="D6939" t="s">
        <v>23174</v>
      </c>
      <c r="E6939">
        <v>1</v>
      </c>
      <c r="F6939" t="s">
        <v>23175</v>
      </c>
      <c r="G6939" t="s">
        <v>22478</v>
      </c>
      <c r="H6939" t="s">
        <v>23173</v>
      </c>
      <c r="I6939" t="s">
        <v>23176</v>
      </c>
    </row>
    <row r="6940" spans="1:9">
      <c r="A6940" t="str">
        <f>"0200204 "</f>
        <v xml:space="preserve">0200204 </v>
      </c>
      <c r="B6940" t="s">
        <v>22478</v>
      </c>
      <c r="C6940" t="s">
        <v>23177</v>
      </c>
      <c r="D6940" t="s">
        <v>23178</v>
      </c>
      <c r="E6940">
        <v>1</v>
      </c>
      <c r="F6940" t="s">
        <v>23179</v>
      </c>
      <c r="G6940" t="s">
        <v>22478</v>
      </c>
      <c r="H6940" t="s">
        <v>23177</v>
      </c>
      <c r="I6940" t="s">
        <v>23180</v>
      </c>
    </row>
    <row r="6941" spans="1:9">
      <c r="A6941" t="str">
        <f>"0200209 "</f>
        <v xml:space="preserve">0200209 </v>
      </c>
      <c r="B6941" t="s">
        <v>22478</v>
      </c>
      <c r="C6941" t="s">
        <v>23181</v>
      </c>
      <c r="D6941" t="s">
        <v>23182</v>
      </c>
      <c r="E6941">
        <v>2</v>
      </c>
      <c r="F6941" t="s">
        <v>2021</v>
      </c>
      <c r="G6941" t="s">
        <v>22478</v>
      </c>
      <c r="H6941" t="s">
        <v>23181</v>
      </c>
      <c r="I6941" t="s">
        <v>23183</v>
      </c>
    </row>
    <row r="6942" spans="1:9">
      <c r="A6942" t="str">
        <f>"0200216 "</f>
        <v xml:space="preserve">0200216 </v>
      </c>
      <c r="B6942" t="s">
        <v>22478</v>
      </c>
      <c r="C6942" t="s">
        <v>23184</v>
      </c>
      <c r="D6942" t="s">
        <v>23185</v>
      </c>
      <c r="E6942">
        <v>3</v>
      </c>
      <c r="F6942" t="s">
        <v>10544</v>
      </c>
      <c r="G6942" t="s">
        <v>22478</v>
      </c>
      <c r="H6942" t="s">
        <v>23184</v>
      </c>
      <c r="I6942" t="s">
        <v>23186</v>
      </c>
    </row>
    <row r="6943" spans="1:9">
      <c r="A6943" t="str">
        <f>"0200217 "</f>
        <v xml:space="preserve">0200217 </v>
      </c>
      <c r="B6943" t="s">
        <v>22478</v>
      </c>
      <c r="C6943" t="s">
        <v>23187</v>
      </c>
      <c r="D6943" t="s">
        <v>23188</v>
      </c>
      <c r="E6943">
        <v>1</v>
      </c>
      <c r="F6943" t="s">
        <v>23189</v>
      </c>
      <c r="G6943" t="s">
        <v>22478</v>
      </c>
      <c r="H6943" t="s">
        <v>23187</v>
      </c>
      <c r="I6943" t="s">
        <v>11555</v>
      </c>
    </row>
    <row r="6944" spans="1:9">
      <c r="A6944" t="str">
        <f>"0200219 "</f>
        <v xml:space="preserve">0200219 </v>
      </c>
      <c r="B6944" t="s">
        <v>22478</v>
      </c>
      <c r="C6944" t="s">
        <v>23190</v>
      </c>
      <c r="D6944" t="s">
        <v>23191</v>
      </c>
      <c r="E6944">
        <v>2</v>
      </c>
      <c r="F6944" t="s">
        <v>23192</v>
      </c>
      <c r="G6944" t="s">
        <v>22478</v>
      </c>
      <c r="H6944" t="s">
        <v>23190</v>
      </c>
      <c r="I6944" t="s">
        <v>23193</v>
      </c>
    </row>
    <row r="6945" spans="1:9">
      <c r="A6945" t="str">
        <f>"0200231 "</f>
        <v xml:space="preserve">0200231 </v>
      </c>
      <c r="B6945" t="s">
        <v>22478</v>
      </c>
      <c r="C6945" t="s">
        <v>23194</v>
      </c>
      <c r="D6945" t="s">
        <v>23195</v>
      </c>
      <c r="E6945" t="s">
        <v>16</v>
      </c>
      <c r="F6945" t="s">
        <v>23196</v>
      </c>
      <c r="G6945" t="s">
        <v>22478</v>
      </c>
      <c r="H6945" t="s">
        <v>23194</v>
      </c>
      <c r="I6945" t="s">
        <v>23197</v>
      </c>
    </row>
    <row r="6946" spans="1:9">
      <c r="A6946" t="str">
        <f>"0200233 "</f>
        <v xml:space="preserve">0200233 </v>
      </c>
      <c r="B6946" t="s">
        <v>22478</v>
      </c>
      <c r="C6946" t="s">
        <v>23198</v>
      </c>
      <c r="D6946" t="s">
        <v>23199</v>
      </c>
      <c r="E6946">
        <v>1</v>
      </c>
      <c r="F6946" t="s">
        <v>23200</v>
      </c>
      <c r="G6946" t="s">
        <v>22478</v>
      </c>
      <c r="H6946" t="s">
        <v>23198</v>
      </c>
      <c r="I6946" t="s">
        <v>23201</v>
      </c>
    </row>
    <row r="6947" spans="1:9">
      <c r="A6947" t="str">
        <f>"0200234 "</f>
        <v xml:space="preserve">0200234 </v>
      </c>
      <c r="B6947" t="s">
        <v>22478</v>
      </c>
      <c r="C6947" t="s">
        <v>23202</v>
      </c>
      <c r="D6947" t="s">
        <v>23203</v>
      </c>
      <c r="E6947">
        <v>1</v>
      </c>
      <c r="F6947" t="s">
        <v>23204</v>
      </c>
      <c r="G6947" t="s">
        <v>22478</v>
      </c>
      <c r="H6947" t="s">
        <v>23202</v>
      </c>
      <c r="I6947" t="s">
        <v>23205</v>
      </c>
    </row>
    <row r="6948" spans="1:9">
      <c r="A6948" t="str">
        <f>"0200239 "</f>
        <v xml:space="preserve">0200239 </v>
      </c>
      <c r="B6948" t="s">
        <v>22478</v>
      </c>
      <c r="C6948" t="s">
        <v>23206</v>
      </c>
      <c r="D6948" t="s">
        <v>23207</v>
      </c>
      <c r="E6948">
        <v>1</v>
      </c>
      <c r="F6948" t="s">
        <v>23208</v>
      </c>
      <c r="G6948" t="s">
        <v>22478</v>
      </c>
      <c r="H6948" t="s">
        <v>23206</v>
      </c>
      <c r="I6948" t="s">
        <v>23209</v>
      </c>
    </row>
    <row r="6949" spans="1:9">
      <c r="A6949" t="str">
        <f>"0200242 "</f>
        <v xml:space="preserve">0200242 </v>
      </c>
      <c r="B6949" t="s">
        <v>22478</v>
      </c>
      <c r="C6949" t="s">
        <v>23210</v>
      </c>
      <c r="D6949" t="s">
        <v>23211</v>
      </c>
      <c r="E6949">
        <v>1</v>
      </c>
      <c r="F6949" t="s">
        <v>23212</v>
      </c>
      <c r="G6949" t="s">
        <v>22478</v>
      </c>
      <c r="H6949" t="s">
        <v>23210</v>
      </c>
      <c r="I6949" t="s">
        <v>23213</v>
      </c>
    </row>
    <row r="6950" spans="1:9">
      <c r="A6950" t="str">
        <f>"0200244 "</f>
        <v xml:space="preserve">0200244 </v>
      </c>
      <c r="B6950" t="s">
        <v>22478</v>
      </c>
      <c r="C6950" t="s">
        <v>23214</v>
      </c>
      <c r="D6950" t="s">
        <v>23215</v>
      </c>
      <c r="E6950">
        <v>3</v>
      </c>
      <c r="F6950" t="s">
        <v>23216</v>
      </c>
      <c r="G6950" t="s">
        <v>22478</v>
      </c>
      <c r="H6950" t="s">
        <v>23214</v>
      </c>
      <c r="I6950" t="s">
        <v>23217</v>
      </c>
    </row>
    <row r="6951" spans="1:9">
      <c r="A6951" t="str">
        <f>"0200245 "</f>
        <v xml:space="preserve">0200245 </v>
      </c>
      <c r="B6951" t="s">
        <v>22478</v>
      </c>
      <c r="C6951" t="s">
        <v>23218</v>
      </c>
      <c r="D6951" t="s">
        <v>23219</v>
      </c>
      <c r="E6951">
        <v>2</v>
      </c>
      <c r="F6951" t="s">
        <v>23220</v>
      </c>
      <c r="G6951" t="s">
        <v>22478</v>
      </c>
      <c r="H6951" t="s">
        <v>23218</v>
      </c>
      <c r="I6951" t="s">
        <v>11539</v>
      </c>
    </row>
    <row r="6952" spans="1:9">
      <c r="A6952" t="str">
        <f>"0200246 "</f>
        <v xml:space="preserve">0200246 </v>
      </c>
      <c r="B6952" t="s">
        <v>22478</v>
      </c>
      <c r="C6952" t="s">
        <v>23221</v>
      </c>
      <c r="D6952" t="s">
        <v>23222</v>
      </c>
      <c r="E6952">
        <v>2</v>
      </c>
      <c r="F6952" t="s">
        <v>23223</v>
      </c>
      <c r="G6952" t="s">
        <v>22478</v>
      </c>
      <c r="H6952" t="s">
        <v>23221</v>
      </c>
      <c r="I6952" t="s">
        <v>23224</v>
      </c>
    </row>
    <row r="6953" spans="1:9">
      <c r="A6953" t="str">
        <f>"0200249 "</f>
        <v xml:space="preserve">0200249 </v>
      </c>
      <c r="B6953" t="s">
        <v>22478</v>
      </c>
      <c r="C6953" t="s">
        <v>23225</v>
      </c>
      <c r="D6953" t="s">
        <v>23226</v>
      </c>
      <c r="E6953">
        <v>1</v>
      </c>
      <c r="F6953" t="s">
        <v>23227</v>
      </c>
      <c r="G6953" t="s">
        <v>22478</v>
      </c>
      <c r="H6953" t="s">
        <v>23225</v>
      </c>
      <c r="I6953" t="s">
        <v>23228</v>
      </c>
    </row>
    <row r="6954" spans="1:9">
      <c r="A6954" t="str">
        <f>"0200251 "</f>
        <v xml:space="preserve">0200251 </v>
      </c>
      <c r="B6954" t="s">
        <v>22478</v>
      </c>
      <c r="C6954" t="s">
        <v>23229</v>
      </c>
      <c r="D6954" t="s">
        <v>23230</v>
      </c>
      <c r="E6954">
        <v>2</v>
      </c>
      <c r="F6954" t="s">
        <v>23231</v>
      </c>
      <c r="G6954" t="s">
        <v>22478</v>
      </c>
      <c r="H6954" t="s">
        <v>23229</v>
      </c>
      <c r="I6954" t="s">
        <v>23232</v>
      </c>
    </row>
    <row r="6955" spans="1:9">
      <c r="A6955" t="str">
        <f>"0200252 "</f>
        <v xml:space="preserve">0200252 </v>
      </c>
      <c r="B6955" t="s">
        <v>22478</v>
      </c>
      <c r="C6955" t="s">
        <v>23233</v>
      </c>
      <c r="D6955" t="s">
        <v>23234</v>
      </c>
      <c r="E6955">
        <v>1</v>
      </c>
      <c r="F6955" t="s">
        <v>10848</v>
      </c>
      <c r="G6955" t="s">
        <v>22478</v>
      </c>
      <c r="H6955" t="s">
        <v>23233</v>
      </c>
      <c r="I6955" t="s">
        <v>23235</v>
      </c>
    </row>
    <row r="6956" spans="1:9">
      <c r="A6956" t="str">
        <f>"0200254 "</f>
        <v xml:space="preserve">0200254 </v>
      </c>
      <c r="B6956" t="s">
        <v>22478</v>
      </c>
      <c r="C6956" t="s">
        <v>23236</v>
      </c>
      <c r="D6956" t="s">
        <v>23237</v>
      </c>
      <c r="E6956">
        <v>3</v>
      </c>
      <c r="F6956" t="s">
        <v>23238</v>
      </c>
      <c r="G6956" t="s">
        <v>22478</v>
      </c>
      <c r="H6956" t="s">
        <v>23236</v>
      </c>
      <c r="I6956" t="s">
        <v>23239</v>
      </c>
    </row>
    <row r="6957" spans="1:9">
      <c r="A6957" t="str">
        <f>"0200259 "</f>
        <v xml:space="preserve">0200259 </v>
      </c>
      <c r="B6957" t="s">
        <v>22478</v>
      </c>
      <c r="C6957" t="s">
        <v>23240</v>
      </c>
      <c r="D6957" t="s">
        <v>23241</v>
      </c>
      <c r="E6957">
        <v>1</v>
      </c>
      <c r="F6957" t="s">
        <v>23242</v>
      </c>
      <c r="G6957" t="s">
        <v>22478</v>
      </c>
      <c r="H6957" t="s">
        <v>23240</v>
      </c>
      <c r="I6957" t="s">
        <v>23243</v>
      </c>
    </row>
    <row r="6958" spans="1:9">
      <c r="A6958" t="str">
        <f>"0200265 "</f>
        <v xml:space="preserve">0200265 </v>
      </c>
      <c r="B6958" t="s">
        <v>22478</v>
      </c>
      <c r="C6958" t="s">
        <v>23244</v>
      </c>
      <c r="D6958" t="s">
        <v>23245</v>
      </c>
      <c r="E6958" t="s">
        <v>16</v>
      </c>
      <c r="F6958" t="s">
        <v>23227</v>
      </c>
      <c r="G6958" t="s">
        <v>22478</v>
      </c>
      <c r="H6958" t="s">
        <v>23244</v>
      </c>
      <c r="I6958" t="s">
        <v>23246</v>
      </c>
    </row>
    <row r="6959" spans="1:9">
      <c r="A6959" t="str">
        <f>"0200269 "</f>
        <v xml:space="preserve">0200269 </v>
      </c>
      <c r="B6959" t="s">
        <v>22478</v>
      </c>
      <c r="C6959" t="s">
        <v>23247</v>
      </c>
      <c r="D6959" t="s">
        <v>23248</v>
      </c>
      <c r="E6959">
        <v>5</v>
      </c>
      <c r="F6959" t="s">
        <v>23249</v>
      </c>
      <c r="G6959" t="s">
        <v>22478</v>
      </c>
      <c r="H6959" t="s">
        <v>23247</v>
      </c>
      <c r="I6959" t="s">
        <v>23250</v>
      </c>
    </row>
    <row r="6960" spans="1:9">
      <c r="A6960" t="str">
        <f>"0200274 "</f>
        <v xml:space="preserve">0200274 </v>
      </c>
      <c r="B6960" t="s">
        <v>22478</v>
      </c>
      <c r="C6960" t="s">
        <v>23251</v>
      </c>
      <c r="D6960" t="s">
        <v>23252</v>
      </c>
      <c r="E6960">
        <v>2</v>
      </c>
      <c r="F6960" t="s">
        <v>23253</v>
      </c>
      <c r="G6960" t="s">
        <v>22478</v>
      </c>
      <c r="H6960" t="s">
        <v>23251</v>
      </c>
      <c r="I6960" t="s">
        <v>23254</v>
      </c>
    </row>
    <row r="6961" spans="1:9">
      <c r="A6961" t="str">
        <f>"0200277 "</f>
        <v xml:space="preserve">0200277 </v>
      </c>
      <c r="B6961" t="s">
        <v>22478</v>
      </c>
      <c r="C6961" t="s">
        <v>23255</v>
      </c>
      <c r="D6961" t="s">
        <v>23256</v>
      </c>
      <c r="E6961">
        <v>3</v>
      </c>
      <c r="F6961" t="s">
        <v>23257</v>
      </c>
      <c r="G6961" t="s">
        <v>22478</v>
      </c>
      <c r="H6961" t="s">
        <v>23255</v>
      </c>
      <c r="I6961" t="s">
        <v>23258</v>
      </c>
    </row>
    <row r="6962" spans="1:9">
      <c r="A6962" t="str">
        <f>"0200278 "</f>
        <v xml:space="preserve">0200278 </v>
      </c>
      <c r="B6962" t="s">
        <v>22478</v>
      </c>
      <c r="C6962" t="s">
        <v>23259</v>
      </c>
      <c r="D6962" t="s">
        <v>23260</v>
      </c>
      <c r="E6962">
        <v>3</v>
      </c>
      <c r="F6962" t="s">
        <v>23261</v>
      </c>
      <c r="G6962" t="s">
        <v>22478</v>
      </c>
      <c r="H6962" t="s">
        <v>23259</v>
      </c>
      <c r="I6962" t="s">
        <v>23262</v>
      </c>
    </row>
    <row r="6963" spans="1:9">
      <c r="A6963" t="str">
        <f>"0200279 "</f>
        <v xml:space="preserve">0200279 </v>
      </c>
      <c r="B6963" t="s">
        <v>22478</v>
      </c>
      <c r="C6963" t="s">
        <v>23263</v>
      </c>
      <c r="D6963" t="s">
        <v>23264</v>
      </c>
      <c r="E6963">
        <v>1</v>
      </c>
      <c r="F6963" t="s">
        <v>23265</v>
      </c>
      <c r="G6963" t="s">
        <v>22478</v>
      </c>
      <c r="H6963" t="s">
        <v>23263</v>
      </c>
      <c r="I6963" t="s">
        <v>23266</v>
      </c>
    </row>
    <row r="6964" spans="1:9">
      <c r="A6964" t="str">
        <f>"0200283 "</f>
        <v xml:space="preserve">0200283 </v>
      </c>
      <c r="B6964" t="s">
        <v>22478</v>
      </c>
      <c r="C6964" t="s">
        <v>23267</v>
      </c>
      <c r="D6964" t="s">
        <v>23268</v>
      </c>
      <c r="E6964">
        <v>2</v>
      </c>
      <c r="F6964" t="s">
        <v>23269</v>
      </c>
      <c r="G6964" t="s">
        <v>22478</v>
      </c>
      <c r="H6964" t="s">
        <v>23267</v>
      </c>
      <c r="I6964" t="s">
        <v>23270</v>
      </c>
    </row>
    <row r="6965" spans="1:9">
      <c r="A6965" t="str">
        <f>"0200284 "</f>
        <v xml:space="preserve">0200284 </v>
      </c>
      <c r="B6965" t="s">
        <v>22478</v>
      </c>
      <c r="C6965" t="s">
        <v>23271</v>
      </c>
      <c r="D6965" t="s">
        <v>23272</v>
      </c>
      <c r="E6965">
        <v>3</v>
      </c>
      <c r="F6965" t="s">
        <v>23273</v>
      </c>
      <c r="G6965" t="s">
        <v>22478</v>
      </c>
      <c r="H6965" t="s">
        <v>23271</v>
      </c>
      <c r="I6965" t="s">
        <v>23274</v>
      </c>
    </row>
    <row r="6966" spans="1:9">
      <c r="A6966" t="str">
        <f>"0200310 "</f>
        <v xml:space="preserve">0200310 </v>
      </c>
      <c r="B6966" t="s">
        <v>22478</v>
      </c>
      <c r="C6966" t="s">
        <v>23275</v>
      </c>
      <c r="D6966" t="s">
        <v>23276</v>
      </c>
      <c r="E6966">
        <v>2</v>
      </c>
      <c r="F6966" t="s">
        <v>23277</v>
      </c>
      <c r="G6966" t="s">
        <v>22478</v>
      </c>
      <c r="H6966" t="s">
        <v>23275</v>
      </c>
      <c r="I6966" t="s">
        <v>12400</v>
      </c>
    </row>
    <row r="6967" spans="1:9">
      <c r="A6967" t="str">
        <f>"0200311 "</f>
        <v xml:space="preserve">0200311 </v>
      </c>
      <c r="B6967" t="s">
        <v>22478</v>
      </c>
      <c r="C6967" t="s">
        <v>23278</v>
      </c>
      <c r="D6967" t="s">
        <v>23279</v>
      </c>
      <c r="E6967" t="s">
        <v>16</v>
      </c>
      <c r="F6967" t="s">
        <v>23002</v>
      </c>
      <c r="G6967" t="s">
        <v>22478</v>
      </c>
      <c r="H6967" t="s">
        <v>23278</v>
      </c>
      <c r="I6967" t="s">
        <v>1687</v>
      </c>
    </row>
    <row r="6968" spans="1:9">
      <c r="A6968" t="str">
        <f>"0200312 "</f>
        <v xml:space="preserve">0200312 </v>
      </c>
      <c r="B6968" t="s">
        <v>22478</v>
      </c>
      <c r="C6968" t="s">
        <v>23280</v>
      </c>
      <c r="D6968" t="s">
        <v>23281</v>
      </c>
      <c r="E6968">
        <v>1</v>
      </c>
      <c r="F6968" t="s">
        <v>12248</v>
      </c>
      <c r="G6968" t="s">
        <v>22478</v>
      </c>
      <c r="H6968" t="s">
        <v>23280</v>
      </c>
      <c r="I6968" t="s">
        <v>23282</v>
      </c>
    </row>
    <row r="6969" spans="1:9">
      <c r="A6969" t="str">
        <f>"0200313 "</f>
        <v xml:space="preserve">0200313 </v>
      </c>
      <c r="B6969" t="s">
        <v>22478</v>
      </c>
      <c r="C6969" t="s">
        <v>23283</v>
      </c>
      <c r="D6969" t="s">
        <v>23284</v>
      </c>
      <c r="E6969">
        <v>2</v>
      </c>
      <c r="F6969" t="s">
        <v>23285</v>
      </c>
      <c r="G6969" t="s">
        <v>22478</v>
      </c>
      <c r="H6969" t="s">
        <v>23283</v>
      </c>
      <c r="I6969" t="s">
        <v>12342</v>
      </c>
    </row>
    <row r="6970" spans="1:9">
      <c r="A6970" t="str">
        <f>"0200314 "</f>
        <v xml:space="preserve">0200314 </v>
      </c>
      <c r="B6970" t="s">
        <v>22478</v>
      </c>
      <c r="C6970" t="s">
        <v>23286</v>
      </c>
      <c r="D6970" t="s">
        <v>23287</v>
      </c>
      <c r="E6970" t="s">
        <v>16</v>
      </c>
      <c r="F6970" t="s">
        <v>23288</v>
      </c>
      <c r="G6970" t="s">
        <v>22478</v>
      </c>
      <c r="H6970" t="s">
        <v>23286</v>
      </c>
      <c r="I6970" t="s">
        <v>12321</v>
      </c>
    </row>
    <row r="6971" spans="1:9">
      <c r="A6971" t="str">
        <f>"0200315 "</f>
        <v xml:space="preserve">0200315 </v>
      </c>
      <c r="B6971" t="s">
        <v>22478</v>
      </c>
      <c r="C6971" t="s">
        <v>23289</v>
      </c>
      <c r="D6971" t="s">
        <v>23290</v>
      </c>
      <c r="E6971" t="s">
        <v>16</v>
      </c>
      <c r="F6971" t="s">
        <v>10548</v>
      </c>
      <c r="G6971" t="s">
        <v>22478</v>
      </c>
      <c r="H6971" t="s">
        <v>23289</v>
      </c>
      <c r="I6971" t="s">
        <v>12339</v>
      </c>
    </row>
    <row r="6972" spans="1:9">
      <c r="A6972" t="str">
        <f>"0200317 "</f>
        <v xml:space="preserve">0200317 </v>
      </c>
      <c r="B6972" t="s">
        <v>22478</v>
      </c>
      <c r="C6972" t="s">
        <v>23291</v>
      </c>
      <c r="D6972" t="s">
        <v>23292</v>
      </c>
      <c r="E6972">
        <v>4</v>
      </c>
      <c r="F6972" t="s">
        <v>3559</v>
      </c>
      <c r="G6972" t="s">
        <v>22478</v>
      </c>
      <c r="H6972" t="s">
        <v>23291</v>
      </c>
      <c r="I6972" t="s">
        <v>1651</v>
      </c>
    </row>
    <row r="6973" spans="1:9">
      <c r="A6973" t="str">
        <f>"0200319 "</f>
        <v xml:space="preserve">0200319 </v>
      </c>
      <c r="B6973" t="s">
        <v>22478</v>
      </c>
      <c r="C6973" t="s">
        <v>23293</v>
      </c>
      <c r="D6973" t="s">
        <v>23294</v>
      </c>
      <c r="E6973">
        <v>2</v>
      </c>
      <c r="F6973" t="s">
        <v>23295</v>
      </c>
      <c r="G6973" t="s">
        <v>22478</v>
      </c>
      <c r="H6973" t="s">
        <v>23293</v>
      </c>
      <c r="I6973" t="s">
        <v>1621</v>
      </c>
    </row>
    <row r="6974" spans="1:9">
      <c r="A6974" t="str">
        <f>"0200320 "</f>
        <v xml:space="preserve">0200320 </v>
      </c>
      <c r="B6974" t="s">
        <v>22478</v>
      </c>
      <c r="C6974" t="s">
        <v>23296</v>
      </c>
      <c r="D6974" t="s">
        <v>23297</v>
      </c>
      <c r="E6974">
        <v>2</v>
      </c>
      <c r="F6974" t="s">
        <v>23298</v>
      </c>
      <c r="G6974" t="s">
        <v>22478</v>
      </c>
      <c r="H6974" t="s">
        <v>23296</v>
      </c>
      <c r="I6974" t="s">
        <v>12288</v>
      </c>
    </row>
    <row r="6975" spans="1:9">
      <c r="A6975" t="str">
        <f>"0200321 "</f>
        <v xml:space="preserve">0200321 </v>
      </c>
      <c r="B6975" t="s">
        <v>22478</v>
      </c>
      <c r="C6975" t="s">
        <v>23299</v>
      </c>
      <c r="D6975" t="s">
        <v>23300</v>
      </c>
      <c r="E6975">
        <v>3</v>
      </c>
      <c r="F6975" t="s">
        <v>10635</v>
      </c>
      <c r="G6975" t="s">
        <v>22478</v>
      </c>
      <c r="H6975" t="s">
        <v>23299</v>
      </c>
      <c r="I6975" t="s">
        <v>23301</v>
      </c>
    </row>
    <row r="6976" spans="1:9">
      <c r="A6976" t="str">
        <f>"0200327 "</f>
        <v xml:space="preserve">0200327 </v>
      </c>
      <c r="B6976" t="s">
        <v>22478</v>
      </c>
      <c r="C6976" t="s">
        <v>23302</v>
      </c>
      <c r="D6976" t="s">
        <v>23303</v>
      </c>
      <c r="E6976">
        <v>1</v>
      </c>
      <c r="F6976" t="s">
        <v>23175</v>
      </c>
      <c r="G6976" t="s">
        <v>22478</v>
      </c>
      <c r="H6976" t="s">
        <v>23302</v>
      </c>
      <c r="I6976" t="s">
        <v>23304</v>
      </c>
    </row>
    <row r="6977" spans="1:9">
      <c r="A6977" t="str">
        <f>"0200328 "</f>
        <v xml:space="preserve">0200328 </v>
      </c>
      <c r="B6977" t="s">
        <v>22478</v>
      </c>
      <c r="C6977" t="s">
        <v>23305</v>
      </c>
      <c r="D6977" t="s">
        <v>23306</v>
      </c>
      <c r="E6977">
        <v>4</v>
      </c>
      <c r="F6977" t="s">
        <v>19046</v>
      </c>
      <c r="G6977" t="s">
        <v>22478</v>
      </c>
      <c r="H6977" t="s">
        <v>23305</v>
      </c>
      <c r="I6977" t="s">
        <v>12284</v>
      </c>
    </row>
    <row r="6978" spans="1:9">
      <c r="A6978" t="str">
        <f>"0200329 "</f>
        <v xml:space="preserve">0200329 </v>
      </c>
      <c r="B6978" t="s">
        <v>22478</v>
      </c>
      <c r="C6978" t="s">
        <v>23307</v>
      </c>
      <c r="D6978" t="s">
        <v>23308</v>
      </c>
      <c r="E6978">
        <v>1</v>
      </c>
      <c r="F6978" t="s">
        <v>23147</v>
      </c>
      <c r="G6978" t="s">
        <v>22478</v>
      </c>
      <c r="H6978" t="s">
        <v>23307</v>
      </c>
      <c r="I6978" t="s">
        <v>23309</v>
      </c>
    </row>
    <row r="6979" spans="1:9">
      <c r="A6979" t="str">
        <f>"0200330 "</f>
        <v xml:space="preserve">0200330 </v>
      </c>
      <c r="B6979" t="s">
        <v>22478</v>
      </c>
      <c r="C6979" t="s">
        <v>23310</v>
      </c>
      <c r="D6979" t="s">
        <v>23311</v>
      </c>
      <c r="E6979">
        <v>2</v>
      </c>
      <c r="F6979" t="s">
        <v>23312</v>
      </c>
      <c r="G6979" t="s">
        <v>22478</v>
      </c>
      <c r="H6979" t="s">
        <v>23310</v>
      </c>
      <c r="I6979" t="s">
        <v>23313</v>
      </c>
    </row>
    <row r="6980" spans="1:9">
      <c r="A6980" t="str">
        <f>"0200334 "</f>
        <v xml:space="preserve">0200334 </v>
      </c>
      <c r="B6980" t="s">
        <v>22478</v>
      </c>
      <c r="C6980" t="s">
        <v>23314</v>
      </c>
      <c r="D6980" t="s">
        <v>23315</v>
      </c>
      <c r="E6980">
        <v>2</v>
      </c>
      <c r="F6980" t="s">
        <v>23316</v>
      </c>
      <c r="G6980" t="s">
        <v>22478</v>
      </c>
      <c r="H6980" t="s">
        <v>23314</v>
      </c>
      <c r="I6980" t="s">
        <v>1639</v>
      </c>
    </row>
    <row r="6981" spans="1:9">
      <c r="A6981" t="str">
        <f>"0200338 "</f>
        <v xml:space="preserve">0200338 </v>
      </c>
      <c r="B6981" t="s">
        <v>22478</v>
      </c>
      <c r="C6981" t="s">
        <v>23317</v>
      </c>
      <c r="D6981" t="s">
        <v>23318</v>
      </c>
      <c r="E6981">
        <v>1</v>
      </c>
      <c r="F6981" t="s">
        <v>23319</v>
      </c>
      <c r="G6981" t="s">
        <v>22478</v>
      </c>
      <c r="H6981" t="s">
        <v>23317</v>
      </c>
      <c r="I6981" t="s">
        <v>12292</v>
      </c>
    </row>
    <row r="6982" spans="1:9">
      <c r="A6982" t="str">
        <f>"0200340 "</f>
        <v xml:space="preserve">0200340 </v>
      </c>
      <c r="B6982" t="s">
        <v>22478</v>
      </c>
      <c r="C6982" t="s">
        <v>23320</v>
      </c>
      <c r="D6982" t="s">
        <v>23321</v>
      </c>
      <c r="E6982">
        <v>2</v>
      </c>
      <c r="F6982" t="s">
        <v>10821</v>
      </c>
      <c r="G6982" t="s">
        <v>22478</v>
      </c>
      <c r="H6982" t="s">
        <v>23320</v>
      </c>
      <c r="I6982" t="s">
        <v>23322</v>
      </c>
    </row>
    <row r="6983" spans="1:9">
      <c r="A6983" t="str">
        <f>"0200342 "</f>
        <v xml:space="preserve">0200342 </v>
      </c>
      <c r="B6983" t="s">
        <v>22478</v>
      </c>
      <c r="C6983" t="s">
        <v>23323</v>
      </c>
      <c r="D6983" t="s">
        <v>23324</v>
      </c>
      <c r="E6983">
        <v>3</v>
      </c>
      <c r="F6983" t="s">
        <v>22608</v>
      </c>
      <c r="G6983" t="s">
        <v>22478</v>
      </c>
      <c r="H6983" t="s">
        <v>23323</v>
      </c>
      <c r="I6983" t="s">
        <v>12303</v>
      </c>
    </row>
    <row r="6984" spans="1:9">
      <c r="A6984" t="str">
        <f>"0200345 "</f>
        <v xml:space="preserve">0200345 </v>
      </c>
      <c r="B6984" t="s">
        <v>22478</v>
      </c>
      <c r="C6984" t="s">
        <v>23325</v>
      </c>
      <c r="D6984" t="s">
        <v>23326</v>
      </c>
      <c r="E6984">
        <v>3</v>
      </c>
      <c r="F6984" t="s">
        <v>3879</v>
      </c>
      <c r="G6984" t="s">
        <v>22478</v>
      </c>
      <c r="H6984" t="s">
        <v>23325</v>
      </c>
      <c r="I6984" t="s">
        <v>23327</v>
      </c>
    </row>
    <row r="6985" spans="1:9">
      <c r="A6985" t="str">
        <f>"0200346 "</f>
        <v xml:space="preserve">0200346 </v>
      </c>
      <c r="B6985" t="s">
        <v>22478</v>
      </c>
      <c r="C6985" t="s">
        <v>23328</v>
      </c>
      <c r="D6985" t="s">
        <v>23329</v>
      </c>
      <c r="E6985">
        <v>2</v>
      </c>
      <c r="F6985" t="s">
        <v>23175</v>
      </c>
      <c r="G6985" t="s">
        <v>22478</v>
      </c>
      <c r="H6985" t="s">
        <v>23328</v>
      </c>
      <c r="I6985" t="s">
        <v>23330</v>
      </c>
    </row>
    <row r="6986" spans="1:9">
      <c r="A6986" t="str">
        <f>"0200349 "</f>
        <v xml:space="preserve">0200349 </v>
      </c>
      <c r="B6986" t="s">
        <v>22478</v>
      </c>
      <c r="C6986" t="s">
        <v>23331</v>
      </c>
      <c r="D6986" t="s">
        <v>23332</v>
      </c>
      <c r="E6986">
        <v>3</v>
      </c>
      <c r="F6986" t="s">
        <v>22830</v>
      </c>
      <c r="G6986" t="s">
        <v>22478</v>
      </c>
      <c r="H6986" t="s">
        <v>23331</v>
      </c>
      <c r="I6986" t="s">
        <v>21623</v>
      </c>
    </row>
    <row r="6987" spans="1:9">
      <c r="A6987" t="str">
        <f>"0200352 "</f>
        <v xml:space="preserve">0200352 </v>
      </c>
      <c r="B6987" t="s">
        <v>22478</v>
      </c>
      <c r="C6987" t="s">
        <v>23333</v>
      </c>
      <c r="D6987" t="s">
        <v>23334</v>
      </c>
      <c r="E6987">
        <v>1</v>
      </c>
      <c r="F6987" t="s">
        <v>23335</v>
      </c>
      <c r="G6987" t="s">
        <v>22478</v>
      </c>
      <c r="H6987" t="s">
        <v>23333</v>
      </c>
      <c r="I6987" t="s">
        <v>23336</v>
      </c>
    </row>
    <row r="6988" spans="1:9">
      <c r="A6988" t="str">
        <f>"0200353 "</f>
        <v xml:space="preserve">0200353 </v>
      </c>
      <c r="B6988" t="s">
        <v>22478</v>
      </c>
      <c r="C6988" t="s">
        <v>23337</v>
      </c>
      <c r="D6988" t="s">
        <v>23338</v>
      </c>
      <c r="E6988" t="s">
        <v>16</v>
      </c>
      <c r="F6988" t="s">
        <v>10266</v>
      </c>
      <c r="G6988" t="s">
        <v>22478</v>
      </c>
      <c r="H6988" t="s">
        <v>23337</v>
      </c>
      <c r="I6988" t="s">
        <v>23339</v>
      </c>
    </row>
    <row r="6989" spans="1:9">
      <c r="A6989" t="str">
        <f>"0200354 "</f>
        <v xml:space="preserve">0200354 </v>
      </c>
      <c r="B6989" t="s">
        <v>22478</v>
      </c>
      <c r="C6989" t="s">
        <v>23340</v>
      </c>
      <c r="D6989" t="s">
        <v>23341</v>
      </c>
      <c r="E6989">
        <v>4</v>
      </c>
      <c r="F6989" t="s">
        <v>23342</v>
      </c>
      <c r="G6989" t="s">
        <v>22478</v>
      </c>
      <c r="H6989" t="s">
        <v>23340</v>
      </c>
      <c r="I6989" t="s">
        <v>23343</v>
      </c>
    </row>
    <row r="6990" spans="1:9">
      <c r="A6990" t="str">
        <f>"0200355 "</f>
        <v xml:space="preserve">0200355 </v>
      </c>
      <c r="B6990" t="s">
        <v>22478</v>
      </c>
      <c r="C6990" t="s">
        <v>23344</v>
      </c>
      <c r="D6990" t="s">
        <v>23345</v>
      </c>
      <c r="E6990">
        <v>1</v>
      </c>
      <c r="F6990" t="s">
        <v>22690</v>
      </c>
      <c r="G6990" t="s">
        <v>22478</v>
      </c>
      <c r="H6990" t="s">
        <v>23344</v>
      </c>
      <c r="I6990" t="s">
        <v>23346</v>
      </c>
    </row>
    <row r="6991" spans="1:9">
      <c r="A6991" t="str">
        <f>"0200357 "</f>
        <v xml:space="preserve">0200357 </v>
      </c>
      <c r="B6991" t="s">
        <v>22478</v>
      </c>
      <c r="C6991" t="s">
        <v>23347</v>
      </c>
      <c r="D6991" t="s">
        <v>23348</v>
      </c>
      <c r="E6991">
        <v>1</v>
      </c>
      <c r="F6991" t="s">
        <v>22816</v>
      </c>
      <c r="G6991" t="s">
        <v>22478</v>
      </c>
      <c r="H6991" t="s">
        <v>23347</v>
      </c>
      <c r="I6991" t="s">
        <v>23349</v>
      </c>
    </row>
    <row r="6992" spans="1:9">
      <c r="A6992" t="str">
        <f>"0200359 "</f>
        <v xml:space="preserve">0200359 </v>
      </c>
      <c r="B6992" t="s">
        <v>22478</v>
      </c>
      <c r="C6992" t="s">
        <v>23350</v>
      </c>
      <c r="D6992" t="s">
        <v>23351</v>
      </c>
      <c r="E6992">
        <v>1</v>
      </c>
      <c r="F6992" t="s">
        <v>22820</v>
      </c>
      <c r="G6992" t="s">
        <v>22478</v>
      </c>
      <c r="H6992" t="s">
        <v>23350</v>
      </c>
      <c r="I6992" t="s">
        <v>18942</v>
      </c>
    </row>
    <row r="6993" spans="1:9">
      <c r="A6993" t="str">
        <f>"0200362 "</f>
        <v xml:space="preserve">0200362 </v>
      </c>
      <c r="B6993" t="s">
        <v>22478</v>
      </c>
      <c r="C6993" t="s">
        <v>23352</v>
      </c>
      <c r="D6993" t="s">
        <v>23353</v>
      </c>
      <c r="E6993">
        <v>1</v>
      </c>
      <c r="F6993" t="s">
        <v>23298</v>
      </c>
      <c r="G6993" t="s">
        <v>22478</v>
      </c>
      <c r="H6993" t="s">
        <v>23352</v>
      </c>
      <c r="I6993" t="s">
        <v>23354</v>
      </c>
    </row>
    <row r="6994" spans="1:9">
      <c r="A6994" t="str">
        <f>"0200363 "</f>
        <v xml:space="preserve">0200363 </v>
      </c>
      <c r="B6994" t="s">
        <v>22478</v>
      </c>
      <c r="C6994" t="s">
        <v>23355</v>
      </c>
      <c r="D6994" t="s">
        <v>23356</v>
      </c>
      <c r="E6994">
        <v>3</v>
      </c>
      <c r="F6994" t="s">
        <v>22640</v>
      </c>
      <c r="G6994" t="s">
        <v>22478</v>
      </c>
      <c r="H6994" t="s">
        <v>23355</v>
      </c>
      <c r="I6994" t="s">
        <v>12389</v>
      </c>
    </row>
    <row r="6995" spans="1:9">
      <c r="A6995" t="str">
        <f>"0200367 "</f>
        <v xml:space="preserve">0200367 </v>
      </c>
      <c r="B6995" t="s">
        <v>22478</v>
      </c>
      <c r="C6995" t="s">
        <v>23357</v>
      </c>
      <c r="D6995" t="s">
        <v>23358</v>
      </c>
      <c r="E6995" t="s">
        <v>16</v>
      </c>
      <c r="F6995" t="s">
        <v>10395</v>
      </c>
      <c r="G6995" t="s">
        <v>22478</v>
      </c>
      <c r="H6995" t="s">
        <v>23357</v>
      </c>
      <c r="I6995" t="s">
        <v>23359</v>
      </c>
    </row>
    <row r="6996" spans="1:9">
      <c r="A6996" t="str">
        <f>"0200368 "</f>
        <v xml:space="preserve">0200368 </v>
      </c>
      <c r="B6996" t="s">
        <v>22478</v>
      </c>
      <c r="C6996" t="s">
        <v>23360</v>
      </c>
      <c r="D6996" t="s">
        <v>23361</v>
      </c>
      <c r="E6996">
        <v>1</v>
      </c>
      <c r="F6996" t="s">
        <v>14640</v>
      </c>
      <c r="G6996" t="s">
        <v>22478</v>
      </c>
      <c r="H6996" t="s">
        <v>23360</v>
      </c>
      <c r="I6996" t="s">
        <v>23362</v>
      </c>
    </row>
    <row r="6997" spans="1:9">
      <c r="A6997" t="str">
        <f>"0200373 "</f>
        <v xml:space="preserve">0200373 </v>
      </c>
      <c r="B6997" t="s">
        <v>22478</v>
      </c>
      <c r="C6997" t="s">
        <v>23363</v>
      </c>
      <c r="D6997" t="s">
        <v>23364</v>
      </c>
      <c r="E6997">
        <v>2</v>
      </c>
      <c r="F6997" t="s">
        <v>23147</v>
      </c>
      <c r="G6997" t="s">
        <v>22478</v>
      </c>
      <c r="H6997" t="s">
        <v>23363</v>
      </c>
      <c r="I6997" t="s">
        <v>12345</v>
      </c>
    </row>
    <row r="6998" spans="1:9">
      <c r="A6998" t="str">
        <f>"0200375 "</f>
        <v xml:space="preserve">0200375 </v>
      </c>
      <c r="B6998" t="s">
        <v>22478</v>
      </c>
      <c r="C6998" t="s">
        <v>23365</v>
      </c>
      <c r="D6998" t="s">
        <v>23366</v>
      </c>
      <c r="E6998">
        <v>2</v>
      </c>
      <c r="F6998" t="s">
        <v>10313</v>
      </c>
      <c r="G6998" t="s">
        <v>22478</v>
      </c>
      <c r="H6998" t="s">
        <v>23365</v>
      </c>
      <c r="I6998" t="s">
        <v>23367</v>
      </c>
    </row>
    <row r="6999" spans="1:9">
      <c r="A6999" t="str">
        <f>"0200381 "</f>
        <v xml:space="preserve">0200381 </v>
      </c>
      <c r="B6999" t="s">
        <v>22478</v>
      </c>
      <c r="C6999" t="s">
        <v>23368</v>
      </c>
      <c r="D6999" t="s">
        <v>23369</v>
      </c>
      <c r="E6999">
        <v>3</v>
      </c>
      <c r="F6999" t="s">
        <v>23370</v>
      </c>
      <c r="G6999" t="s">
        <v>22478</v>
      </c>
      <c r="H6999" t="s">
        <v>23368</v>
      </c>
      <c r="I6999" t="s">
        <v>12360</v>
      </c>
    </row>
    <row r="7000" spans="1:9">
      <c r="A7000" t="str">
        <f>"0200383 "</f>
        <v xml:space="preserve">0200383 </v>
      </c>
      <c r="B7000" t="s">
        <v>22478</v>
      </c>
      <c r="C7000" t="s">
        <v>23371</v>
      </c>
      <c r="D7000" t="s">
        <v>23372</v>
      </c>
      <c r="E7000">
        <v>1</v>
      </c>
      <c r="F7000" t="s">
        <v>23373</v>
      </c>
      <c r="G7000" t="s">
        <v>22478</v>
      </c>
      <c r="H7000" t="s">
        <v>23371</v>
      </c>
      <c r="I7000" t="s">
        <v>23374</v>
      </c>
    </row>
    <row r="7001" spans="1:9">
      <c r="A7001" t="str">
        <f>"0200384 "</f>
        <v xml:space="preserve">0200384 </v>
      </c>
      <c r="B7001" t="s">
        <v>22478</v>
      </c>
      <c r="C7001" t="s">
        <v>23375</v>
      </c>
      <c r="D7001" t="s">
        <v>23376</v>
      </c>
      <c r="E7001">
        <v>5</v>
      </c>
      <c r="F7001" t="s">
        <v>23377</v>
      </c>
      <c r="G7001" t="s">
        <v>22478</v>
      </c>
      <c r="H7001" t="s">
        <v>23375</v>
      </c>
      <c r="I7001" t="s">
        <v>1722</v>
      </c>
    </row>
    <row r="7002" spans="1:9">
      <c r="A7002" t="str">
        <f>"0200388 "</f>
        <v xml:space="preserve">0200388 </v>
      </c>
      <c r="B7002" t="s">
        <v>22478</v>
      </c>
      <c r="C7002" t="s">
        <v>23378</v>
      </c>
      <c r="D7002" t="s">
        <v>23379</v>
      </c>
      <c r="E7002">
        <v>1</v>
      </c>
      <c r="F7002" t="s">
        <v>10352</v>
      </c>
      <c r="G7002" t="s">
        <v>22478</v>
      </c>
      <c r="H7002" t="s">
        <v>23378</v>
      </c>
      <c r="I7002" t="s">
        <v>23380</v>
      </c>
    </row>
    <row r="7003" spans="1:9">
      <c r="A7003" t="str">
        <f>"0200400 "</f>
        <v xml:space="preserve">0200400 </v>
      </c>
      <c r="B7003" t="s">
        <v>22478</v>
      </c>
      <c r="C7003" t="s">
        <v>23381</v>
      </c>
      <c r="D7003" t="s">
        <v>23382</v>
      </c>
      <c r="E7003">
        <v>5</v>
      </c>
      <c r="F7003" t="s">
        <v>22919</v>
      </c>
      <c r="G7003" t="s">
        <v>22478</v>
      </c>
      <c r="H7003" t="s">
        <v>23381</v>
      </c>
      <c r="I7003" t="s">
        <v>21628</v>
      </c>
    </row>
    <row r="7004" spans="1:9">
      <c r="A7004" t="str">
        <f>"0200408 "</f>
        <v xml:space="preserve">0200408 </v>
      </c>
      <c r="B7004" t="s">
        <v>22478</v>
      </c>
      <c r="C7004" t="s">
        <v>23383</v>
      </c>
      <c r="D7004" t="s">
        <v>23384</v>
      </c>
      <c r="E7004">
        <v>1</v>
      </c>
      <c r="F7004" t="s">
        <v>10628</v>
      </c>
      <c r="G7004" t="s">
        <v>22478</v>
      </c>
      <c r="H7004" t="s">
        <v>23383</v>
      </c>
      <c r="I7004" t="s">
        <v>23385</v>
      </c>
    </row>
    <row r="7005" spans="1:9">
      <c r="A7005" t="str">
        <f>"0200416 "</f>
        <v xml:space="preserve">0200416 </v>
      </c>
      <c r="B7005" t="s">
        <v>22478</v>
      </c>
      <c r="C7005" t="s">
        <v>23386</v>
      </c>
      <c r="D7005" t="s">
        <v>23387</v>
      </c>
      <c r="E7005">
        <v>1</v>
      </c>
      <c r="F7005" t="s">
        <v>23388</v>
      </c>
      <c r="G7005" t="s">
        <v>22478</v>
      </c>
      <c r="H7005" t="s">
        <v>23386</v>
      </c>
      <c r="I7005" t="s">
        <v>23389</v>
      </c>
    </row>
    <row r="7006" spans="1:9">
      <c r="A7006" t="str">
        <f>"0203889 "</f>
        <v xml:space="preserve">0203889 </v>
      </c>
      <c r="B7006" t="s">
        <v>22478</v>
      </c>
      <c r="C7006" t="s">
        <v>23390</v>
      </c>
      <c r="D7006" t="s">
        <v>23391</v>
      </c>
      <c r="E7006">
        <v>1</v>
      </c>
      <c r="F7006" t="s">
        <v>22049</v>
      </c>
      <c r="G7006" t="s">
        <v>22478</v>
      </c>
      <c r="H7006" t="s">
        <v>23390</v>
      </c>
      <c r="I7006" t="s">
        <v>23392</v>
      </c>
    </row>
    <row r="7007" spans="1:9">
      <c r="A7007" t="str">
        <f>"0200427 "</f>
        <v xml:space="preserve">0200427 </v>
      </c>
      <c r="B7007" t="s">
        <v>22478</v>
      </c>
      <c r="C7007" t="s">
        <v>23393</v>
      </c>
      <c r="D7007" t="s">
        <v>23394</v>
      </c>
      <c r="E7007">
        <v>1</v>
      </c>
      <c r="F7007" t="s">
        <v>23395</v>
      </c>
      <c r="G7007" t="s">
        <v>22478</v>
      </c>
      <c r="H7007" t="s">
        <v>23393</v>
      </c>
      <c r="I7007" t="s">
        <v>23396</v>
      </c>
    </row>
    <row r="7008" spans="1:9">
      <c r="A7008" t="str">
        <f>"0200431 "</f>
        <v xml:space="preserve">0200431 </v>
      </c>
      <c r="B7008" t="s">
        <v>22478</v>
      </c>
      <c r="C7008" t="s">
        <v>23397</v>
      </c>
      <c r="D7008" t="s">
        <v>23398</v>
      </c>
      <c r="E7008">
        <v>4</v>
      </c>
      <c r="F7008" t="s">
        <v>23399</v>
      </c>
      <c r="G7008" t="s">
        <v>22478</v>
      </c>
      <c r="H7008" t="s">
        <v>23397</v>
      </c>
      <c r="I7008" t="s">
        <v>23400</v>
      </c>
    </row>
    <row r="7009" spans="1:9">
      <c r="A7009" t="str">
        <f>"0200432 "</f>
        <v xml:space="preserve">0200432 </v>
      </c>
      <c r="B7009" t="s">
        <v>22478</v>
      </c>
      <c r="C7009" t="s">
        <v>23401</v>
      </c>
      <c r="D7009" t="s">
        <v>23402</v>
      </c>
      <c r="E7009">
        <v>2</v>
      </c>
      <c r="F7009" t="s">
        <v>10407</v>
      </c>
      <c r="G7009" t="s">
        <v>22478</v>
      </c>
      <c r="H7009" t="s">
        <v>23401</v>
      </c>
      <c r="I7009" t="s">
        <v>23403</v>
      </c>
    </row>
    <row r="7010" spans="1:9">
      <c r="A7010" t="str">
        <f>"0200434 "</f>
        <v xml:space="preserve">0200434 </v>
      </c>
      <c r="B7010" t="s">
        <v>22478</v>
      </c>
      <c r="C7010" t="s">
        <v>23404</v>
      </c>
      <c r="D7010" t="s">
        <v>23405</v>
      </c>
      <c r="E7010">
        <v>2</v>
      </c>
      <c r="F7010" t="s">
        <v>23029</v>
      </c>
      <c r="G7010" t="s">
        <v>22478</v>
      </c>
      <c r="H7010" t="s">
        <v>23404</v>
      </c>
      <c r="I7010" t="s">
        <v>23406</v>
      </c>
    </row>
    <row r="7011" spans="1:9">
      <c r="A7011" t="str">
        <f>"0200437 "</f>
        <v xml:space="preserve">0200437 </v>
      </c>
      <c r="B7011" t="s">
        <v>22478</v>
      </c>
      <c r="C7011" t="s">
        <v>23407</v>
      </c>
      <c r="D7011" t="s">
        <v>23408</v>
      </c>
      <c r="E7011">
        <v>1</v>
      </c>
      <c r="F7011" t="s">
        <v>23409</v>
      </c>
      <c r="G7011" t="s">
        <v>22478</v>
      </c>
      <c r="H7011" t="s">
        <v>23407</v>
      </c>
      <c r="I7011" t="s">
        <v>1580</v>
      </c>
    </row>
    <row r="7012" spans="1:9">
      <c r="A7012" t="str">
        <f>"0200450 "</f>
        <v xml:space="preserve">0200450 </v>
      </c>
      <c r="B7012" t="s">
        <v>22478</v>
      </c>
      <c r="C7012" t="s">
        <v>23410</v>
      </c>
      <c r="D7012" t="s">
        <v>23411</v>
      </c>
      <c r="E7012">
        <v>2</v>
      </c>
      <c r="F7012" t="s">
        <v>15365</v>
      </c>
      <c r="G7012" t="s">
        <v>22478</v>
      </c>
      <c r="H7012" t="s">
        <v>23410</v>
      </c>
      <c r="I7012" t="s">
        <v>23412</v>
      </c>
    </row>
    <row r="7013" spans="1:9">
      <c r="A7013" t="str">
        <f>"0200453 "</f>
        <v xml:space="preserve">0200453 </v>
      </c>
      <c r="B7013" t="s">
        <v>22478</v>
      </c>
      <c r="C7013" t="s">
        <v>23413</v>
      </c>
      <c r="D7013" t="s">
        <v>23414</v>
      </c>
      <c r="E7013">
        <v>1</v>
      </c>
      <c r="F7013" t="s">
        <v>22487</v>
      </c>
      <c r="G7013" t="s">
        <v>22478</v>
      </c>
      <c r="H7013" t="s">
        <v>23413</v>
      </c>
      <c r="I7013" t="s">
        <v>23415</v>
      </c>
    </row>
    <row r="7014" spans="1:9">
      <c r="A7014" t="str">
        <f>"0200454 "</f>
        <v xml:space="preserve">0200454 </v>
      </c>
      <c r="B7014" t="s">
        <v>22478</v>
      </c>
      <c r="C7014" t="s">
        <v>23416</v>
      </c>
      <c r="D7014" t="s">
        <v>23417</v>
      </c>
      <c r="E7014">
        <v>1</v>
      </c>
      <c r="F7014" t="s">
        <v>23370</v>
      </c>
      <c r="G7014" t="s">
        <v>22478</v>
      </c>
      <c r="H7014" t="s">
        <v>23416</v>
      </c>
      <c r="I7014" t="s">
        <v>23418</v>
      </c>
    </row>
    <row r="7015" spans="1:9">
      <c r="A7015" t="str">
        <f>"0200457 "</f>
        <v xml:space="preserve">0200457 </v>
      </c>
      <c r="B7015" t="s">
        <v>22478</v>
      </c>
      <c r="C7015" t="s">
        <v>23419</v>
      </c>
      <c r="D7015" t="s">
        <v>23420</v>
      </c>
      <c r="E7015" t="s">
        <v>16</v>
      </c>
      <c r="F7015" t="s">
        <v>23421</v>
      </c>
      <c r="G7015" t="s">
        <v>22478</v>
      </c>
      <c r="H7015" t="s">
        <v>23419</v>
      </c>
      <c r="I7015" t="s">
        <v>23422</v>
      </c>
    </row>
    <row r="7016" spans="1:9">
      <c r="A7016" t="str">
        <f>"0200458 "</f>
        <v xml:space="preserve">0200458 </v>
      </c>
      <c r="B7016" t="s">
        <v>22478</v>
      </c>
      <c r="C7016" t="s">
        <v>23423</v>
      </c>
      <c r="D7016" t="s">
        <v>23424</v>
      </c>
      <c r="E7016">
        <v>3</v>
      </c>
      <c r="F7016" t="s">
        <v>23425</v>
      </c>
      <c r="G7016" t="s">
        <v>22478</v>
      </c>
      <c r="H7016" t="s">
        <v>23423</v>
      </c>
      <c r="I7016" t="s">
        <v>23426</v>
      </c>
    </row>
    <row r="7017" spans="1:9">
      <c r="A7017" t="str">
        <f>"0200461 "</f>
        <v xml:space="preserve">0200461 </v>
      </c>
      <c r="B7017" t="s">
        <v>22478</v>
      </c>
      <c r="C7017" t="s">
        <v>23427</v>
      </c>
      <c r="D7017" t="s">
        <v>23428</v>
      </c>
      <c r="E7017">
        <v>2</v>
      </c>
      <c r="F7017" t="s">
        <v>23429</v>
      </c>
      <c r="G7017" t="s">
        <v>22478</v>
      </c>
      <c r="H7017" t="s">
        <v>23427</v>
      </c>
      <c r="I7017" t="s">
        <v>18884</v>
      </c>
    </row>
    <row r="7018" spans="1:9">
      <c r="A7018" t="str">
        <f>"0200463 "</f>
        <v xml:space="preserve">0200463 </v>
      </c>
      <c r="B7018" t="s">
        <v>22478</v>
      </c>
      <c r="C7018" t="s">
        <v>23430</v>
      </c>
      <c r="D7018" t="s">
        <v>23431</v>
      </c>
      <c r="E7018">
        <v>1</v>
      </c>
      <c r="F7018" t="s">
        <v>23432</v>
      </c>
      <c r="G7018" t="s">
        <v>22478</v>
      </c>
      <c r="H7018" t="s">
        <v>23430</v>
      </c>
      <c r="I7018" t="s">
        <v>23433</v>
      </c>
    </row>
    <row r="7019" spans="1:9">
      <c r="A7019" t="str">
        <f>"0200464 "</f>
        <v xml:space="preserve">0200464 </v>
      </c>
      <c r="B7019" t="s">
        <v>22478</v>
      </c>
      <c r="C7019" t="s">
        <v>23434</v>
      </c>
      <c r="D7019" t="s">
        <v>23435</v>
      </c>
      <c r="E7019">
        <v>2</v>
      </c>
      <c r="F7019" t="s">
        <v>22912</v>
      </c>
      <c r="G7019" t="s">
        <v>22478</v>
      </c>
      <c r="H7019" t="s">
        <v>23434</v>
      </c>
      <c r="I7019" t="s">
        <v>12199</v>
      </c>
    </row>
    <row r="7020" spans="1:9">
      <c r="A7020" t="str">
        <f>"0200466 "</f>
        <v xml:space="preserve">0200466 </v>
      </c>
      <c r="B7020" t="s">
        <v>22478</v>
      </c>
      <c r="C7020" t="s">
        <v>23436</v>
      </c>
      <c r="D7020" t="s">
        <v>23437</v>
      </c>
      <c r="E7020">
        <v>2</v>
      </c>
      <c r="F7020" t="s">
        <v>23438</v>
      </c>
      <c r="G7020" t="s">
        <v>22478</v>
      </c>
      <c r="H7020" t="s">
        <v>23436</v>
      </c>
      <c r="I7020" t="s">
        <v>12211</v>
      </c>
    </row>
    <row r="7021" spans="1:9">
      <c r="A7021" t="str">
        <f>"0200468 "</f>
        <v xml:space="preserve">0200468 </v>
      </c>
      <c r="B7021" t="s">
        <v>22478</v>
      </c>
      <c r="C7021" t="s">
        <v>23439</v>
      </c>
      <c r="D7021" t="s">
        <v>23440</v>
      </c>
      <c r="E7021" t="s">
        <v>16</v>
      </c>
      <c r="F7021" t="s">
        <v>23441</v>
      </c>
      <c r="G7021" t="s">
        <v>22478</v>
      </c>
      <c r="H7021" t="s">
        <v>23439</v>
      </c>
      <c r="I7021" t="s">
        <v>23442</v>
      </c>
    </row>
    <row r="7022" spans="1:9">
      <c r="A7022" t="str">
        <f>"0200471 "</f>
        <v xml:space="preserve">0200471 </v>
      </c>
      <c r="B7022" t="s">
        <v>22478</v>
      </c>
      <c r="C7022" t="s">
        <v>23443</v>
      </c>
      <c r="D7022" t="s">
        <v>23444</v>
      </c>
      <c r="E7022">
        <v>3</v>
      </c>
      <c r="F7022" t="s">
        <v>1298</v>
      </c>
      <c r="G7022" t="s">
        <v>22478</v>
      </c>
      <c r="H7022" t="s">
        <v>23443</v>
      </c>
      <c r="I7022" t="s">
        <v>23445</v>
      </c>
    </row>
    <row r="7023" spans="1:9">
      <c r="A7023" t="str">
        <f>"0200474 "</f>
        <v xml:space="preserve">0200474 </v>
      </c>
      <c r="B7023" t="s">
        <v>22478</v>
      </c>
      <c r="C7023" t="s">
        <v>23446</v>
      </c>
      <c r="D7023" t="s">
        <v>23447</v>
      </c>
      <c r="E7023">
        <v>1</v>
      </c>
      <c r="F7023" t="s">
        <v>22810</v>
      </c>
      <c r="G7023" t="s">
        <v>22478</v>
      </c>
      <c r="H7023" t="s">
        <v>23446</v>
      </c>
      <c r="I7023" t="s">
        <v>23448</v>
      </c>
    </row>
    <row r="7024" spans="1:9">
      <c r="A7024" t="str">
        <f>"0200476 "</f>
        <v xml:space="preserve">0200476 </v>
      </c>
      <c r="B7024" t="s">
        <v>22478</v>
      </c>
      <c r="C7024" t="s">
        <v>23449</v>
      </c>
      <c r="D7024" t="s">
        <v>23450</v>
      </c>
      <c r="E7024">
        <v>2</v>
      </c>
      <c r="F7024" t="s">
        <v>23451</v>
      </c>
      <c r="G7024" t="s">
        <v>22478</v>
      </c>
      <c r="H7024" t="s">
        <v>23449</v>
      </c>
      <c r="I7024" t="s">
        <v>23452</v>
      </c>
    </row>
    <row r="7025" spans="1:9">
      <c r="A7025" t="str">
        <f>"0200477 "</f>
        <v xml:space="preserve">0200477 </v>
      </c>
      <c r="B7025" t="s">
        <v>22478</v>
      </c>
      <c r="C7025" t="s">
        <v>23453</v>
      </c>
      <c r="D7025" t="s">
        <v>23454</v>
      </c>
      <c r="E7025">
        <v>3</v>
      </c>
      <c r="F7025" t="s">
        <v>22840</v>
      </c>
      <c r="G7025" t="s">
        <v>22478</v>
      </c>
      <c r="H7025" t="s">
        <v>23453</v>
      </c>
      <c r="I7025" t="s">
        <v>1534</v>
      </c>
    </row>
    <row r="7026" spans="1:9">
      <c r="A7026" t="str">
        <f>"0200478 "</f>
        <v xml:space="preserve">0200478 </v>
      </c>
      <c r="B7026" t="s">
        <v>22478</v>
      </c>
      <c r="C7026" t="s">
        <v>23455</v>
      </c>
      <c r="D7026" t="s">
        <v>23456</v>
      </c>
      <c r="E7026">
        <v>1</v>
      </c>
      <c r="F7026" t="s">
        <v>22555</v>
      </c>
      <c r="G7026" t="s">
        <v>22478</v>
      </c>
      <c r="H7026" t="s">
        <v>23455</v>
      </c>
      <c r="I7026" t="s">
        <v>23457</v>
      </c>
    </row>
    <row r="7027" spans="1:9">
      <c r="A7027" t="str">
        <f>"0200481 "</f>
        <v xml:space="preserve">0200481 </v>
      </c>
      <c r="B7027" t="s">
        <v>22478</v>
      </c>
      <c r="C7027" t="s">
        <v>23458</v>
      </c>
      <c r="D7027" t="s">
        <v>23459</v>
      </c>
      <c r="E7027">
        <v>5</v>
      </c>
      <c r="F7027" t="s">
        <v>22655</v>
      </c>
      <c r="G7027" t="s">
        <v>22478</v>
      </c>
      <c r="H7027" t="s">
        <v>23458</v>
      </c>
      <c r="I7027" t="s">
        <v>1742</v>
      </c>
    </row>
    <row r="7028" spans="1:9">
      <c r="A7028" t="str">
        <f>"0200482 "</f>
        <v xml:space="preserve">0200482 </v>
      </c>
      <c r="B7028" t="s">
        <v>22478</v>
      </c>
      <c r="C7028" t="s">
        <v>23460</v>
      </c>
      <c r="D7028" t="s">
        <v>23461</v>
      </c>
      <c r="E7028" t="s">
        <v>16</v>
      </c>
      <c r="F7028" t="s">
        <v>23395</v>
      </c>
      <c r="G7028" t="s">
        <v>22478</v>
      </c>
      <c r="H7028" t="s">
        <v>23460</v>
      </c>
      <c r="I7028" t="s">
        <v>23462</v>
      </c>
    </row>
    <row r="7029" spans="1:9">
      <c r="A7029" t="str">
        <f>"0200484 "</f>
        <v xml:space="preserve">0200484 </v>
      </c>
      <c r="B7029" t="s">
        <v>22478</v>
      </c>
      <c r="C7029" t="s">
        <v>23463</v>
      </c>
      <c r="D7029" t="s">
        <v>23464</v>
      </c>
      <c r="E7029">
        <v>2</v>
      </c>
      <c r="F7029" t="s">
        <v>22894</v>
      </c>
      <c r="G7029" t="s">
        <v>22478</v>
      </c>
      <c r="H7029" t="s">
        <v>23463</v>
      </c>
      <c r="I7029" t="s">
        <v>1527</v>
      </c>
    </row>
    <row r="7030" spans="1:9">
      <c r="A7030" t="str">
        <f>"0200488 "</f>
        <v xml:space="preserve">0200488 </v>
      </c>
      <c r="B7030" t="s">
        <v>22478</v>
      </c>
      <c r="C7030" t="s">
        <v>23465</v>
      </c>
      <c r="D7030" t="s">
        <v>23466</v>
      </c>
      <c r="E7030">
        <v>3</v>
      </c>
      <c r="F7030" t="s">
        <v>23467</v>
      </c>
      <c r="G7030" t="s">
        <v>22478</v>
      </c>
      <c r="H7030" t="s">
        <v>23465</v>
      </c>
      <c r="I7030" t="s">
        <v>23468</v>
      </c>
    </row>
    <row r="7031" spans="1:9">
      <c r="A7031" t="str">
        <f>"0200491 "</f>
        <v xml:space="preserve">0200491 </v>
      </c>
      <c r="B7031" t="s">
        <v>22478</v>
      </c>
      <c r="C7031" t="s">
        <v>23469</v>
      </c>
      <c r="D7031" t="s">
        <v>23470</v>
      </c>
      <c r="E7031" t="s">
        <v>16</v>
      </c>
      <c r="F7031" t="s">
        <v>515</v>
      </c>
      <c r="G7031" t="s">
        <v>22478</v>
      </c>
      <c r="H7031" t="s">
        <v>23469</v>
      </c>
      <c r="I7031" t="s">
        <v>23471</v>
      </c>
    </row>
    <row r="7032" spans="1:9">
      <c r="A7032" t="str">
        <f>"0200495 "</f>
        <v xml:space="preserve">0200495 </v>
      </c>
      <c r="B7032" t="s">
        <v>22478</v>
      </c>
      <c r="C7032" t="s">
        <v>23472</v>
      </c>
      <c r="D7032" t="s">
        <v>23473</v>
      </c>
      <c r="E7032">
        <v>1</v>
      </c>
      <c r="F7032" t="s">
        <v>22840</v>
      </c>
      <c r="G7032" t="s">
        <v>22478</v>
      </c>
      <c r="H7032" t="s">
        <v>23472</v>
      </c>
      <c r="I7032" t="s">
        <v>23474</v>
      </c>
    </row>
    <row r="7033" spans="1:9">
      <c r="A7033" t="str">
        <f>"0200497 "</f>
        <v xml:space="preserve">0200497 </v>
      </c>
      <c r="B7033" t="s">
        <v>22478</v>
      </c>
      <c r="C7033" t="s">
        <v>23475</v>
      </c>
      <c r="D7033" t="s">
        <v>23476</v>
      </c>
      <c r="E7033">
        <v>1</v>
      </c>
      <c r="F7033" t="s">
        <v>1650</v>
      </c>
      <c r="G7033" t="s">
        <v>22478</v>
      </c>
      <c r="H7033" t="s">
        <v>23475</v>
      </c>
      <c r="I7033" t="s">
        <v>23477</v>
      </c>
    </row>
    <row r="7034" spans="1:9">
      <c r="A7034" t="str">
        <f>"0200501 "</f>
        <v xml:space="preserve">0200501 </v>
      </c>
      <c r="B7034" t="s">
        <v>22478</v>
      </c>
      <c r="C7034" t="s">
        <v>23478</v>
      </c>
      <c r="D7034" t="s">
        <v>23479</v>
      </c>
      <c r="E7034">
        <v>1</v>
      </c>
      <c r="F7034" t="s">
        <v>10776</v>
      </c>
      <c r="G7034" t="s">
        <v>22478</v>
      </c>
      <c r="H7034" t="s">
        <v>23478</v>
      </c>
      <c r="I7034" t="s">
        <v>23480</v>
      </c>
    </row>
    <row r="7035" spans="1:9">
      <c r="A7035" t="str">
        <f>"0200502 "</f>
        <v xml:space="preserve">0200502 </v>
      </c>
      <c r="B7035" t="s">
        <v>22478</v>
      </c>
      <c r="C7035" t="s">
        <v>23481</v>
      </c>
      <c r="D7035" t="s">
        <v>23482</v>
      </c>
      <c r="E7035">
        <v>1</v>
      </c>
      <c r="F7035" t="s">
        <v>23483</v>
      </c>
      <c r="G7035" t="s">
        <v>22478</v>
      </c>
      <c r="H7035" t="s">
        <v>23481</v>
      </c>
      <c r="I7035" t="s">
        <v>23484</v>
      </c>
    </row>
    <row r="7036" spans="1:9">
      <c r="A7036" t="str">
        <f>"0200503 "</f>
        <v xml:space="preserve">0200503 </v>
      </c>
      <c r="B7036" t="s">
        <v>22478</v>
      </c>
      <c r="C7036" t="s">
        <v>23485</v>
      </c>
      <c r="D7036" t="s">
        <v>23486</v>
      </c>
      <c r="E7036">
        <v>2</v>
      </c>
      <c r="F7036" t="s">
        <v>23487</v>
      </c>
      <c r="G7036" t="s">
        <v>22478</v>
      </c>
      <c r="H7036" t="s">
        <v>23485</v>
      </c>
      <c r="I7036" t="s">
        <v>23488</v>
      </c>
    </row>
    <row r="7037" spans="1:9">
      <c r="A7037" t="str">
        <f>"0200505 "</f>
        <v xml:space="preserve">0200505 </v>
      </c>
      <c r="B7037" t="s">
        <v>22478</v>
      </c>
      <c r="C7037" t="s">
        <v>23489</v>
      </c>
      <c r="D7037" t="s">
        <v>23490</v>
      </c>
      <c r="E7037">
        <v>1</v>
      </c>
      <c r="F7037" t="s">
        <v>10791</v>
      </c>
      <c r="G7037" t="s">
        <v>22478</v>
      </c>
      <c r="H7037" t="s">
        <v>23489</v>
      </c>
      <c r="I7037" t="s">
        <v>23491</v>
      </c>
    </row>
    <row r="7038" spans="1:9">
      <c r="A7038" t="str">
        <f>"0200508 "</f>
        <v xml:space="preserve">0200508 </v>
      </c>
      <c r="B7038" t="s">
        <v>22478</v>
      </c>
      <c r="C7038" t="s">
        <v>23492</v>
      </c>
      <c r="D7038" t="s">
        <v>23493</v>
      </c>
      <c r="E7038">
        <v>3</v>
      </c>
      <c r="F7038" t="s">
        <v>23494</v>
      </c>
      <c r="G7038" t="s">
        <v>22478</v>
      </c>
      <c r="H7038" t="s">
        <v>23492</v>
      </c>
      <c r="I7038" t="s">
        <v>21632</v>
      </c>
    </row>
    <row r="7039" spans="1:9">
      <c r="A7039" t="str">
        <f>"0200509 "</f>
        <v xml:space="preserve">0200509 </v>
      </c>
      <c r="B7039" t="s">
        <v>22478</v>
      </c>
      <c r="C7039" t="s">
        <v>23495</v>
      </c>
      <c r="D7039" t="s">
        <v>23496</v>
      </c>
      <c r="E7039" t="s">
        <v>16</v>
      </c>
      <c r="F7039" t="s">
        <v>23497</v>
      </c>
      <c r="G7039" t="s">
        <v>22478</v>
      </c>
      <c r="H7039" t="s">
        <v>23495</v>
      </c>
      <c r="I7039" t="s">
        <v>23498</v>
      </c>
    </row>
    <row r="7040" spans="1:9">
      <c r="A7040" t="str">
        <f>"0200510 "</f>
        <v xml:space="preserve">0200510 </v>
      </c>
      <c r="B7040" t="s">
        <v>22478</v>
      </c>
      <c r="C7040" t="s">
        <v>23499</v>
      </c>
      <c r="D7040" t="s">
        <v>23500</v>
      </c>
      <c r="E7040" t="s">
        <v>16</v>
      </c>
      <c r="F7040" t="s">
        <v>23409</v>
      </c>
      <c r="G7040" t="s">
        <v>22478</v>
      </c>
      <c r="H7040" t="s">
        <v>23499</v>
      </c>
      <c r="I7040" t="s">
        <v>23501</v>
      </c>
    </row>
    <row r="7041" spans="1:9">
      <c r="A7041" t="str">
        <f>"0200512 "</f>
        <v xml:space="preserve">0200512 </v>
      </c>
      <c r="B7041" t="s">
        <v>22478</v>
      </c>
      <c r="C7041" t="s">
        <v>23502</v>
      </c>
      <c r="D7041" t="s">
        <v>23503</v>
      </c>
      <c r="E7041">
        <v>2</v>
      </c>
      <c r="F7041" t="s">
        <v>23504</v>
      </c>
      <c r="G7041" t="s">
        <v>22478</v>
      </c>
      <c r="H7041" t="s">
        <v>23502</v>
      </c>
      <c r="I7041" t="s">
        <v>23505</v>
      </c>
    </row>
    <row r="7042" spans="1:9">
      <c r="A7042" t="str">
        <f>"0200513 "</f>
        <v xml:space="preserve">0200513 </v>
      </c>
      <c r="B7042" t="s">
        <v>22478</v>
      </c>
      <c r="C7042" t="s">
        <v>23506</v>
      </c>
      <c r="D7042" t="s">
        <v>23507</v>
      </c>
      <c r="E7042" t="s">
        <v>16</v>
      </c>
      <c r="F7042" t="s">
        <v>22863</v>
      </c>
      <c r="G7042" t="s">
        <v>22478</v>
      </c>
      <c r="H7042" t="s">
        <v>23506</v>
      </c>
      <c r="I7042" t="s">
        <v>1753</v>
      </c>
    </row>
    <row r="7043" spans="1:9">
      <c r="A7043" t="str">
        <f>"0200518 "</f>
        <v xml:space="preserve">0200518 </v>
      </c>
      <c r="B7043" t="s">
        <v>22478</v>
      </c>
      <c r="C7043" t="s">
        <v>23508</v>
      </c>
      <c r="D7043" t="s">
        <v>23509</v>
      </c>
      <c r="E7043">
        <v>2</v>
      </c>
      <c r="F7043" t="s">
        <v>23510</v>
      </c>
      <c r="G7043" t="s">
        <v>22478</v>
      </c>
      <c r="H7043" t="s">
        <v>23508</v>
      </c>
      <c r="I7043" t="s">
        <v>23511</v>
      </c>
    </row>
    <row r="7044" spans="1:9">
      <c r="A7044" t="str">
        <f>"0234893 "</f>
        <v xml:space="preserve">0234893 </v>
      </c>
      <c r="B7044" t="s">
        <v>23512</v>
      </c>
      <c r="C7044" t="str">
        <f>"0101.00"</f>
        <v>0101.00</v>
      </c>
      <c r="D7044" t="str">
        <f>"0101.00  REMSA - Р“Р°Р»СЊРјС–РІРЅС– РєРѕР»РѕРґРєРё РґРѕ РґРёСЃРєС–РІ"</f>
        <v>0101.00  REMSA - Р“Р°Р»СЊРјС–РІРЅС– РєРѕР»РѕРґРєРё РґРѕ РґРёСЃРєС–РІ</v>
      </c>
      <c r="E7044">
        <v>3</v>
      </c>
      <c r="F7044" t="s">
        <v>15087</v>
      </c>
      <c r="G7044" t="s">
        <v>23513</v>
      </c>
      <c r="H7044" t="str">
        <f>"0101.00"</f>
        <v>0101.00</v>
      </c>
      <c r="I7044" t="s">
        <v>23514</v>
      </c>
    </row>
    <row r="7045" spans="1:9">
      <c r="A7045" t="str">
        <f>"0234991 "</f>
        <v xml:space="preserve">0234991 </v>
      </c>
      <c r="B7045" t="s">
        <v>23512</v>
      </c>
      <c r="C7045" t="str">
        <f>"0141.02"</f>
        <v>0141.02</v>
      </c>
      <c r="D7045" t="str">
        <f>"0141.02  REMSA - Р“Р°Р»СЊРјС–РІРЅС– РєРѕР»РѕРґРєРё РґРѕ РґРёСЃРєС–РІ"</f>
        <v>0141.02  REMSA - Р“Р°Р»СЊРјС–РІРЅС– РєРѕР»РѕРґРєРё РґРѕ РґРёСЃРєС–РІ</v>
      </c>
      <c r="E7045">
        <v>3</v>
      </c>
      <c r="F7045" t="s">
        <v>23515</v>
      </c>
      <c r="G7045" t="s">
        <v>23513</v>
      </c>
      <c r="H7045" t="str">
        <f>"0141.02"</f>
        <v>0141.02</v>
      </c>
      <c r="I7045" t="s">
        <v>23516</v>
      </c>
    </row>
    <row r="7046" spans="1:9">
      <c r="A7046" t="str">
        <f>"0234994 "</f>
        <v xml:space="preserve">0234994 </v>
      </c>
      <c r="B7046" t="s">
        <v>23512</v>
      </c>
      <c r="C7046" t="str">
        <f>"0141.20"</f>
        <v>0141.20</v>
      </c>
      <c r="D7046" t="str">
        <f>"0141.20  REMSA - Р“Р°Р»СЊРјС–РІРЅС– РєРѕР»РѕРґРєРё РґРѕ РґРёСЃРєС–РІ"</f>
        <v>0141.20  REMSA - Р“Р°Р»СЊРјС–РІРЅС– РєРѕР»РѕРґРєРё РґРѕ РґРёСЃРєС–РІ</v>
      </c>
      <c r="E7046">
        <v>1</v>
      </c>
      <c r="F7046" t="s">
        <v>23517</v>
      </c>
      <c r="G7046" t="s">
        <v>23513</v>
      </c>
      <c r="H7046" t="str">
        <f>"0141.20"</f>
        <v>0141.20</v>
      </c>
      <c r="I7046" t="s">
        <v>23518</v>
      </c>
    </row>
    <row r="7047" spans="1:9">
      <c r="A7047" t="str">
        <f>"0235069 "</f>
        <v xml:space="preserve">0235069 </v>
      </c>
      <c r="B7047" t="s">
        <v>23512</v>
      </c>
      <c r="C7047" t="str">
        <f>"0159.00"</f>
        <v>0159.00</v>
      </c>
      <c r="D7047" t="str">
        <f>"0159.00  REMSA - Р“Р°Р»СЊРјС–РІРЅС– РєРѕР»РѕРґРєРё РґРѕ РґРёСЃРєС–РІ"</f>
        <v>0159.00  REMSA - Р“Р°Р»СЊРјС–РІРЅС– РєРѕР»РѕРґРєРё РґРѕ РґРёСЃРєС–РІ</v>
      </c>
      <c r="E7047">
        <v>2</v>
      </c>
      <c r="F7047" t="s">
        <v>23519</v>
      </c>
      <c r="G7047" t="s">
        <v>23513</v>
      </c>
      <c r="H7047" t="str">
        <f>"0159.00"</f>
        <v>0159.00</v>
      </c>
      <c r="I7047" t="s">
        <v>23520</v>
      </c>
    </row>
    <row r="7048" spans="1:9">
      <c r="A7048" t="str">
        <f>"0235089 "</f>
        <v xml:space="preserve">0235089 </v>
      </c>
      <c r="B7048" t="s">
        <v>23512</v>
      </c>
      <c r="C7048" t="str">
        <f>"0171.00"</f>
        <v>0171.00</v>
      </c>
      <c r="D7048" t="str">
        <f>"0171.00  REMSA - Р“Р°Р»СЊРјС–РІРЅС– РєРѕР»РѕРґРєРё РґРѕ РґРёСЃРєС–РІ"</f>
        <v>0171.00  REMSA - Р“Р°Р»СЊРјС–РІРЅС– РєРѕР»РѕРґРєРё РґРѕ РґРёСЃРєС–РІ</v>
      </c>
      <c r="E7048">
        <v>2</v>
      </c>
      <c r="F7048" t="s">
        <v>22980</v>
      </c>
      <c r="G7048" t="s">
        <v>23513</v>
      </c>
      <c r="H7048" t="str">
        <f>"0171.00"</f>
        <v>0171.00</v>
      </c>
      <c r="I7048" t="s">
        <v>23521</v>
      </c>
    </row>
    <row r="7049" spans="1:9">
      <c r="A7049" t="str">
        <f>"0235091 "</f>
        <v xml:space="preserve">0235091 </v>
      </c>
      <c r="B7049" t="s">
        <v>23512</v>
      </c>
      <c r="C7049" t="str">
        <f>"0171.10"</f>
        <v>0171.10</v>
      </c>
      <c r="D7049" t="str">
        <f>"0171.10  REMSA - Р“Р°Р»СЊРјС–РІРЅС– РєРѕР»РѕРґРєРё РґРѕ РґРёСЃРєС–РІ"</f>
        <v>0171.10  REMSA - Р“Р°Р»СЊРјС–РІРЅС– РєРѕР»РѕРґРєРё РґРѕ РґРёСЃРєС–РІ</v>
      </c>
      <c r="E7049">
        <v>3</v>
      </c>
      <c r="F7049" t="s">
        <v>22980</v>
      </c>
      <c r="G7049" t="s">
        <v>23513</v>
      </c>
      <c r="H7049" t="str">
        <f>"0171.10"</f>
        <v>0171.10</v>
      </c>
      <c r="I7049" t="s">
        <v>23522</v>
      </c>
    </row>
    <row r="7050" spans="1:9">
      <c r="A7050" t="str">
        <f>"0235092 "</f>
        <v xml:space="preserve">0235092 </v>
      </c>
      <c r="B7050" t="s">
        <v>23512</v>
      </c>
      <c r="C7050" t="str">
        <f>"0171.20"</f>
        <v>0171.20</v>
      </c>
      <c r="D7050" t="str">
        <f>"0171.20  REMSA - Р“Р°Р»СЊРјС–РІРЅС– РєРѕР»РѕРґРєРё РґРѕ РґРёСЃРєС–РІ"</f>
        <v>0171.20  REMSA - Р“Р°Р»СЊРјС–РІРЅС– РєРѕР»РѕРґРєРё РґРѕ РґРёСЃРєС–РІ</v>
      </c>
      <c r="E7050">
        <v>3</v>
      </c>
      <c r="F7050" t="s">
        <v>22980</v>
      </c>
      <c r="G7050" t="s">
        <v>23513</v>
      </c>
      <c r="H7050" t="str">
        <f>"0171.20"</f>
        <v>0171.20</v>
      </c>
      <c r="I7050" t="s">
        <v>23523</v>
      </c>
    </row>
    <row r="7051" spans="1:9">
      <c r="A7051" t="str">
        <f>"0235157 "</f>
        <v xml:space="preserve">0235157 </v>
      </c>
      <c r="B7051" t="s">
        <v>23512</v>
      </c>
      <c r="C7051" t="str">
        <f>"0192.12"</f>
        <v>0192.12</v>
      </c>
      <c r="D7051" t="str">
        <f>"0192.12  REMSA - Р“Р°Р»СЊРјС–РІРЅС– РєРѕР»РѕРґРєРё РґРѕ РґРёСЃРєС–РІ"</f>
        <v>0192.12  REMSA - Р“Р°Р»СЊРјС–РІРЅС– РєРѕР»РѕРґРєРё РґРѕ РґРёСЃРєС–РІ</v>
      </c>
      <c r="E7051">
        <v>2</v>
      </c>
      <c r="F7051" t="s">
        <v>23524</v>
      </c>
      <c r="G7051" t="s">
        <v>23513</v>
      </c>
      <c r="H7051" t="str">
        <f>"0192.12"</f>
        <v>0192.12</v>
      </c>
      <c r="I7051" t="s">
        <v>23525</v>
      </c>
    </row>
    <row r="7052" spans="1:9">
      <c r="A7052" t="str">
        <f>"0235214 "</f>
        <v xml:space="preserve">0235214 </v>
      </c>
      <c r="B7052" t="s">
        <v>23512</v>
      </c>
      <c r="C7052" t="str">
        <f>"0221.00"</f>
        <v>0221.00</v>
      </c>
      <c r="D7052" t="str">
        <f>"0221.00  REMSA - Р“Р°Р»СЊРјС–РІРЅС– РєРѕР»РѕРґРєРё РґРѕ РґРёСЃРєС–РІ"</f>
        <v>0221.00  REMSA - Р“Р°Р»СЊРјС–РІРЅС– РєРѕР»РѕРґРєРё РґРѕ РґРёСЃРєС–РІ</v>
      </c>
      <c r="E7052">
        <v>1</v>
      </c>
      <c r="F7052" t="s">
        <v>23526</v>
      </c>
      <c r="G7052" t="s">
        <v>23513</v>
      </c>
      <c r="H7052" t="str">
        <f>"0221.00"</f>
        <v>0221.00</v>
      </c>
      <c r="I7052" t="s">
        <v>16572</v>
      </c>
    </row>
    <row r="7053" spans="1:9">
      <c r="A7053" t="str">
        <f>"0235298 "</f>
        <v xml:space="preserve">0235298 </v>
      </c>
      <c r="B7053" t="s">
        <v>23512</v>
      </c>
      <c r="C7053" t="str">
        <f>"0263.05"</f>
        <v>0263.05</v>
      </c>
      <c r="D7053" t="str">
        <f>"0263.05  REMSA - Р“Р°Р»СЊРјС–РІРЅС– РєРѕР»РѕРґРєРё РґРѕ РґРёСЃРєС–РІ"</f>
        <v>0263.05  REMSA - Р“Р°Р»СЊРјС–РІРЅС– РєРѕР»РѕРґРєРё РґРѕ РґРёСЃРєС–РІ</v>
      </c>
      <c r="E7053">
        <v>4</v>
      </c>
      <c r="F7053" t="s">
        <v>23527</v>
      </c>
      <c r="G7053" t="s">
        <v>23513</v>
      </c>
      <c r="H7053" t="str">
        <f>"0263.05"</f>
        <v>0263.05</v>
      </c>
      <c r="I7053" t="s">
        <v>23528</v>
      </c>
    </row>
    <row r="7054" spans="1:9">
      <c r="A7054" t="str">
        <f>"0235301 "</f>
        <v xml:space="preserve">0235301 </v>
      </c>
      <c r="B7054" t="s">
        <v>23512</v>
      </c>
      <c r="C7054" t="str">
        <f>"0263.10"</f>
        <v>0263.10</v>
      </c>
      <c r="D7054" t="str">
        <f>"0263.10  REMSA - Р“Р°Р»СЊРјС–РІРЅС– РєРѕР»РѕРґРєРё РґРѕ РґРёСЃРєС–РІ"</f>
        <v>0263.10  REMSA - Р“Р°Р»СЊРјС–РІРЅС– РєРѕР»РѕРґРєРё РґРѕ РґРёСЃРєС–РІ</v>
      </c>
      <c r="E7054" t="s">
        <v>16</v>
      </c>
      <c r="F7054" t="s">
        <v>23529</v>
      </c>
      <c r="G7054" t="s">
        <v>23513</v>
      </c>
      <c r="H7054" t="str">
        <f>"0263.10"</f>
        <v>0263.10</v>
      </c>
      <c r="I7054" t="s">
        <v>23530</v>
      </c>
    </row>
    <row r="7055" spans="1:9">
      <c r="A7055" t="str">
        <f>"0235386 "</f>
        <v xml:space="preserve">0235386 </v>
      </c>
      <c r="B7055" t="s">
        <v>23512</v>
      </c>
      <c r="C7055" t="str">
        <f>"0291.02"</f>
        <v>0291.02</v>
      </c>
      <c r="D7055" t="str">
        <f>"0291.02  REMSA - Р“Р°Р»СЊРјС–РІРЅС– РєРѕР»РѕРґРєРё РґРѕ РґРёСЃРєС–РІ"</f>
        <v>0291.02  REMSA - Р“Р°Р»СЊРјС–РІРЅС– РєРѕР»РѕРґРєРё РґРѕ РґРёСЃРєС–РІ</v>
      </c>
      <c r="E7055">
        <v>1</v>
      </c>
      <c r="F7055" t="s">
        <v>23531</v>
      </c>
      <c r="G7055" t="s">
        <v>23513</v>
      </c>
      <c r="H7055" t="str">
        <f>"0291.02"</f>
        <v>0291.02</v>
      </c>
      <c r="I7055" t="s">
        <v>23532</v>
      </c>
    </row>
    <row r="7056" spans="1:9">
      <c r="A7056" t="str">
        <f>"0235390 "</f>
        <v xml:space="preserve">0235390 </v>
      </c>
      <c r="B7056" t="s">
        <v>23512</v>
      </c>
      <c r="C7056" t="str">
        <f>"0293.12"</f>
        <v>0293.12</v>
      </c>
      <c r="D7056" t="str">
        <f>"0293.12  REMSA - Р“Р°Р»СЊРјС–РІРЅС– РєРѕР»РѕРґРєРё РґРѕ РґРёСЃРєС–РІ"</f>
        <v>0293.12  REMSA - Р“Р°Р»СЊРјС–РІРЅС– РєРѕР»РѕРґРєРё РґРѕ РґРёСЃРєС–РІ</v>
      </c>
      <c r="E7056">
        <v>1</v>
      </c>
      <c r="F7056" t="s">
        <v>23533</v>
      </c>
      <c r="G7056" t="s">
        <v>23513</v>
      </c>
      <c r="H7056" t="str">
        <f>"0293.12"</f>
        <v>0293.12</v>
      </c>
      <c r="I7056" t="s">
        <v>23534</v>
      </c>
    </row>
    <row r="7057" spans="1:9">
      <c r="A7057" t="str">
        <f>"0235398 "</f>
        <v xml:space="preserve">0235398 </v>
      </c>
      <c r="B7057" t="s">
        <v>23512</v>
      </c>
      <c r="C7057" t="str">
        <f>"0294.32"</f>
        <v>0294.32</v>
      </c>
      <c r="D7057" t="str">
        <f>"0294.32  REMSA - Р“Р°Р»СЊРјС–РІРЅС– РєРѕР»РѕРґРєРё РґРѕ РґРёСЃРєС–РІ"</f>
        <v>0294.32  REMSA - Р“Р°Р»СЊРјС–РІРЅС– РєРѕР»РѕРґРєРё РґРѕ РґРёСЃРєС–РІ</v>
      </c>
      <c r="E7057">
        <v>1</v>
      </c>
      <c r="F7057" t="s">
        <v>9157</v>
      </c>
      <c r="G7057" t="s">
        <v>23513</v>
      </c>
      <c r="H7057" t="str">
        <f>"0294.32"</f>
        <v>0294.32</v>
      </c>
      <c r="I7057" t="s">
        <v>23535</v>
      </c>
    </row>
    <row r="7058" spans="1:9">
      <c r="A7058" t="str">
        <f>"0235460 "</f>
        <v xml:space="preserve">0235460 </v>
      </c>
      <c r="B7058" t="s">
        <v>23512</v>
      </c>
      <c r="C7058" t="str">
        <f>"0321.02"</f>
        <v>0321.02</v>
      </c>
      <c r="D7058" t="str">
        <f>"0321.02  REMSA - Р“Р°Р»СЊРјС–РІРЅС– РєРѕР»РѕРґРєРё РґРѕ РґРёСЃРєС–РІ"</f>
        <v>0321.02  REMSA - Р“Р°Р»СЊРјС–РІРЅС– РєРѕР»РѕРґРєРё РґРѕ РґРёСЃРєС–РІ</v>
      </c>
      <c r="E7058">
        <v>3</v>
      </c>
      <c r="F7058" t="s">
        <v>23536</v>
      </c>
      <c r="G7058" t="s">
        <v>23513</v>
      </c>
      <c r="H7058" t="str">
        <f>"0321.02"</f>
        <v>0321.02</v>
      </c>
      <c r="I7058" t="s">
        <v>23537</v>
      </c>
    </row>
    <row r="7059" spans="1:9">
      <c r="A7059" t="str">
        <f>"0235472 "</f>
        <v xml:space="preserve">0235472 </v>
      </c>
      <c r="B7059" t="s">
        <v>23512</v>
      </c>
      <c r="C7059" t="str">
        <f>"0325.32"</f>
        <v>0325.32</v>
      </c>
      <c r="D7059" t="str">
        <f>"0325.32  REMSA - Р“Р°Р»СЊРјС–РІРЅС– РєРѕР»РѕРґРєРё РґРѕ РґРёСЃРєС–РІ"</f>
        <v>0325.32  REMSA - Р“Р°Р»СЊРјС–РІРЅС– РєРѕР»РѕРґРєРё РґРѕ РґРёСЃРєС–РІ</v>
      </c>
      <c r="E7059">
        <v>1</v>
      </c>
      <c r="F7059" t="s">
        <v>23538</v>
      </c>
      <c r="G7059" t="s">
        <v>23513</v>
      </c>
      <c r="H7059" t="str">
        <f>"0325.32"</f>
        <v>0325.32</v>
      </c>
      <c r="I7059" t="s">
        <v>23539</v>
      </c>
    </row>
    <row r="7060" spans="1:9">
      <c r="A7060" t="str">
        <f>"0235562 "</f>
        <v xml:space="preserve">0235562 </v>
      </c>
      <c r="B7060" t="s">
        <v>23512</v>
      </c>
      <c r="C7060" t="str">
        <f>"0381.20"</f>
        <v>0381.20</v>
      </c>
      <c r="D7060" t="str">
        <f>"0381.20  REMSA - Р“Р°Р»СЊРјС–РІРЅС– РєРѕР»РѕРґРєРё РґРѕ РґРёСЃРєС–РІ"</f>
        <v>0381.20  REMSA - Р“Р°Р»СЊРјС–РІРЅС– РєРѕР»РѕРґРєРё РґРѕ РґРёСЃРєС–РІ</v>
      </c>
      <c r="E7060">
        <v>1</v>
      </c>
      <c r="F7060" t="s">
        <v>23540</v>
      </c>
      <c r="G7060" t="s">
        <v>23513</v>
      </c>
      <c r="H7060" t="str">
        <f>"0381.20"</f>
        <v>0381.20</v>
      </c>
      <c r="I7060" t="s">
        <v>23541</v>
      </c>
    </row>
    <row r="7061" spans="1:9">
      <c r="A7061" t="str">
        <f>"0235566 "</f>
        <v xml:space="preserve">0235566 </v>
      </c>
      <c r="B7061" t="s">
        <v>23512</v>
      </c>
      <c r="C7061" t="str">
        <f>"0381.61"</f>
        <v>0381.61</v>
      </c>
      <c r="D7061" t="str">
        <f>"0381.61  REMSA - Р“Р°Р»СЊРјС–РІРЅС– РєРѕР»РѕРґРєРё РґРѕ РґРёСЃРєС–РІ"</f>
        <v>0381.61  REMSA - Р“Р°Р»СЊРјС–РІРЅС– РєРѕР»РѕРґРєРё РґРѕ РґРёСЃРєС–РІ</v>
      </c>
      <c r="E7061">
        <v>1</v>
      </c>
      <c r="F7061" t="s">
        <v>23542</v>
      </c>
      <c r="G7061" t="s">
        <v>23513</v>
      </c>
      <c r="H7061" t="str">
        <f>"0381.61"</f>
        <v>0381.61</v>
      </c>
      <c r="I7061" t="s">
        <v>23543</v>
      </c>
    </row>
    <row r="7062" spans="1:9">
      <c r="A7062" t="str">
        <f>"0235587 "</f>
        <v xml:space="preserve">0235587 </v>
      </c>
      <c r="B7062" t="s">
        <v>23512</v>
      </c>
      <c r="C7062" t="str">
        <f>"0390.22"</f>
        <v>0390.22</v>
      </c>
      <c r="D7062" t="str">
        <f>"0390.22  REMSA - Р“Р°Р»СЊРјС–РІРЅС– РєРѕР»РѕРґРєРё РґРѕ РґРёСЃРєС–РІ"</f>
        <v>0390.22  REMSA - Р“Р°Р»СЊРјС–РІРЅС– РєРѕР»РѕРґРєРё РґРѕ РґРёСЃРєС–РІ</v>
      </c>
      <c r="E7062">
        <v>3</v>
      </c>
      <c r="F7062" t="s">
        <v>23544</v>
      </c>
      <c r="G7062" t="s">
        <v>23513</v>
      </c>
      <c r="H7062" t="str">
        <f>"0390.22"</f>
        <v>0390.22</v>
      </c>
      <c r="I7062" t="s">
        <v>23545</v>
      </c>
    </row>
    <row r="7063" spans="1:9">
      <c r="A7063" t="str">
        <f>"0235598 "</f>
        <v xml:space="preserve">0235598 </v>
      </c>
      <c r="B7063" t="s">
        <v>23512</v>
      </c>
      <c r="C7063" t="str">
        <f>"0393.00"</f>
        <v>0393.00</v>
      </c>
      <c r="D7063" t="str">
        <f>"0393.00  REMSA - Р“Р°Р»СЊРјС–РІРЅС– РєРѕР»РѕРґРєРё РґРѕ РґРёСЃРєС–РІ"</f>
        <v>0393.00  REMSA - Р“Р°Р»СЊРјС–РІРЅС– РєРѕР»РѕРґРєРё РґРѕ РґРёСЃРєС–РІ</v>
      </c>
      <c r="E7063">
        <v>1</v>
      </c>
      <c r="F7063" t="s">
        <v>20224</v>
      </c>
      <c r="G7063" t="s">
        <v>23513</v>
      </c>
      <c r="H7063" t="str">
        <f>"0393.00"</f>
        <v>0393.00</v>
      </c>
      <c r="I7063" t="s">
        <v>16718</v>
      </c>
    </row>
    <row r="7064" spans="1:9">
      <c r="A7064" t="str">
        <f>"0235677 "</f>
        <v xml:space="preserve">0235677 </v>
      </c>
      <c r="B7064" t="s">
        <v>23512</v>
      </c>
      <c r="C7064" t="str">
        <f>"0432.00"</f>
        <v>0432.00</v>
      </c>
      <c r="D7064" t="str">
        <f>"0432.00  REMSA - Р“Р°Р»СЊРјС–РІРЅС– РєРѕР»РѕРґРєРё РґРѕ РґРёСЃРєС–РІ"</f>
        <v>0432.00  REMSA - Р“Р°Р»СЊРјС–РІРЅС– РєРѕР»РѕРґРєРё РґРѕ РґРёСЃРєС–РІ</v>
      </c>
      <c r="E7064">
        <v>2</v>
      </c>
      <c r="F7064" t="s">
        <v>20798</v>
      </c>
      <c r="G7064" t="s">
        <v>23513</v>
      </c>
      <c r="H7064" t="str">
        <f>"0432.00"</f>
        <v>0432.00</v>
      </c>
      <c r="I7064" t="s">
        <v>23546</v>
      </c>
    </row>
    <row r="7065" spans="1:9">
      <c r="A7065" t="str">
        <f>"0235754 "</f>
        <v xml:space="preserve">0235754 </v>
      </c>
      <c r="B7065" t="s">
        <v>23512</v>
      </c>
      <c r="C7065" t="str">
        <f>"0480.00"</f>
        <v>0480.00</v>
      </c>
      <c r="D7065" t="str">
        <f>"0480.00  REMSA - Р“Р°Р»СЊРјС–РІРЅС– РєРѕР»РѕРґРєРё РґРѕ РґРёСЃРєС–РІ"</f>
        <v>0480.00  REMSA - Р“Р°Р»СЊРјС–РІРЅС– РєРѕР»РѕРґРєРё РґРѕ РґРёСЃРєС–РІ</v>
      </c>
      <c r="E7065">
        <v>2</v>
      </c>
      <c r="F7065" t="s">
        <v>23547</v>
      </c>
      <c r="G7065" t="s">
        <v>23513</v>
      </c>
      <c r="H7065" t="str">
        <f>"0480.00"</f>
        <v>0480.00</v>
      </c>
      <c r="I7065" t="s">
        <v>23548</v>
      </c>
    </row>
    <row r="7066" spans="1:9">
      <c r="A7066" t="str">
        <f>"0235755 "</f>
        <v xml:space="preserve">0235755 </v>
      </c>
      <c r="B7066" t="s">
        <v>23512</v>
      </c>
      <c r="C7066" t="str">
        <f>"0480.21"</f>
        <v>0480.21</v>
      </c>
      <c r="D7066" t="str">
        <f>"0480.21  REMSA - Р“Р°Р»СЊРјС–РІРЅС– РєРѕР»РѕРґРєРё РґРѕ РґРёСЃРєС–РІ"</f>
        <v>0480.21  REMSA - Р“Р°Р»СЊРјС–РІРЅС– РєРѕР»РѕРґРєРё РґРѕ РґРёСЃРєС–РІ</v>
      </c>
      <c r="E7066">
        <v>1</v>
      </c>
      <c r="F7066" t="s">
        <v>21449</v>
      </c>
      <c r="G7066" t="s">
        <v>23513</v>
      </c>
      <c r="H7066" t="str">
        <f>"0480.21"</f>
        <v>0480.21</v>
      </c>
      <c r="I7066" t="s">
        <v>6116</v>
      </c>
    </row>
    <row r="7067" spans="1:9">
      <c r="A7067" t="str">
        <f>"0235861 "</f>
        <v xml:space="preserve">0235861 </v>
      </c>
      <c r="B7067" t="s">
        <v>23512</v>
      </c>
      <c r="C7067" t="str">
        <f>"0578.00"</f>
        <v>0578.00</v>
      </c>
      <c r="D7067" t="str">
        <f>"0578.00  REMSA - Р“Р°Р»СЊРјС–РІРЅС– РєРѕР»РѕРґРєРё РґРѕ РґРёСЃРєС–РІ"</f>
        <v>0578.00  REMSA - Р“Р°Р»СЊРјС–РІРЅС– РєРѕР»РѕРґРєРё РґРѕ РґРёСЃРєС–РІ</v>
      </c>
      <c r="E7067">
        <v>4</v>
      </c>
      <c r="F7067" t="s">
        <v>23549</v>
      </c>
      <c r="G7067" t="s">
        <v>23513</v>
      </c>
      <c r="H7067" t="str">
        <f>"0578.00"</f>
        <v>0578.00</v>
      </c>
      <c r="I7067" t="s">
        <v>23550</v>
      </c>
    </row>
    <row r="7068" spans="1:9">
      <c r="A7068" t="str">
        <f>"0235897 "</f>
        <v xml:space="preserve">0235897 </v>
      </c>
      <c r="B7068" t="s">
        <v>23512</v>
      </c>
      <c r="C7068" t="str">
        <f>"0591.00"</f>
        <v>0591.00</v>
      </c>
      <c r="D7068" t="str">
        <f>"0591.00  REMSA - Р“Р°Р»СЊРјС–РІРЅС– РєРѕР»РѕРґРєРё РґРѕ РґРёСЃРєС–РІ"</f>
        <v>0591.00  REMSA - Р“Р°Р»СЊРјС–РІРЅС– РєРѕР»РѕРґРєРё РґРѕ РґРёСЃРєС–РІ</v>
      </c>
      <c r="E7068">
        <v>2</v>
      </c>
      <c r="F7068" t="s">
        <v>23551</v>
      </c>
      <c r="G7068" t="s">
        <v>23513</v>
      </c>
      <c r="H7068" t="str">
        <f>"0591.00"</f>
        <v>0591.00</v>
      </c>
      <c r="I7068" t="s">
        <v>23552</v>
      </c>
    </row>
    <row r="7069" spans="1:9">
      <c r="A7069" t="str">
        <f>"0235953 "</f>
        <v xml:space="preserve">0235953 </v>
      </c>
      <c r="B7069" t="s">
        <v>23512</v>
      </c>
      <c r="C7069" t="str">
        <f>"0620.20"</f>
        <v>0620.20</v>
      </c>
      <c r="D7069" t="str">
        <f>"0620.20  REMSA - Р“Р°Р»СЊРјС–РІРЅС– РєРѕР»РѕРґРєРё РґРѕ РґРёСЃРєС–РІ"</f>
        <v>0620.20  REMSA - Р“Р°Р»СЊРјС–РІРЅС– РєРѕР»РѕРґРєРё РґРѕ РґРёСЃРєС–РІ</v>
      </c>
      <c r="E7069">
        <v>1</v>
      </c>
      <c r="F7069" t="s">
        <v>20865</v>
      </c>
      <c r="G7069" t="s">
        <v>23513</v>
      </c>
      <c r="H7069" t="str">
        <f>"0620.20"</f>
        <v>0620.20</v>
      </c>
      <c r="I7069" t="s">
        <v>23553</v>
      </c>
    </row>
    <row r="7070" spans="1:9">
      <c r="A7070" t="str">
        <f>"0235978 "</f>
        <v xml:space="preserve">0235978 </v>
      </c>
      <c r="B7070" t="s">
        <v>23512</v>
      </c>
      <c r="C7070" t="str">
        <f>"0633.41"</f>
        <v>0633.41</v>
      </c>
      <c r="D7070" t="str">
        <f>"0633.41  REMSA - Р“Р°Р»СЊРјС–РІРЅС– РєРѕР»РѕРґРєРё РґРѕ РґРёСЃРєС–РІ"</f>
        <v>0633.41  REMSA - Р“Р°Р»СЊРјС–РІРЅС– РєРѕР»РѕРґРєРё РґРѕ РґРёСЃРєС–РІ</v>
      </c>
      <c r="E7070" t="s">
        <v>16</v>
      </c>
      <c r="F7070" t="s">
        <v>23554</v>
      </c>
      <c r="G7070" t="s">
        <v>23513</v>
      </c>
      <c r="H7070" t="str">
        <f>"0633.41"</f>
        <v>0633.41</v>
      </c>
      <c r="I7070" t="s">
        <v>23555</v>
      </c>
    </row>
    <row r="7071" spans="1:9">
      <c r="A7071" t="str">
        <f>"0236022 "</f>
        <v xml:space="preserve">0236022 </v>
      </c>
      <c r="B7071" t="s">
        <v>23512</v>
      </c>
      <c r="C7071" t="str">
        <f>"0655.02"</f>
        <v>0655.02</v>
      </c>
      <c r="D7071" t="str">
        <f>"0655.02  REMSA - Р“Р°Р»СЊРјС–РІРЅС– РєРѕР»РѕРґРєРё РґРѕ РґРёСЃРєС–РІ"</f>
        <v>0655.02  REMSA - Р“Р°Р»СЊРјС–РІРЅС– РєРѕР»РѕРґРєРё РґРѕ РґРёСЃРєС–РІ</v>
      </c>
      <c r="E7071">
        <v>1</v>
      </c>
      <c r="F7071" t="s">
        <v>23556</v>
      </c>
      <c r="G7071" t="s">
        <v>23513</v>
      </c>
      <c r="H7071" t="str">
        <f>"0655.02"</f>
        <v>0655.02</v>
      </c>
      <c r="I7071" t="s">
        <v>23557</v>
      </c>
    </row>
    <row r="7072" spans="1:9">
      <c r="A7072" t="str">
        <f>"0236056 "</f>
        <v xml:space="preserve">0236056 </v>
      </c>
      <c r="B7072" t="s">
        <v>23512</v>
      </c>
      <c r="C7072" t="str">
        <f>"0678.00"</f>
        <v>0678.00</v>
      </c>
      <c r="D7072" t="str">
        <f>"0678.00  REMSA - Р“Р°Р»СЊРјС–РІРЅС– РєРѕР»РѕРґРєРё РґРѕ РґРёСЃРєС–РІ"</f>
        <v>0678.00  REMSA - Р“Р°Р»СЊРјС–РІРЅС– РєРѕР»РѕРґРєРё РґРѕ РґРёСЃРєС–РІ</v>
      </c>
      <c r="E7072">
        <v>1</v>
      </c>
      <c r="F7072" t="s">
        <v>23558</v>
      </c>
      <c r="G7072" t="s">
        <v>23513</v>
      </c>
      <c r="H7072" t="str">
        <f>"0678.00"</f>
        <v>0678.00</v>
      </c>
      <c r="I7072" t="s">
        <v>23559</v>
      </c>
    </row>
    <row r="7073" spans="1:9">
      <c r="A7073" t="str">
        <f>"0236087 "</f>
        <v xml:space="preserve">0236087 </v>
      </c>
      <c r="B7073" t="s">
        <v>23512</v>
      </c>
      <c r="C7073" t="str">
        <f>"0701.00"</f>
        <v>0701.00</v>
      </c>
      <c r="D7073" t="str">
        <f>"0701.00  REMSA - Р“Р°Р»СЊРјС–РІРЅС– РєРѕР»РѕРґРєРё РґРѕ РґРёСЃРєС–РІ"</f>
        <v>0701.00  REMSA - Р“Р°Р»СЊРјС–РІРЅС– РєРѕР»РѕРґРєРё РґРѕ РґРёСЃРєС–РІ</v>
      </c>
      <c r="E7073">
        <v>2</v>
      </c>
      <c r="F7073" t="s">
        <v>9376</v>
      </c>
      <c r="G7073" t="s">
        <v>23513</v>
      </c>
      <c r="H7073" t="str">
        <f>"0701.00"</f>
        <v>0701.00</v>
      </c>
      <c r="I7073" t="s">
        <v>23560</v>
      </c>
    </row>
    <row r="7074" spans="1:9">
      <c r="A7074" t="str">
        <f>"0236095 "</f>
        <v xml:space="preserve">0236095 </v>
      </c>
      <c r="B7074" t="s">
        <v>23512</v>
      </c>
      <c r="C7074" t="str">
        <f>"0706.00"</f>
        <v>0706.00</v>
      </c>
      <c r="D7074" t="str">
        <f>"0706.00  REMSA - Р“Р°Р»СЊРјС–РІРЅС– РєРѕР»РѕРґРєРё РґРѕ РґРёСЃРєС–РІ"</f>
        <v>0706.00  REMSA - Р“Р°Р»СЊРјС–РІРЅС– РєРѕР»РѕРґРєРё РґРѕ РґРёСЃРєС–РІ</v>
      </c>
      <c r="E7074">
        <v>2</v>
      </c>
      <c r="F7074" t="s">
        <v>23561</v>
      </c>
      <c r="G7074" t="s">
        <v>23513</v>
      </c>
      <c r="H7074" t="str">
        <f>"0706.00"</f>
        <v>0706.00</v>
      </c>
      <c r="I7074" t="s">
        <v>23562</v>
      </c>
    </row>
    <row r="7075" spans="1:9">
      <c r="A7075" t="str">
        <f>"0236104 "</f>
        <v xml:space="preserve">0236104 </v>
      </c>
      <c r="B7075" t="s">
        <v>23512</v>
      </c>
      <c r="C7075" t="str">
        <f>"0714.00"</f>
        <v>0714.00</v>
      </c>
      <c r="D7075" t="str">
        <f>"0714.00  REMSA - Р“Р°Р»СЊРјС–РІРЅС– РєРѕР»РѕРґРєРё РґРѕ РґРёСЃРєС–РІ"</f>
        <v>0714.00  REMSA - Р“Р°Р»СЊРјС–РІРЅС– РєРѕР»РѕРґРєРё РґРѕ РґРёСЃРєС–РІ</v>
      </c>
      <c r="E7075">
        <v>2</v>
      </c>
      <c r="F7075" t="s">
        <v>23563</v>
      </c>
      <c r="G7075" t="s">
        <v>23513</v>
      </c>
      <c r="H7075" t="str">
        <f>"0714.00"</f>
        <v>0714.00</v>
      </c>
      <c r="I7075" t="s">
        <v>23564</v>
      </c>
    </row>
    <row r="7076" spans="1:9">
      <c r="A7076" t="str">
        <f>"0236107 "</f>
        <v xml:space="preserve">0236107 </v>
      </c>
      <c r="B7076" t="s">
        <v>23512</v>
      </c>
      <c r="C7076" t="str">
        <f>"0717.00"</f>
        <v>0717.00</v>
      </c>
      <c r="D7076" t="str">
        <f>"0717.00  REMSA - Р“Р°Р»СЊРјС–РІРЅС– РєРѕР»РѕРґРєРё РґРѕ РґРёСЃРєС–РІ"</f>
        <v>0717.00  REMSA - Р“Р°Р»СЊРјС–РІРЅС– РєРѕР»РѕРґРєРё РґРѕ РґРёСЃРєС–РІ</v>
      </c>
      <c r="E7076">
        <v>3</v>
      </c>
      <c r="F7076" t="s">
        <v>23565</v>
      </c>
      <c r="G7076" t="s">
        <v>23513</v>
      </c>
      <c r="H7076" t="str">
        <f>"0717.00"</f>
        <v>0717.00</v>
      </c>
      <c r="I7076" t="s">
        <v>23566</v>
      </c>
    </row>
    <row r="7077" spans="1:9">
      <c r="A7077" t="str">
        <f>"0236140 "</f>
        <v xml:space="preserve">0236140 </v>
      </c>
      <c r="B7077" t="s">
        <v>23512</v>
      </c>
      <c r="C7077" t="str">
        <f>"0733.00"</f>
        <v>0733.00</v>
      </c>
      <c r="D7077" t="str">
        <f>"0733.00  REMSA - Р“Р°Р»СЊРјС–РІРЅС– РєРѕР»РѕРґРєРё РґРѕ РґРёСЃРєС–РІ"</f>
        <v>0733.00  REMSA - Р“Р°Р»СЊРјС–РІРЅС– РєРѕР»РѕРґРєРё РґРѕ РґРёСЃРєС–РІ</v>
      </c>
      <c r="E7077">
        <v>2</v>
      </c>
      <c r="F7077" t="s">
        <v>23567</v>
      </c>
      <c r="G7077" t="s">
        <v>23513</v>
      </c>
      <c r="H7077" t="str">
        <f>"0733.00"</f>
        <v>0733.00</v>
      </c>
      <c r="I7077" t="s">
        <v>23568</v>
      </c>
    </row>
    <row r="7078" spans="1:9">
      <c r="A7078" t="str">
        <f>"0236154 "</f>
        <v xml:space="preserve">0236154 </v>
      </c>
      <c r="B7078" t="s">
        <v>23512</v>
      </c>
      <c r="C7078" t="str">
        <f>"0746.02"</f>
        <v>0746.02</v>
      </c>
      <c r="D7078" t="str">
        <f>"0746.02  REMSA - Р“Р°Р»СЊРјС–РІРЅС– РєРѕР»РѕРґРєРё РґРѕ РґРёСЃРєС–РІ"</f>
        <v>0746.02  REMSA - Р“Р°Р»СЊРјС–РІРЅС– РєРѕР»РѕРґРєРё РґРѕ РґРёСЃРєС–РІ</v>
      </c>
      <c r="E7078">
        <v>1</v>
      </c>
      <c r="F7078" t="s">
        <v>23569</v>
      </c>
      <c r="G7078" t="s">
        <v>23513</v>
      </c>
      <c r="H7078" t="str">
        <f>"0746.02"</f>
        <v>0746.02</v>
      </c>
      <c r="I7078" t="s">
        <v>23570</v>
      </c>
    </row>
    <row r="7079" spans="1:9">
      <c r="A7079" t="str">
        <f>"0236165 "</f>
        <v xml:space="preserve">0236165 </v>
      </c>
      <c r="B7079" t="s">
        <v>23512</v>
      </c>
      <c r="C7079" t="str">
        <f>"0750.02"</f>
        <v>0750.02</v>
      </c>
      <c r="D7079" t="str">
        <f>"0750.02  REMSA - Р“Р°Р»СЊРјС–РІРЅС– РєРѕР»РѕРґРєРё РґРѕ РґРёСЃРєС–РІ"</f>
        <v>0750.02  REMSA - Р“Р°Р»СЊРјС–РІРЅС– РєРѕР»РѕРґРєРё РґРѕ РґРёСЃРєС–РІ</v>
      </c>
      <c r="E7079">
        <v>1</v>
      </c>
      <c r="F7079" t="s">
        <v>23571</v>
      </c>
      <c r="G7079" t="s">
        <v>23513</v>
      </c>
      <c r="H7079" t="str">
        <f>"0750.02"</f>
        <v>0750.02</v>
      </c>
      <c r="I7079" t="s">
        <v>23572</v>
      </c>
    </row>
    <row r="7080" spans="1:9">
      <c r="A7080" t="str">
        <f>"0236184 "</f>
        <v xml:space="preserve">0236184 </v>
      </c>
      <c r="B7080" t="s">
        <v>23512</v>
      </c>
      <c r="C7080" t="str">
        <f>"0767.00"</f>
        <v>0767.00</v>
      </c>
      <c r="D7080" t="str">
        <f>"0767.00  REMSA - Р“Р°Р»СЊРјС–РІРЅС– РєРѕР»РѕРґРєРё РґРѕ РґРёСЃРєС–РІ"</f>
        <v>0767.00  REMSA - Р“Р°Р»СЊРјС–РІРЅС– РєРѕР»РѕРґРєРё РґРѕ РґРёСЃРєС–РІ</v>
      </c>
      <c r="E7080">
        <v>2</v>
      </c>
      <c r="F7080" t="s">
        <v>8147</v>
      </c>
      <c r="G7080" t="s">
        <v>23513</v>
      </c>
      <c r="H7080" t="str">
        <f>"0767.00"</f>
        <v>0767.00</v>
      </c>
      <c r="I7080" t="s">
        <v>23552</v>
      </c>
    </row>
    <row r="7081" spans="1:9">
      <c r="A7081" t="str">
        <f>"0236198 "</f>
        <v xml:space="preserve">0236198 </v>
      </c>
      <c r="B7081" t="s">
        <v>23512</v>
      </c>
      <c r="C7081" t="str">
        <f>"0772.12"</f>
        <v>0772.12</v>
      </c>
      <c r="D7081" t="str">
        <f>"0772.12  REMSA - Р“Р°Р»СЊРјС–РІРЅС– РєРѕР»РѕРґРєРё РґРѕ РґРёСЃРєС–РІ"</f>
        <v>0772.12  REMSA - Р“Р°Р»СЊРјС–РІРЅС– РєРѕР»РѕРґРєРё РґРѕ РґРёСЃРєС–РІ</v>
      </c>
      <c r="E7081">
        <v>2</v>
      </c>
      <c r="F7081" t="s">
        <v>23573</v>
      </c>
      <c r="G7081" t="s">
        <v>23513</v>
      </c>
      <c r="H7081" t="str">
        <f>"0772.12"</f>
        <v>0772.12</v>
      </c>
      <c r="I7081" t="s">
        <v>23574</v>
      </c>
    </row>
    <row r="7082" spans="1:9">
      <c r="A7082" t="str">
        <f>"0236247 "</f>
        <v xml:space="preserve">0236247 </v>
      </c>
      <c r="B7082" t="s">
        <v>23512</v>
      </c>
      <c r="C7082" t="str">
        <f>"0804.31"</f>
        <v>0804.31</v>
      </c>
      <c r="D7082" t="str">
        <f>"0804.31  REMSA - Р“Р°Р»СЊРјС–РІРЅС– РєРѕР»РѕРґРєРё РґРѕ РґРёСЃРєС–РІ"</f>
        <v>0804.31  REMSA - Р“Р°Р»СЊРјС–РІРЅС– РєРѕР»РѕРґРєРё РґРѕ РґРёСЃРєС–РІ</v>
      </c>
      <c r="E7082">
        <v>1</v>
      </c>
      <c r="F7082" t="s">
        <v>23575</v>
      </c>
      <c r="G7082" t="s">
        <v>23513</v>
      </c>
      <c r="H7082" t="str">
        <f>"0804.31"</f>
        <v>0804.31</v>
      </c>
      <c r="I7082" t="s">
        <v>23576</v>
      </c>
    </row>
    <row r="7083" spans="1:9">
      <c r="A7083" t="str">
        <f>"0236290 "</f>
        <v xml:space="preserve">0236290 </v>
      </c>
      <c r="B7083" t="s">
        <v>23512</v>
      </c>
      <c r="C7083" t="str">
        <f>"0842.20"</f>
        <v>0842.20</v>
      </c>
      <c r="D7083" t="str">
        <f>"0842.20  REMSA - Р“Р°Р»СЊРјС–РІРЅС– РєРѕР»РѕРґРєРё РґРѕ РґРёСЃРєС–РІ"</f>
        <v>0842.20  REMSA - Р“Р°Р»СЊРјС–РІРЅС– РєРѕР»РѕРґРєРё РґРѕ РґРёСЃРєС–РІ</v>
      </c>
      <c r="E7083">
        <v>5</v>
      </c>
      <c r="F7083" t="s">
        <v>23577</v>
      </c>
      <c r="G7083" t="s">
        <v>23513</v>
      </c>
      <c r="H7083" t="str">
        <f>"0842.20"</f>
        <v>0842.20</v>
      </c>
      <c r="I7083" t="s">
        <v>23578</v>
      </c>
    </row>
    <row r="7084" spans="1:9">
      <c r="A7084" t="str">
        <f>"0236291 "</f>
        <v xml:space="preserve">0236291 </v>
      </c>
      <c r="B7084" t="s">
        <v>23512</v>
      </c>
      <c r="C7084" t="str">
        <f>"0842.30"</f>
        <v>0842.30</v>
      </c>
      <c r="D7084" t="str">
        <f>"0842.30  REMSA - Р“Р°Р»СЊРјС–РІРЅС– РєРѕР»РѕРґРєРё РґРѕ РґРёСЃРєС–РІ"</f>
        <v>0842.30  REMSA - Р“Р°Р»СЊРјС–РІРЅС– РєРѕР»РѕРґРєРё РґРѕ РґРёСЃРєС–РІ</v>
      </c>
      <c r="E7084">
        <v>1</v>
      </c>
      <c r="F7084" t="s">
        <v>23579</v>
      </c>
      <c r="G7084" t="s">
        <v>23513</v>
      </c>
      <c r="H7084" t="str">
        <f>"0842.30"</f>
        <v>0842.30</v>
      </c>
      <c r="I7084" t="s">
        <v>23578</v>
      </c>
    </row>
    <row r="7085" spans="1:9">
      <c r="A7085" t="str">
        <f>"0236294 "</f>
        <v xml:space="preserve">0236294 </v>
      </c>
      <c r="B7085" t="s">
        <v>23512</v>
      </c>
      <c r="C7085" t="str">
        <f>"0842.70"</f>
        <v>0842.70</v>
      </c>
      <c r="D7085" t="str">
        <f>"0842.70  REMSA - Р“Р°Р»СЊРјС–РІРЅС– РєРѕР»РѕРґРєРё РґРѕ РґРёСЃРєС–РІ"</f>
        <v>0842.70  REMSA - Р“Р°Р»СЊРјС–РІРЅС– РєРѕР»РѕРґРєРё РґРѕ РґРёСЃРєС–РІ</v>
      </c>
      <c r="E7085">
        <v>1</v>
      </c>
      <c r="F7085" t="s">
        <v>23580</v>
      </c>
      <c r="G7085" t="s">
        <v>23513</v>
      </c>
      <c r="H7085" t="str">
        <f>"0842.70"</f>
        <v>0842.70</v>
      </c>
      <c r="I7085" t="s">
        <v>23581</v>
      </c>
    </row>
    <row r="7086" spans="1:9">
      <c r="A7086" t="str">
        <f>"0236320 "</f>
        <v xml:space="preserve">0236320 </v>
      </c>
      <c r="B7086" t="s">
        <v>23512</v>
      </c>
      <c r="C7086" t="str">
        <f>"0858.31"</f>
        <v>0858.31</v>
      </c>
      <c r="D7086" t="str">
        <f>"0858.31  REMSA - Р“Р°Р»СЊРјС–РІРЅС– РєРѕР»РѕРґРєРё РґРѕ РґРёСЃРєС–РІ"</f>
        <v>0858.31  REMSA - Р“Р°Р»СЊРјС–РІРЅС– РєРѕР»РѕРґРєРё РґРѕ РґРёСЃРєС–РІ</v>
      </c>
      <c r="E7086">
        <v>2</v>
      </c>
      <c r="F7086" t="s">
        <v>23582</v>
      </c>
      <c r="G7086" t="s">
        <v>23513</v>
      </c>
      <c r="H7086" t="str">
        <f>"0858.31"</f>
        <v>0858.31</v>
      </c>
      <c r="I7086" t="s">
        <v>23583</v>
      </c>
    </row>
    <row r="7087" spans="1:9">
      <c r="A7087" t="str">
        <f>"0236343 "</f>
        <v xml:space="preserve">0236343 </v>
      </c>
      <c r="B7087" t="s">
        <v>23512</v>
      </c>
      <c r="C7087" t="str">
        <f>"0876.01"</f>
        <v>0876.01</v>
      </c>
      <c r="D7087" t="str">
        <f>"0876.01  REMSA - Р“Р°Р»СЊРјС–РІРЅС– РєРѕР»РѕРґРєРё РґРѕ РґРёСЃРєС–РІ"</f>
        <v>0876.01  REMSA - Р“Р°Р»СЊРјС–РІРЅС– РєРѕР»РѕРґРєРё РґРѕ РґРёСЃРєС–РІ</v>
      </c>
      <c r="E7087">
        <v>1</v>
      </c>
      <c r="F7087" t="s">
        <v>23519</v>
      </c>
      <c r="G7087" t="s">
        <v>23513</v>
      </c>
      <c r="H7087" t="str">
        <f>"0876.01"</f>
        <v>0876.01</v>
      </c>
      <c r="I7087" t="s">
        <v>23584</v>
      </c>
    </row>
    <row r="7088" spans="1:9">
      <c r="A7088" t="str">
        <f>"0236359 "</f>
        <v xml:space="preserve">0236359 </v>
      </c>
      <c r="B7088" t="s">
        <v>23512</v>
      </c>
      <c r="C7088" t="str">
        <f>"0884.00"</f>
        <v>0884.00</v>
      </c>
      <c r="D7088" t="str">
        <f>"0884.00  REMSA - Р“Р°Р»СЊРјС–РІРЅС– РєРѕР»РѕРґРєРё РґРѕ РґРёСЃРєС–РІ"</f>
        <v>0884.00  REMSA - Р“Р°Р»СЊРјС–РІРЅС– РєРѕР»РѕРґРєРё РґРѕ РґРёСЃРєС–РІ</v>
      </c>
      <c r="E7088">
        <v>1</v>
      </c>
      <c r="F7088" t="s">
        <v>23585</v>
      </c>
      <c r="G7088" t="s">
        <v>23513</v>
      </c>
      <c r="H7088" t="str">
        <f>"0884.00"</f>
        <v>0884.00</v>
      </c>
      <c r="I7088" t="s">
        <v>23586</v>
      </c>
    </row>
    <row r="7089" spans="1:9">
      <c r="A7089" t="str">
        <f>"0236367 "</f>
        <v xml:space="preserve">0236367 </v>
      </c>
      <c r="B7089" t="s">
        <v>23512</v>
      </c>
      <c r="C7089" t="str">
        <f>"0892.00"</f>
        <v>0892.00</v>
      </c>
      <c r="D7089" t="str">
        <f>"0892.00  REMSA - Р“Р°Р»СЊРјС–РІРЅС– РєРѕР»РѕРґРєРё РґРѕ РґРёСЃРєС–РІ"</f>
        <v>0892.00  REMSA - Р“Р°Р»СЊРјС–РІРЅС– РєРѕР»РѕРґРєРё РґРѕ РґРёСЃРєС–РІ</v>
      </c>
      <c r="E7089">
        <v>1</v>
      </c>
      <c r="F7089" t="s">
        <v>23587</v>
      </c>
      <c r="G7089" t="s">
        <v>23513</v>
      </c>
      <c r="H7089" t="str">
        <f>"0892.00"</f>
        <v>0892.00</v>
      </c>
      <c r="I7089" t="s">
        <v>23588</v>
      </c>
    </row>
    <row r="7090" spans="1:9">
      <c r="A7090" t="str">
        <f>"0236375 "</f>
        <v xml:space="preserve">0236375 </v>
      </c>
      <c r="B7090" t="s">
        <v>23512</v>
      </c>
      <c r="C7090" t="str">
        <f>"0897.11"</f>
        <v>0897.11</v>
      </c>
      <c r="D7090" t="str">
        <f>"0897.11  REMSA - Р“Р°Р»СЊРјС–РІРЅС– РєРѕР»РѕРґРєРё РґРѕ РґРёСЃРєС–РІ"</f>
        <v>0897.11  REMSA - Р“Р°Р»СЊРјС–РІРЅС– РєРѕР»РѕРґРєРё РґРѕ РґРёСЃРєС–РІ</v>
      </c>
      <c r="E7090">
        <v>1</v>
      </c>
      <c r="F7090" t="s">
        <v>23589</v>
      </c>
      <c r="G7090" t="s">
        <v>23513</v>
      </c>
      <c r="H7090" t="str">
        <f>"0897.11"</f>
        <v>0897.11</v>
      </c>
      <c r="I7090" t="s">
        <v>23590</v>
      </c>
    </row>
    <row r="7091" spans="1:9">
      <c r="A7091" t="str">
        <f>"0236389 "</f>
        <v xml:space="preserve">0236389 </v>
      </c>
      <c r="B7091" t="s">
        <v>23512</v>
      </c>
      <c r="C7091" t="str">
        <f>"0957.02"</f>
        <v>0957.02</v>
      </c>
      <c r="D7091" t="str">
        <f>"0957.02  REMSA - Р“Р°Р»СЊРјС–РІРЅС– РєРѕР»РѕРґРєРё РґРѕ РґРёСЃРєС–РІ"</f>
        <v>0957.02  REMSA - Р“Р°Р»СЊРјС–РІРЅС– РєРѕР»РѕРґРєРё РґРѕ РґРёСЃРєС–РІ</v>
      </c>
      <c r="E7091">
        <v>2</v>
      </c>
      <c r="F7091" t="s">
        <v>9341</v>
      </c>
      <c r="G7091" t="s">
        <v>23513</v>
      </c>
      <c r="H7091" t="str">
        <f>"0957.02"</f>
        <v>0957.02</v>
      </c>
      <c r="I7091" t="s">
        <v>23591</v>
      </c>
    </row>
    <row r="7092" spans="1:9">
      <c r="A7092" t="str">
        <f>"0236399 "</f>
        <v xml:space="preserve">0236399 </v>
      </c>
      <c r="B7092" t="s">
        <v>23512</v>
      </c>
      <c r="C7092" t="str">
        <f>"0962.10"</f>
        <v>0962.10</v>
      </c>
      <c r="D7092" t="str">
        <f>"0962.10  REMSA - Р“Р°Р»СЊРјС–РІРЅС– РєРѕР»РѕРґРєРё РґРѕ РґРёСЃРєС–РІ"</f>
        <v>0962.10  REMSA - Р“Р°Р»СЊРјС–РІРЅС– РєРѕР»РѕРґРєРё РґРѕ РґРёСЃРєС–РІ</v>
      </c>
      <c r="E7092">
        <v>1</v>
      </c>
      <c r="F7092" t="s">
        <v>20413</v>
      </c>
      <c r="G7092" t="s">
        <v>23513</v>
      </c>
      <c r="H7092" t="str">
        <f>"0962.10"</f>
        <v>0962.10</v>
      </c>
      <c r="I7092" t="s">
        <v>23592</v>
      </c>
    </row>
    <row r="7093" spans="1:9">
      <c r="A7093" t="str">
        <f>"0236404 "</f>
        <v xml:space="preserve">0236404 </v>
      </c>
      <c r="B7093" t="s">
        <v>23512</v>
      </c>
      <c r="C7093" t="str">
        <f>"0964.12"</f>
        <v>0964.12</v>
      </c>
      <c r="D7093" t="str">
        <f>"0964.12  REMSA - Р“Р°Р»СЊРјС–РІРЅС– РєРѕР»РѕРґРєРё РґРѕ РґРёСЃРєС–РІ"</f>
        <v>0964.12  REMSA - Р“Р°Р»СЊРјС–РІРЅС– РєРѕР»РѕРґРєРё РґРѕ РґРёСЃРєС–РІ</v>
      </c>
      <c r="E7093">
        <v>2</v>
      </c>
      <c r="F7093" t="s">
        <v>23593</v>
      </c>
      <c r="G7093" t="s">
        <v>23513</v>
      </c>
      <c r="H7093" t="str">
        <f>"0964.12"</f>
        <v>0964.12</v>
      </c>
      <c r="I7093" t="s">
        <v>23594</v>
      </c>
    </row>
    <row r="7094" spans="1:9">
      <c r="A7094" t="str">
        <f>"0236439 "</f>
        <v xml:space="preserve">0236439 </v>
      </c>
      <c r="B7094" t="s">
        <v>23512</v>
      </c>
      <c r="C7094" t="str">
        <f>"0987.00"</f>
        <v>0987.00</v>
      </c>
      <c r="D7094" t="str">
        <f>"0987.00  REMSA - Р“Р°Р»СЊРјС–РІРЅС– РєРѕР»РѕРґРєРё РґРѕ РґРёСЃРєС–РІ"</f>
        <v>0987.00  REMSA - Р“Р°Р»СЊРјС–РІРЅС– РєРѕР»РѕРґРєРё РґРѕ РґРёСЃРєС–РІ</v>
      </c>
      <c r="E7094">
        <v>2</v>
      </c>
      <c r="F7094" t="s">
        <v>23595</v>
      </c>
      <c r="G7094" t="s">
        <v>23513</v>
      </c>
      <c r="H7094" t="str">
        <f>"0987.00"</f>
        <v>0987.00</v>
      </c>
      <c r="I7094" t="s">
        <v>23596</v>
      </c>
    </row>
    <row r="7095" spans="1:9">
      <c r="A7095" t="str">
        <f>"0236443 "</f>
        <v xml:space="preserve">0236443 </v>
      </c>
      <c r="B7095" t="s">
        <v>23512</v>
      </c>
      <c r="C7095" t="str">
        <f>"0988.00"</f>
        <v>0988.00</v>
      </c>
      <c r="D7095" t="str">
        <f>"0988.00  REMSA - Р“Р°Р»СЊРјС–РІРЅС– РєРѕР»РѕРґРєРё РґРѕ РґРёСЃРєС–РІ"</f>
        <v>0988.00  REMSA - Р“Р°Р»СЊРјС–РІРЅС– РєРѕР»РѕРґРєРё РґРѕ РґРёСЃРєС–РІ</v>
      </c>
      <c r="E7095">
        <v>1</v>
      </c>
      <c r="F7095" t="s">
        <v>23597</v>
      </c>
      <c r="G7095" t="s">
        <v>23513</v>
      </c>
      <c r="H7095" t="str">
        <f>"0988.00"</f>
        <v>0988.00</v>
      </c>
      <c r="I7095" t="s">
        <v>23598</v>
      </c>
    </row>
    <row r="7096" spans="1:9">
      <c r="A7096" t="str">
        <f>"0236446 "</f>
        <v xml:space="preserve">0236446 </v>
      </c>
      <c r="B7096" t="s">
        <v>23512</v>
      </c>
      <c r="C7096" t="str">
        <f>"0991.00"</f>
        <v>0991.00</v>
      </c>
      <c r="D7096" t="str">
        <f>"0991.00  REMSA - Р“Р°Р»СЊРјС–РІРЅС– РєРѕР»РѕРґРєРё РґРѕ РґРёСЃРєС–РІ"</f>
        <v>0991.00  REMSA - Р“Р°Р»СЊРјС–РІРЅС– РєРѕР»РѕРґРєРё РґРѕ РґРёСЃРєС–РІ</v>
      </c>
      <c r="E7096">
        <v>1</v>
      </c>
      <c r="F7096" t="s">
        <v>23599</v>
      </c>
      <c r="G7096" t="s">
        <v>23513</v>
      </c>
      <c r="H7096" t="str">
        <f>"0991.00"</f>
        <v>0991.00</v>
      </c>
      <c r="I7096" t="s">
        <v>23600</v>
      </c>
    </row>
    <row r="7097" spans="1:9">
      <c r="A7097" t="str">
        <f>"0236447 "</f>
        <v xml:space="preserve">0236447 </v>
      </c>
      <c r="B7097" t="s">
        <v>23512</v>
      </c>
      <c r="C7097" t="str">
        <f>"0991.10"</f>
        <v>0991.10</v>
      </c>
      <c r="D7097" t="str">
        <f>"0991.10  REMSA - Р“Р°Р»СЊРјС–РІРЅС– РєРѕР»РѕРґРєРё РґРѕ РґРёСЃРєС–РІ"</f>
        <v>0991.10  REMSA - Р“Р°Р»СЊРјС–РІРЅС– РєРѕР»РѕРґРєРё РґРѕ РґРёСЃРєС–РІ</v>
      </c>
      <c r="E7097">
        <v>1</v>
      </c>
      <c r="F7097" t="s">
        <v>23601</v>
      </c>
      <c r="G7097" t="s">
        <v>23513</v>
      </c>
      <c r="H7097" t="str">
        <f>"0991.10"</f>
        <v>0991.10</v>
      </c>
      <c r="I7097" t="s">
        <v>23602</v>
      </c>
    </row>
    <row r="7098" spans="1:9">
      <c r="A7098" t="str">
        <f>"0236451 "</f>
        <v xml:space="preserve">0236451 </v>
      </c>
      <c r="B7098" t="s">
        <v>23512</v>
      </c>
      <c r="C7098" t="str">
        <f>"0994.00"</f>
        <v>0994.00</v>
      </c>
      <c r="D7098" t="str">
        <f>"0994.00  REMSA - Р“Р°Р»СЊРјС–РІРЅС– РєРѕР»РѕРґРєРё РґРѕ РґРёСЃРєС–РІ"</f>
        <v>0994.00  REMSA - Р“Р°Р»СЊРјС–РІРЅС– РєРѕР»РѕРґРєРё РґРѕ РґРёСЃРєС–РІ</v>
      </c>
      <c r="E7098">
        <v>2</v>
      </c>
      <c r="F7098" t="s">
        <v>23603</v>
      </c>
      <c r="G7098" t="s">
        <v>23513</v>
      </c>
      <c r="H7098" t="str">
        <f>"0994.00"</f>
        <v>0994.00</v>
      </c>
      <c r="I7098" t="s">
        <v>23604</v>
      </c>
    </row>
    <row r="7099" spans="1:9">
      <c r="A7099" t="str">
        <f>"0236452 "</f>
        <v xml:space="preserve">0236452 </v>
      </c>
      <c r="B7099" t="s">
        <v>23512</v>
      </c>
      <c r="C7099" t="str">
        <f>"0995.00"</f>
        <v>0995.00</v>
      </c>
      <c r="D7099" t="str">
        <f>"0995.00  REMSA - Р“Р°Р»СЊРјС–РІРЅС– РєРѕР»РѕРґРєРё РґРѕ РґРёСЃРєС–РІ"</f>
        <v>0995.00  REMSA - Р“Р°Р»СЊРјС–РІРЅС– РєРѕР»РѕРґРєРё РґРѕ РґРёСЃРєС–РІ</v>
      </c>
      <c r="E7099">
        <v>1</v>
      </c>
      <c r="F7099" t="s">
        <v>23605</v>
      </c>
      <c r="G7099" t="s">
        <v>23513</v>
      </c>
      <c r="H7099" t="str">
        <f>"0995.00"</f>
        <v>0995.00</v>
      </c>
      <c r="I7099" t="s">
        <v>23606</v>
      </c>
    </row>
    <row r="7100" spans="1:9">
      <c r="A7100" t="str">
        <f>"0236453 "</f>
        <v xml:space="preserve">0236453 </v>
      </c>
      <c r="B7100" t="s">
        <v>23512</v>
      </c>
      <c r="C7100" t="str">
        <f>"0996.00"</f>
        <v>0996.00</v>
      </c>
      <c r="D7100" t="str">
        <f>"0996.00  REMSA - Р“Р°Р»СЊРјС–РІРЅС– РєРѕР»РѕРґРєРё РґРѕ РґРёСЃРєС–РІ"</f>
        <v>0996.00  REMSA - Р“Р°Р»СЊРјС–РІРЅС– РєРѕР»РѕРґРєРё РґРѕ РґРёСЃРєС–РІ</v>
      </c>
      <c r="E7100">
        <v>2</v>
      </c>
      <c r="F7100" t="s">
        <v>23607</v>
      </c>
      <c r="G7100" t="s">
        <v>23513</v>
      </c>
      <c r="H7100" t="str">
        <f>"0996.00"</f>
        <v>0996.00</v>
      </c>
      <c r="I7100" t="s">
        <v>23604</v>
      </c>
    </row>
    <row r="7101" spans="1:9">
      <c r="A7101" t="str">
        <f>"0236458 "</f>
        <v xml:space="preserve">0236458 </v>
      </c>
      <c r="B7101" t="s">
        <v>23512</v>
      </c>
      <c r="C7101" t="s">
        <v>23608</v>
      </c>
      <c r="D7101" t="s">
        <v>23609</v>
      </c>
      <c r="E7101">
        <v>1</v>
      </c>
      <c r="F7101" t="s">
        <v>23610</v>
      </c>
      <c r="G7101" t="s">
        <v>23513</v>
      </c>
      <c r="H7101" t="s">
        <v>23608</v>
      </c>
      <c r="I7101" t="s">
        <v>23611</v>
      </c>
    </row>
    <row r="7102" spans="1:9">
      <c r="A7102" t="str">
        <f>"0236460 "</f>
        <v xml:space="preserve">0236460 </v>
      </c>
      <c r="B7102" t="s">
        <v>23512</v>
      </c>
      <c r="C7102" t="s">
        <v>23612</v>
      </c>
      <c r="D7102" t="s">
        <v>23613</v>
      </c>
      <c r="E7102">
        <v>1</v>
      </c>
      <c r="F7102" t="s">
        <v>23614</v>
      </c>
      <c r="G7102" t="s">
        <v>23513</v>
      </c>
      <c r="H7102" t="s">
        <v>23612</v>
      </c>
      <c r="I7102" t="s">
        <v>23615</v>
      </c>
    </row>
    <row r="7103" spans="1:9">
      <c r="A7103" t="str">
        <f>"0236474 "</f>
        <v xml:space="preserve">0236474 </v>
      </c>
      <c r="B7103" t="s">
        <v>23512</v>
      </c>
      <c r="C7103" t="s">
        <v>23616</v>
      </c>
      <c r="D7103" t="s">
        <v>23617</v>
      </c>
      <c r="E7103">
        <v>3</v>
      </c>
      <c r="F7103" t="s">
        <v>23618</v>
      </c>
      <c r="G7103" t="s">
        <v>23513</v>
      </c>
      <c r="H7103" t="s">
        <v>23616</v>
      </c>
      <c r="I7103" t="s">
        <v>16472</v>
      </c>
    </row>
    <row r="7104" spans="1:9">
      <c r="A7104" t="str">
        <f>"0236476 "</f>
        <v xml:space="preserve">0236476 </v>
      </c>
      <c r="B7104" t="s">
        <v>23512</v>
      </c>
      <c r="C7104" t="s">
        <v>23619</v>
      </c>
      <c r="D7104" t="s">
        <v>23620</v>
      </c>
      <c r="E7104">
        <v>2</v>
      </c>
      <c r="F7104" t="s">
        <v>23621</v>
      </c>
      <c r="G7104" t="s">
        <v>23513</v>
      </c>
      <c r="H7104" t="s">
        <v>23619</v>
      </c>
      <c r="I7104" t="s">
        <v>23622</v>
      </c>
    </row>
    <row r="7105" spans="1:9">
      <c r="A7105" t="str">
        <f>"0236483 "</f>
        <v xml:space="preserve">0236483 </v>
      </c>
      <c r="B7105" t="s">
        <v>23512</v>
      </c>
      <c r="C7105" t="s">
        <v>23623</v>
      </c>
      <c r="D7105" t="s">
        <v>23624</v>
      </c>
      <c r="E7105" t="s">
        <v>16</v>
      </c>
      <c r="F7105" t="s">
        <v>23625</v>
      </c>
      <c r="G7105" t="s">
        <v>23513</v>
      </c>
      <c r="H7105" t="s">
        <v>23623</v>
      </c>
      <c r="I7105" t="s">
        <v>23626</v>
      </c>
    </row>
    <row r="7106" spans="1:9">
      <c r="A7106" t="str">
        <f>"0236502 "</f>
        <v xml:space="preserve">0236502 </v>
      </c>
      <c r="B7106" t="s">
        <v>23512</v>
      </c>
      <c r="C7106" t="s">
        <v>23627</v>
      </c>
      <c r="D7106" t="s">
        <v>23628</v>
      </c>
      <c r="E7106" t="s">
        <v>16</v>
      </c>
      <c r="F7106" t="s">
        <v>23547</v>
      </c>
      <c r="G7106" t="s">
        <v>23513</v>
      </c>
      <c r="H7106" t="s">
        <v>23627</v>
      </c>
      <c r="I7106" t="s">
        <v>23629</v>
      </c>
    </row>
    <row r="7107" spans="1:9">
      <c r="A7107" t="str">
        <f>"0236518 "</f>
        <v xml:space="preserve">0236518 </v>
      </c>
      <c r="B7107" t="s">
        <v>23512</v>
      </c>
      <c r="C7107" t="s">
        <v>23630</v>
      </c>
      <c r="D7107" t="s">
        <v>23631</v>
      </c>
      <c r="E7107">
        <v>1</v>
      </c>
      <c r="F7107" t="s">
        <v>23632</v>
      </c>
      <c r="G7107" t="s">
        <v>23513</v>
      </c>
      <c r="H7107" t="s">
        <v>23630</v>
      </c>
      <c r="I7107" t="s">
        <v>16246</v>
      </c>
    </row>
    <row r="7108" spans="1:9">
      <c r="A7108" t="str">
        <f>"0236555 "</f>
        <v xml:space="preserve">0236555 </v>
      </c>
      <c r="B7108" t="s">
        <v>23512</v>
      </c>
      <c r="C7108" t="s">
        <v>23633</v>
      </c>
      <c r="D7108" t="s">
        <v>23634</v>
      </c>
      <c r="E7108">
        <v>1</v>
      </c>
      <c r="F7108" t="s">
        <v>23635</v>
      </c>
      <c r="G7108" t="s">
        <v>23513</v>
      </c>
      <c r="H7108" t="s">
        <v>23633</v>
      </c>
      <c r="I7108" t="s">
        <v>23636</v>
      </c>
    </row>
    <row r="7109" spans="1:9">
      <c r="A7109" t="str">
        <f>"0236591 "</f>
        <v xml:space="preserve">0236591 </v>
      </c>
      <c r="B7109" t="s">
        <v>23512</v>
      </c>
      <c r="C7109" t="s">
        <v>23637</v>
      </c>
      <c r="D7109" t="s">
        <v>23638</v>
      </c>
      <c r="E7109">
        <v>2</v>
      </c>
      <c r="F7109" t="s">
        <v>23639</v>
      </c>
      <c r="G7109" t="s">
        <v>23513</v>
      </c>
      <c r="H7109" t="s">
        <v>23637</v>
      </c>
      <c r="I7109" t="s">
        <v>23640</v>
      </c>
    </row>
    <row r="7110" spans="1:9">
      <c r="A7110" t="str">
        <f>"0236598 "</f>
        <v xml:space="preserve">0236598 </v>
      </c>
      <c r="B7110" t="s">
        <v>23512</v>
      </c>
      <c r="C7110" t="s">
        <v>23641</v>
      </c>
      <c r="D7110" t="s">
        <v>23642</v>
      </c>
      <c r="E7110">
        <v>2</v>
      </c>
      <c r="F7110" t="s">
        <v>23643</v>
      </c>
      <c r="G7110" t="s">
        <v>23513</v>
      </c>
      <c r="H7110" t="s">
        <v>23641</v>
      </c>
      <c r="I7110" t="s">
        <v>23644</v>
      </c>
    </row>
    <row r="7111" spans="1:9">
      <c r="A7111" t="str">
        <f>"0236621 "</f>
        <v xml:space="preserve">0236621 </v>
      </c>
      <c r="B7111" t="s">
        <v>23512</v>
      </c>
      <c r="C7111" t="s">
        <v>23645</v>
      </c>
      <c r="D7111" t="s">
        <v>23646</v>
      </c>
      <c r="E7111">
        <v>1</v>
      </c>
      <c r="F7111" t="s">
        <v>23647</v>
      </c>
      <c r="G7111" t="s">
        <v>23513</v>
      </c>
      <c r="H7111" t="s">
        <v>23645</v>
      </c>
      <c r="I7111" t="s">
        <v>23648</v>
      </c>
    </row>
    <row r="7112" spans="1:9">
      <c r="A7112" t="str">
        <f>"0236630 "</f>
        <v xml:space="preserve">0236630 </v>
      </c>
      <c r="B7112" t="s">
        <v>23512</v>
      </c>
      <c r="C7112" t="s">
        <v>23649</v>
      </c>
      <c r="D7112" t="s">
        <v>23650</v>
      </c>
      <c r="E7112">
        <v>2</v>
      </c>
      <c r="F7112" t="s">
        <v>23651</v>
      </c>
      <c r="G7112" t="s">
        <v>23513</v>
      </c>
      <c r="H7112" t="s">
        <v>23649</v>
      </c>
      <c r="I7112" t="s">
        <v>23652</v>
      </c>
    </row>
    <row r="7113" spans="1:9">
      <c r="A7113" t="str">
        <f>"0236635 "</f>
        <v xml:space="preserve">0236635 </v>
      </c>
      <c r="B7113" t="s">
        <v>23512</v>
      </c>
      <c r="C7113" t="s">
        <v>23653</v>
      </c>
      <c r="D7113" t="s">
        <v>23654</v>
      </c>
      <c r="E7113">
        <v>2</v>
      </c>
      <c r="F7113" t="s">
        <v>23655</v>
      </c>
      <c r="G7113" t="s">
        <v>23513</v>
      </c>
      <c r="H7113" t="s">
        <v>23653</v>
      </c>
      <c r="I7113" t="s">
        <v>23656</v>
      </c>
    </row>
    <row r="7114" spans="1:9">
      <c r="A7114" t="str">
        <f>"0236637 "</f>
        <v xml:space="preserve">0236637 </v>
      </c>
      <c r="B7114" t="s">
        <v>23512</v>
      </c>
      <c r="C7114" t="s">
        <v>23657</v>
      </c>
      <c r="D7114" t="s">
        <v>23658</v>
      </c>
      <c r="E7114">
        <v>2</v>
      </c>
      <c r="F7114" t="s">
        <v>23659</v>
      </c>
      <c r="G7114" t="s">
        <v>23513</v>
      </c>
      <c r="H7114" t="s">
        <v>23657</v>
      </c>
      <c r="I7114" t="s">
        <v>23660</v>
      </c>
    </row>
    <row r="7115" spans="1:9">
      <c r="A7115" t="str">
        <f>"0236645 "</f>
        <v xml:space="preserve">0236645 </v>
      </c>
      <c r="B7115" t="s">
        <v>23512</v>
      </c>
      <c r="C7115" t="s">
        <v>23661</v>
      </c>
      <c r="D7115" t="s">
        <v>23662</v>
      </c>
      <c r="E7115">
        <v>1</v>
      </c>
      <c r="F7115" t="s">
        <v>15738</v>
      </c>
      <c r="G7115" t="s">
        <v>23513</v>
      </c>
      <c r="H7115" t="s">
        <v>23661</v>
      </c>
      <c r="I7115" t="s">
        <v>23663</v>
      </c>
    </row>
    <row r="7116" spans="1:9">
      <c r="A7116" t="str">
        <f>"0236646 "</f>
        <v xml:space="preserve">0236646 </v>
      </c>
      <c r="B7116" t="s">
        <v>23512</v>
      </c>
      <c r="C7116" t="s">
        <v>23664</v>
      </c>
      <c r="D7116" t="s">
        <v>23665</v>
      </c>
      <c r="E7116">
        <v>1</v>
      </c>
      <c r="F7116" t="s">
        <v>23666</v>
      </c>
      <c r="G7116" t="s">
        <v>23513</v>
      </c>
      <c r="H7116" t="s">
        <v>23664</v>
      </c>
      <c r="I7116" t="s">
        <v>23667</v>
      </c>
    </row>
    <row r="7117" spans="1:9">
      <c r="A7117" t="str">
        <f>"0236647 "</f>
        <v xml:space="preserve">0236647 </v>
      </c>
      <c r="B7117" t="s">
        <v>23512</v>
      </c>
      <c r="C7117" t="s">
        <v>23668</v>
      </c>
      <c r="D7117" t="s">
        <v>23669</v>
      </c>
      <c r="E7117">
        <v>1</v>
      </c>
      <c r="F7117" t="s">
        <v>23670</v>
      </c>
      <c r="G7117" t="s">
        <v>23513</v>
      </c>
      <c r="H7117" t="s">
        <v>23668</v>
      </c>
      <c r="I7117" t="s">
        <v>23671</v>
      </c>
    </row>
    <row r="7118" spans="1:9">
      <c r="A7118" t="str">
        <f>"0236651 "</f>
        <v xml:space="preserve">0236651 </v>
      </c>
      <c r="B7118" t="s">
        <v>23512</v>
      </c>
      <c r="C7118" t="s">
        <v>23672</v>
      </c>
      <c r="D7118" t="s">
        <v>23673</v>
      </c>
      <c r="E7118">
        <v>1</v>
      </c>
      <c r="F7118" t="s">
        <v>23674</v>
      </c>
      <c r="G7118" t="s">
        <v>23513</v>
      </c>
      <c r="H7118" t="s">
        <v>23672</v>
      </c>
      <c r="I7118" t="s">
        <v>23675</v>
      </c>
    </row>
    <row r="7119" spans="1:9">
      <c r="A7119" t="str">
        <f>"0236653 "</f>
        <v xml:space="preserve">0236653 </v>
      </c>
      <c r="B7119" t="s">
        <v>23512</v>
      </c>
      <c r="C7119" t="s">
        <v>23676</v>
      </c>
      <c r="D7119" t="s">
        <v>23677</v>
      </c>
      <c r="E7119">
        <v>2</v>
      </c>
      <c r="F7119" t="s">
        <v>15780</v>
      </c>
      <c r="G7119" t="s">
        <v>23513</v>
      </c>
      <c r="H7119" t="s">
        <v>23676</v>
      </c>
      <c r="I7119" t="s">
        <v>23678</v>
      </c>
    </row>
    <row r="7120" spans="1:9">
      <c r="A7120" t="str">
        <f>"0236658 "</f>
        <v xml:space="preserve">0236658 </v>
      </c>
      <c r="B7120" t="s">
        <v>23512</v>
      </c>
      <c r="C7120" t="s">
        <v>23679</v>
      </c>
      <c r="D7120" t="s">
        <v>23680</v>
      </c>
      <c r="E7120">
        <v>1</v>
      </c>
      <c r="F7120" t="s">
        <v>23681</v>
      </c>
      <c r="G7120" t="s">
        <v>23513</v>
      </c>
      <c r="H7120" t="s">
        <v>23679</v>
      </c>
      <c r="I7120" t="s">
        <v>23682</v>
      </c>
    </row>
    <row r="7121" spans="1:9">
      <c r="A7121" t="str">
        <f>"0236661 "</f>
        <v xml:space="preserve">0236661 </v>
      </c>
      <c r="B7121" t="s">
        <v>23512</v>
      </c>
      <c r="C7121" t="s">
        <v>23683</v>
      </c>
      <c r="D7121" t="s">
        <v>23684</v>
      </c>
      <c r="E7121">
        <v>4</v>
      </c>
      <c r="F7121" t="s">
        <v>23685</v>
      </c>
      <c r="G7121" t="s">
        <v>23513</v>
      </c>
      <c r="H7121" t="s">
        <v>23683</v>
      </c>
      <c r="I7121" t="s">
        <v>23686</v>
      </c>
    </row>
    <row r="7122" spans="1:9">
      <c r="A7122" t="str">
        <f>"0236665 "</f>
        <v xml:space="preserve">0236665 </v>
      </c>
      <c r="B7122" t="s">
        <v>23512</v>
      </c>
      <c r="C7122" t="s">
        <v>23687</v>
      </c>
      <c r="D7122" t="s">
        <v>23688</v>
      </c>
      <c r="E7122">
        <v>4</v>
      </c>
      <c r="F7122" t="s">
        <v>23689</v>
      </c>
      <c r="G7122" t="s">
        <v>23513</v>
      </c>
      <c r="H7122" t="s">
        <v>23687</v>
      </c>
      <c r="I7122" t="s">
        <v>23690</v>
      </c>
    </row>
    <row r="7123" spans="1:9">
      <c r="A7123" t="str">
        <f>"0236668 "</f>
        <v xml:space="preserve">0236668 </v>
      </c>
      <c r="B7123" t="s">
        <v>23512</v>
      </c>
      <c r="C7123" t="s">
        <v>23691</v>
      </c>
      <c r="D7123" t="s">
        <v>23692</v>
      </c>
      <c r="E7123">
        <v>2</v>
      </c>
      <c r="F7123" t="s">
        <v>23693</v>
      </c>
      <c r="G7123" t="s">
        <v>23513</v>
      </c>
      <c r="H7123" t="s">
        <v>23691</v>
      </c>
      <c r="I7123" t="s">
        <v>23694</v>
      </c>
    </row>
    <row r="7124" spans="1:9">
      <c r="A7124" t="str">
        <f>"0236670 "</f>
        <v xml:space="preserve">0236670 </v>
      </c>
      <c r="B7124" t="s">
        <v>23512</v>
      </c>
      <c r="C7124" t="s">
        <v>23695</v>
      </c>
      <c r="D7124" t="s">
        <v>23696</v>
      </c>
      <c r="E7124">
        <v>2</v>
      </c>
      <c r="F7124" t="s">
        <v>23697</v>
      </c>
      <c r="G7124" t="s">
        <v>23513</v>
      </c>
      <c r="H7124" t="s">
        <v>23695</v>
      </c>
      <c r="I7124" t="s">
        <v>23698</v>
      </c>
    </row>
    <row r="7125" spans="1:9">
      <c r="A7125" t="str">
        <f>"0236677 "</f>
        <v xml:space="preserve">0236677 </v>
      </c>
      <c r="B7125" t="s">
        <v>23512</v>
      </c>
      <c r="C7125" t="s">
        <v>23699</v>
      </c>
      <c r="D7125" t="s">
        <v>23700</v>
      </c>
      <c r="E7125">
        <v>1</v>
      </c>
      <c r="F7125" t="s">
        <v>23573</v>
      </c>
      <c r="G7125" t="s">
        <v>23513</v>
      </c>
      <c r="H7125" t="s">
        <v>23699</v>
      </c>
      <c r="I7125" t="s">
        <v>23701</v>
      </c>
    </row>
    <row r="7126" spans="1:9">
      <c r="A7126" t="str">
        <f>"0236679 "</f>
        <v xml:space="preserve">0236679 </v>
      </c>
      <c r="B7126" t="s">
        <v>23512</v>
      </c>
      <c r="C7126" t="s">
        <v>23702</v>
      </c>
      <c r="D7126" t="s">
        <v>23703</v>
      </c>
      <c r="E7126">
        <v>1</v>
      </c>
      <c r="F7126" t="s">
        <v>23704</v>
      </c>
      <c r="G7126" t="s">
        <v>23513</v>
      </c>
      <c r="H7126" t="s">
        <v>23702</v>
      </c>
      <c r="I7126" t="s">
        <v>23705</v>
      </c>
    </row>
    <row r="7127" spans="1:9">
      <c r="A7127" t="str">
        <f>"0236688 "</f>
        <v xml:space="preserve">0236688 </v>
      </c>
      <c r="B7127" t="s">
        <v>23512</v>
      </c>
      <c r="C7127" t="s">
        <v>23706</v>
      </c>
      <c r="D7127" t="s">
        <v>23707</v>
      </c>
      <c r="E7127">
        <v>2</v>
      </c>
      <c r="F7127" t="s">
        <v>8761</v>
      </c>
      <c r="G7127" t="s">
        <v>23513</v>
      </c>
      <c r="H7127" t="s">
        <v>23706</v>
      </c>
      <c r="I7127" t="s">
        <v>23708</v>
      </c>
    </row>
    <row r="7128" spans="1:9">
      <c r="A7128" t="str">
        <f>"0236702 "</f>
        <v xml:space="preserve">0236702 </v>
      </c>
      <c r="B7128" t="s">
        <v>23512</v>
      </c>
      <c r="C7128" t="s">
        <v>23709</v>
      </c>
      <c r="D7128" t="s">
        <v>23710</v>
      </c>
      <c r="E7128">
        <v>1</v>
      </c>
      <c r="F7128" t="s">
        <v>23711</v>
      </c>
      <c r="G7128" t="s">
        <v>23513</v>
      </c>
      <c r="H7128" t="s">
        <v>23709</v>
      </c>
      <c r="I7128" t="s">
        <v>23675</v>
      </c>
    </row>
    <row r="7129" spans="1:9">
      <c r="A7129" t="str">
        <f>"0236713 "</f>
        <v xml:space="preserve">0236713 </v>
      </c>
      <c r="B7129" t="s">
        <v>23512</v>
      </c>
      <c r="C7129" t="s">
        <v>23712</v>
      </c>
      <c r="D7129" t="s">
        <v>23713</v>
      </c>
      <c r="E7129">
        <v>2</v>
      </c>
      <c r="F7129" t="s">
        <v>23714</v>
      </c>
      <c r="G7129" t="s">
        <v>23513</v>
      </c>
      <c r="H7129" t="s">
        <v>23712</v>
      </c>
      <c r="I7129" t="s">
        <v>23715</v>
      </c>
    </row>
    <row r="7130" spans="1:9">
      <c r="A7130" t="str">
        <f>"0236718 "</f>
        <v xml:space="preserve">0236718 </v>
      </c>
      <c r="B7130" t="s">
        <v>23512</v>
      </c>
      <c r="C7130" t="s">
        <v>23716</v>
      </c>
      <c r="D7130" t="s">
        <v>23717</v>
      </c>
      <c r="E7130">
        <v>1</v>
      </c>
      <c r="F7130" t="s">
        <v>23718</v>
      </c>
      <c r="G7130" t="s">
        <v>23513</v>
      </c>
      <c r="H7130" t="s">
        <v>23716</v>
      </c>
      <c r="I7130" t="s">
        <v>23719</v>
      </c>
    </row>
    <row r="7131" spans="1:9">
      <c r="A7131" t="str">
        <f>"0236719 "</f>
        <v xml:space="preserve">0236719 </v>
      </c>
      <c r="B7131" t="s">
        <v>23512</v>
      </c>
      <c r="C7131" t="s">
        <v>23720</v>
      </c>
      <c r="D7131" t="s">
        <v>23721</v>
      </c>
      <c r="E7131">
        <v>2</v>
      </c>
      <c r="F7131" t="s">
        <v>14604</v>
      </c>
      <c r="G7131" t="s">
        <v>23513</v>
      </c>
      <c r="H7131" t="s">
        <v>23720</v>
      </c>
      <c r="I7131" t="s">
        <v>23722</v>
      </c>
    </row>
    <row r="7132" spans="1:9">
      <c r="A7132" t="str">
        <f>"0236721 "</f>
        <v xml:space="preserve">0236721 </v>
      </c>
      <c r="B7132" t="s">
        <v>23512</v>
      </c>
      <c r="C7132" t="s">
        <v>23723</v>
      </c>
      <c r="D7132" t="s">
        <v>23724</v>
      </c>
      <c r="E7132">
        <v>1</v>
      </c>
      <c r="F7132" t="s">
        <v>23725</v>
      </c>
      <c r="G7132" t="s">
        <v>23513</v>
      </c>
      <c r="H7132" t="s">
        <v>23723</v>
      </c>
      <c r="I7132" t="s">
        <v>23726</v>
      </c>
    </row>
    <row r="7133" spans="1:9">
      <c r="A7133" t="str">
        <f>"0236723 "</f>
        <v xml:space="preserve">0236723 </v>
      </c>
      <c r="B7133" t="s">
        <v>23512</v>
      </c>
      <c r="C7133" t="s">
        <v>23727</v>
      </c>
      <c r="D7133" t="s">
        <v>23728</v>
      </c>
      <c r="E7133">
        <v>2</v>
      </c>
      <c r="F7133" t="s">
        <v>23729</v>
      </c>
      <c r="G7133" t="s">
        <v>23513</v>
      </c>
      <c r="H7133" t="s">
        <v>23727</v>
      </c>
      <c r="I7133" t="s">
        <v>23730</v>
      </c>
    </row>
    <row r="7134" spans="1:9">
      <c r="A7134" t="str">
        <f>"0236725 "</f>
        <v xml:space="preserve">0236725 </v>
      </c>
      <c r="B7134" t="s">
        <v>23512</v>
      </c>
      <c r="C7134" t="s">
        <v>23731</v>
      </c>
      <c r="D7134" t="s">
        <v>23732</v>
      </c>
      <c r="E7134">
        <v>2</v>
      </c>
      <c r="F7134" t="s">
        <v>23733</v>
      </c>
      <c r="G7134" t="s">
        <v>23513</v>
      </c>
      <c r="H7134" t="s">
        <v>23731</v>
      </c>
      <c r="I7134" t="s">
        <v>23734</v>
      </c>
    </row>
    <row r="7135" spans="1:9">
      <c r="A7135" t="str">
        <f>"0236740 "</f>
        <v xml:space="preserve">0236740 </v>
      </c>
      <c r="B7135" t="s">
        <v>23512</v>
      </c>
      <c r="C7135" t="s">
        <v>23735</v>
      </c>
      <c r="D7135" t="s">
        <v>23736</v>
      </c>
      <c r="E7135">
        <v>1</v>
      </c>
      <c r="F7135" t="s">
        <v>23666</v>
      </c>
      <c r="G7135" t="s">
        <v>23513</v>
      </c>
      <c r="H7135" t="s">
        <v>23735</v>
      </c>
      <c r="I7135" t="s">
        <v>23737</v>
      </c>
    </row>
    <row r="7136" spans="1:9">
      <c r="A7136" t="str">
        <f>"0236744 "</f>
        <v xml:space="preserve">0236744 </v>
      </c>
      <c r="B7136" t="s">
        <v>23512</v>
      </c>
      <c r="C7136" t="s">
        <v>23738</v>
      </c>
      <c r="D7136" t="s">
        <v>23739</v>
      </c>
      <c r="E7136">
        <v>2</v>
      </c>
      <c r="F7136" t="s">
        <v>23740</v>
      </c>
      <c r="G7136" t="s">
        <v>23513</v>
      </c>
      <c r="H7136" t="s">
        <v>23738</v>
      </c>
      <c r="I7136" t="s">
        <v>23741</v>
      </c>
    </row>
    <row r="7137" spans="1:9">
      <c r="A7137" t="str">
        <f>"0236751 "</f>
        <v xml:space="preserve">0236751 </v>
      </c>
      <c r="B7137" t="s">
        <v>23512</v>
      </c>
      <c r="C7137" t="s">
        <v>23742</v>
      </c>
      <c r="D7137" t="s">
        <v>23743</v>
      </c>
      <c r="E7137">
        <v>1</v>
      </c>
      <c r="F7137" t="s">
        <v>23744</v>
      </c>
      <c r="G7137" t="s">
        <v>23513</v>
      </c>
      <c r="H7137" t="s">
        <v>23742</v>
      </c>
      <c r="I7137" t="s">
        <v>23745</v>
      </c>
    </row>
    <row r="7138" spans="1:9">
      <c r="A7138" t="str">
        <f>"0236753 "</f>
        <v xml:space="preserve">0236753 </v>
      </c>
      <c r="B7138" t="s">
        <v>23512</v>
      </c>
      <c r="C7138" t="s">
        <v>23746</v>
      </c>
      <c r="D7138" t="s">
        <v>23747</v>
      </c>
      <c r="E7138">
        <v>4</v>
      </c>
      <c r="F7138" t="s">
        <v>23748</v>
      </c>
      <c r="G7138" t="s">
        <v>23513</v>
      </c>
      <c r="H7138" t="s">
        <v>23746</v>
      </c>
      <c r="I7138" t="s">
        <v>23749</v>
      </c>
    </row>
    <row r="7139" spans="1:9">
      <c r="A7139" t="str">
        <f>"0236768 "</f>
        <v xml:space="preserve">0236768 </v>
      </c>
      <c r="B7139" t="s">
        <v>23512</v>
      </c>
      <c r="C7139" t="s">
        <v>23750</v>
      </c>
      <c r="D7139" t="s">
        <v>23751</v>
      </c>
      <c r="E7139">
        <v>2</v>
      </c>
      <c r="F7139" t="s">
        <v>23752</v>
      </c>
      <c r="G7139" t="s">
        <v>23513</v>
      </c>
      <c r="H7139" t="s">
        <v>23750</v>
      </c>
      <c r="I7139" t="s">
        <v>23753</v>
      </c>
    </row>
    <row r="7140" spans="1:9">
      <c r="A7140" t="str">
        <f>"0236771 "</f>
        <v xml:space="preserve">0236771 </v>
      </c>
      <c r="B7140" t="s">
        <v>23512</v>
      </c>
      <c r="C7140" t="s">
        <v>23754</v>
      </c>
      <c r="D7140" t="s">
        <v>23755</v>
      </c>
      <c r="E7140">
        <v>4</v>
      </c>
      <c r="F7140" t="s">
        <v>23756</v>
      </c>
      <c r="G7140" t="s">
        <v>23513</v>
      </c>
      <c r="H7140" t="s">
        <v>23754</v>
      </c>
      <c r="I7140" t="s">
        <v>23757</v>
      </c>
    </row>
    <row r="7141" spans="1:9">
      <c r="A7141" t="str">
        <f>"0236773 "</f>
        <v xml:space="preserve">0236773 </v>
      </c>
      <c r="B7141" t="s">
        <v>23512</v>
      </c>
      <c r="C7141" t="s">
        <v>23758</v>
      </c>
      <c r="D7141" t="s">
        <v>23759</v>
      </c>
      <c r="E7141">
        <v>1</v>
      </c>
      <c r="F7141" t="s">
        <v>23760</v>
      </c>
      <c r="G7141" t="s">
        <v>23513</v>
      </c>
      <c r="H7141" t="s">
        <v>23758</v>
      </c>
      <c r="I7141" t="s">
        <v>23761</v>
      </c>
    </row>
    <row r="7142" spans="1:9">
      <c r="A7142" t="str">
        <f>"0236796 "</f>
        <v xml:space="preserve">0236796 </v>
      </c>
      <c r="B7142" t="s">
        <v>23512</v>
      </c>
      <c r="C7142" t="s">
        <v>23762</v>
      </c>
      <c r="D7142" t="s">
        <v>23763</v>
      </c>
      <c r="E7142">
        <v>2</v>
      </c>
      <c r="F7142" t="s">
        <v>23764</v>
      </c>
      <c r="G7142" t="s">
        <v>23513</v>
      </c>
      <c r="H7142" t="s">
        <v>23762</v>
      </c>
      <c r="I7142" t="s">
        <v>23765</v>
      </c>
    </row>
    <row r="7143" spans="1:9">
      <c r="A7143" t="str">
        <f>"0236951 "</f>
        <v xml:space="preserve">0236951 </v>
      </c>
      <c r="B7143" t="s">
        <v>23512</v>
      </c>
      <c r="C7143" t="s">
        <v>23766</v>
      </c>
      <c r="D7143" t="s">
        <v>23767</v>
      </c>
      <c r="E7143">
        <v>2</v>
      </c>
      <c r="F7143" t="s">
        <v>23768</v>
      </c>
      <c r="G7143" t="s">
        <v>23513</v>
      </c>
      <c r="H7143" t="s">
        <v>23766</v>
      </c>
      <c r="I7143" t="s">
        <v>16508</v>
      </c>
    </row>
    <row r="7144" spans="1:9">
      <c r="A7144" t="str">
        <f>"0238429 "</f>
        <v xml:space="preserve">0238429 </v>
      </c>
      <c r="B7144" t="s">
        <v>23512</v>
      </c>
      <c r="C7144" t="s">
        <v>23769</v>
      </c>
      <c r="D7144" t="s">
        <v>23770</v>
      </c>
      <c r="E7144">
        <v>1</v>
      </c>
      <c r="F7144" t="s">
        <v>23771</v>
      </c>
      <c r="G7144" t="s">
        <v>23513</v>
      </c>
      <c r="H7144" t="s">
        <v>23769</v>
      </c>
      <c r="I7144" t="s">
        <v>15983</v>
      </c>
    </row>
    <row r="7145" spans="1:9">
      <c r="A7145" t="str">
        <f>"0238533 "</f>
        <v xml:space="preserve">0238533 </v>
      </c>
      <c r="B7145" t="s">
        <v>23512</v>
      </c>
      <c r="C7145" t="s">
        <v>23772</v>
      </c>
      <c r="D7145" t="s">
        <v>23773</v>
      </c>
      <c r="E7145">
        <v>1</v>
      </c>
      <c r="F7145" t="s">
        <v>10108</v>
      </c>
      <c r="G7145" t="s">
        <v>23513</v>
      </c>
      <c r="H7145" t="s">
        <v>23772</v>
      </c>
      <c r="I7145" t="s">
        <v>17130</v>
      </c>
    </row>
    <row r="7146" spans="1:9">
      <c r="A7146" t="str">
        <f>"0238630 "</f>
        <v xml:space="preserve">0238630 </v>
      </c>
      <c r="B7146" t="s">
        <v>23512</v>
      </c>
      <c r="C7146" t="s">
        <v>23774</v>
      </c>
      <c r="D7146" t="s">
        <v>23775</v>
      </c>
      <c r="E7146">
        <v>1</v>
      </c>
      <c r="F7146" t="s">
        <v>9842</v>
      </c>
      <c r="G7146" t="s">
        <v>23513</v>
      </c>
      <c r="H7146" t="s">
        <v>23774</v>
      </c>
      <c r="I7146" t="s">
        <v>17147</v>
      </c>
    </row>
    <row r="7147" spans="1:9">
      <c r="A7147" t="str">
        <f>"0238716 "</f>
        <v xml:space="preserve">0238716 </v>
      </c>
      <c r="B7147" t="s">
        <v>23512</v>
      </c>
      <c r="C7147" t="s">
        <v>23776</v>
      </c>
      <c r="D7147" t="s">
        <v>23777</v>
      </c>
      <c r="E7147">
        <v>1</v>
      </c>
      <c r="F7147" t="s">
        <v>23778</v>
      </c>
      <c r="G7147" t="s">
        <v>23513</v>
      </c>
      <c r="H7147" t="s">
        <v>23776</v>
      </c>
      <c r="I7147" t="s">
        <v>17085</v>
      </c>
    </row>
    <row r="7148" spans="1:9">
      <c r="A7148" t="str">
        <f>"0238931 "</f>
        <v xml:space="preserve">0238931 </v>
      </c>
      <c r="B7148" t="s">
        <v>23512</v>
      </c>
      <c r="C7148" t="s">
        <v>23779</v>
      </c>
      <c r="D7148" t="s">
        <v>23780</v>
      </c>
      <c r="E7148">
        <v>1</v>
      </c>
      <c r="F7148" t="s">
        <v>23567</v>
      </c>
      <c r="G7148" t="s">
        <v>23513</v>
      </c>
      <c r="H7148" t="s">
        <v>23779</v>
      </c>
      <c r="I7148" t="s">
        <v>23781</v>
      </c>
    </row>
    <row r="7149" spans="1:9">
      <c r="A7149" t="str">
        <f>"0237035 "</f>
        <v xml:space="preserve">0237035 </v>
      </c>
      <c r="B7149" t="s">
        <v>23512</v>
      </c>
      <c r="C7149" t="s">
        <v>23782</v>
      </c>
      <c r="D7149" t="s">
        <v>23783</v>
      </c>
      <c r="E7149">
        <v>4</v>
      </c>
      <c r="F7149" t="s">
        <v>23784</v>
      </c>
      <c r="G7149" t="s">
        <v>23513</v>
      </c>
      <c r="H7149" t="s">
        <v>23782</v>
      </c>
      <c r="I7149" t="s">
        <v>23785</v>
      </c>
    </row>
    <row r="7150" spans="1:9">
      <c r="A7150" t="str">
        <f>"0237043 "</f>
        <v xml:space="preserve">0237043 </v>
      </c>
      <c r="B7150" t="s">
        <v>23512</v>
      </c>
      <c r="C7150" t="s">
        <v>23786</v>
      </c>
      <c r="D7150" t="s">
        <v>23787</v>
      </c>
      <c r="E7150">
        <v>2</v>
      </c>
      <c r="F7150" t="s">
        <v>23788</v>
      </c>
      <c r="G7150" t="s">
        <v>23513</v>
      </c>
      <c r="H7150" t="s">
        <v>23786</v>
      </c>
      <c r="I7150" t="s">
        <v>23789</v>
      </c>
    </row>
    <row r="7151" spans="1:9">
      <c r="A7151" t="str">
        <f>"0237307 "</f>
        <v xml:space="preserve">0237307 </v>
      </c>
      <c r="B7151" t="s">
        <v>23512</v>
      </c>
      <c r="C7151" t="s">
        <v>23790</v>
      </c>
      <c r="D7151" t="s">
        <v>23791</v>
      </c>
      <c r="E7151">
        <v>2</v>
      </c>
      <c r="F7151" t="s">
        <v>23792</v>
      </c>
      <c r="G7151" t="s">
        <v>23513</v>
      </c>
      <c r="H7151" t="s">
        <v>23790</v>
      </c>
      <c r="I7151" t="s">
        <v>23793</v>
      </c>
    </row>
    <row r="7152" spans="1:9">
      <c r="A7152" t="str">
        <f>"0237438 "</f>
        <v xml:space="preserve">0237438 </v>
      </c>
      <c r="B7152" t="s">
        <v>23512</v>
      </c>
      <c r="C7152" t="s">
        <v>23794</v>
      </c>
      <c r="D7152" t="s">
        <v>23795</v>
      </c>
      <c r="E7152">
        <v>4</v>
      </c>
      <c r="F7152" t="s">
        <v>23796</v>
      </c>
      <c r="G7152" t="s">
        <v>23513</v>
      </c>
      <c r="H7152" t="s">
        <v>23794</v>
      </c>
      <c r="I7152" t="s">
        <v>18125</v>
      </c>
    </row>
    <row r="7153" spans="1:9">
      <c r="A7153" t="str">
        <f>"0237716 "</f>
        <v xml:space="preserve">0237716 </v>
      </c>
      <c r="B7153" t="s">
        <v>23512</v>
      </c>
      <c r="C7153" t="s">
        <v>23797</v>
      </c>
      <c r="D7153" t="s">
        <v>23798</v>
      </c>
      <c r="E7153">
        <v>2</v>
      </c>
      <c r="F7153" t="s">
        <v>23799</v>
      </c>
      <c r="G7153" t="s">
        <v>23513</v>
      </c>
      <c r="H7153" t="s">
        <v>23797</v>
      </c>
      <c r="I7153" t="s">
        <v>23800</v>
      </c>
    </row>
    <row r="7154" spans="1:9">
      <c r="A7154" t="str">
        <f>"0237719 "</f>
        <v xml:space="preserve">0237719 </v>
      </c>
      <c r="B7154" t="s">
        <v>23512</v>
      </c>
      <c r="C7154" t="s">
        <v>23801</v>
      </c>
      <c r="D7154" t="s">
        <v>23802</v>
      </c>
      <c r="E7154">
        <v>2</v>
      </c>
      <c r="F7154" t="s">
        <v>20722</v>
      </c>
      <c r="G7154" t="s">
        <v>23513</v>
      </c>
      <c r="H7154" t="s">
        <v>23801</v>
      </c>
      <c r="I7154" t="s">
        <v>23803</v>
      </c>
    </row>
    <row r="7155" spans="1:9">
      <c r="A7155" t="str">
        <f>"0237894 "</f>
        <v xml:space="preserve">0237894 </v>
      </c>
      <c r="B7155" t="s">
        <v>23512</v>
      </c>
      <c r="C7155" t="s">
        <v>23804</v>
      </c>
      <c r="D7155" t="s">
        <v>23805</v>
      </c>
      <c r="E7155">
        <v>2</v>
      </c>
      <c r="F7155" t="s">
        <v>23806</v>
      </c>
      <c r="G7155" t="s">
        <v>23513</v>
      </c>
      <c r="H7155" t="s">
        <v>23804</v>
      </c>
      <c r="I7155" t="s">
        <v>23807</v>
      </c>
    </row>
    <row r="7156" spans="1:9">
      <c r="A7156" t="str">
        <f>"0237910 "</f>
        <v xml:space="preserve">0237910 </v>
      </c>
      <c r="B7156" t="s">
        <v>23512</v>
      </c>
      <c r="C7156" t="s">
        <v>23808</v>
      </c>
      <c r="D7156" t="s">
        <v>23809</v>
      </c>
      <c r="E7156" t="s">
        <v>16</v>
      </c>
      <c r="F7156" t="s">
        <v>23810</v>
      </c>
      <c r="G7156" t="s">
        <v>23513</v>
      </c>
      <c r="H7156" t="s">
        <v>23808</v>
      </c>
      <c r="I7156" t="s">
        <v>23811</v>
      </c>
    </row>
    <row r="7157" spans="1:9">
      <c r="A7157" t="str">
        <f>"0237982 "</f>
        <v xml:space="preserve">0237982 </v>
      </c>
      <c r="B7157" t="s">
        <v>23512</v>
      </c>
      <c r="C7157" t="s">
        <v>23812</v>
      </c>
      <c r="D7157" t="s">
        <v>23813</v>
      </c>
      <c r="E7157">
        <v>2</v>
      </c>
      <c r="F7157" t="s">
        <v>23814</v>
      </c>
      <c r="G7157" t="s">
        <v>23513</v>
      </c>
      <c r="H7157" t="s">
        <v>23812</v>
      </c>
      <c r="I7157" t="s">
        <v>23815</v>
      </c>
    </row>
    <row r="7158" spans="1:9">
      <c r="A7158" t="str">
        <f>"0238036 "</f>
        <v xml:space="preserve">0238036 </v>
      </c>
      <c r="B7158" t="s">
        <v>23512</v>
      </c>
      <c r="C7158" t="s">
        <v>23816</v>
      </c>
      <c r="D7158" t="s">
        <v>23817</v>
      </c>
      <c r="E7158">
        <v>2</v>
      </c>
      <c r="F7158" t="s">
        <v>23818</v>
      </c>
      <c r="G7158" t="s">
        <v>23513</v>
      </c>
      <c r="H7158" t="s">
        <v>23816</v>
      </c>
      <c r="I7158" t="s">
        <v>23819</v>
      </c>
    </row>
    <row r="7159" spans="1:9">
      <c r="A7159" t="str">
        <f>"0238079 "</f>
        <v xml:space="preserve">0238079 </v>
      </c>
      <c r="B7159" t="s">
        <v>23512</v>
      </c>
      <c r="C7159" t="s">
        <v>23820</v>
      </c>
      <c r="D7159" t="s">
        <v>23821</v>
      </c>
      <c r="E7159">
        <v>4</v>
      </c>
      <c r="F7159" t="s">
        <v>8167</v>
      </c>
      <c r="G7159" t="s">
        <v>23513</v>
      </c>
      <c r="H7159" t="s">
        <v>23820</v>
      </c>
      <c r="I7159" t="s">
        <v>23822</v>
      </c>
    </row>
    <row r="7160" spans="1:9">
      <c r="A7160" t="str">
        <f>"0238114 "</f>
        <v xml:space="preserve">0238114 </v>
      </c>
      <c r="B7160" t="s">
        <v>23512</v>
      </c>
      <c r="C7160" t="s">
        <v>23823</v>
      </c>
      <c r="D7160" t="s">
        <v>23824</v>
      </c>
      <c r="E7160">
        <v>2</v>
      </c>
      <c r="F7160" t="s">
        <v>23825</v>
      </c>
      <c r="G7160" t="s">
        <v>23513</v>
      </c>
      <c r="H7160" t="s">
        <v>23823</v>
      </c>
      <c r="I7160" t="s">
        <v>23826</v>
      </c>
    </row>
    <row r="7161" spans="1:9">
      <c r="A7161" t="str">
        <f>"0238115 "</f>
        <v xml:space="preserve">0238115 </v>
      </c>
      <c r="B7161" t="s">
        <v>23512</v>
      </c>
      <c r="C7161" t="s">
        <v>23827</v>
      </c>
      <c r="D7161" t="s">
        <v>23828</v>
      </c>
      <c r="E7161">
        <v>4</v>
      </c>
      <c r="F7161" t="s">
        <v>23829</v>
      </c>
      <c r="G7161" t="s">
        <v>23513</v>
      </c>
      <c r="H7161" t="s">
        <v>23827</v>
      </c>
      <c r="I7161" t="s">
        <v>23830</v>
      </c>
    </row>
    <row r="7162" spans="1:9">
      <c r="A7162" t="str">
        <f>"0238142 "</f>
        <v xml:space="preserve">0238142 </v>
      </c>
      <c r="B7162" t="s">
        <v>23512</v>
      </c>
      <c r="C7162" t="s">
        <v>23831</v>
      </c>
      <c r="D7162" t="s">
        <v>23832</v>
      </c>
      <c r="E7162">
        <v>4</v>
      </c>
      <c r="F7162" t="s">
        <v>14808</v>
      </c>
      <c r="G7162" t="s">
        <v>23513</v>
      </c>
      <c r="H7162" t="s">
        <v>23831</v>
      </c>
      <c r="I7162" t="s">
        <v>23833</v>
      </c>
    </row>
    <row r="7163" spans="1:9">
      <c r="A7163" t="str">
        <f>"0238227 "</f>
        <v xml:space="preserve">0238227 </v>
      </c>
      <c r="B7163" t="s">
        <v>23512</v>
      </c>
      <c r="C7163" t="s">
        <v>23834</v>
      </c>
      <c r="D7163" t="s">
        <v>23835</v>
      </c>
      <c r="E7163">
        <v>4</v>
      </c>
      <c r="F7163" t="s">
        <v>23836</v>
      </c>
      <c r="G7163" t="s">
        <v>23513</v>
      </c>
      <c r="H7163" t="s">
        <v>23834</v>
      </c>
      <c r="I7163" t="s">
        <v>18394</v>
      </c>
    </row>
    <row r="7164" spans="1:9">
      <c r="A7164" t="str">
        <f>"0238258 "</f>
        <v xml:space="preserve">0238258 </v>
      </c>
      <c r="B7164" t="s">
        <v>23512</v>
      </c>
      <c r="C7164" t="s">
        <v>23837</v>
      </c>
      <c r="D7164" t="s">
        <v>23838</v>
      </c>
      <c r="E7164">
        <v>2</v>
      </c>
      <c r="F7164" t="s">
        <v>23839</v>
      </c>
      <c r="G7164" t="s">
        <v>23513</v>
      </c>
      <c r="H7164" t="s">
        <v>23837</v>
      </c>
      <c r="I7164" t="s">
        <v>23840</v>
      </c>
    </row>
    <row r="7165" spans="1:9">
      <c r="A7165" t="str">
        <f>"0249525 "</f>
        <v xml:space="preserve">0249525 </v>
      </c>
      <c r="B7165" t="s">
        <v>23841</v>
      </c>
      <c r="C7165" t="s">
        <v>23842</v>
      </c>
      <c r="D7165" t="s">
        <v>23843</v>
      </c>
      <c r="E7165" t="s">
        <v>16</v>
      </c>
      <c r="F7165" t="s">
        <v>23844</v>
      </c>
      <c r="G7165" t="s">
        <v>23841</v>
      </c>
      <c r="H7165" t="s">
        <v>23842</v>
      </c>
      <c r="I7165" t="s">
        <v>23845</v>
      </c>
    </row>
    <row r="7166" spans="1:9">
      <c r="A7166" t="str">
        <f>"0251997 "</f>
        <v xml:space="preserve">0251997 </v>
      </c>
      <c r="B7166" t="s">
        <v>23841</v>
      </c>
      <c r="C7166" t="s">
        <v>23846</v>
      </c>
      <c r="D7166" t="s">
        <v>23847</v>
      </c>
      <c r="E7166">
        <v>1</v>
      </c>
      <c r="F7166" t="s">
        <v>23848</v>
      </c>
      <c r="G7166" t="s">
        <v>23841</v>
      </c>
      <c r="H7166" t="s">
        <v>23846</v>
      </c>
      <c r="I7166" t="s">
        <v>23849</v>
      </c>
    </row>
    <row r="7167" spans="1:9">
      <c r="A7167" t="str">
        <f>"0249542 "</f>
        <v xml:space="preserve">0249542 </v>
      </c>
      <c r="B7167" t="s">
        <v>23841</v>
      </c>
      <c r="C7167" t="s">
        <v>23850</v>
      </c>
      <c r="D7167" t="s">
        <v>23851</v>
      </c>
      <c r="E7167" t="s">
        <v>16</v>
      </c>
      <c r="F7167" t="s">
        <v>23852</v>
      </c>
      <c r="G7167" t="s">
        <v>23841</v>
      </c>
      <c r="H7167" t="s">
        <v>23850</v>
      </c>
      <c r="I7167" t="s">
        <v>23853</v>
      </c>
    </row>
    <row r="7168" spans="1:9">
      <c r="A7168" t="str">
        <f>"0249531 "</f>
        <v xml:space="preserve">0249531 </v>
      </c>
      <c r="B7168" t="s">
        <v>23841</v>
      </c>
      <c r="C7168" t="s">
        <v>23854</v>
      </c>
      <c r="D7168" t="s">
        <v>23855</v>
      </c>
      <c r="E7168" t="s">
        <v>16</v>
      </c>
      <c r="F7168" t="s">
        <v>23856</v>
      </c>
      <c r="G7168" t="s">
        <v>23841</v>
      </c>
      <c r="H7168" t="s">
        <v>23854</v>
      </c>
      <c r="I7168" t="s">
        <v>23857</v>
      </c>
    </row>
    <row r="7169" spans="1:9">
      <c r="A7169" t="str">
        <f>"0249530 "</f>
        <v xml:space="preserve">0249530 </v>
      </c>
      <c r="B7169" t="s">
        <v>23841</v>
      </c>
      <c r="C7169" t="s">
        <v>23858</v>
      </c>
      <c r="D7169" t="s">
        <v>23859</v>
      </c>
      <c r="E7169">
        <v>5</v>
      </c>
      <c r="F7169" t="s">
        <v>23860</v>
      </c>
      <c r="G7169" t="s">
        <v>23841</v>
      </c>
      <c r="H7169" t="s">
        <v>23858</v>
      </c>
      <c r="I7169" t="s">
        <v>23857</v>
      </c>
    </row>
    <row r="7170" spans="1:9">
      <c r="A7170" t="str">
        <f>"0249528 "</f>
        <v xml:space="preserve">0249528 </v>
      </c>
      <c r="B7170" t="s">
        <v>23841</v>
      </c>
      <c r="C7170" t="s">
        <v>23861</v>
      </c>
      <c r="D7170" t="s">
        <v>23862</v>
      </c>
      <c r="E7170">
        <v>2</v>
      </c>
      <c r="F7170" t="s">
        <v>23863</v>
      </c>
      <c r="G7170" t="s">
        <v>23841</v>
      </c>
      <c r="H7170" t="s">
        <v>23861</v>
      </c>
      <c r="I7170" t="s">
        <v>23864</v>
      </c>
    </row>
    <row r="7171" spans="1:9">
      <c r="A7171" t="str">
        <f>"0249532 "</f>
        <v xml:space="preserve">0249532 </v>
      </c>
      <c r="B7171" t="s">
        <v>23841</v>
      </c>
      <c r="C7171" t="s">
        <v>23865</v>
      </c>
      <c r="D7171" t="s">
        <v>23866</v>
      </c>
      <c r="E7171" t="s">
        <v>16</v>
      </c>
      <c r="F7171" t="s">
        <v>23867</v>
      </c>
      <c r="G7171" t="s">
        <v>23841</v>
      </c>
      <c r="H7171" t="s">
        <v>23865</v>
      </c>
      <c r="I7171" t="s">
        <v>23868</v>
      </c>
    </row>
    <row r="7172" spans="1:9">
      <c r="A7172" t="str">
        <f>"0249533 "</f>
        <v xml:space="preserve">0249533 </v>
      </c>
      <c r="B7172" t="s">
        <v>23841</v>
      </c>
      <c r="C7172" t="s">
        <v>23869</v>
      </c>
      <c r="D7172" t="s">
        <v>23870</v>
      </c>
      <c r="E7172">
        <v>3</v>
      </c>
      <c r="F7172" t="s">
        <v>23871</v>
      </c>
      <c r="G7172" t="s">
        <v>23841</v>
      </c>
      <c r="H7172" t="s">
        <v>23869</v>
      </c>
      <c r="I7172" t="s">
        <v>23868</v>
      </c>
    </row>
    <row r="7173" spans="1:9">
      <c r="A7173" t="str">
        <f>"0249521 "</f>
        <v xml:space="preserve">0249521 </v>
      </c>
      <c r="B7173" t="s">
        <v>23841</v>
      </c>
      <c r="C7173" t="s">
        <v>23872</v>
      </c>
      <c r="D7173" t="s">
        <v>23873</v>
      </c>
      <c r="E7173" t="s">
        <v>16</v>
      </c>
      <c r="F7173" t="s">
        <v>4334</v>
      </c>
      <c r="G7173" t="s">
        <v>23841</v>
      </c>
      <c r="H7173" t="s">
        <v>23872</v>
      </c>
      <c r="I7173" t="s">
        <v>23874</v>
      </c>
    </row>
    <row r="7174" spans="1:9">
      <c r="A7174" t="str">
        <f>"0251930 "</f>
        <v xml:space="preserve">0251930 </v>
      </c>
      <c r="B7174" t="s">
        <v>23841</v>
      </c>
      <c r="C7174" t="s">
        <v>23875</v>
      </c>
      <c r="D7174" t="s">
        <v>23876</v>
      </c>
      <c r="E7174">
        <v>5</v>
      </c>
      <c r="F7174" t="s">
        <v>23877</v>
      </c>
      <c r="G7174" t="s">
        <v>23841</v>
      </c>
      <c r="H7174" t="s">
        <v>23875</v>
      </c>
      <c r="I7174" t="s">
        <v>23874</v>
      </c>
    </row>
    <row r="7175" spans="1:9">
      <c r="A7175" t="str">
        <f>"0249524 "</f>
        <v xml:space="preserve">0249524 </v>
      </c>
      <c r="B7175" t="s">
        <v>23841</v>
      </c>
      <c r="C7175" t="s">
        <v>23878</v>
      </c>
      <c r="D7175" t="s">
        <v>23879</v>
      </c>
      <c r="E7175" t="s">
        <v>16</v>
      </c>
      <c r="F7175" t="s">
        <v>3846</v>
      </c>
      <c r="G7175" t="s">
        <v>23841</v>
      </c>
      <c r="H7175" t="s">
        <v>23878</v>
      </c>
      <c r="I7175" t="s">
        <v>23880</v>
      </c>
    </row>
    <row r="7176" spans="1:9">
      <c r="A7176" t="str">
        <f>"0249523 "</f>
        <v xml:space="preserve">0249523 </v>
      </c>
      <c r="B7176" t="s">
        <v>23841</v>
      </c>
      <c r="C7176" t="s">
        <v>23881</v>
      </c>
      <c r="D7176" t="s">
        <v>23882</v>
      </c>
      <c r="E7176">
        <v>5</v>
      </c>
      <c r="F7176" t="s">
        <v>23883</v>
      </c>
      <c r="G7176" t="s">
        <v>23841</v>
      </c>
      <c r="H7176" t="s">
        <v>23881</v>
      </c>
      <c r="I7176" t="s">
        <v>23880</v>
      </c>
    </row>
    <row r="7177" spans="1:9">
      <c r="A7177" t="str">
        <f>"0267602 "</f>
        <v xml:space="preserve">0267602 </v>
      </c>
      <c r="B7177" t="s">
        <v>23841</v>
      </c>
      <c r="C7177" t="s">
        <v>23884</v>
      </c>
      <c r="D7177" t="s">
        <v>23885</v>
      </c>
      <c r="E7177">
        <v>4</v>
      </c>
      <c r="F7177" t="s">
        <v>23886</v>
      </c>
      <c r="G7177" t="s">
        <v>23841</v>
      </c>
      <c r="H7177" t="s">
        <v>23884</v>
      </c>
      <c r="I7177" t="s">
        <v>23887</v>
      </c>
    </row>
    <row r="7178" spans="1:9">
      <c r="A7178" t="str">
        <f>"0267601 "</f>
        <v xml:space="preserve">0267601 </v>
      </c>
      <c r="B7178" t="s">
        <v>23841</v>
      </c>
      <c r="C7178" t="s">
        <v>23888</v>
      </c>
      <c r="D7178" t="s">
        <v>23889</v>
      </c>
      <c r="E7178" t="s">
        <v>16</v>
      </c>
      <c r="F7178" t="s">
        <v>9651</v>
      </c>
      <c r="G7178" t="s">
        <v>23841</v>
      </c>
      <c r="H7178" t="s">
        <v>23888</v>
      </c>
      <c r="I7178" t="s">
        <v>23887</v>
      </c>
    </row>
    <row r="7179" spans="1:9">
      <c r="A7179" t="str">
        <f>"0251884 "</f>
        <v xml:space="preserve">0251884 </v>
      </c>
      <c r="B7179" t="s">
        <v>23841</v>
      </c>
      <c r="C7179" t="s">
        <v>23890</v>
      </c>
      <c r="D7179" t="s">
        <v>23891</v>
      </c>
      <c r="E7179" t="s">
        <v>16</v>
      </c>
      <c r="F7179" t="s">
        <v>23892</v>
      </c>
      <c r="G7179" t="s">
        <v>23841</v>
      </c>
      <c r="H7179" t="s">
        <v>23890</v>
      </c>
      <c r="I7179" t="s">
        <v>23887</v>
      </c>
    </row>
    <row r="7180" spans="1:9">
      <c r="A7180" t="str">
        <f>"0267600 "</f>
        <v xml:space="preserve">0267600 </v>
      </c>
      <c r="B7180" t="s">
        <v>23841</v>
      </c>
      <c r="C7180" t="s">
        <v>23893</v>
      </c>
      <c r="D7180" t="s">
        <v>23894</v>
      </c>
      <c r="E7180">
        <v>5</v>
      </c>
      <c r="F7180" t="s">
        <v>23895</v>
      </c>
      <c r="G7180" t="s">
        <v>23841</v>
      </c>
      <c r="H7180" t="s">
        <v>23893</v>
      </c>
      <c r="I7180" t="s">
        <v>23896</v>
      </c>
    </row>
    <row r="7181" spans="1:9">
      <c r="A7181" t="str">
        <f>"0251883 "</f>
        <v xml:space="preserve">0251883 </v>
      </c>
      <c r="B7181" t="s">
        <v>23841</v>
      </c>
      <c r="C7181" t="s">
        <v>23897</v>
      </c>
      <c r="D7181" t="s">
        <v>23898</v>
      </c>
      <c r="E7181" t="s">
        <v>16</v>
      </c>
      <c r="F7181" t="s">
        <v>23899</v>
      </c>
      <c r="G7181" t="s">
        <v>23841</v>
      </c>
      <c r="H7181" t="s">
        <v>23897</v>
      </c>
      <c r="I7181" t="s">
        <v>23896</v>
      </c>
    </row>
    <row r="7182" spans="1:9">
      <c r="A7182" t="str">
        <f>"0251897 "</f>
        <v xml:space="preserve">0251897 </v>
      </c>
      <c r="B7182" t="s">
        <v>23841</v>
      </c>
      <c r="C7182" t="s">
        <v>23900</v>
      </c>
      <c r="D7182" t="s">
        <v>23901</v>
      </c>
      <c r="E7182">
        <v>4</v>
      </c>
      <c r="F7182" t="s">
        <v>23902</v>
      </c>
      <c r="G7182" t="s">
        <v>23841</v>
      </c>
      <c r="H7182" t="s">
        <v>23900</v>
      </c>
      <c r="I7182" s="2" t="s">
        <v>23903</v>
      </c>
    </row>
    <row r="7183" spans="1:9">
      <c r="A7183" t="str">
        <f>"0249518 "</f>
        <v xml:space="preserve">0249518 </v>
      </c>
      <c r="B7183" t="s">
        <v>23841</v>
      </c>
      <c r="C7183" t="s">
        <v>23904</v>
      </c>
      <c r="D7183" t="s">
        <v>23905</v>
      </c>
      <c r="E7183">
        <v>1</v>
      </c>
      <c r="F7183" t="s">
        <v>23906</v>
      </c>
      <c r="G7183" t="s">
        <v>23841</v>
      </c>
      <c r="H7183" t="s">
        <v>23904</v>
      </c>
      <c r="I7183" t="s">
        <v>23907</v>
      </c>
    </row>
    <row r="7184" spans="1:9">
      <c r="A7184" t="str">
        <f>"0249519 "</f>
        <v xml:space="preserve">0249519 </v>
      </c>
      <c r="B7184" t="s">
        <v>23841</v>
      </c>
      <c r="C7184" t="s">
        <v>23908</v>
      </c>
      <c r="D7184" t="s">
        <v>23909</v>
      </c>
      <c r="E7184">
        <v>2</v>
      </c>
      <c r="F7184" t="s">
        <v>23910</v>
      </c>
      <c r="G7184" t="s">
        <v>23841</v>
      </c>
      <c r="H7184" t="s">
        <v>23908</v>
      </c>
      <c r="I7184" t="s">
        <v>23907</v>
      </c>
    </row>
    <row r="7185" spans="1:9">
      <c r="A7185" t="str">
        <f>"0249511 "</f>
        <v xml:space="preserve">0249511 </v>
      </c>
      <c r="B7185" t="s">
        <v>23841</v>
      </c>
      <c r="C7185" t="s">
        <v>23911</v>
      </c>
      <c r="D7185" t="s">
        <v>23912</v>
      </c>
      <c r="E7185">
        <v>4</v>
      </c>
      <c r="F7185" t="s">
        <v>23913</v>
      </c>
      <c r="G7185" t="s">
        <v>23841</v>
      </c>
      <c r="H7185" t="s">
        <v>23911</v>
      </c>
      <c r="I7185" t="s">
        <v>23914</v>
      </c>
    </row>
    <row r="7186" spans="1:9">
      <c r="A7186" t="str">
        <f>"0249512 "</f>
        <v xml:space="preserve">0249512 </v>
      </c>
      <c r="B7186" t="s">
        <v>23841</v>
      </c>
      <c r="C7186" t="s">
        <v>23915</v>
      </c>
      <c r="D7186" t="s">
        <v>23916</v>
      </c>
      <c r="E7186">
        <v>4</v>
      </c>
      <c r="F7186" t="s">
        <v>23917</v>
      </c>
      <c r="G7186" t="s">
        <v>23841</v>
      </c>
      <c r="H7186" t="s">
        <v>23915</v>
      </c>
      <c r="I7186" t="s">
        <v>23914</v>
      </c>
    </row>
    <row r="7187" spans="1:9">
      <c r="A7187" t="str">
        <f>"0249515 "</f>
        <v xml:space="preserve">0249515 </v>
      </c>
      <c r="B7187" t="s">
        <v>23841</v>
      </c>
      <c r="C7187" t="s">
        <v>23918</v>
      </c>
      <c r="D7187" t="s">
        <v>23919</v>
      </c>
      <c r="E7187" t="s">
        <v>16</v>
      </c>
      <c r="F7187" t="s">
        <v>23920</v>
      </c>
      <c r="G7187" t="s">
        <v>23841</v>
      </c>
      <c r="H7187" t="s">
        <v>23918</v>
      </c>
      <c r="I7187" t="s">
        <v>23921</v>
      </c>
    </row>
    <row r="7188" spans="1:9">
      <c r="A7188" t="str">
        <f>"0249516 "</f>
        <v xml:space="preserve">0249516 </v>
      </c>
      <c r="B7188" t="s">
        <v>23841</v>
      </c>
      <c r="C7188" t="s">
        <v>23922</v>
      </c>
      <c r="D7188" t="s">
        <v>23923</v>
      </c>
      <c r="E7188" t="s">
        <v>16</v>
      </c>
      <c r="F7188" t="s">
        <v>23924</v>
      </c>
      <c r="G7188" t="s">
        <v>23841</v>
      </c>
      <c r="H7188" t="s">
        <v>23922</v>
      </c>
      <c r="I7188" t="s">
        <v>23921</v>
      </c>
    </row>
    <row r="7189" spans="1:9">
      <c r="A7189" t="str">
        <f>"0249452 "</f>
        <v xml:space="preserve">0249452 </v>
      </c>
      <c r="B7189" t="s">
        <v>23841</v>
      </c>
      <c r="C7189" t="s">
        <v>23925</v>
      </c>
      <c r="D7189" t="s">
        <v>23926</v>
      </c>
      <c r="E7189">
        <v>5</v>
      </c>
      <c r="F7189" t="s">
        <v>23927</v>
      </c>
      <c r="G7189" t="s">
        <v>23841</v>
      </c>
      <c r="H7189" t="s">
        <v>23925</v>
      </c>
      <c r="I7189" t="s">
        <v>23928</v>
      </c>
    </row>
    <row r="7190" spans="1:9">
      <c r="A7190" t="str">
        <f>"0249451 "</f>
        <v xml:space="preserve">0249451 </v>
      </c>
      <c r="B7190" t="s">
        <v>23841</v>
      </c>
      <c r="C7190" t="s">
        <v>23929</v>
      </c>
      <c r="D7190" t="s">
        <v>23930</v>
      </c>
      <c r="E7190">
        <v>5</v>
      </c>
      <c r="F7190" t="s">
        <v>23931</v>
      </c>
      <c r="G7190" t="s">
        <v>23841</v>
      </c>
      <c r="H7190" t="s">
        <v>23929</v>
      </c>
      <c r="I7190" t="s">
        <v>23928</v>
      </c>
    </row>
    <row r="7191" spans="1:9">
      <c r="A7191" t="str">
        <f>"0249454 "</f>
        <v xml:space="preserve">0249454 </v>
      </c>
      <c r="B7191" t="s">
        <v>23841</v>
      </c>
      <c r="C7191" t="s">
        <v>23932</v>
      </c>
      <c r="D7191" t="s">
        <v>23933</v>
      </c>
      <c r="E7191">
        <v>4</v>
      </c>
      <c r="F7191" t="s">
        <v>23934</v>
      </c>
      <c r="G7191" t="s">
        <v>23841</v>
      </c>
      <c r="H7191" t="s">
        <v>23932</v>
      </c>
      <c r="I7191" t="s">
        <v>23935</v>
      </c>
    </row>
    <row r="7192" spans="1:9">
      <c r="A7192" t="str">
        <f>"0249453 "</f>
        <v xml:space="preserve">0249453 </v>
      </c>
      <c r="B7192" t="s">
        <v>23841</v>
      </c>
      <c r="C7192" t="s">
        <v>23936</v>
      </c>
      <c r="D7192" t="s">
        <v>23937</v>
      </c>
      <c r="E7192" t="s">
        <v>16</v>
      </c>
      <c r="F7192" t="s">
        <v>23938</v>
      </c>
      <c r="G7192" t="s">
        <v>23841</v>
      </c>
      <c r="H7192" t="s">
        <v>23936</v>
      </c>
      <c r="I7192" t="s">
        <v>23935</v>
      </c>
    </row>
    <row r="7193" spans="1:9">
      <c r="A7193" t="str">
        <f>"0249502 "</f>
        <v xml:space="preserve">0249502 </v>
      </c>
      <c r="B7193" t="s">
        <v>23841</v>
      </c>
      <c r="C7193" t="s">
        <v>23939</v>
      </c>
      <c r="D7193" t="s">
        <v>23940</v>
      </c>
      <c r="E7193">
        <v>1</v>
      </c>
      <c r="F7193" t="s">
        <v>23941</v>
      </c>
      <c r="G7193" t="s">
        <v>23841</v>
      </c>
      <c r="H7193" t="s">
        <v>23939</v>
      </c>
      <c r="I7193" t="s">
        <v>23942</v>
      </c>
    </row>
    <row r="7194" spans="1:9">
      <c r="A7194" t="str">
        <f>"0249503 "</f>
        <v xml:space="preserve">0249503 </v>
      </c>
      <c r="B7194" t="s">
        <v>23841</v>
      </c>
      <c r="C7194" t="s">
        <v>23943</v>
      </c>
      <c r="D7194" t="s">
        <v>23944</v>
      </c>
      <c r="E7194">
        <v>1</v>
      </c>
      <c r="F7194" t="s">
        <v>23945</v>
      </c>
      <c r="G7194" t="s">
        <v>23841</v>
      </c>
      <c r="H7194" t="s">
        <v>23943</v>
      </c>
      <c r="I7194" t="s">
        <v>23942</v>
      </c>
    </row>
    <row r="7195" spans="1:9">
      <c r="A7195" t="str">
        <f>"0249506 "</f>
        <v xml:space="preserve">0249506 </v>
      </c>
      <c r="B7195" t="s">
        <v>23841</v>
      </c>
      <c r="C7195" t="s">
        <v>23946</v>
      </c>
      <c r="D7195" t="s">
        <v>23947</v>
      </c>
      <c r="E7195" t="s">
        <v>16</v>
      </c>
      <c r="F7195" t="s">
        <v>23948</v>
      </c>
      <c r="G7195" t="s">
        <v>23841</v>
      </c>
      <c r="H7195" t="s">
        <v>23946</v>
      </c>
      <c r="I7195" t="s">
        <v>23942</v>
      </c>
    </row>
    <row r="7196" spans="1:9">
      <c r="A7196" t="str">
        <f>"0249505 "</f>
        <v xml:space="preserve">0249505 </v>
      </c>
      <c r="B7196" t="s">
        <v>23841</v>
      </c>
      <c r="C7196" t="s">
        <v>23949</v>
      </c>
      <c r="D7196" t="s">
        <v>23950</v>
      </c>
      <c r="E7196" t="s">
        <v>16</v>
      </c>
      <c r="F7196" t="s">
        <v>23951</v>
      </c>
      <c r="G7196" t="s">
        <v>23841</v>
      </c>
      <c r="H7196" t="s">
        <v>23949</v>
      </c>
      <c r="I7196" t="s">
        <v>23942</v>
      </c>
    </row>
    <row r="7197" spans="1:9">
      <c r="A7197" t="str">
        <f>"0249504 "</f>
        <v xml:space="preserve">0249504 </v>
      </c>
      <c r="B7197" t="s">
        <v>23841</v>
      </c>
      <c r="C7197" t="s">
        <v>23952</v>
      </c>
      <c r="D7197" t="s">
        <v>23953</v>
      </c>
      <c r="E7197" t="s">
        <v>16</v>
      </c>
      <c r="F7197" t="s">
        <v>23954</v>
      </c>
      <c r="G7197" t="s">
        <v>23841</v>
      </c>
      <c r="H7197" t="s">
        <v>23952</v>
      </c>
      <c r="I7197" t="s">
        <v>23942</v>
      </c>
    </row>
    <row r="7198" spans="1:9">
      <c r="A7198" t="str">
        <f>"0249507 "</f>
        <v xml:space="preserve">0249507 </v>
      </c>
      <c r="B7198" t="s">
        <v>23841</v>
      </c>
      <c r="C7198" t="s">
        <v>23955</v>
      </c>
      <c r="D7198" t="s">
        <v>23956</v>
      </c>
      <c r="E7198">
        <v>2</v>
      </c>
      <c r="F7198" t="s">
        <v>23957</v>
      </c>
      <c r="G7198" t="s">
        <v>23841</v>
      </c>
      <c r="H7198" t="s">
        <v>23955</v>
      </c>
      <c r="I7198" t="s">
        <v>23958</v>
      </c>
    </row>
    <row r="7199" spans="1:9">
      <c r="A7199" t="str">
        <f>"0249501 "</f>
        <v xml:space="preserve">0249501 </v>
      </c>
      <c r="B7199" t="s">
        <v>23841</v>
      </c>
      <c r="C7199" t="s">
        <v>23959</v>
      </c>
      <c r="D7199" t="s">
        <v>23960</v>
      </c>
      <c r="E7199" t="s">
        <v>16</v>
      </c>
      <c r="F7199" t="s">
        <v>23961</v>
      </c>
      <c r="G7199" t="s">
        <v>23841</v>
      </c>
      <c r="H7199" t="s">
        <v>23959</v>
      </c>
      <c r="I7199" t="s">
        <v>23962</v>
      </c>
    </row>
    <row r="7200" spans="1:9">
      <c r="A7200" t="str">
        <f>"0249500 "</f>
        <v xml:space="preserve">0249500 </v>
      </c>
      <c r="B7200" t="s">
        <v>23841</v>
      </c>
      <c r="C7200" t="s">
        <v>23963</v>
      </c>
      <c r="D7200" t="s">
        <v>23964</v>
      </c>
      <c r="E7200" t="s">
        <v>16</v>
      </c>
      <c r="F7200" t="s">
        <v>23965</v>
      </c>
      <c r="G7200" t="s">
        <v>23841</v>
      </c>
      <c r="H7200" t="s">
        <v>23963</v>
      </c>
      <c r="I7200" t="s">
        <v>23962</v>
      </c>
    </row>
    <row r="7201" spans="1:9">
      <c r="A7201" t="str">
        <f>"0249499 "</f>
        <v xml:space="preserve">0249499 </v>
      </c>
      <c r="B7201" t="s">
        <v>23841</v>
      </c>
      <c r="C7201" t="s">
        <v>23966</v>
      </c>
      <c r="D7201" t="s">
        <v>23967</v>
      </c>
      <c r="E7201" t="s">
        <v>16</v>
      </c>
      <c r="F7201" t="s">
        <v>23968</v>
      </c>
      <c r="G7201" t="s">
        <v>23841</v>
      </c>
      <c r="H7201" t="s">
        <v>23966</v>
      </c>
      <c r="I7201" t="s">
        <v>23962</v>
      </c>
    </row>
    <row r="7202" spans="1:9">
      <c r="A7202" t="str">
        <f>"0249498 "</f>
        <v xml:space="preserve">0249498 </v>
      </c>
      <c r="B7202" t="s">
        <v>23841</v>
      </c>
      <c r="C7202" t="s">
        <v>23969</v>
      </c>
      <c r="D7202" t="s">
        <v>23970</v>
      </c>
      <c r="E7202" t="s">
        <v>16</v>
      </c>
      <c r="F7202" t="s">
        <v>23971</v>
      </c>
      <c r="G7202" t="s">
        <v>23841</v>
      </c>
      <c r="H7202" t="s">
        <v>23969</v>
      </c>
      <c r="I7202" t="s">
        <v>23962</v>
      </c>
    </row>
    <row r="7203" spans="1:9">
      <c r="A7203" t="str">
        <f>"0249497 "</f>
        <v xml:space="preserve">0249497 </v>
      </c>
      <c r="B7203" t="s">
        <v>23841</v>
      </c>
      <c r="C7203" t="s">
        <v>23972</v>
      </c>
      <c r="D7203" t="s">
        <v>23973</v>
      </c>
      <c r="E7203" t="s">
        <v>16</v>
      </c>
      <c r="F7203" t="s">
        <v>23974</v>
      </c>
      <c r="G7203" t="s">
        <v>23841</v>
      </c>
      <c r="H7203" t="s">
        <v>23972</v>
      </c>
      <c r="I7203" t="s">
        <v>23962</v>
      </c>
    </row>
    <row r="7204" spans="1:9">
      <c r="A7204" t="str">
        <f>"0249731 "</f>
        <v xml:space="preserve">0249731 </v>
      </c>
      <c r="B7204" t="s">
        <v>23841</v>
      </c>
      <c r="C7204" t="s">
        <v>23975</v>
      </c>
      <c r="D7204" t="s">
        <v>23976</v>
      </c>
      <c r="E7204">
        <v>2</v>
      </c>
      <c r="F7204" t="s">
        <v>23977</v>
      </c>
      <c r="G7204" t="s">
        <v>23841</v>
      </c>
      <c r="H7204" t="s">
        <v>23975</v>
      </c>
      <c r="I7204" t="s">
        <v>23978</v>
      </c>
    </row>
    <row r="7205" spans="1:9">
      <c r="A7205" t="str">
        <f>"0249732 "</f>
        <v xml:space="preserve">0249732 </v>
      </c>
      <c r="B7205" t="s">
        <v>23841</v>
      </c>
      <c r="C7205" t="s">
        <v>23979</v>
      </c>
      <c r="D7205" t="s">
        <v>23980</v>
      </c>
      <c r="E7205">
        <v>1</v>
      </c>
      <c r="F7205" t="s">
        <v>23981</v>
      </c>
      <c r="G7205" t="s">
        <v>23841</v>
      </c>
      <c r="H7205" t="s">
        <v>23979</v>
      </c>
      <c r="I7205" t="s">
        <v>23978</v>
      </c>
    </row>
    <row r="7206" spans="1:9">
      <c r="A7206" t="str">
        <f>"0249733 "</f>
        <v xml:space="preserve">0249733 </v>
      </c>
      <c r="B7206" t="s">
        <v>23841</v>
      </c>
      <c r="C7206" t="s">
        <v>23982</v>
      </c>
      <c r="D7206" t="s">
        <v>23983</v>
      </c>
      <c r="E7206">
        <v>2</v>
      </c>
      <c r="F7206" t="s">
        <v>23984</v>
      </c>
      <c r="G7206" t="s">
        <v>23841</v>
      </c>
      <c r="H7206" t="s">
        <v>23982</v>
      </c>
      <c r="I7206" t="s">
        <v>23985</v>
      </c>
    </row>
    <row r="7207" spans="1:9">
      <c r="A7207" t="str">
        <f>"0251888 "</f>
        <v xml:space="preserve">0251888 </v>
      </c>
      <c r="B7207" t="s">
        <v>23841</v>
      </c>
      <c r="C7207" t="s">
        <v>23986</v>
      </c>
      <c r="D7207" t="s">
        <v>23987</v>
      </c>
      <c r="E7207">
        <v>1</v>
      </c>
      <c r="F7207" t="s">
        <v>23988</v>
      </c>
      <c r="G7207" t="s">
        <v>23841</v>
      </c>
      <c r="H7207" t="s">
        <v>23986</v>
      </c>
      <c r="I7207" t="s">
        <v>23989</v>
      </c>
    </row>
    <row r="7208" spans="1:9">
      <c r="A7208" t="str">
        <f>"0249473 "</f>
        <v xml:space="preserve">0249473 </v>
      </c>
      <c r="B7208" t="s">
        <v>23841</v>
      </c>
      <c r="C7208" t="s">
        <v>23990</v>
      </c>
      <c r="D7208" t="s">
        <v>23991</v>
      </c>
      <c r="E7208" t="s">
        <v>16</v>
      </c>
      <c r="F7208" t="s">
        <v>23992</v>
      </c>
      <c r="G7208" t="s">
        <v>23841</v>
      </c>
      <c r="H7208" t="s">
        <v>23990</v>
      </c>
      <c r="I7208" t="s">
        <v>23989</v>
      </c>
    </row>
    <row r="7209" spans="1:9">
      <c r="A7209" t="str">
        <f>"0249472 "</f>
        <v xml:space="preserve">0249472 </v>
      </c>
      <c r="B7209" t="s">
        <v>23841</v>
      </c>
      <c r="C7209" t="s">
        <v>23993</v>
      </c>
      <c r="D7209" t="s">
        <v>23994</v>
      </c>
      <c r="E7209" t="s">
        <v>16</v>
      </c>
      <c r="F7209" t="s">
        <v>23995</v>
      </c>
      <c r="G7209" t="s">
        <v>23841</v>
      </c>
      <c r="H7209" t="s">
        <v>23993</v>
      </c>
      <c r="I7209" t="s">
        <v>23989</v>
      </c>
    </row>
    <row r="7210" spans="1:9">
      <c r="A7210" t="str">
        <f>"0249471 "</f>
        <v xml:space="preserve">0249471 </v>
      </c>
      <c r="B7210" t="s">
        <v>23841</v>
      </c>
      <c r="C7210" t="s">
        <v>23996</v>
      </c>
      <c r="D7210" t="s">
        <v>23997</v>
      </c>
      <c r="E7210" t="s">
        <v>16</v>
      </c>
      <c r="F7210" t="s">
        <v>23998</v>
      </c>
      <c r="G7210" t="s">
        <v>23841</v>
      </c>
      <c r="H7210" t="s">
        <v>23996</v>
      </c>
      <c r="I7210" t="s">
        <v>23989</v>
      </c>
    </row>
    <row r="7211" spans="1:9">
      <c r="A7211" t="str">
        <f>"0249470 "</f>
        <v xml:space="preserve">0249470 </v>
      </c>
      <c r="B7211" t="s">
        <v>23841</v>
      </c>
      <c r="C7211" t="s">
        <v>23999</v>
      </c>
      <c r="D7211" t="s">
        <v>24000</v>
      </c>
      <c r="E7211">
        <v>2</v>
      </c>
      <c r="F7211" t="s">
        <v>24001</v>
      </c>
      <c r="G7211" t="s">
        <v>23841</v>
      </c>
      <c r="H7211" t="s">
        <v>23999</v>
      </c>
      <c r="I7211" t="s">
        <v>24002</v>
      </c>
    </row>
    <row r="7212" spans="1:9">
      <c r="A7212" t="str">
        <f>"0249469 "</f>
        <v xml:space="preserve">0249469 </v>
      </c>
      <c r="B7212" t="s">
        <v>23841</v>
      </c>
      <c r="C7212" t="s">
        <v>24003</v>
      </c>
      <c r="D7212" t="s">
        <v>24004</v>
      </c>
      <c r="E7212">
        <v>4</v>
      </c>
      <c r="F7212" t="s">
        <v>24005</v>
      </c>
      <c r="G7212" t="s">
        <v>23841</v>
      </c>
      <c r="H7212" t="s">
        <v>24003</v>
      </c>
      <c r="I7212" t="s">
        <v>24002</v>
      </c>
    </row>
    <row r="7213" spans="1:9">
      <c r="A7213" t="str">
        <f>"0249475 "</f>
        <v xml:space="preserve">0249475 </v>
      </c>
      <c r="B7213" t="s">
        <v>23841</v>
      </c>
      <c r="C7213" t="s">
        <v>24006</v>
      </c>
      <c r="D7213" t="s">
        <v>24007</v>
      </c>
      <c r="E7213" t="s">
        <v>16</v>
      </c>
      <c r="F7213" t="s">
        <v>24008</v>
      </c>
      <c r="G7213" t="s">
        <v>23841</v>
      </c>
      <c r="H7213" t="s">
        <v>24006</v>
      </c>
      <c r="I7213" t="s">
        <v>24009</v>
      </c>
    </row>
    <row r="7214" spans="1:9">
      <c r="A7214" t="str">
        <f>"0249474 "</f>
        <v xml:space="preserve">0249474 </v>
      </c>
      <c r="B7214" t="s">
        <v>23841</v>
      </c>
      <c r="C7214" t="s">
        <v>24010</v>
      </c>
      <c r="D7214" t="s">
        <v>24011</v>
      </c>
      <c r="E7214" t="s">
        <v>16</v>
      </c>
      <c r="F7214" t="s">
        <v>20058</v>
      </c>
      <c r="G7214" t="s">
        <v>23841</v>
      </c>
      <c r="H7214" t="s">
        <v>24010</v>
      </c>
      <c r="I7214" t="s">
        <v>24009</v>
      </c>
    </row>
    <row r="7215" spans="1:9">
      <c r="A7215" t="str">
        <f>"0252530 "</f>
        <v xml:space="preserve">0252530 </v>
      </c>
      <c r="B7215" t="s">
        <v>23841</v>
      </c>
      <c r="C7215" t="s">
        <v>24012</v>
      </c>
      <c r="D7215" t="s">
        <v>24013</v>
      </c>
      <c r="E7215">
        <v>1</v>
      </c>
      <c r="F7215" t="s">
        <v>24014</v>
      </c>
      <c r="G7215" t="s">
        <v>23841</v>
      </c>
      <c r="H7215" t="s">
        <v>24012</v>
      </c>
      <c r="I7215" t="s">
        <v>24015</v>
      </c>
    </row>
    <row r="7216" spans="1:9">
      <c r="A7216" t="str">
        <f>"0251991 "</f>
        <v xml:space="preserve">0251991 </v>
      </c>
      <c r="B7216" t="s">
        <v>23841</v>
      </c>
      <c r="C7216" t="s">
        <v>24016</v>
      </c>
      <c r="D7216" t="s">
        <v>24017</v>
      </c>
      <c r="E7216" t="s">
        <v>16</v>
      </c>
      <c r="F7216" t="s">
        <v>24018</v>
      </c>
      <c r="G7216" t="s">
        <v>23841</v>
      </c>
      <c r="H7216" t="s">
        <v>24016</v>
      </c>
      <c r="I7216" t="s">
        <v>24015</v>
      </c>
    </row>
    <row r="7217" spans="1:9">
      <c r="A7217" t="str">
        <f>"0249491 "</f>
        <v xml:space="preserve">0249491 </v>
      </c>
      <c r="B7217" t="s">
        <v>23841</v>
      </c>
      <c r="C7217" t="s">
        <v>24019</v>
      </c>
      <c r="D7217" t="s">
        <v>24020</v>
      </c>
      <c r="E7217">
        <v>1</v>
      </c>
      <c r="F7217" t="s">
        <v>24021</v>
      </c>
      <c r="G7217" t="s">
        <v>23841</v>
      </c>
      <c r="H7217" t="s">
        <v>24019</v>
      </c>
      <c r="I7217" t="s">
        <v>24022</v>
      </c>
    </row>
    <row r="7218" spans="1:9">
      <c r="A7218" t="str">
        <f>"0249493 "</f>
        <v xml:space="preserve">0249493 </v>
      </c>
      <c r="B7218" t="s">
        <v>23841</v>
      </c>
      <c r="C7218" t="s">
        <v>24023</v>
      </c>
      <c r="D7218" t="s">
        <v>24024</v>
      </c>
      <c r="E7218" t="s">
        <v>16</v>
      </c>
      <c r="F7218" t="s">
        <v>24025</v>
      </c>
      <c r="G7218" t="s">
        <v>23841</v>
      </c>
      <c r="H7218" t="s">
        <v>24023</v>
      </c>
      <c r="I7218" t="s">
        <v>24022</v>
      </c>
    </row>
    <row r="7219" spans="1:9">
      <c r="A7219" t="str">
        <f>"0249492 "</f>
        <v xml:space="preserve">0249492 </v>
      </c>
      <c r="B7219" t="s">
        <v>23841</v>
      </c>
      <c r="C7219" t="s">
        <v>24026</v>
      </c>
      <c r="D7219" t="s">
        <v>24027</v>
      </c>
      <c r="E7219" t="s">
        <v>16</v>
      </c>
      <c r="F7219" t="s">
        <v>24028</v>
      </c>
      <c r="G7219" t="s">
        <v>23841</v>
      </c>
      <c r="H7219" t="s">
        <v>24026</v>
      </c>
      <c r="I7219" t="s">
        <v>24022</v>
      </c>
    </row>
    <row r="7220" spans="1:9">
      <c r="A7220" t="str">
        <f>"0249496 "</f>
        <v xml:space="preserve">0249496 </v>
      </c>
      <c r="B7220" t="s">
        <v>23841</v>
      </c>
      <c r="C7220" t="s">
        <v>24029</v>
      </c>
      <c r="D7220" t="s">
        <v>24030</v>
      </c>
      <c r="E7220">
        <v>2</v>
      </c>
      <c r="F7220" t="s">
        <v>24031</v>
      </c>
      <c r="G7220" t="s">
        <v>23841</v>
      </c>
      <c r="H7220" t="s">
        <v>24029</v>
      </c>
      <c r="I7220" t="s">
        <v>24032</v>
      </c>
    </row>
    <row r="7221" spans="1:9">
      <c r="A7221" t="str">
        <f>"0249495 "</f>
        <v xml:space="preserve">0249495 </v>
      </c>
      <c r="B7221" t="s">
        <v>23841</v>
      </c>
      <c r="C7221" t="s">
        <v>24033</v>
      </c>
      <c r="D7221" t="s">
        <v>24034</v>
      </c>
      <c r="E7221">
        <v>1</v>
      </c>
      <c r="F7221" t="s">
        <v>24035</v>
      </c>
      <c r="G7221" t="s">
        <v>23841</v>
      </c>
      <c r="H7221" t="s">
        <v>24033</v>
      </c>
      <c r="I7221" t="s">
        <v>24032</v>
      </c>
    </row>
    <row r="7222" spans="1:9">
      <c r="A7222" t="str">
        <f>"0249494 "</f>
        <v xml:space="preserve">0249494 </v>
      </c>
      <c r="B7222" t="s">
        <v>23841</v>
      </c>
      <c r="C7222" t="s">
        <v>24036</v>
      </c>
      <c r="D7222" t="s">
        <v>24037</v>
      </c>
      <c r="E7222">
        <v>1</v>
      </c>
      <c r="F7222" t="s">
        <v>24038</v>
      </c>
      <c r="G7222" t="s">
        <v>23841</v>
      </c>
      <c r="H7222" t="s">
        <v>24036</v>
      </c>
      <c r="I7222" t="s">
        <v>24032</v>
      </c>
    </row>
    <row r="7223" spans="1:9">
      <c r="A7223" t="str">
        <f>"0251878 "</f>
        <v xml:space="preserve">0251878 </v>
      </c>
      <c r="B7223" t="s">
        <v>23841</v>
      </c>
      <c r="C7223" t="s">
        <v>24039</v>
      </c>
      <c r="D7223" t="s">
        <v>24040</v>
      </c>
      <c r="E7223">
        <v>3</v>
      </c>
      <c r="F7223" t="s">
        <v>24041</v>
      </c>
      <c r="G7223" t="s">
        <v>23841</v>
      </c>
      <c r="H7223" t="s">
        <v>24039</v>
      </c>
      <c r="I7223" t="s">
        <v>24042</v>
      </c>
    </row>
    <row r="7224" spans="1:9">
      <c r="A7224" t="str">
        <f>"0251877 "</f>
        <v xml:space="preserve">0251877 </v>
      </c>
      <c r="B7224" t="s">
        <v>23841</v>
      </c>
      <c r="C7224" t="s">
        <v>24043</v>
      </c>
      <c r="D7224" t="s">
        <v>24044</v>
      </c>
      <c r="E7224">
        <v>3</v>
      </c>
      <c r="F7224" t="s">
        <v>24045</v>
      </c>
      <c r="G7224" t="s">
        <v>23841</v>
      </c>
      <c r="H7224" t="s">
        <v>24043</v>
      </c>
      <c r="I7224" t="s">
        <v>24042</v>
      </c>
    </row>
    <row r="7225" spans="1:9">
      <c r="A7225" t="str">
        <f>"0249468 "</f>
        <v xml:space="preserve">0249468 </v>
      </c>
      <c r="B7225" t="s">
        <v>23841</v>
      </c>
      <c r="C7225" t="s">
        <v>24046</v>
      </c>
      <c r="D7225" t="s">
        <v>24047</v>
      </c>
      <c r="E7225">
        <v>5</v>
      </c>
      <c r="F7225" t="s">
        <v>24048</v>
      </c>
      <c r="G7225" t="s">
        <v>23841</v>
      </c>
      <c r="H7225" t="s">
        <v>24046</v>
      </c>
      <c r="I7225" t="s">
        <v>24049</v>
      </c>
    </row>
    <row r="7226" spans="1:9">
      <c r="A7226" t="str">
        <f>"0249467 "</f>
        <v xml:space="preserve">0249467 </v>
      </c>
      <c r="B7226" t="s">
        <v>23841</v>
      </c>
      <c r="C7226" t="s">
        <v>24050</v>
      </c>
      <c r="D7226" t="s">
        <v>24051</v>
      </c>
      <c r="E7226">
        <v>5</v>
      </c>
      <c r="F7226" t="s">
        <v>24052</v>
      </c>
      <c r="G7226" t="s">
        <v>23841</v>
      </c>
      <c r="H7226" t="s">
        <v>24050</v>
      </c>
      <c r="I7226" t="s">
        <v>24049</v>
      </c>
    </row>
    <row r="7227" spans="1:9">
      <c r="A7227" t="str">
        <f>"0249466 "</f>
        <v xml:space="preserve">0249466 </v>
      </c>
      <c r="B7227" t="s">
        <v>23841</v>
      </c>
      <c r="C7227" t="s">
        <v>24053</v>
      </c>
      <c r="D7227" t="s">
        <v>24054</v>
      </c>
      <c r="E7227">
        <v>2</v>
      </c>
      <c r="F7227" t="s">
        <v>24055</v>
      </c>
      <c r="G7227" t="s">
        <v>23841</v>
      </c>
      <c r="H7227" t="s">
        <v>24053</v>
      </c>
      <c r="I7227" t="s">
        <v>24056</v>
      </c>
    </row>
    <row r="7228" spans="1:9">
      <c r="A7228" t="str">
        <f>"0249465 "</f>
        <v xml:space="preserve">0249465 </v>
      </c>
      <c r="B7228" t="s">
        <v>23841</v>
      </c>
      <c r="C7228" t="s">
        <v>24057</v>
      </c>
      <c r="D7228" t="s">
        <v>24058</v>
      </c>
      <c r="E7228">
        <v>3</v>
      </c>
      <c r="F7228" t="s">
        <v>24059</v>
      </c>
      <c r="G7228" t="s">
        <v>23841</v>
      </c>
      <c r="H7228" t="s">
        <v>24057</v>
      </c>
      <c r="I7228" t="s">
        <v>24056</v>
      </c>
    </row>
    <row r="7229" spans="1:9">
      <c r="A7229" t="str">
        <f>"0249464 "</f>
        <v xml:space="preserve">0249464 </v>
      </c>
      <c r="B7229" t="s">
        <v>23841</v>
      </c>
      <c r="C7229" t="s">
        <v>24060</v>
      </c>
      <c r="D7229" t="s">
        <v>24061</v>
      </c>
      <c r="E7229" t="s">
        <v>16</v>
      </c>
      <c r="F7229" t="s">
        <v>24062</v>
      </c>
      <c r="G7229" t="s">
        <v>23841</v>
      </c>
      <c r="H7229" t="s">
        <v>24060</v>
      </c>
      <c r="I7229" t="s">
        <v>24063</v>
      </c>
    </row>
    <row r="7230" spans="1:9">
      <c r="A7230" t="str">
        <f>"0249463 "</f>
        <v xml:space="preserve">0249463 </v>
      </c>
      <c r="B7230" t="s">
        <v>23841</v>
      </c>
      <c r="C7230" t="s">
        <v>24064</v>
      </c>
      <c r="D7230" t="s">
        <v>24065</v>
      </c>
      <c r="E7230" t="s">
        <v>16</v>
      </c>
      <c r="F7230" t="s">
        <v>24066</v>
      </c>
      <c r="G7230" t="s">
        <v>23841</v>
      </c>
      <c r="H7230" t="s">
        <v>24064</v>
      </c>
      <c r="I7230" t="s">
        <v>24063</v>
      </c>
    </row>
    <row r="7231" spans="1:9">
      <c r="A7231" t="str">
        <f>"0249479 "</f>
        <v xml:space="preserve">0249479 </v>
      </c>
      <c r="B7231" t="s">
        <v>23841</v>
      </c>
      <c r="C7231" t="s">
        <v>24067</v>
      </c>
      <c r="D7231" t="s">
        <v>24068</v>
      </c>
      <c r="E7231">
        <v>2</v>
      </c>
      <c r="F7231" t="s">
        <v>24069</v>
      </c>
      <c r="G7231" t="s">
        <v>23841</v>
      </c>
      <c r="H7231" t="s">
        <v>24067</v>
      </c>
      <c r="I7231" t="s">
        <v>24070</v>
      </c>
    </row>
    <row r="7232" spans="1:9">
      <c r="A7232" t="str">
        <f>"0249480 "</f>
        <v xml:space="preserve">0249480 </v>
      </c>
      <c r="B7232" t="s">
        <v>23841</v>
      </c>
      <c r="C7232" t="s">
        <v>24071</v>
      </c>
      <c r="D7232" t="s">
        <v>24072</v>
      </c>
      <c r="E7232">
        <v>1</v>
      </c>
      <c r="F7232" t="s">
        <v>24073</v>
      </c>
      <c r="G7232" t="s">
        <v>23841</v>
      </c>
      <c r="H7232" t="s">
        <v>24071</v>
      </c>
      <c r="I7232" t="s">
        <v>24070</v>
      </c>
    </row>
    <row r="7233" spans="1:9">
      <c r="A7233" t="str">
        <f>"0249483 "</f>
        <v xml:space="preserve">0249483 </v>
      </c>
      <c r="B7233" t="s">
        <v>23841</v>
      </c>
      <c r="C7233" t="s">
        <v>24074</v>
      </c>
      <c r="D7233" t="s">
        <v>24075</v>
      </c>
      <c r="E7233" t="s">
        <v>16</v>
      </c>
      <c r="F7233" t="s">
        <v>24076</v>
      </c>
      <c r="G7233" t="s">
        <v>23841</v>
      </c>
      <c r="H7233" t="s">
        <v>24074</v>
      </c>
      <c r="I7233" t="s">
        <v>24070</v>
      </c>
    </row>
    <row r="7234" spans="1:9">
      <c r="A7234" t="str">
        <f>"0249482 "</f>
        <v xml:space="preserve">0249482 </v>
      </c>
      <c r="B7234" t="s">
        <v>23841</v>
      </c>
      <c r="C7234" t="s">
        <v>24077</v>
      </c>
      <c r="D7234" t="s">
        <v>24078</v>
      </c>
      <c r="E7234" t="s">
        <v>16</v>
      </c>
      <c r="F7234" t="s">
        <v>24079</v>
      </c>
      <c r="G7234" t="s">
        <v>23841</v>
      </c>
      <c r="H7234" t="s">
        <v>24077</v>
      </c>
      <c r="I7234" t="s">
        <v>24070</v>
      </c>
    </row>
    <row r="7235" spans="1:9">
      <c r="A7235" t="str">
        <f>"0249481 "</f>
        <v xml:space="preserve">0249481 </v>
      </c>
      <c r="B7235" t="s">
        <v>23841</v>
      </c>
      <c r="C7235" t="s">
        <v>24080</v>
      </c>
      <c r="D7235" t="s">
        <v>24081</v>
      </c>
      <c r="E7235" t="s">
        <v>16</v>
      </c>
      <c r="F7235" t="s">
        <v>24082</v>
      </c>
      <c r="G7235" t="s">
        <v>23841</v>
      </c>
      <c r="H7235" t="s">
        <v>24080</v>
      </c>
      <c r="I7235" t="s">
        <v>24070</v>
      </c>
    </row>
    <row r="7236" spans="1:9">
      <c r="A7236" t="str">
        <f>"0249477 "</f>
        <v xml:space="preserve">0249477 </v>
      </c>
      <c r="B7236" t="s">
        <v>23841</v>
      </c>
      <c r="C7236" t="s">
        <v>24083</v>
      </c>
      <c r="D7236" t="s">
        <v>24084</v>
      </c>
      <c r="E7236" t="s">
        <v>16</v>
      </c>
      <c r="F7236" t="s">
        <v>24085</v>
      </c>
      <c r="G7236" t="s">
        <v>23841</v>
      </c>
      <c r="H7236" t="s">
        <v>24083</v>
      </c>
      <c r="I7236" t="s">
        <v>24086</v>
      </c>
    </row>
    <row r="7237" spans="1:9">
      <c r="A7237" t="str">
        <f>"0249476 "</f>
        <v xml:space="preserve">0249476 </v>
      </c>
      <c r="B7237" t="s">
        <v>23841</v>
      </c>
      <c r="C7237" t="s">
        <v>24087</v>
      </c>
      <c r="D7237" t="s">
        <v>24088</v>
      </c>
      <c r="E7237" t="s">
        <v>16</v>
      </c>
      <c r="F7237" t="s">
        <v>24089</v>
      </c>
      <c r="G7237" t="s">
        <v>23841</v>
      </c>
      <c r="H7237" t="s">
        <v>24087</v>
      </c>
      <c r="I7237" t="s">
        <v>24086</v>
      </c>
    </row>
    <row r="7238" spans="1:9">
      <c r="A7238" t="str">
        <f>"0249489 "</f>
        <v xml:space="preserve">0249489 </v>
      </c>
      <c r="B7238" t="s">
        <v>23841</v>
      </c>
      <c r="C7238" t="s">
        <v>24090</v>
      </c>
      <c r="D7238" t="s">
        <v>24091</v>
      </c>
      <c r="E7238" t="s">
        <v>16</v>
      </c>
      <c r="F7238" t="s">
        <v>3695</v>
      </c>
      <c r="G7238" t="s">
        <v>23841</v>
      </c>
      <c r="H7238" t="s">
        <v>24090</v>
      </c>
      <c r="I7238" t="s">
        <v>24092</v>
      </c>
    </row>
    <row r="7239" spans="1:9">
      <c r="A7239" t="str">
        <f>"0249487 "</f>
        <v xml:space="preserve">0249487 </v>
      </c>
      <c r="B7239" t="s">
        <v>23841</v>
      </c>
      <c r="C7239" t="s">
        <v>24093</v>
      </c>
      <c r="D7239" t="s">
        <v>24094</v>
      </c>
      <c r="E7239" t="s">
        <v>16</v>
      </c>
      <c r="F7239" t="s">
        <v>24095</v>
      </c>
      <c r="G7239" t="s">
        <v>23841</v>
      </c>
      <c r="H7239" t="s">
        <v>24093</v>
      </c>
      <c r="I7239" t="s">
        <v>24092</v>
      </c>
    </row>
    <row r="7240" spans="1:9">
      <c r="A7240" t="str">
        <f>"0249458 "</f>
        <v xml:space="preserve">0249458 </v>
      </c>
      <c r="B7240" t="s">
        <v>23841</v>
      </c>
      <c r="C7240" t="s">
        <v>24096</v>
      </c>
      <c r="D7240" t="s">
        <v>24097</v>
      </c>
      <c r="E7240" t="s">
        <v>16</v>
      </c>
      <c r="F7240" t="s">
        <v>24098</v>
      </c>
      <c r="G7240" t="s">
        <v>23841</v>
      </c>
      <c r="H7240" t="s">
        <v>24096</v>
      </c>
      <c r="I7240" t="s">
        <v>24099</v>
      </c>
    </row>
    <row r="7241" spans="1:9">
      <c r="A7241" t="str">
        <f>"0249457 "</f>
        <v xml:space="preserve">0249457 </v>
      </c>
      <c r="B7241" t="s">
        <v>23841</v>
      </c>
      <c r="C7241" t="s">
        <v>24100</v>
      </c>
      <c r="D7241" t="s">
        <v>24101</v>
      </c>
      <c r="E7241" t="s">
        <v>16</v>
      </c>
      <c r="F7241" t="s">
        <v>24102</v>
      </c>
      <c r="G7241" t="s">
        <v>23841</v>
      </c>
      <c r="H7241" t="s">
        <v>24100</v>
      </c>
      <c r="I7241" t="s">
        <v>24099</v>
      </c>
    </row>
    <row r="7242" spans="1:9">
      <c r="A7242" t="str">
        <f>"0249456 "</f>
        <v xml:space="preserve">0249456 </v>
      </c>
      <c r="B7242" t="s">
        <v>23841</v>
      </c>
      <c r="C7242" t="s">
        <v>24103</v>
      </c>
      <c r="D7242" t="s">
        <v>24104</v>
      </c>
      <c r="E7242">
        <v>3</v>
      </c>
      <c r="F7242" t="s">
        <v>24105</v>
      </c>
      <c r="G7242" t="s">
        <v>23841</v>
      </c>
      <c r="H7242" t="s">
        <v>24103</v>
      </c>
      <c r="I7242" t="s">
        <v>24099</v>
      </c>
    </row>
    <row r="7243" spans="1:9">
      <c r="A7243" t="str">
        <f>"0249460 "</f>
        <v xml:space="preserve">0249460 </v>
      </c>
      <c r="B7243" t="s">
        <v>23841</v>
      </c>
      <c r="C7243" t="s">
        <v>24106</v>
      </c>
      <c r="D7243" t="s">
        <v>24107</v>
      </c>
      <c r="E7243" t="s">
        <v>16</v>
      </c>
      <c r="F7243" t="s">
        <v>24108</v>
      </c>
      <c r="G7243" t="s">
        <v>23841</v>
      </c>
      <c r="H7243" t="s">
        <v>24106</v>
      </c>
      <c r="I7243" t="s">
        <v>24109</v>
      </c>
    </row>
    <row r="7244" spans="1:9">
      <c r="A7244" t="str">
        <f>"0249459 "</f>
        <v xml:space="preserve">0249459 </v>
      </c>
      <c r="B7244" t="s">
        <v>23841</v>
      </c>
      <c r="C7244" t="s">
        <v>24110</v>
      </c>
      <c r="D7244" t="s">
        <v>24111</v>
      </c>
      <c r="E7244" t="s">
        <v>16</v>
      </c>
      <c r="F7244" t="s">
        <v>24112</v>
      </c>
      <c r="G7244" t="s">
        <v>23841</v>
      </c>
      <c r="H7244" t="s">
        <v>24110</v>
      </c>
      <c r="I7244" t="s">
        <v>24109</v>
      </c>
    </row>
    <row r="7245" spans="1:9">
      <c r="A7245" t="str">
        <f>"0249455 "</f>
        <v xml:space="preserve">0249455 </v>
      </c>
      <c r="B7245" t="s">
        <v>23841</v>
      </c>
      <c r="C7245" t="s">
        <v>24113</v>
      </c>
      <c r="D7245" t="s">
        <v>24114</v>
      </c>
      <c r="E7245">
        <v>2</v>
      </c>
      <c r="F7245" t="s">
        <v>24115</v>
      </c>
      <c r="G7245" t="s">
        <v>23841</v>
      </c>
      <c r="H7245" t="s">
        <v>24113</v>
      </c>
      <c r="I7245" t="s">
        <v>24116</v>
      </c>
    </row>
    <row r="7246" spans="1:9">
      <c r="A7246" t="str">
        <f>"0251246 "</f>
        <v xml:space="preserve">0251246 </v>
      </c>
      <c r="B7246" t="s">
        <v>23841</v>
      </c>
      <c r="C7246" t="s">
        <v>24117</v>
      </c>
      <c r="D7246" t="s">
        <v>24118</v>
      </c>
      <c r="E7246">
        <v>2</v>
      </c>
      <c r="F7246" t="s">
        <v>24119</v>
      </c>
      <c r="G7246" t="s">
        <v>23841</v>
      </c>
      <c r="H7246" t="s">
        <v>24117</v>
      </c>
      <c r="I7246" t="s">
        <v>24120</v>
      </c>
    </row>
    <row r="7247" spans="1:9">
      <c r="A7247" t="str">
        <f>"0249555 "</f>
        <v xml:space="preserve">0249555 </v>
      </c>
      <c r="B7247" t="s">
        <v>23841</v>
      </c>
      <c r="C7247" t="s">
        <v>24121</v>
      </c>
      <c r="D7247" t="s">
        <v>24122</v>
      </c>
      <c r="E7247" t="s">
        <v>16</v>
      </c>
      <c r="F7247" t="s">
        <v>24123</v>
      </c>
      <c r="G7247" t="s">
        <v>23841</v>
      </c>
      <c r="H7247" t="s">
        <v>24121</v>
      </c>
      <c r="I7247" t="s">
        <v>24124</v>
      </c>
    </row>
    <row r="7248" spans="1:9">
      <c r="A7248" t="str">
        <f>"0249427 "</f>
        <v xml:space="preserve">0249427 </v>
      </c>
      <c r="B7248" t="s">
        <v>23841</v>
      </c>
      <c r="C7248" t="s">
        <v>24125</v>
      </c>
      <c r="D7248" t="s">
        <v>24126</v>
      </c>
      <c r="E7248" t="s">
        <v>16</v>
      </c>
      <c r="F7248" t="s">
        <v>24127</v>
      </c>
      <c r="G7248" t="s">
        <v>23841</v>
      </c>
      <c r="H7248" t="s">
        <v>24125</v>
      </c>
      <c r="I7248" t="s">
        <v>24128</v>
      </c>
    </row>
    <row r="7249" spans="1:9">
      <c r="A7249" t="str">
        <f>"0249428 "</f>
        <v xml:space="preserve">0249428 </v>
      </c>
      <c r="B7249" t="s">
        <v>23841</v>
      </c>
      <c r="C7249" t="s">
        <v>24129</v>
      </c>
      <c r="D7249" t="s">
        <v>24130</v>
      </c>
      <c r="E7249" t="s">
        <v>16</v>
      </c>
      <c r="F7249" t="s">
        <v>24131</v>
      </c>
      <c r="G7249" t="s">
        <v>23841</v>
      </c>
      <c r="H7249" t="s">
        <v>24129</v>
      </c>
      <c r="I7249" t="s">
        <v>24132</v>
      </c>
    </row>
    <row r="7250" spans="1:9">
      <c r="A7250" t="str">
        <f>"0249778 "</f>
        <v xml:space="preserve">0249778 </v>
      </c>
      <c r="B7250" t="s">
        <v>23841</v>
      </c>
      <c r="C7250" t="s">
        <v>24133</v>
      </c>
      <c r="D7250" t="s">
        <v>24134</v>
      </c>
      <c r="E7250">
        <v>2</v>
      </c>
      <c r="F7250" t="s">
        <v>24135</v>
      </c>
      <c r="G7250" t="s">
        <v>23841</v>
      </c>
      <c r="H7250" t="s">
        <v>24133</v>
      </c>
      <c r="I7250" t="s">
        <v>24136</v>
      </c>
    </row>
    <row r="7251" spans="1:9">
      <c r="A7251" t="str">
        <f>"0249430 "</f>
        <v xml:space="preserve">0249430 </v>
      </c>
      <c r="B7251" t="s">
        <v>23841</v>
      </c>
      <c r="C7251" t="s">
        <v>24137</v>
      </c>
      <c r="D7251" t="s">
        <v>24138</v>
      </c>
      <c r="E7251" t="s">
        <v>16</v>
      </c>
      <c r="F7251" t="s">
        <v>573</v>
      </c>
      <c r="G7251" t="s">
        <v>23841</v>
      </c>
      <c r="H7251" t="s">
        <v>24137</v>
      </c>
      <c r="I7251" t="s">
        <v>24139</v>
      </c>
    </row>
    <row r="7252" spans="1:9">
      <c r="A7252" t="str">
        <f>"0249772 "</f>
        <v xml:space="preserve">0249772 </v>
      </c>
      <c r="B7252" t="s">
        <v>23841</v>
      </c>
      <c r="C7252" t="s">
        <v>24140</v>
      </c>
      <c r="D7252" t="s">
        <v>24141</v>
      </c>
      <c r="E7252" t="s">
        <v>16</v>
      </c>
      <c r="F7252" t="s">
        <v>24142</v>
      </c>
      <c r="G7252" t="s">
        <v>23841</v>
      </c>
      <c r="H7252" t="s">
        <v>24140</v>
      </c>
      <c r="I7252" t="s">
        <v>24139</v>
      </c>
    </row>
    <row r="7253" spans="1:9">
      <c r="A7253" t="str">
        <f>"0249431 "</f>
        <v xml:space="preserve">0249431 </v>
      </c>
      <c r="B7253" t="s">
        <v>23841</v>
      </c>
      <c r="C7253" t="s">
        <v>24143</v>
      </c>
      <c r="D7253" t="s">
        <v>24144</v>
      </c>
      <c r="E7253" t="s">
        <v>16</v>
      </c>
      <c r="F7253" t="s">
        <v>24145</v>
      </c>
      <c r="G7253" t="s">
        <v>23841</v>
      </c>
      <c r="H7253" t="s">
        <v>24143</v>
      </c>
      <c r="I7253" t="s">
        <v>24146</v>
      </c>
    </row>
    <row r="7254" spans="1:9">
      <c r="A7254" t="str">
        <f>"0249773 "</f>
        <v xml:space="preserve">0249773 </v>
      </c>
      <c r="B7254" t="s">
        <v>23841</v>
      </c>
      <c r="C7254" t="s">
        <v>24147</v>
      </c>
      <c r="D7254" t="s">
        <v>24148</v>
      </c>
      <c r="E7254" t="s">
        <v>16</v>
      </c>
      <c r="F7254" t="s">
        <v>24149</v>
      </c>
      <c r="G7254" t="s">
        <v>23841</v>
      </c>
      <c r="H7254" t="s">
        <v>24147</v>
      </c>
      <c r="I7254" t="s">
        <v>24146</v>
      </c>
    </row>
    <row r="7255" spans="1:9">
      <c r="A7255" t="str">
        <f>"0249432 "</f>
        <v xml:space="preserve">0249432 </v>
      </c>
      <c r="B7255" t="s">
        <v>23841</v>
      </c>
      <c r="C7255" t="s">
        <v>24150</v>
      </c>
      <c r="D7255" t="s">
        <v>24151</v>
      </c>
      <c r="E7255" t="s">
        <v>16</v>
      </c>
      <c r="F7255" t="s">
        <v>24152</v>
      </c>
      <c r="G7255" t="s">
        <v>23841</v>
      </c>
      <c r="H7255" t="s">
        <v>24150</v>
      </c>
      <c r="I7255" t="s">
        <v>24153</v>
      </c>
    </row>
    <row r="7256" spans="1:9">
      <c r="A7256" t="str">
        <f>"0249433 "</f>
        <v xml:space="preserve">0249433 </v>
      </c>
      <c r="B7256" t="s">
        <v>23841</v>
      </c>
      <c r="C7256" t="s">
        <v>24154</v>
      </c>
      <c r="D7256" t="s">
        <v>24155</v>
      </c>
      <c r="E7256" t="s">
        <v>16</v>
      </c>
      <c r="F7256" t="s">
        <v>24156</v>
      </c>
      <c r="G7256" t="s">
        <v>23841</v>
      </c>
      <c r="H7256" t="s">
        <v>24154</v>
      </c>
      <c r="I7256" t="s">
        <v>24153</v>
      </c>
    </row>
    <row r="7257" spans="1:9">
      <c r="A7257" t="str">
        <f>"0249429 "</f>
        <v xml:space="preserve">0249429 </v>
      </c>
      <c r="B7257" t="s">
        <v>23841</v>
      </c>
      <c r="C7257" t="s">
        <v>24157</v>
      </c>
      <c r="D7257" t="s">
        <v>24158</v>
      </c>
      <c r="E7257">
        <v>4</v>
      </c>
      <c r="F7257" t="s">
        <v>24159</v>
      </c>
      <c r="G7257" t="s">
        <v>23841</v>
      </c>
      <c r="H7257" t="s">
        <v>24157</v>
      </c>
      <c r="I7257" t="s">
        <v>24160</v>
      </c>
    </row>
    <row r="7258" spans="1:9">
      <c r="A7258" t="str">
        <f>"0249434 "</f>
        <v xml:space="preserve">0249434 </v>
      </c>
      <c r="B7258" t="s">
        <v>23841</v>
      </c>
      <c r="C7258" t="s">
        <v>24161</v>
      </c>
      <c r="D7258" t="s">
        <v>24162</v>
      </c>
      <c r="E7258" t="s">
        <v>16</v>
      </c>
      <c r="F7258" t="s">
        <v>24163</v>
      </c>
      <c r="G7258" t="s">
        <v>23841</v>
      </c>
      <c r="H7258" t="s">
        <v>24161</v>
      </c>
      <c r="I7258" t="s">
        <v>24164</v>
      </c>
    </row>
    <row r="7259" spans="1:9">
      <c r="A7259" t="str">
        <f>"0249775 "</f>
        <v xml:space="preserve">0249775 </v>
      </c>
      <c r="B7259" t="s">
        <v>23841</v>
      </c>
      <c r="C7259" t="s">
        <v>24165</v>
      </c>
      <c r="D7259" t="s">
        <v>24166</v>
      </c>
      <c r="E7259">
        <v>2</v>
      </c>
      <c r="F7259" t="s">
        <v>24167</v>
      </c>
      <c r="G7259" t="s">
        <v>23841</v>
      </c>
      <c r="H7259" t="s">
        <v>24165</v>
      </c>
      <c r="I7259" t="s">
        <v>24164</v>
      </c>
    </row>
    <row r="7260" spans="1:9">
      <c r="A7260" t="str">
        <f>"0249435 "</f>
        <v xml:space="preserve">0249435 </v>
      </c>
      <c r="B7260" t="s">
        <v>23841</v>
      </c>
      <c r="C7260" t="s">
        <v>24168</v>
      </c>
      <c r="D7260" t="s">
        <v>24169</v>
      </c>
      <c r="E7260" t="s">
        <v>16</v>
      </c>
      <c r="F7260" t="s">
        <v>24170</v>
      </c>
      <c r="G7260" t="s">
        <v>23841</v>
      </c>
      <c r="H7260" t="s">
        <v>24168</v>
      </c>
      <c r="I7260" t="s">
        <v>24171</v>
      </c>
    </row>
    <row r="7261" spans="1:9">
      <c r="A7261" t="str">
        <f>"0249436 "</f>
        <v xml:space="preserve">0249436 </v>
      </c>
      <c r="B7261" t="s">
        <v>23841</v>
      </c>
      <c r="C7261" t="s">
        <v>24172</v>
      </c>
      <c r="D7261" t="s">
        <v>24173</v>
      </c>
      <c r="E7261" t="s">
        <v>16</v>
      </c>
      <c r="F7261" t="s">
        <v>15097</v>
      </c>
      <c r="G7261" t="s">
        <v>23841</v>
      </c>
      <c r="H7261" t="s">
        <v>24172</v>
      </c>
      <c r="I7261" t="s">
        <v>24164</v>
      </c>
    </row>
    <row r="7262" spans="1:9">
      <c r="A7262" t="str">
        <f>"0249437 "</f>
        <v xml:space="preserve">0249437 </v>
      </c>
      <c r="B7262" t="s">
        <v>23841</v>
      </c>
      <c r="C7262" t="s">
        <v>24174</v>
      </c>
      <c r="D7262" t="s">
        <v>24175</v>
      </c>
      <c r="E7262" t="s">
        <v>16</v>
      </c>
      <c r="F7262" t="s">
        <v>24176</v>
      </c>
      <c r="G7262" t="s">
        <v>23841</v>
      </c>
      <c r="H7262" t="s">
        <v>24174</v>
      </c>
      <c r="I7262" t="s">
        <v>24177</v>
      </c>
    </row>
    <row r="7263" spans="1:9">
      <c r="A7263" t="str">
        <f>"0249438 "</f>
        <v xml:space="preserve">0249438 </v>
      </c>
      <c r="B7263" t="s">
        <v>23841</v>
      </c>
      <c r="C7263" t="s">
        <v>24178</v>
      </c>
      <c r="D7263" t="s">
        <v>24179</v>
      </c>
      <c r="E7263" t="s">
        <v>16</v>
      </c>
      <c r="F7263" t="s">
        <v>24180</v>
      </c>
      <c r="G7263" t="s">
        <v>23841</v>
      </c>
      <c r="H7263" t="s">
        <v>24178</v>
      </c>
      <c r="I7263" t="s">
        <v>24181</v>
      </c>
    </row>
    <row r="7264" spans="1:9">
      <c r="A7264" t="str">
        <f>"0249780 "</f>
        <v xml:space="preserve">0249780 </v>
      </c>
      <c r="B7264" t="s">
        <v>23841</v>
      </c>
      <c r="C7264" t="s">
        <v>24182</v>
      </c>
      <c r="D7264" t="s">
        <v>24183</v>
      </c>
      <c r="E7264">
        <v>1</v>
      </c>
      <c r="F7264" t="s">
        <v>24184</v>
      </c>
      <c r="G7264" t="s">
        <v>23841</v>
      </c>
      <c r="H7264" t="s">
        <v>24182</v>
      </c>
      <c r="I7264" t="s">
        <v>24181</v>
      </c>
    </row>
    <row r="7265" spans="1:9">
      <c r="A7265" t="str">
        <f>"0249439 "</f>
        <v xml:space="preserve">0249439 </v>
      </c>
      <c r="B7265" t="s">
        <v>23841</v>
      </c>
      <c r="C7265" t="s">
        <v>24185</v>
      </c>
      <c r="D7265" t="s">
        <v>24186</v>
      </c>
      <c r="E7265">
        <v>4</v>
      </c>
      <c r="F7265" t="s">
        <v>24187</v>
      </c>
      <c r="G7265" t="s">
        <v>23841</v>
      </c>
      <c r="H7265" t="s">
        <v>24185</v>
      </c>
      <c r="I7265" t="s">
        <v>24188</v>
      </c>
    </row>
    <row r="7266" spans="1:9">
      <c r="A7266" t="str">
        <f>"0249443 "</f>
        <v xml:space="preserve">0249443 </v>
      </c>
      <c r="B7266" t="s">
        <v>23841</v>
      </c>
      <c r="C7266" t="s">
        <v>24189</v>
      </c>
      <c r="D7266" t="s">
        <v>24190</v>
      </c>
      <c r="E7266">
        <v>5</v>
      </c>
      <c r="F7266" t="s">
        <v>24191</v>
      </c>
      <c r="G7266" t="s">
        <v>23841</v>
      </c>
      <c r="H7266" t="s">
        <v>24189</v>
      </c>
      <c r="I7266" t="s">
        <v>24192</v>
      </c>
    </row>
    <row r="7267" spans="1:9">
      <c r="A7267" t="str">
        <f>"0249444 "</f>
        <v xml:space="preserve">0249444 </v>
      </c>
      <c r="B7267" t="s">
        <v>23841</v>
      </c>
      <c r="C7267" t="s">
        <v>24193</v>
      </c>
      <c r="D7267" t="s">
        <v>24194</v>
      </c>
      <c r="E7267" t="s">
        <v>16</v>
      </c>
      <c r="F7267" t="s">
        <v>24195</v>
      </c>
      <c r="G7267" t="s">
        <v>23841</v>
      </c>
      <c r="H7267" t="s">
        <v>24193</v>
      </c>
      <c r="I7267" t="s">
        <v>24192</v>
      </c>
    </row>
    <row r="7268" spans="1:9">
      <c r="A7268" t="str">
        <f>"0249784 "</f>
        <v xml:space="preserve">0249784 </v>
      </c>
      <c r="B7268" t="s">
        <v>23841</v>
      </c>
      <c r="C7268" t="s">
        <v>24196</v>
      </c>
      <c r="D7268" t="s">
        <v>24197</v>
      </c>
      <c r="E7268">
        <v>1</v>
      </c>
      <c r="F7268" t="s">
        <v>24018</v>
      </c>
      <c r="G7268" t="s">
        <v>23841</v>
      </c>
      <c r="H7268" t="s">
        <v>24196</v>
      </c>
      <c r="I7268" t="s">
        <v>24192</v>
      </c>
    </row>
    <row r="7269" spans="1:9">
      <c r="A7269" t="str">
        <f>"0249440 "</f>
        <v xml:space="preserve">0249440 </v>
      </c>
      <c r="B7269" t="s">
        <v>23841</v>
      </c>
      <c r="C7269" t="s">
        <v>24198</v>
      </c>
      <c r="D7269" t="s">
        <v>24199</v>
      </c>
      <c r="E7269">
        <v>4</v>
      </c>
      <c r="F7269" t="s">
        <v>24200</v>
      </c>
      <c r="G7269" t="s">
        <v>23841</v>
      </c>
      <c r="H7269" t="s">
        <v>24198</v>
      </c>
      <c r="I7269" t="s">
        <v>24201</v>
      </c>
    </row>
    <row r="7270" spans="1:9">
      <c r="A7270" t="str">
        <f>"0249441 "</f>
        <v xml:space="preserve">0249441 </v>
      </c>
      <c r="B7270" t="s">
        <v>23841</v>
      </c>
      <c r="C7270" t="s">
        <v>24202</v>
      </c>
      <c r="D7270" t="s">
        <v>24203</v>
      </c>
      <c r="E7270" t="s">
        <v>16</v>
      </c>
      <c r="F7270" t="s">
        <v>24204</v>
      </c>
      <c r="G7270" t="s">
        <v>23841</v>
      </c>
      <c r="H7270" t="s">
        <v>24202</v>
      </c>
      <c r="I7270" t="s">
        <v>24205</v>
      </c>
    </row>
    <row r="7271" spans="1:9">
      <c r="A7271" t="str">
        <f>"0249446 "</f>
        <v xml:space="preserve">0249446 </v>
      </c>
      <c r="B7271" t="s">
        <v>23841</v>
      </c>
      <c r="C7271" t="s">
        <v>24206</v>
      </c>
      <c r="D7271" t="s">
        <v>24207</v>
      </c>
      <c r="E7271">
        <v>3</v>
      </c>
      <c r="F7271" t="s">
        <v>24208</v>
      </c>
      <c r="G7271" t="s">
        <v>23841</v>
      </c>
      <c r="H7271" t="s">
        <v>24206</v>
      </c>
      <c r="I7271" t="s">
        <v>24209</v>
      </c>
    </row>
    <row r="7272" spans="1:9">
      <c r="A7272" t="str">
        <f>"0249448 "</f>
        <v xml:space="preserve">0249448 </v>
      </c>
      <c r="B7272" t="s">
        <v>23841</v>
      </c>
      <c r="C7272" t="s">
        <v>24210</v>
      </c>
      <c r="D7272" t="s">
        <v>24211</v>
      </c>
      <c r="E7272">
        <v>4</v>
      </c>
      <c r="F7272" t="s">
        <v>24212</v>
      </c>
      <c r="G7272" t="s">
        <v>23841</v>
      </c>
      <c r="H7272" t="s">
        <v>24210</v>
      </c>
      <c r="I7272" t="s">
        <v>24213</v>
      </c>
    </row>
    <row r="7273" spans="1:9">
      <c r="A7273" t="str">
        <f>"0249449 "</f>
        <v xml:space="preserve">0249449 </v>
      </c>
      <c r="B7273" t="s">
        <v>23841</v>
      </c>
      <c r="C7273" t="s">
        <v>24214</v>
      </c>
      <c r="D7273" t="s">
        <v>24215</v>
      </c>
      <c r="E7273" t="s">
        <v>16</v>
      </c>
      <c r="F7273" t="s">
        <v>24216</v>
      </c>
      <c r="G7273" t="s">
        <v>23841</v>
      </c>
      <c r="H7273" t="s">
        <v>24214</v>
      </c>
      <c r="I7273" t="s">
        <v>24213</v>
      </c>
    </row>
    <row r="7274" spans="1:9">
      <c r="A7274" t="str">
        <f>"0249442 "</f>
        <v xml:space="preserve">0249442 </v>
      </c>
      <c r="B7274" t="s">
        <v>23841</v>
      </c>
      <c r="C7274" t="s">
        <v>24217</v>
      </c>
      <c r="D7274" t="s">
        <v>24218</v>
      </c>
      <c r="E7274" t="s">
        <v>16</v>
      </c>
      <c r="F7274" t="s">
        <v>24219</v>
      </c>
      <c r="G7274" t="s">
        <v>23841</v>
      </c>
      <c r="H7274" t="s">
        <v>24217</v>
      </c>
      <c r="I7274" t="s">
        <v>24220</v>
      </c>
    </row>
    <row r="7275" spans="1:9">
      <c r="A7275" t="str">
        <f>"0249781 "</f>
        <v xml:space="preserve">0249781 </v>
      </c>
      <c r="B7275" t="s">
        <v>23841</v>
      </c>
      <c r="C7275" t="s">
        <v>24221</v>
      </c>
      <c r="D7275" t="s">
        <v>24222</v>
      </c>
      <c r="E7275">
        <v>2</v>
      </c>
      <c r="F7275" t="s">
        <v>24223</v>
      </c>
      <c r="G7275" t="s">
        <v>23841</v>
      </c>
      <c r="H7275" t="s">
        <v>24221</v>
      </c>
      <c r="I7275" t="s">
        <v>24220</v>
      </c>
    </row>
    <row r="7276" spans="1:9">
      <c r="A7276" t="str">
        <f>"0249534 "</f>
        <v xml:space="preserve">0249534 </v>
      </c>
      <c r="B7276" t="s">
        <v>23841</v>
      </c>
      <c r="C7276" t="s">
        <v>24224</v>
      </c>
      <c r="D7276" t="s">
        <v>24225</v>
      </c>
      <c r="E7276">
        <v>3</v>
      </c>
      <c r="F7276" t="s">
        <v>24226</v>
      </c>
      <c r="G7276" t="s">
        <v>23841</v>
      </c>
      <c r="H7276" t="s">
        <v>24224</v>
      </c>
      <c r="I7276" t="s">
        <v>24227</v>
      </c>
    </row>
    <row r="7277" spans="1:9">
      <c r="A7277" t="str">
        <f>"0249540 "</f>
        <v xml:space="preserve">0249540 </v>
      </c>
      <c r="B7277" t="s">
        <v>23841</v>
      </c>
      <c r="C7277" t="s">
        <v>24228</v>
      </c>
      <c r="D7277" t="s">
        <v>24229</v>
      </c>
      <c r="E7277" t="s">
        <v>16</v>
      </c>
      <c r="F7277" t="s">
        <v>24230</v>
      </c>
      <c r="G7277" t="s">
        <v>23841</v>
      </c>
      <c r="H7277" t="s">
        <v>24228</v>
      </c>
      <c r="I7277" t="s">
        <v>24231</v>
      </c>
    </row>
    <row r="7278" spans="1:9">
      <c r="A7278" t="str">
        <f>"0249535 "</f>
        <v xml:space="preserve">0249535 </v>
      </c>
      <c r="B7278" t="s">
        <v>23841</v>
      </c>
      <c r="C7278" t="s">
        <v>24232</v>
      </c>
      <c r="D7278" t="s">
        <v>24233</v>
      </c>
      <c r="E7278" t="s">
        <v>16</v>
      </c>
      <c r="F7278" t="s">
        <v>24234</v>
      </c>
      <c r="G7278" t="s">
        <v>23841</v>
      </c>
      <c r="H7278" t="s">
        <v>24232</v>
      </c>
      <c r="I7278" t="s">
        <v>24235</v>
      </c>
    </row>
    <row r="7279" spans="1:9">
      <c r="A7279" t="str">
        <f>"0249536 "</f>
        <v xml:space="preserve">0249536 </v>
      </c>
      <c r="B7279" t="s">
        <v>23841</v>
      </c>
      <c r="C7279" t="s">
        <v>24236</v>
      </c>
      <c r="D7279" t="s">
        <v>24237</v>
      </c>
      <c r="E7279">
        <v>2</v>
      </c>
      <c r="F7279" t="s">
        <v>24238</v>
      </c>
      <c r="G7279" t="s">
        <v>23841</v>
      </c>
      <c r="H7279" t="s">
        <v>24236</v>
      </c>
      <c r="I7279" t="s">
        <v>24235</v>
      </c>
    </row>
    <row r="7280" spans="1:9">
      <c r="A7280" t="str">
        <f>"0249538 "</f>
        <v xml:space="preserve">0249538 </v>
      </c>
      <c r="B7280" t="s">
        <v>23841</v>
      </c>
      <c r="C7280" t="s">
        <v>24239</v>
      </c>
      <c r="D7280" t="s">
        <v>24240</v>
      </c>
      <c r="E7280" t="s">
        <v>16</v>
      </c>
      <c r="F7280" t="s">
        <v>24241</v>
      </c>
      <c r="G7280" t="s">
        <v>23841</v>
      </c>
      <c r="H7280" t="s">
        <v>24239</v>
      </c>
      <c r="I7280" t="s">
        <v>24242</v>
      </c>
    </row>
    <row r="7281" spans="1:9">
      <c r="A7281" t="str">
        <f>"0249539 "</f>
        <v xml:space="preserve">0249539 </v>
      </c>
      <c r="B7281" t="s">
        <v>23841</v>
      </c>
      <c r="C7281" t="s">
        <v>24243</v>
      </c>
      <c r="D7281" t="s">
        <v>24244</v>
      </c>
      <c r="E7281">
        <v>2</v>
      </c>
      <c r="F7281" t="s">
        <v>24245</v>
      </c>
      <c r="G7281" t="s">
        <v>23841</v>
      </c>
      <c r="H7281" t="s">
        <v>24243</v>
      </c>
      <c r="I7281" t="s">
        <v>24246</v>
      </c>
    </row>
    <row r="7282" spans="1:9">
      <c r="A7282" t="str">
        <f>"0249537 "</f>
        <v xml:space="preserve">0249537 </v>
      </c>
      <c r="B7282" t="s">
        <v>23841</v>
      </c>
      <c r="C7282" t="s">
        <v>24247</v>
      </c>
      <c r="D7282" t="s">
        <v>24248</v>
      </c>
      <c r="E7282">
        <v>2</v>
      </c>
      <c r="F7282" t="s">
        <v>24249</v>
      </c>
      <c r="G7282" t="s">
        <v>23841</v>
      </c>
      <c r="H7282" t="s">
        <v>24247</v>
      </c>
      <c r="I7282" t="s">
        <v>24250</v>
      </c>
    </row>
    <row r="7283" spans="1:9">
      <c r="A7283" t="str">
        <f>"0249450 "</f>
        <v xml:space="preserve">0249450 </v>
      </c>
      <c r="B7283" t="s">
        <v>23841</v>
      </c>
      <c r="C7283" t="s">
        <v>24251</v>
      </c>
      <c r="D7283" t="s">
        <v>24252</v>
      </c>
      <c r="E7283">
        <v>2</v>
      </c>
      <c r="F7283" t="s">
        <v>24253</v>
      </c>
      <c r="G7283" t="s">
        <v>23841</v>
      </c>
      <c r="H7283" t="s">
        <v>24251</v>
      </c>
      <c r="I7283" t="s">
        <v>24254</v>
      </c>
    </row>
    <row r="7284" spans="1:9">
      <c r="A7284" t="str">
        <f>"0249541 "</f>
        <v xml:space="preserve">0249541 </v>
      </c>
      <c r="B7284" t="s">
        <v>23841</v>
      </c>
      <c r="C7284" t="s">
        <v>24255</v>
      </c>
      <c r="D7284" t="s">
        <v>24256</v>
      </c>
      <c r="E7284" t="s">
        <v>16</v>
      </c>
      <c r="F7284" t="s">
        <v>24257</v>
      </c>
      <c r="G7284" t="s">
        <v>23841</v>
      </c>
      <c r="H7284" t="s">
        <v>24255</v>
      </c>
      <c r="I7284" t="s">
        <v>24258</v>
      </c>
    </row>
    <row r="7285" spans="1:9">
      <c r="A7285" t="str">
        <f>"0249721 "</f>
        <v xml:space="preserve">0249721 </v>
      </c>
      <c r="B7285" t="s">
        <v>23841</v>
      </c>
      <c r="C7285" t="s">
        <v>24259</v>
      </c>
      <c r="D7285" t="s">
        <v>24260</v>
      </c>
      <c r="E7285" t="s">
        <v>16</v>
      </c>
      <c r="F7285" t="s">
        <v>24261</v>
      </c>
      <c r="G7285" t="s">
        <v>23841</v>
      </c>
      <c r="H7285" t="s">
        <v>24259</v>
      </c>
      <c r="I7285" t="s">
        <v>24262</v>
      </c>
    </row>
    <row r="7286" spans="1:9">
      <c r="A7286" t="str">
        <f>"0249445 "</f>
        <v xml:space="preserve">0249445 </v>
      </c>
      <c r="B7286" t="s">
        <v>23841</v>
      </c>
      <c r="C7286" t="s">
        <v>24263</v>
      </c>
      <c r="D7286" t="s">
        <v>24264</v>
      </c>
      <c r="E7286" t="s">
        <v>16</v>
      </c>
      <c r="F7286" t="s">
        <v>3759</v>
      </c>
      <c r="G7286" t="s">
        <v>23841</v>
      </c>
      <c r="H7286" t="s">
        <v>24263</v>
      </c>
      <c r="I7286" t="s">
        <v>24265</v>
      </c>
    </row>
    <row r="7287" spans="1:9">
      <c r="A7287" t="str">
        <f>"0269410 "</f>
        <v xml:space="preserve">0269410 </v>
      </c>
      <c r="B7287" t="s">
        <v>23841</v>
      </c>
      <c r="C7287" t="s">
        <v>24266</v>
      </c>
      <c r="D7287" t="s">
        <v>24267</v>
      </c>
      <c r="E7287" t="s">
        <v>16</v>
      </c>
      <c r="F7287" t="s">
        <v>24079</v>
      </c>
      <c r="G7287" t="s">
        <v>23841</v>
      </c>
      <c r="H7287" t="s">
        <v>24266</v>
      </c>
      <c r="I7287" t="s">
        <v>24070</v>
      </c>
    </row>
    <row r="7288" spans="1:9">
      <c r="A7288" t="str">
        <f>"0269411 "</f>
        <v xml:space="preserve">0269411 </v>
      </c>
      <c r="B7288" t="s">
        <v>23841</v>
      </c>
      <c r="C7288" t="s">
        <v>24268</v>
      </c>
      <c r="D7288" t="s">
        <v>24269</v>
      </c>
      <c r="E7288" t="s">
        <v>16</v>
      </c>
      <c r="F7288" t="s">
        <v>24270</v>
      </c>
      <c r="G7288" t="s">
        <v>23841</v>
      </c>
      <c r="H7288" t="s">
        <v>24268</v>
      </c>
      <c r="I7288" t="s">
        <v>24092</v>
      </c>
    </row>
    <row r="7289" spans="1:9">
      <c r="A7289" t="str">
        <f>"0127022 "</f>
        <v xml:space="preserve">0127022 </v>
      </c>
      <c r="B7289" t="s">
        <v>24271</v>
      </c>
      <c r="C7289" s="4">
        <v>100338</v>
      </c>
      <c r="D7289" t="s">
        <v>24272</v>
      </c>
      <c r="E7289">
        <v>4</v>
      </c>
      <c r="F7289" t="s">
        <v>24273</v>
      </c>
      <c r="G7289" t="s">
        <v>24271</v>
      </c>
      <c r="H7289" s="4">
        <v>100338</v>
      </c>
      <c r="I7289" t="s">
        <v>13651</v>
      </c>
    </row>
    <row r="7290" spans="1:9">
      <c r="A7290" t="str">
        <f>"0127166 "</f>
        <v xml:space="preserve">0127166 </v>
      </c>
      <c r="B7290" t="s">
        <v>24271</v>
      </c>
      <c r="C7290" s="4">
        <v>105740</v>
      </c>
      <c r="D7290" t="s">
        <v>24274</v>
      </c>
      <c r="E7290">
        <v>2</v>
      </c>
      <c r="F7290" t="s">
        <v>24275</v>
      </c>
      <c r="G7290" t="s">
        <v>24271</v>
      </c>
      <c r="H7290" s="4">
        <v>105740</v>
      </c>
      <c r="I7290" t="s">
        <v>13706</v>
      </c>
    </row>
    <row r="7291" spans="1:9">
      <c r="A7291" t="str">
        <f>"0127185 "</f>
        <v xml:space="preserve">0127185 </v>
      </c>
      <c r="B7291" t="s">
        <v>24271</v>
      </c>
      <c r="C7291" s="4">
        <v>105790</v>
      </c>
      <c r="D7291" t="s">
        <v>24276</v>
      </c>
      <c r="E7291">
        <v>2</v>
      </c>
      <c r="F7291" t="s">
        <v>23689</v>
      </c>
      <c r="G7291" t="s">
        <v>24271</v>
      </c>
      <c r="H7291" s="4">
        <v>105790</v>
      </c>
      <c r="I7291" t="s">
        <v>24277</v>
      </c>
    </row>
    <row r="7292" spans="1:9">
      <c r="A7292" t="str">
        <f>"0127186 "</f>
        <v xml:space="preserve">0127186 </v>
      </c>
      <c r="B7292" t="s">
        <v>24271</v>
      </c>
      <c r="C7292" s="4">
        <v>105791</v>
      </c>
      <c r="D7292" t="s">
        <v>24278</v>
      </c>
      <c r="E7292">
        <v>2</v>
      </c>
      <c r="F7292" t="s">
        <v>9481</v>
      </c>
      <c r="G7292" t="s">
        <v>24271</v>
      </c>
      <c r="H7292" s="4">
        <v>105791</v>
      </c>
      <c r="I7292" t="s">
        <v>24279</v>
      </c>
    </row>
    <row r="7293" spans="1:9">
      <c r="A7293" t="str">
        <f>"0127533 "</f>
        <v xml:space="preserve">0127533 </v>
      </c>
      <c r="B7293" t="s">
        <v>24271</v>
      </c>
      <c r="C7293" s="4">
        <v>115007</v>
      </c>
      <c r="D7293" t="s">
        <v>24280</v>
      </c>
      <c r="E7293">
        <v>2</v>
      </c>
      <c r="F7293" t="s">
        <v>24281</v>
      </c>
      <c r="G7293" t="s">
        <v>24271</v>
      </c>
      <c r="H7293" s="4">
        <v>115007</v>
      </c>
      <c r="I7293" t="s">
        <v>13827</v>
      </c>
    </row>
    <row r="7294" spans="1:9">
      <c r="A7294" t="str">
        <f>"0127535 "</f>
        <v xml:space="preserve">0127535 </v>
      </c>
      <c r="B7294" t="s">
        <v>24271</v>
      </c>
      <c r="C7294" s="4">
        <v>115069</v>
      </c>
      <c r="D7294" t="s">
        <v>24282</v>
      </c>
      <c r="E7294">
        <v>2</v>
      </c>
      <c r="F7294" t="s">
        <v>24283</v>
      </c>
      <c r="G7294" t="s">
        <v>24271</v>
      </c>
      <c r="H7294" s="4">
        <v>115069</v>
      </c>
      <c r="I7294" t="s">
        <v>12570</v>
      </c>
    </row>
    <row r="7295" spans="1:9">
      <c r="A7295" t="str">
        <f>"0127574 "</f>
        <v xml:space="preserve">0127574 </v>
      </c>
      <c r="B7295" t="s">
        <v>24271</v>
      </c>
      <c r="C7295" s="4">
        <v>115904</v>
      </c>
      <c r="D7295" t="s">
        <v>24284</v>
      </c>
      <c r="E7295">
        <v>4</v>
      </c>
      <c r="F7295" t="s">
        <v>24285</v>
      </c>
      <c r="G7295" t="s">
        <v>24271</v>
      </c>
      <c r="H7295" s="4">
        <v>115904</v>
      </c>
      <c r="I7295" t="s">
        <v>12800</v>
      </c>
    </row>
    <row r="7296" spans="1:9">
      <c r="A7296" t="str">
        <f>"0127575 "</f>
        <v xml:space="preserve">0127575 </v>
      </c>
      <c r="B7296" t="s">
        <v>24271</v>
      </c>
      <c r="C7296" s="4">
        <v>115905</v>
      </c>
      <c r="D7296" t="s">
        <v>24286</v>
      </c>
      <c r="E7296">
        <v>2</v>
      </c>
      <c r="F7296" t="s">
        <v>24287</v>
      </c>
      <c r="G7296" t="s">
        <v>24271</v>
      </c>
      <c r="H7296" s="4">
        <v>115905</v>
      </c>
      <c r="I7296" t="s">
        <v>24288</v>
      </c>
    </row>
    <row r="7297" spans="1:9">
      <c r="A7297" t="str">
        <f>"0127576 "</f>
        <v xml:space="preserve">0127576 </v>
      </c>
      <c r="B7297" t="s">
        <v>24271</v>
      </c>
      <c r="C7297" s="4">
        <v>115906</v>
      </c>
      <c r="D7297" t="s">
        <v>24289</v>
      </c>
      <c r="E7297">
        <v>4</v>
      </c>
      <c r="F7297" t="s">
        <v>24290</v>
      </c>
      <c r="G7297" t="s">
        <v>24271</v>
      </c>
      <c r="H7297" s="4">
        <v>115906</v>
      </c>
      <c r="I7297" t="s">
        <v>12804</v>
      </c>
    </row>
    <row r="7298" spans="1:9">
      <c r="A7298" t="str">
        <f>"0127577 "</f>
        <v xml:space="preserve">0127577 </v>
      </c>
      <c r="B7298" t="s">
        <v>24271</v>
      </c>
      <c r="C7298" s="4">
        <v>115907</v>
      </c>
      <c r="D7298" t="s">
        <v>24291</v>
      </c>
      <c r="E7298">
        <v>2</v>
      </c>
      <c r="F7298" t="s">
        <v>24292</v>
      </c>
      <c r="G7298" t="s">
        <v>24271</v>
      </c>
      <c r="H7298" s="4">
        <v>115907</v>
      </c>
      <c r="I7298" t="s">
        <v>24293</v>
      </c>
    </row>
    <row r="7299" spans="1:9">
      <c r="A7299" t="str">
        <f>"0128167 "</f>
        <v xml:space="preserve">0128167 </v>
      </c>
      <c r="B7299" t="s">
        <v>24271</v>
      </c>
      <c r="C7299" s="4">
        <v>200654</v>
      </c>
      <c r="D7299" t="s">
        <v>24294</v>
      </c>
      <c r="E7299">
        <v>2</v>
      </c>
      <c r="F7299" t="s">
        <v>24295</v>
      </c>
      <c r="G7299" t="s">
        <v>24271</v>
      </c>
      <c r="H7299" s="4">
        <v>200654</v>
      </c>
      <c r="I7299" t="s">
        <v>13666</v>
      </c>
    </row>
    <row r="7300" spans="1:9">
      <c r="A7300" t="str">
        <f>"0128368 "</f>
        <v xml:space="preserve">0128368 </v>
      </c>
      <c r="B7300" t="s">
        <v>24271</v>
      </c>
      <c r="C7300" s="4">
        <v>230574</v>
      </c>
      <c r="D7300" t="s">
        <v>24296</v>
      </c>
      <c r="E7300">
        <v>2</v>
      </c>
      <c r="F7300" t="s">
        <v>24297</v>
      </c>
      <c r="G7300" t="s">
        <v>24271</v>
      </c>
      <c r="H7300" s="4">
        <v>230574</v>
      </c>
      <c r="I7300" t="s">
        <v>24298</v>
      </c>
    </row>
    <row r="7301" spans="1:9">
      <c r="A7301" t="str">
        <f>"0128396 "</f>
        <v xml:space="preserve">0128396 </v>
      </c>
      <c r="B7301" t="s">
        <v>24271</v>
      </c>
      <c r="C7301" s="4">
        <v>230777</v>
      </c>
      <c r="D7301" t="s">
        <v>24299</v>
      </c>
      <c r="E7301">
        <v>2</v>
      </c>
      <c r="F7301" t="s">
        <v>24300</v>
      </c>
      <c r="G7301" t="s">
        <v>24271</v>
      </c>
      <c r="H7301" s="4">
        <v>230777</v>
      </c>
      <c r="I7301" t="s">
        <v>24301</v>
      </c>
    </row>
    <row r="7302" spans="1:9">
      <c r="A7302" t="str">
        <f>"0128409 "</f>
        <v xml:space="preserve">0128409 </v>
      </c>
      <c r="B7302" t="s">
        <v>24271</v>
      </c>
      <c r="C7302" s="4">
        <v>230965</v>
      </c>
      <c r="D7302" t="s">
        <v>24302</v>
      </c>
      <c r="E7302">
        <v>2</v>
      </c>
      <c r="F7302" t="s">
        <v>24303</v>
      </c>
      <c r="G7302" t="s">
        <v>24271</v>
      </c>
      <c r="H7302" s="4">
        <v>230965</v>
      </c>
      <c r="I7302" t="s">
        <v>24304</v>
      </c>
    </row>
    <row r="7303" spans="1:9">
      <c r="A7303" t="str">
        <f>"0128714 "</f>
        <v xml:space="preserve">0128714 </v>
      </c>
      <c r="B7303" t="s">
        <v>24271</v>
      </c>
      <c r="C7303" s="4">
        <v>290378</v>
      </c>
      <c r="D7303" t="s">
        <v>24305</v>
      </c>
      <c r="E7303">
        <v>2</v>
      </c>
      <c r="F7303" t="s">
        <v>21169</v>
      </c>
      <c r="G7303" t="s">
        <v>24271</v>
      </c>
      <c r="H7303" s="4">
        <v>290378</v>
      </c>
      <c r="I7303" t="s">
        <v>24306</v>
      </c>
    </row>
    <row r="7304" spans="1:9">
      <c r="A7304" t="str">
        <f>"0128918 "</f>
        <v xml:space="preserve">0128918 </v>
      </c>
      <c r="B7304" t="s">
        <v>24271</v>
      </c>
      <c r="C7304" s="4">
        <v>300064</v>
      </c>
      <c r="D7304" t="s">
        <v>24307</v>
      </c>
      <c r="E7304">
        <v>2</v>
      </c>
      <c r="F7304" t="s">
        <v>24308</v>
      </c>
      <c r="G7304" t="s">
        <v>24271</v>
      </c>
      <c r="H7304" s="4">
        <v>300064</v>
      </c>
      <c r="I7304" t="s">
        <v>13743</v>
      </c>
    </row>
    <row r="7305" spans="1:9">
      <c r="A7305" t="str">
        <f>"0128945 "</f>
        <v xml:space="preserve">0128945 </v>
      </c>
      <c r="B7305" t="s">
        <v>24271</v>
      </c>
      <c r="C7305" s="4">
        <v>310016</v>
      </c>
      <c r="D7305" t="s">
        <v>24309</v>
      </c>
      <c r="E7305">
        <v>2</v>
      </c>
      <c r="F7305" t="s">
        <v>24310</v>
      </c>
      <c r="G7305" t="s">
        <v>24271</v>
      </c>
      <c r="H7305" s="4">
        <v>310016</v>
      </c>
      <c r="I7305" t="s">
        <v>12693</v>
      </c>
    </row>
    <row r="7306" spans="1:9">
      <c r="A7306" t="str">
        <f>"0129054 "</f>
        <v xml:space="preserve">0129054 </v>
      </c>
      <c r="B7306" t="s">
        <v>24271</v>
      </c>
      <c r="C7306" s="4">
        <v>310764</v>
      </c>
      <c r="D7306" t="s">
        <v>24311</v>
      </c>
      <c r="E7306">
        <v>1</v>
      </c>
      <c r="F7306" t="s">
        <v>24312</v>
      </c>
      <c r="G7306" t="s">
        <v>24271</v>
      </c>
      <c r="H7306" s="4">
        <v>310764</v>
      </c>
      <c r="I7306" t="s">
        <v>24313</v>
      </c>
    </row>
    <row r="7307" spans="1:9">
      <c r="A7307" t="str">
        <f>"0129055 "</f>
        <v xml:space="preserve">0129055 </v>
      </c>
      <c r="B7307" t="s">
        <v>24271</v>
      </c>
      <c r="C7307" s="4">
        <v>310765</v>
      </c>
      <c r="D7307" t="s">
        <v>24314</v>
      </c>
      <c r="E7307">
        <v>1</v>
      </c>
      <c r="F7307" t="s">
        <v>24312</v>
      </c>
      <c r="G7307" t="s">
        <v>24271</v>
      </c>
      <c r="H7307" s="4">
        <v>310765</v>
      </c>
      <c r="I7307" t="s">
        <v>24315</v>
      </c>
    </row>
    <row r="7308" spans="1:9">
      <c r="A7308" t="str">
        <f>"0129169 "</f>
        <v xml:space="preserve">0129169 </v>
      </c>
      <c r="B7308" t="s">
        <v>24271</v>
      </c>
      <c r="C7308" s="4">
        <v>311346</v>
      </c>
      <c r="D7308" t="s">
        <v>24316</v>
      </c>
      <c r="E7308">
        <v>2</v>
      </c>
      <c r="F7308" t="s">
        <v>24317</v>
      </c>
      <c r="G7308" t="s">
        <v>24271</v>
      </c>
      <c r="H7308" s="4">
        <v>311346</v>
      </c>
      <c r="I7308" t="s">
        <v>24318</v>
      </c>
    </row>
    <row r="7309" spans="1:9">
      <c r="A7309" t="str">
        <f>"0129272 "</f>
        <v xml:space="preserve">0129272 </v>
      </c>
      <c r="B7309" t="s">
        <v>24271</v>
      </c>
      <c r="C7309" s="4">
        <v>311646</v>
      </c>
      <c r="D7309" t="s">
        <v>24319</v>
      </c>
      <c r="E7309">
        <v>2</v>
      </c>
      <c r="F7309" t="s">
        <v>24320</v>
      </c>
      <c r="G7309" t="s">
        <v>24271</v>
      </c>
      <c r="H7309" s="4">
        <v>311646</v>
      </c>
      <c r="I7309" t="s">
        <v>24321</v>
      </c>
    </row>
    <row r="7310" spans="1:9">
      <c r="A7310" t="str">
        <f>"0129402 "</f>
        <v xml:space="preserve">0129402 </v>
      </c>
      <c r="B7310" t="s">
        <v>24271</v>
      </c>
      <c r="C7310" s="4">
        <v>311929</v>
      </c>
      <c r="D7310" t="s">
        <v>24322</v>
      </c>
      <c r="E7310">
        <v>2</v>
      </c>
      <c r="F7310" t="s">
        <v>24323</v>
      </c>
      <c r="G7310" t="s">
        <v>24271</v>
      </c>
      <c r="H7310" s="4">
        <v>311929</v>
      </c>
      <c r="I7310" t="s">
        <v>24324</v>
      </c>
    </row>
    <row r="7311" spans="1:9">
      <c r="A7311" t="str">
        <f>"0129403 "</f>
        <v xml:space="preserve">0129403 </v>
      </c>
      <c r="B7311" t="s">
        <v>24271</v>
      </c>
      <c r="C7311" s="4">
        <v>311930</v>
      </c>
      <c r="D7311" t="s">
        <v>24325</v>
      </c>
      <c r="E7311">
        <v>2</v>
      </c>
      <c r="F7311" t="s">
        <v>24326</v>
      </c>
      <c r="G7311" t="s">
        <v>24271</v>
      </c>
      <c r="H7311" s="4">
        <v>311930</v>
      </c>
      <c r="I7311" t="s">
        <v>24327</v>
      </c>
    </row>
    <row r="7312" spans="1:9">
      <c r="A7312" t="str">
        <f>"0129405 "</f>
        <v xml:space="preserve">0129405 </v>
      </c>
      <c r="B7312" t="s">
        <v>24271</v>
      </c>
      <c r="C7312" s="4">
        <v>311932</v>
      </c>
      <c r="D7312" t="s">
        <v>24328</v>
      </c>
      <c r="E7312">
        <v>2</v>
      </c>
      <c r="F7312" t="s">
        <v>24329</v>
      </c>
      <c r="G7312" t="s">
        <v>24271</v>
      </c>
      <c r="H7312" s="4">
        <v>311932</v>
      </c>
      <c r="I7312" t="s">
        <v>24330</v>
      </c>
    </row>
    <row r="7313" spans="1:9">
      <c r="A7313" t="str">
        <f>"0129426 "</f>
        <v xml:space="preserve">0129426 </v>
      </c>
      <c r="B7313" t="s">
        <v>24271</v>
      </c>
      <c r="C7313" s="4">
        <v>311995</v>
      </c>
      <c r="D7313" t="s">
        <v>24331</v>
      </c>
      <c r="E7313">
        <v>2</v>
      </c>
      <c r="F7313" t="s">
        <v>24332</v>
      </c>
      <c r="G7313" t="s">
        <v>24271</v>
      </c>
      <c r="H7313" s="4">
        <v>311995</v>
      </c>
      <c r="I7313" t="s">
        <v>24333</v>
      </c>
    </row>
    <row r="7314" spans="1:9">
      <c r="A7314" t="str">
        <f>"0129562 "</f>
        <v xml:space="preserve">0129562 </v>
      </c>
      <c r="B7314" t="s">
        <v>24271</v>
      </c>
      <c r="C7314" s="4">
        <v>312267</v>
      </c>
      <c r="D7314" t="s">
        <v>24334</v>
      </c>
      <c r="E7314">
        <v>2</v>
      </c>
      <c r="F7314" t="s">
        <v>24335</v>
      </c>
      <c r="G7314" t="s">
        <v>24271</v>
      </c>
      <c r="H7314" s="4">
        <v>312267</v>
      </c>
      <c r="I7314" t="s">
        <v>12751</v>
      </c>
    </row>
    <row r="7315" spans="1:9">
      <c r="A7315" t="str">
        <f>"0129578 "</f>
        <v xml:space="preserve">0129578 </v>
      </c>
      <c r="B7315" t="s">
        <v>24271</v>
      </c>
      <c r="C7315" s="4">
        <v>312294</v>
      </c>
      <c r="D7315" t="s">
        <v>24336</v>
      </c>
      <c r="E7315">
        <v>2</v>
      </c>
      <c r="F7315" t="s">
        <v>24337</v>
      </c>
      <c r="G7315" t="s">
        <v>24271</v>
      </c>
      <c r="H7315" s="4">
        <v>312294</v>
      </c>
      <c r="I7315" t="s">
        <v>12774</v>
      </c>
    </row>
    <row r="7316" spans="1:9">
      <c r="A7316" t="str">
        <f>"0129954 "</f>
        <v xml:space="preserve">0129954 </v>
      </c>
      <c r="B7316" t="s">
        <v>24271</v>
      </c>
      <c r="C7316" s="4">
        <v>313031</v>
      </c>
      <c r="D7316" t="s">
        <v>24338</v>
      </c>
      <c r="E7316">
        <v>2</v>
      </c>
      <c r="F7316" t="s">
        <v>24339</v>
      </c>
      <c r="G7316" t="s">
        <v>24271</v>
      </c>
      <c r="H7316" s="4">
        <v>313031</v>
      </c>
      <c r="I7316" t="s">
        <v>13485</v>
      </c>
    </row>
    <row r="7317" spans="1:9">
      <c r="A7317" t="str">
        <f>"0130042 "</f>
        <v xml:space="preserve">0130042 </v>
      </c>
      <c r="B7317" t="s">
        <v>24271</v>
      </c>
      <c r="C7317" s="4">
        <v>313287</v>
      </c>
      <c r="D7317" t="s">
        <v>24340</v>
      </c>
      <c r="E7317">
        <v>1</v>
      </c>
      <c r="F7317" t="s">
        <v>24341</v>
      </c>
      <c r="G7317" t="s">
        <v>24271</v>
      </c>
      <c r="H7317" s="4">
        <v>313287</v>
      </c>
      <c r="I7317" t="s">
        <v>24342</v>
      </c>
    </row>
    <row r="7318" spans="1:9">
      <c r="A7318" t="str">
        <f>"0130050 "</f>
        <v xml:space="preserve">0130050 </v>
      </c>
      <c r="B7318" t="s">
        <v>24271</v>
      </c>
      <c r="C7318" s="4">
        <v>313320</v>
      </c>
      <c r="D7318" t="s">
        <v>24343</v>
      </c>
      <c r="E7318">
        <v>2</v>
      </c>
      <c r="F7318" t="s">
        <v>24344</v>
      </c>
      <c r="G7318" t="s">
        <v>24271</v>
      </c>
      <c r="H7318" s="4">
        <v>313320</v>
      </c>
      <c r="I7318" t="s">
        <v>13492</v>
      </c>
    </row>
    <row r="7319" spans="1:9">
      <c r="A7319" t="str">
        <f>"0130053 "</f>
        <v xml:space="preserve">0130053 </v>
      </c>
      <c r="B7319" t="s">
        <v>24271</v>
      </c>
      <c r="C7319" s="4">
        <v>313327</v>
      </c>
      <c r="D7319" t="s">
        <v>24345</v>
      </c>
      <c r="E7319">
        <v>2</v>
      </c>
      <c r="F7319" t="s">
        <v>24346</v>
      </c>
      <c r="G7319" t="s">
        <v>24271</v>
      </c>
      <c r="H7319" s="4">
        <v>313327</v>
      </c>
      <c r="I7319" t="s">
        <v>24347</v>
      </c>
    </row>
    <row r="7320" spans="1:9">
      <c r="A7320" t="str">
        <f>"0130080 "</f>
        <v xml:space="preserve">0130080 </v>
      </c>
      <c r="B7320" t="s">
        <v>24271</v>
      </c>
      <c r="C7320" s="4">
        <v>313378</v>
      </c>
      <c r="D7320" t="s">
        <v>24348</v>
      </c>
      <c r="E7320">
        <v>2</v>
      </c>
      <c r="F7320" t="s">
        <v>24349</v>
      </c>
      <c r="G7320" t="s">
        <v>24271</v>
      </c>
      <c r="H7320" s="4">
        <v>313378</v>
      </c>
    </row>
    <row r="7321" spans="1:9">
      <c r="A7321" t="str">
        <f>"0130084 "</f>
        <v xml:space="preserve">0130084 </v>
      </c>
      <c r="B7321" t="s">
        <v>24271</v>
      </c>
      <c r="C7321" s="4">
        <v>313387</v>
      </c>
      <c r="D7321" t="s">
        <v>24350</v>
      </c>
      <c r="E7321">
        <v>2</v>
      </c>
      <c r="F7321" t="s">
        <v>24351</v>
      </c>
      <c r="G7321" t="s">
        <v>24271</v>
      </c>
      <c r="H7321" s="4">
        <v>313387</v>
      </c>
      <c r="I7321" t="s">
        <v>13438</v>
      </c>
    </row>
    <row r="7322" spans="1:9">
      <c r="A7322" t="str">
        <f>"0130130 "</f>
        <v xml:space="preserve">0130130 </v>
      </c>
      <c r="B7322" t="s">
        <v>24271</v>
      </c>
      <c r="C7322" s="4">
        <v>313472</v>
      </c>
      <c r="D7322" t="s">
        <v>24352</v>
      </c>
      <c r="E7322">
        <v>2</v>
      </c>
      <c r="F7322" t="s">
        <v>24353</v>
      </c>
      <c r="G7322" t="s">
        <v>24271</v>
      </c>
      <c r="H7322" s="4">
        <v>313472</v>
      </c>
      <c r="I7322" t="s">
        <v>12796</v>
      </c>
    </row>
    <row r="7323" spans="1:9">
      <c r="A7323" t="str">
        <f>"0130133 "</f>
        <v xml:space="preserve">0130133 </v>
      </c>
      <c r="B7323" t="s">
        <v>24271</v>
      </c>
      <c r="C7323" s="4">
        <v>313482</v>
      </c>
      <c r="D7323" t="s">
        <v>24354</v>
      </c>
      <c r="E7323">
        <v>2</v>
      </c>
      <c r="F7323" t="s">
        <v>24355</v>
      </c>
      <c r="G7323" t="s">
        <v>24271</v>
      </c>
      <c r="H7323" s="4">
        <v>313482</v>
      </c>
      <c r="I7323" t="s">
        <v>24356</v>
      </c>
    </row>
    <row r="7324" spans="1:9">
      <c r="A7324" t="str">
        <f>"0130143 "</f>
        <v xml:space="preserve">0130143 </v>
      </c>
      <c r="B7324" t="s">
        <v>24271</v>
      </c>
      <c r="C7324" s="4">
        <v>313500</v>
      </c>
      <c r="D7324" t="s">
        <v>24357</v>
      </c>
      <c r="E7324">
        <v>1</v>
      </c>
      <c r="F7324" t="s">
        <v>24358</v>
      </c>
      <c r="G7324" t="s">
        <v>24271</v>
      </c>
      <c r="H7324" s="4">
        <v>313500</v>
      </c>
      <c r="I7324" t="s">
        <v>24359</v>
      </c>
    </row>
    <row r="7325" spans="1:9">
      <c r="A7325" t="str">
        <f>"0130144 "</f>
        <v xml:space="preserve">0130144 </v>
      </c>
      <c r="B7325" t="s">
        <v>24271</v>
      </c>
      <c r="C7325" s="4">
        <v>313501</v>
      </c>
      <c r="D7325" t="s">
        <v>24360</v>
      </c>
      <c r="E7325">
        <v>1</v>
      </c>
      <c r="F7325" t="s">
        <v>24358</v>
      </c>
      <c r="G7325" t="s">
        <v>24271</v>
      </c>
      <c r="H7325" s="4">
        <v>313501</v>
      </c>
      <c r="I7325" t="s">
        <v>24361</v>
      </c>
    </row>
    <row r="7326" spans="1:9">
      <c r="A7326" t="str">
        <f>"0130156 "</f>
        <v xml:space="preserve">0130156 </v>
      </c>
      <c r="B7326" t="s">
        <v>24271</v>
      </c>
      <c r="C7326" s="4">
        <v>313519</v>
      </c>
      <c r="D7326" t="s">
        <v>24362</v>
      </c>
      <c r="E7326">
        <v>2</v>
      </c>
      <c r="F7326" t="s">
        <v>20401</v>
      </c>
      <c r="G7326" t="s">
        <v>24271</v>
      </c>
      <c r="H7326" s="4">
        <v>313519</v>
      </c>
      <c r="I7326" t="s">
        <v>13561</v>
      </c>
    </row>
    <row r="7327" spans="1:9">
      <c r="A7327" t="str">
        <f>"0130165 "</f>
        <v xml:space="preserve">0130165 </v>
      </c>
      <c r="B7327" t="s">
        <v>24271</v>
      </c>
      <c r="C7327" s="4">
        <v>313529</v>
      </c>
      <c r="D7327" t="s">
        <v>24363</v>
      </c>
      <c r="E7327">
        <v>1</v>
      </c>
      <c r="F7327" t="s">
        <v>24364</v>
      </c>
      <c r="G7327" t="s">
        <v>24271</v>
      </c>
      <c r="H7327" s="4">
        <v>313529</v>
      </c>
      <c r="I7327" t="s">
        <v>12486</v>
      </c>
    </row>
    <row r="7328" spans="1:9">
      <c r="A7328" t="str">
        <f>"0130166 "</f>
        <v xml:space="preserve">0130166 </v>
      </c>
      <c r="B7328" t="s">
        <v>24271</v>
      </c>
      <c r="C7328" s="4">
        <v>313530</v>
      </c>
      <c r="D7328" t="s">
        <v>24365</v>
      </c>
      <c r="E7328">
        <v>1</v>
      </c>
      <c r="F7328" t="s">
        <v>24364</v>
      </c>
      <c r="G7328" t="s">
        <v>24271</v>
      </c>
      <c r="H7328" s="4">
        <v>313530</v>
      </c>
      <c r="I7328" t="s">
        <v>12483</v>
      </c>
    </row>
    <row r="7329" spans="1:9">
      <c r="A7329" t="str">
        <f>"0130167 "</f>
        <v xml:space="preserve">0130167 </v>
      </c>
      <c r="B7329" t="s">
        <v>24271</v>
      </c>
      <c r="C7329" s="4">
        <v>313531</v>
      </c>
      <c r="D7329" t="s">
        <v>24366</v>
      </c>
      <c r="E7329">
        <v>1</v>
      </c>
      <c r="F7329" t="s">
        <v>24367</v>
      </c>
      <c r="G7329" t="s">
        <v>24271</v>
      </c>
      <c r="H7329" s="4">
        <v>313531</v>
      </c>
      <c r="I7329" t="s">
        <v>12689</v>
      </c>
    </row>
    <row r="7330" spans="1:9">
      <c r="A7330" t="str">
        <f>"0130168 "</f>
        <v xml:space="preserve">0130168 </v>
      </c>
      <c r="B7330" t="s">
        <v>24271</v>
      </c>
      <c r="C7330" s="4">
        <v>313532</v>
      </c>
      <c r="D7330" t="s">
        <v>24368</v>
      </c>
      <c r="E7330">
        <v>1</v>
      </c>
      <c r="F7330" t="s">
        <v>24367</v>
      </c>
      <c r="G7330" t="s">
        <v>24271</v>
      </c>
      <c r="H7330" s="4">
        <v>313532</v>
      </c>
      <c r="I7330" t="s">
        <v>12686</v>
      </c>
    </row>
    <row r="7331" spans="1:9">
      <c r="A7331" t="str">
        <f>"0130257 "</f>
        <v xml:space="preserve">0130257 </v>
      </c>
      <c r="B7331" t="s">
        <v>24271</v>
      </c>
      <c r="C7331" s="4">
        <v>313748</v>
      </c>
      <c r="D7331" t="s">
        <v>24369</v>
      </c>
      <c r="E7331">
        <v>1</v>
      </c>
      <c r="F7331" t="s">
        <v>24370</v>
      </c>
      <c r="G7331" t="s">
        <v>24271</v>
      </c>
      <c r="H7331" s="4">
        <v>313748</v>
      </c>
      <c r="I7331" t="s">
        <v>24371</v>
      </c>
    </row>
    <row r="7332" spans="1:9">
      <c r="A7332" t="str">
        <f>"0130258 "</f>
        <v xml:space="preserve">0130258 </v>
      </c>
      <c r="B7332" t="s">
        <v>24271</v>
      </c>
      <c r="C7332" s="4">
        <v>313749</v>
      </c>
      <c r="D7332" t="s">
        <v>24372</v>
      </c>
      <c r="E7332">
        <v>1</v>
      </c>
      <c r="F7332" t="s">
        <v>24370</v>
      </c>
      <c r="G7332" t="s">
        <v>24271</v>
      </c>
      <c r="H7332" s="4">
        <v>313749</v>
      </c>
      <c r="I7332" t="s">
        <v>24373</v>
      </c>
    </row>
    <row r="7333" spans="1:9">
      <c r="A7333" t="str">
        <f>"0130391 "</f>
        <v xml:space="preserve">0130391 </v>
      </c>
      <c r="B7333" t="s">
        <v>24271</v>
      </c>
      <c r="C7333" s="4">
        <v>314009</v>
      </c>
      <c r="D7333" t="s">
        <v>24374</v>
      </c>
      <c r="E7333">
        <v>1</v>
      </c>
      <c r="F7333" t="s">
        <v>24375</v>
      </c>
      <c r="G7333" t="s">
        <v>24271</v>
      </c>
      <c r="H7333" s="4">
        <v>314009</v>
      </c>
    </row>
    <row r="7334" spans="1:9">
      <c r="A7334" t="str">
        <f>"0130393 "</f>
        <v xml:space="preserve">0130393 </v>
      </c>
      <c r="B7334" t="s">
        <v>24271</v>
      </c>
      <c r="C7334" s="4">
        <v>314011</v>
      </c>
      <c r="D7334" t="s">
        <v>24376</v>
      </c>
      <c r="E7334">
        <v>2</v>
      </c>
      <c r="F7334" t="s">
        <v>24377</v>
      </c>
      <c r="G7334" t="s">
        <v>24271</v>
      </c>
      <c r="H7334" s="4">
        <v>314011</v>
      </c>
      <c r="I7334" t="s">
        <v>24378</v>
      </c>
    </row>
    <row r="7335" spans="1:9">
      <c r="A7335" t="str">
        <f>"0130402 "</f>
        <v xml:space="preserve">0130402 </v>
      </c>
      <c r="B7335" t="s">
        <v>24271</v>
      </c>
      <c r="C7335" s="4">
        <v>314032</v>
      </c>
      <c r="D7335" t="s">
        <v>24379</v>
      </c>
      <c r="E7335">
        <v>1</v>
      </c>
      <c r="F7335" t="s">
        <v>24380</v>
      </c>
      <c r="G7335" t="s">
        <v>24271</v>
      </c>
      <c r="H7335" s="4">
        <v>314032</v>
      </c>
      <c r="I7335" t="s">
        <v>24381</v>
      </c>
    </row>
    <row r="7336" spans="1:9">
      <c r="A7336" t="str">
        <f>"0130403 "</f>
        <v xml:space="preserve">0130403 </v>
      </c>
      <c r="B7336" t="s">
        <v>24271</v>
      </c>
      <c r="C7336" s="4">
        <v>314033</v>
      </c>
      <c r="D7336" t="s">
        <v>24382</v>
      </c>
      <c r="E7336">
        <v>1</v>
      </c>
      <c r="F7336" t="s">
        <v>24380</v>
      </c>
      <c r="G7336" t="s">
        <v>24271</v>
      </c>
      <c r="H7336" s="4">
        <v>314033</v>
      </c>
      <c r="I7336" t="s">
        <v>24383</v>
      </c>
    </row>
    <row r="7337" spans="1:9">
      <c r="A7337" t="str">
        <f>"0130407 "</f>
        <v xml:space="preserve">0130407 </v>
      </c>
      <c r="B7337" t="s">
        <v>24271</v>
      </c>
      <c r="C7337" s="4">
        <v>314039</v>
      </c>
      <c r="D7337" t="s">
        <v>24384</v>
      </c>
      <c r="E7337">
        <v>2</v>
      </c>
      <c r="F7337" t="s">
        <v>24385</v>
      </c>
      <c r="G7337" t="s">
        <v>24271</v>
      </c>
      <c r="H7337" s="4">
        <v>314039</v>
      </c>
      <c r="I7337" t="s">
        <v>13600</v>
      </c>
    </row>
    <row r="7338" spans="1:9">
      <c r="A7338" t="str">
        <f>"0130451 "</f>
        <v xml:space="preserve">0130451 </v>
      </c>
      <c r="B7338" t="s">
        <v>24271</v>
      </c>
      <c r="C7338" s="4">
        <v>314455</v>
      </c>
      <c r="D7338" t="s">
        <v>24386</v>
      </c>
      <c r="E7338">
        <v>1</v>
      </c>
      <c r="F7338" t="s">
        <v>24387</v>
      </c>
      <c r="G7338" t="s">
        <v>24271</v>
      </c>
      <c r="H7338" s="4">
        <v>314455</v>
      </c>
      <c r="I7338" t="s">
        <v>24388</v>
      </c>
    </row>
    <row r="7339" spans="1:9">
      <c r="A7339" t="str">
        <f>"0130452 "</f>
        <v xml:space="preserve">0130452 </v>
      </c>
      <c r="B7339" t="s">
        <v>24271</v>
      </c>
      <c r="C7339" s="4">
        <v>314456</v>
      </c>
      <c r="D7339" t="s">
        <v>24389</v>
      </c>
      <c r="E7339">
        <v>1</v>
      </c>
      <c r="F7339" t="s">
        <v>24387</v>
      </c>
      <c r="G7339" t="s">
        <v>24271</v>
      </c>
      <c r="H7339" s="4">
        <v>314456</v>
      </c>
      <c r="I7339" t="s">
        <v>24390</v>
      </c>
    </row>
    <row r="7340" spans="1:9">
      <c r="A7340" t="str">
        <f>"0130469 "</f>
        <v xml:space="preserve">0130469 </v>
      </c>
      <c r="B7340" t="s">
        <v>24271</v>
      </c>
      <c r="C7340" s="4">
        <v>314608</v>
      </c>
      <c r="D7340" t="s">
        <v>24391</v>
      </c>
      <c r="E7340">
        <v>2</v>
      </c>
      <c r="F7340" t="s">
        <v>24392</v>
      </c>
      <c r="G7340" t="s">
        <v>24271</v>
      </c>
      <c r="H7340" s="4">
        <v>314608</v>
      </c>
      <c r="I7340" t="s">
        <v>24393</v>
      </c>
    </row>
    <row r="7341" spans="1:9">
      <c r="A7341" t="str">
        <f>"0130525 "</f>
        <v xml:space="preserve">0130525 </v>
      </c>
      <c r="B7341" t="s">
        <v>24271</v>
      </c>
      <c r="C7341" s="4">
        <v>314740</v>
      </c>
      <c r="D7341" t="s">
        <v>24394</v>
      </c>
      <c r="E7341">
        <v>2</v>
      </c>
      <c r="F7341" t="s">
        <v>24395</v>
      </c>
      <c r="G7341" t="s">
        <v>24271</v>
      </c>
      <c r="H7341" s="4">
        <v>314740</v>
      </c>
      <c r="I7341" t="s">
        <v>24396</v>
      </c>
    </row>
    <row r="7342" spans="1:9">
      <c r="A7342" t="str">
        <f>"0130526 "</f>
        <v xml:space="preserve">0130526 </v>
      </c>
      <c r="B7342" t="s">
        <v>24271</v>
      </c>
      <c r="C7342" s="4">
        <v>314741</v>
      </c>
      <c r="D7342" t="s">
        <v>24397</v>
      </c>
      <c r="E7342">
        <v>2</v>
      </c>
      <c r="F7342" t="s">
        <v>24395</v>
      </c>
      <c r="G7342" t="s">
        <v>24271</v>
      </c>
      <c r="H7342" s="4">
        <v>314741</v>
      </c>
      <c r="I7342" t="s">
        <v>24398</v>
      </c>
    </row>
    <row r="7343" spans="1:9">
      <c r="A7343" t="str">
        <f>"0130538 "</f>
        <v xml:space="preserve">0130538 </v>
      </c>
      <c r="B7343" t="s">
        <v>24271</v>
      </c>
      <c r="C7343" s="4">
        <v>314766</v>
      </c>
      <c r="D7343" t="s">
        <v>24399</v>
      </c>
      <c r="E7343">
        <v>1</v>
      </c>
      <c r="F7343" t="s">
        <v>24400</v>
      </c>
      <c r="G7343" t="s">
        <v>24271</v>
      </c>
      <c r="H7343" s="4">
        <v>314766</v>
      </c>
      <c r="I7343" t="s">
        <v>12465</v>
      </c>
    </row>
    <row r="7344" spans="1:9">
      <c r="A7344" t="str">
        <f>"0130539 "</f>
        <v xml:space="preserve">0130539 </v>
      </c>
      <c r="B7344" t="s">
        <v>24271</v>
      </c>
      <c r="C7344" s="4">
        <v>314767</v>
      </c>
      <c r="D7344" t="s">
        <v>24401</v>
      </c>
      <c r="E7344">
        <v>1</v>
      </c>
      <c r="F7344" t="s">
        <v>24400</v>
      </c>
      <c r="G7344" t="s">
        <v>24271</v>
      </c>
      <c r="H7344" s="4">
        <v>314767</v>
      </c>
      <c r="I7344" t="s">
        <v>12462</v>
      </c>
    </row>
    <row r="7345" spans="1:9">
      <c r="A7345" t="str">
        <f>"0153892 "</f>
        <v xml:space="preserve">0153892 </v>
      </c>
      <c r="B7345" t="s">
        <v>24271</v>
      </c>
      <c r="C7345" s="4">
        <v>314887</v>
      </c>
      <c r="D7345" t="s">
        <v>24402</v>
      </c>
      <c r="E7345">
        <v>2</v>
      </c>
      <c r="F7345" t="s">
        <v>24403</v>
      </c>
      <c r="G7345" t="s">
        <v>24271</v>
      </c>
      <c r="H7345" s="4">
        <v>314887</v>
      </c>
      <c r="I7345" t="s">
        <v>24404</v>
      </c>
    </row>
    <row r="7346" spans="1:9">
      <c r="A7346" t="str">
        <f>"0153893 "</f>
        <v xml:space="preserve">0153893 </v>
      </c>
      <c r="B7346" t="s">
        <v>24271</v>
      </c>
      <c r="C7346" s="4">
        <v>314888</v>
      </c>
      <c r="D7346" t="s">
        <v>24405</v>
      </c>
      <c r="E7346">
        <v>1</v>
      </c>
      <c r="F7346" t="s">
        <v>24403</v>
      </c>
      <c r="G7346" t="s">
        <v>24271</v>
      </c>
      <c r="H7346" s="4">
        <v>314888</v>
      </c>
      <c r="I7346" t="s">
        <v>24406</v>
      </c>
    </row>
    <row r="7347" spans="1:9">
      <c r="A7347" t="str">
        <f>"0130590 "</f>
        <v xml:space="preserve">0130590 </v>
      </c>
      <c r="B7347" t="s">
        <v>24271</v>
      </c>
      <c r="C7347" s="4">
        <v>314996</v>
      </c>
      <c r="D7347" t="s">
        <v>24407</v>
      </c>
      <c r="E7347">
        <v>2</v>
      </c>
      <c r="F7347" t="s">
        <v>24408</v>
      </c>
      <c r="G7347" t="s">
        <v>24271</v>
      </c>
      <c r="H7347" s="4">
        <v>314996</v>
      </c>
      <c r="I7347" t="s">
        <v>13053</v>
      </c>
    </row>
    <row r="7348" spans="1:9">
      <c r="A7348" t="str">
        <f>"0130591 "</f>
        <v xml:space="preserve">0130591 </v>
      </c>
      <c r="B7348" t="s">
        <v>24271</v>
      </c>
      <c r="C7348" s="4">
        <v>314997</v>
      </c>
      <c r="D7348" t="s">
        <v>24409</v>
      </c>
      <c r="E7348">
        <v>2</v>
      </c>
      <c r="F7348" t="s">
        <v>24408</v>
      </c>
      <c r="G7348" t="s">
        <v>24271</v>
      </c>
      <c r="H7348" s="4">
        <v>314997</v>
      </c>
      <c r="I7348" t="s">
        <v>13050</v>
      </c>
    </row>
    <row r="7349" spans="1:9">
      <c r="A7349" t="str">
        <f>"0130596 "</f>
        <v xml:space="preserve">0130596 </v>
      </c>
      <c r="B7349" t="s">
        <v>24271</v>
      </c>
      <c r="C7349" s="4">
        <v>315012</v>
      </c>
      <c r="D7349" t="s">
        <v>24410</v>
      </c>
      <c r="E7349">
        <v>1</v>
      </c>
      <c r="F7349" t="s">
        <v>24411</v>
      </c>
      <c r="G7349" t="s">
        <v>24271</v>
      </c>
      <c r="H7349" s="4">
        <v>315012</v>
      </c>
      <c r="I7349" t="s">
        <v>24412</v>
      </c>
    </row>
    <row r="7350" spans="1:9">
      <c r="A7350" t="str">
        <f>"0130597 "</f>
        <v xml:space="preserve">0130597 </v>
      </c>
      <c r="B7350" t="s">
        <v>24271</v>
      </c>
      <c r="C7350" s="4">
        <v>315013</v>
      </c>
      <c r="D7350" t="s">
        <v>24413</v>
      </c>
      <c r="E7350">
        <v>1</v>
      </c>
      <c r="F7350" t="s">
        <v>24411</v>
      </c>
      <c r="G7350" t="s">
        <v>24271</v>
      </c>
      <c r="H7350" s="4">
        <v>315013</v>
      </c>
    </row>
    <row r="7351" spans="1:9">
      <c r="A7351" t="str">
        <f>"0130600 "</f>
        <v xml:space="preserve">0130600 </v>
      </c>
      <c r="B7351" t="s">
        <v>24271</v>
      </c>
      <c r="C7351" s="4">
        <v>315087</v>
      </c>
      <c r="D7351" t="s">
        <v>24414</v>
      </c>
      <c r="E7351">
        <v>4</v>
      </c>
      <c r="F7351" t="s">
        <v>24415</v>
      </c>
      <c r="G7351" t="s">
        <v>24271</v>
      </c>
      <c r="H7351" s="4">
        <v>315087</v>
      </c>
      <c r="I7351" t="s">
        <v>12510</v>
      </c>
    </row>
    <row r="7352" spans="1:9">
      <c r="A7352" t="str">
        <f>"0130610 "</f>
        <v xml:space="preserve">0130610 </v>
      </c>
      <c r="B7352" t="s">
        <v>24271</v>
      </c>
      <c r="C7352" s="4">
        <v>315171</v>
      </c>
      <c r="D7352" t="s">
        <v>24416</v>
      </c>
      <c r="E7352">
        <v>1</v>
      </c>
      <c r="F7352" t="s">
        <v>24364</v>
      </c>
      <c r="G7352" t="s">
        <v>24271</v>
      </c>
      <c r="H7352" s="4">
        <v>315171</v>
      </c>
      <c r="I7352" t="s">
        <v>24417</v>
      </c>
    </row>
    <row r="7353" spans="1:9">
      <c r="A7353" t="str">
        <f>"0130611 "</f>
        <v xml:space="preserve">0130611 </v>
      </c>
      <c r="B7353" t="s">
        <v>24271</v>
      </c>
      <c r="C7353" s="4">
        <v>315172</v>
      </c>
      <c r="D7353" t="s">
        <v>24418</v>
      </c>
      <c r="E7353">
        <v>1</v>
      </c>
      <c r="F7353" t="s">
        <v>24364</v>
      </c>
      <c r="G7353" t="s">
        <v>24271</v>
      </c>
      <c r="H7353" s="4">
        <v>315172</v>
      </c>
      <c r="I7353" t="s">
        <v>24419</v>
      </c>
    </row>
    <row r="7354" spans="1:9">
      <c r="A7354" t="str">
        <f>"0130623 "</f>
        <v xml:space="preserve">0130623 </v>
      </c>
      <c r="B7354" t="s">
        <v>24271</v>
      </c>
      <c r="C7354" s="4">
        <v>315291</v>
      </c>
      <c r="D7354" t="s">
        <v>24420</v>
      </c>
      <c r="E7354">
        <v>1</v>
      </c>
      <c r="F7354" t="s">
        <v>24421</v>
      </c>
      <c r="G7354" t="s">
        <v>24271</v>
      </c>
      <c r="H7354" s="4">
        <v>315291</v>
      </c>
      <c r="I7354" t="s">
        <v>24422</v>
      </c>
    </row>
    <row r="7355" spans="1:9">
      <c r="A7355" t="str">
        <f>"0252293 "</f>
        <v xml:space="preserve">0252293 </v>
      </c>
      <c r="B7355" t="s">
        <v>24271</v>
      </c>
      <c r="C7355" s="4">
        <v>315297</v>
      </c>
      <c r="D7355" t="s">
        <v>24423</v>
      </c>
      <c r="E7355">
        <v>2</v>
      </c>
      <c r="F7355" t="s">
        <v>24364</v>
      </c>
      <c r="G7355" t="s">
        <v>24271</v>
      </c>
      <c r="H7355" s="4">
        <v>315297</v>
      </c>
      <c r="I7355" t="s">
        <v>24424</v>
      </c>
    </row>
    <row r="7356" spans="1:9">
      <c r="A7356" t="str">
        <f>"0158966 "</f>
        <v xml:space="preserve">0158966 </v>
      </c>
      <c r="B7356" t="s">
        <v>24271</v>
      </c>
      <c r="C7356" s="4">
        <v>315299</v>
      </c>
      <c r="D7356" t="s">
        <v>24425</v>
      </c>
      <c r="E7356">
        <v>2</v>
      </c>
      <c r="F7356" t="s">
        <v>24426</v>
      </c>
      <c r="G7356" t="s">
        <v>24271</v>
      </c>
      <c r="H7356" s="4">
        <v>315299</v>
      </c>
      <c r="I7356" t="s">
        <v>24427</v>
      </c>
    </row>
    <row r="7357" spans="1:9">
      <c r="A7357" t="str">
        <f>"0130628 "</f>
        <v xml:space="preserve">0130628 </v>
      </c>
      <c r="B7357" t="s">
        <v>24271</v>
      </c>
      <c r="C7357" s="4">
        <v>315332</v>
      </c>
      <c r="D7357" t="s">
        <v>24428</v>
      </c>
      <c r="E7357">
        <v>2</v>
      </c>
      <c r="F7357" t="s">
        <v>24429</v>
      </c>
      <c r="G7357" t="s">
        <v>24271</v>
      </c>
      <c r="H7357" s="4">
        <v>315332</v>
      </c>
      <c r="I7357" t="s">
        <v>13195</v>
      </c>
    </row>
    <row r="7358" spans="1:9">
      <c r="A7358" t="str">
        <f>"0202806 "</f>
        <v xml:space="preserve">0202806 </v>
      </c>
      <c r="B7358" t="s">
        <v>24271</v>
      </c>
      <c r="C7358" s="4">
        <v>315525</v>
      </c>
      <c r="D7358" t="s">
        <v>24430</v>
      </c>
      <c r="E7358">
        <v>2</v>
      </c>
      <c r="F7358" t="s">
        <v>24431</v>
      </c>
      <c r="G7358" t="s">
        <v>24271</v>
      </c>
      <c r="H7358" s="4">
        <v>315525</v>
      </c>
      <c r="I7358" t="s">
        <v>24432</v>
      </c>
    </row>
    <row r="7359" spans="1:9">
      <c r="A7359" t="str">
        <f>"0159176 "</f>
        <v xml:space="preserve">0159176 </v>
      </c>
      <c r="B7359" t="s">
        <v>24271</v>
      </c>
      <c r="C7359" s="4">
        <v>315527</v>
      </c>
      <c r="D7359" t="s">
        <v>24433</v>
      </c>
      <c r="E7359">
        <v>2</v>
      </c>
      <c r="F7359" t="s">
        <v>24434</v>
      </c>
      <c r="G7359" t="s">
        <v>24271</v>
      </c>
      <c r="H7359" s="4">
        <v>315527</v>
      </c>
      <c r="I7359" t="s">
        <v>12534</v>
      </c>
    </row>
    <row r="7360" spans="1:9">
      <c r="A7360" t="str">
        <f>"0201901 "</f>
        <v xml:space="preserve">0201901 </v>
      </c>
      <c r="B7360" t="s">
        <v>24271</v>
      </c>
      <c r="C7360" s="4">
        <v>315528</v>
      </c>
      <c r="D7360" t="s">
        <v>24435</v>
      </c>
      <c r="E7360">
        <v>2</v>
      </c>
      <c r="F7360" t="s">
        <v>24436</v>
      </c>
      <c r="G7360" t="s">
        <v>24271</v>
      </c>
      <c r="H7360" s="4">
        <v>315528</v>
      </c>
      <c r="I7360" t="s">
        <v>13385</v>
      </c>
    </row>
    <row r="7361" spans="1:9">
      <c r="A7361" t="str">
        <f>"0201495 "</f>
        <v xml:space="preserve">0201495 </v>
      </c>
      <c r="B7361" t="s">
        <v>24271</v>
      </c>
      <c r="C7361" s="4">
        <v>315529</v>
      </c>
      <c r="D7361" t="s">
        <v>24437</v>
      </c>
      <c r="E7361">
        <v>2</v>
      </c>
      <c r="F7361" t="s">
        <v>24355</v>
      </c>
      <c r="G7361" t="s">
        <v>24271</v>
      </c>
      <c r="H7361" s="4">
        <v>315529</v>
      </c>
      <c r="I7361" t="s">
        <v>24438</v>
      </c>
    </row>
    <row r="7362" spans="1:9">
      <c r="A7362" t="str">
        <f>"0202813 "</f>
        <v xml:space="preserve">0202813 </v>
      </c>
      <c r="B7362" t="s">
        <v>24271</v>
      </c>
      <c r="C7362" s="4">
        <v>315689</v>
      </c>
      <c r="D7362" t="s">
        <v>24439</v>
      </c>
      <c r="E7362">
        <v>2</v>
      </c>
      <c r="F7362" t="s">
        <v>24440</v>
      </c>
      <c r="G7362" t="s">
        <v>24271</v>
      </c>
      <c r="H7362" s="4">
        <v>315689</v>
      </c>
      <c r="I7362" t="s">
        <v>24441</v>
      </c>
    </row>
    <row r="7363" spans="1:9">
      <c r="A7363" t="str">
        <f>"0202814 "</f>
        <v xml:space="preserve">0202814 </v>
      </c>
      <c r="B7363" t="s">
        <v>24271</v>
      </c>
      <c r="C7363" s="4">
        <v>315690</v>
      </c>
      <c r="D7363" t="s">
        <v>24442</v>
      </c>
      <c r="E7363">
        <v>2</v>
      </c>
      <c r="F7363" t="s">
        <v>24440</v>
      </c>
      <c r="G7363" t="s">
        <v>24271</v>
      </c>
      <c r="H7363" s="4">
        <v>315690</v>
      </c>
      <c r="I7363" t="s">
        <v>24443</v>
      </c>
    </row>
    <row r="7364" spans="1:9">
      <c r="A7364" t="str">
        <f>"0257191 "</f>
        <v xml:space="preserve">0257191 </v>
      </c>
      <c r="B7364" t="s">
        <v>24271</v>
      </c>
      <c r="C7364" s="4">
        <v>315867</v>
      </c>
      <c r="D7364" t="s">
        <v>24444</v>
      </c>
      <c r="E7364">
        <v>1</v>
      </c>
      <c r="F7364" t="s">
        <v>24445</v>
      </c>
      <c r="G7364" t="s">
        <v>24271</v>
      </c>
      <c r="H7364" s="4">
        <v>315867</v>
      </c>
      <c r="I7364" t="s">
        <v>24446</v>
      </c>
    </row>
    <row r="7365" spans="1:9">
      <c r="A7365" t="str">
        <f>"0257219 "</f>
        <v xml:space="preserve">0257219 </v>
      </c>
      <c r="B7365" t="s">
        <v>24271</v>
      </c>
      <c r="C7365" s="4">
        <v>316290</v>
      </c>
      <c r="D7365" t="s">
        <v>24447</v>
      </c>
      <c r="E7365">
        <v>2</v>
      </c>
      <c r="F7365" t="s">
        <v>24448</v>
      </c>
      <c r="G7365" t="s">
        <v>24271</v>
      </c>
      <c r="H7365" s="4">
        <v>316290</v>
      </c>
    </row>
    <row r="7366" spans="1:9">
      <c r="A7366" t="str">
        <f>"0257234 "</f>
        <v xml:space="preserve">0257234 </v>
      </c>
      <c r="B7366" t="s">
        <v>24271</v>
      </c>
      <c r="C7366" s="4">
        <v>316591</v>
      </c>
      <c r="D7366" t="s">
        <v>24449</v>
      </c>
      <c r="E7366">
        <v>2</v>
      </c>
      <c r="F7366" t="s">
        <v>24450</v>
      </c>
      <c r="G7366" t="s">
        <v>24271</v>
      </c>
      <c r="H7366" s="4">
        <v>316591</v>
      </c>
      <c r="I7366" t="s">
        <v>12793</v>
      </c>
    </row>
    <row r="7367" spans="1:9">
      <c r="A7367" t="str">
        <f>"0257275 "</f>
        <v xml:space="preserve">0257275 </v>
      </c>
      <c r="B7367" t="s">
        <v>24271</v>
      </c>
      <c r="C7367" s="4">
        <v>316927</v>
      </c>
      <c r="D7367" t="s">
        <v>24451</v>
      </c>
      <c r="E7367">
        <v>2</v>
      </c>
      <c r="F7367" t="s">
        <v>24452</v>
      </c>
      <c r="G7367" t="s">
        <v>24271</v>
      </c>
      <c r="H7367" s="4">
        <v>316927</v>
      </c>
      <c r="I7367" t="s">
        <v>24453</v>
      </c>
    </row>
    <row r="7368" spans="1:9">
      <c r="A7368" t="str">
        <f>"0257285 "</f>
        <v xml:space="preserve">0257285 </v>
      </c>
      <c r="B7368" t="s">
        <v>24271</v>
      </c>
      <c r="C7368" s="4">
        <v>316950</v>
      </c>
      <c r="D7368" t="s">
        <v>24454</v>
      </c>
      <c r="E7368">
        <v>2</v>
      </c>
      <c r="F7368" t="s">
        <v>24455</v>
      </c>
      <c r="G7368" t="s">
        <v>24271</v>
      </c>
      <c r="H7368" s="4">
        <v>316950</v>
      </c>
      <c r="I7368" t="s">
        <v>24456</v>
      </c>
    </row>
    <row r="7369" spans="1:9">
      <c r="A7369" t="str">
        <f>"0257292 "</f>
        <v xml:space="preserve">0257292 </v>
      </c>
      <c r="B7369" t="s">
        <v>24271</v>
      </c>
      <c r="C7369" s="4">
        <v>316999</v>
      </c>
      <c r="D7369" t="s">
        <v>24457</v>
      </c>
      <c r="E7369">
        <v>2</v>
      </c>
      <c r="F7369" t="s">
        <v>24458</v>
      </c>
      <c r="G7369" t="s">
        <v>24271</v>
      </c>
      <c r="H7369" s="4">
        <v>316999</v>
      </c>
      <c r="I7369" t="s">
        <v>24459</v>
      </c>
    </row>
    <row r="7370" spans="1:9">
      <c r="A7370" t="str">
        <f>"0257332 "</f>
        <v xml:space="preserve">0257332 </v>
      </c>
      <c r="B7370" t="s">
        <v>24271</v>
      </c>
      <c r="C7370" s="4">
        <v>317139</v>
      </c>
      <c r="D7370" t="s">
        <v>24460</v>
      </c>
      <c r="E7370">
        <v>2</v>
      </c>
      <c r="F7370" t="s">
        <v>24461</v>
      </c>
      <c r="G7370" t="s">
        <v>24271</v>
      </c>
      <c r="H7370" s="4">
        <v>317139</v>
      </c>
      <c r="I7370" t="s">
        <v>24462</v>
      </c>
    </row>
    <row r="7371" spans="1:9">
      <c r="A7371" t="str">
        <f>"0257333 "</f>
        <v xml:space="preserve">0257333 </v>
      </c>
      <c r="B7371" t="s">
        <v>24271</v>
      </c>
      <c r="C7371" s="4">
        <v>317140</v>
      </c>
      <c r="D7371" t="s">
        <v>24463</v>
      </c>
      <c r="E7371">
        <v>1</v>
      </c>
      <c r="F7371" t="s">
        <v>24461</v>
      </c>
      <c r="G7371" t="s">
        <v>24271</v>
      </c>
      <c r="H7371" s="4">
        <v>317140</v>
      </c>
      <c r="I7371" t="s">
        <v>24464</v>
      </c>
    </row>
    <row r="7372" spans="1:9">
      <c r="A7372" t="str">
        <f>"0257350 "</f>
        <v xml:space="preserve">0257350 </v>
      </c>
      <c r="B7372" t="s">
        <v>24271</v>
      </c>
      <c r="C7372" s="4">
        <v>317157</v>
      </c>
      <c r="D7372" t="s">
        <v>24465</v>
      </c>
      <c r="E7372">
        <v>1</v>
      </c>
      <c r="F7372" t="s">
        <v>24466</v>
      </c>
      <c r="G7372" t="s">
        <v>24271</v>
      </c>
      <c r="H7372" s="4">
        <v>317157</v>
      </c>
      <c r="I7372" t="s">
        <v>12441</v>
      </c>
    </row>
    <row r="7373" spans="1:9">
      <c r="A7373" t="str">
        <f>"0257351 "</f>
        <v xml:space="preserve">0257351 </v>
      </c>
      <c r="B7373" t="s">
        <v>24271</v>
      </c>
      <c r="C7373" s="4">
        <v>317158</v>
      </c>
      <c r="D7373" t="s">
        <v>24467</v>
      </c>
      <c r="E7373">
        <v>1</v>
      </c>
      <c r="F7373" t="s">
        <v>24466</v>
      </c>
      <c r="G7373" t="s">
        <v>24271</v>
      </c>
      <c r="H7373" s="4">
        <v>317158</v>
      </c>
      <c r="I7373" t="s">
        <v>12438</v>
      </c>
    </row>
    <row r="7374" spans="1:9">
      <c r="A7374" t="str">
        <f>"0130770 "</f>
        <v xml:space="preserve">0130770 </v>
      </c>
      <c r="B7374" t="s">
        <v>24271</v>
      </c>
      <c r="C7374" s="4">
        <v>556832</v>
      </c>
      <c r="D7374" t="s">
        <v>24468</v>
      </c>
      <c r="E7374">
        <v>2</v>
      </c>
      <c r="F7374" t="s">
        <v>24469</v>
      </c>
      <c r="G7374" t="s">
        <v>24271</v>
      </c>
      <c r="H7374" s="4">
        <v>556832</v>
      </c>
      <c r="I7374" t="s">
        <v>24470</v>
      </c>
    </row>
    <row r="7375" spans="1:9">
      <c r="A7375" t="str">
        <f>"0130771 "</f>
        <v xml:space="preserve">0130771 </v>
      </c>
      <c r="B7375" t="s">
        <v>24271</v>
      </c>
      <c r="C7375" s="4">
        <v>556834</v>
      </c>
      <c r="D7375" t="s">
        <v>24471</v>
      </c>
      <c r="E7375">
        <v>2</v>
      </c>
      <c r="F7375" t="s">
        <v>24472</v>
      </c>
      <c r="G7375" t="s">
        <v>24271</v>
      </c>
      <c r="H7375" s="4">
        <v>556834</v>
      </c>
      <c r="I7375" t="s">
        <v>24473</v>
      </c>
    </row>
    <row r="7376" spans="1:9">
      <c r="A7376" t="str">
        <f>"0130785 "</f>
        <v xml:space="preserve">0130785 </v>
      </c>
      <c r="B7376" t="s">
        <v>24271</v>
      </c>
      <c r="C7376" s="4">
        <v>556882</v>
      </c>
      <c r="D7376" t="s">
        <v>24474</v>
      </c>
      <c r="E7376">
        <v>2</v>
      </c>
      <c r="F7376" t="s">
        <v>24475</v>
      </c>
      <c r="G7376" t="s">
        <v>24271</v>
      </c>
      <c r="H7376" s="4">
        <v>556882</v>
      </c>
      <c r="I7376" t="s">
        <v>24476</v>
      </c>
    </row>
    <row r="7377" spans="1:9">
      <c r="A7377" t="str">
        <f>"0130789 "</f>
        <v xml:space="preserve">0130789 </v>
      </c>
      <c r="B7377" t="s">
        <v>24271</v>
      </c>
      <c r="C7377" s="4">
        <v>557837</v>
      </c>
      <c r="D7377" t="s">
        <v>24477</v>
      </c>
      <c r="E7377">
        <v>2</v>
      </c>
      <c r="F7377" t="s">
        <v>24478</v>
      </c>
      <c r="G7377" t="s">
        <v>24271</v>
      </c>
      <c r="H7377" s="4">
        <v>557837</v>
      </c>
      <c r="I7377" t="s">
        <v>13253</v>
      </c>
    </row>
    <row r="7378" spans="1:9">
      <c r="A7378" t="str">
        <f>"0130996 "</f>
        <v xml:space="preserve">0130996 </v>
      </c>
      <c r="B7378" t="s">
        <v>24271</v>
      </c>
      <c r="C7378" s="4">
        <v>802229</v>
      </c>
      <c r="D7378" t="s">
        <v>24479</v>
      </c>
      <c r="E7378">
        <v>4</v>
      </c>
      <c r="F7378" t="s">
        <v>24480</v>
      </c>
      <c r="G7378" t="s">
        <v>24271</v>
      </c>
      <c r="H7378" s="4">
        <v>802229</v>
      </c>
      <c r="I7378" t="s">
        <v>14299</v>
      </c>
    </row>
    <row r="7379" spans="1:9">
      <c r="A7379" t="str">
        <f>"0131018 "</f>
        <v xml:space="preserve">0131018 </v>
      </c>
      <c r="B7379" t="s">
        <v>24271</v>
      </c>
      <c r="C7379" s="4">
        <v>802268</v>
      </c>
      <c r="D7379" t="s">
        <v>24481</v>
      </c>
      <c r="E7379">
        <v>1</v>
      </c>
      <c r="F7379" t="s">
        <v>24482</v>
      </c>
      <c r="G7379" t="s">
        <v>24271</v>
      </c>
      <c r="H7379" s="4">
        <v>802268</v>
      </c>
      <c r="I7379" t="s">
        <v>24483</v>
      </c>
    </row>
    <row r="7380" spans="1:9">
      <c r="A7380" t="str">
        <f>"0131020 "</f>
        <v xml:space="preserve">0131020 </v>
      </c>
      <c r="B7380" t="s">
        <v>24271</v>
      </c>
      <c r="C7380" s="4">
        <v>802270</v>
      </c>
      <c r="D7380" t="s">
        <v>24484</v>
      </c>
      <c r="E7380" t="s">
        <v>16</v>
      </c>
      <c r="F7380" t="s">
        <v>15026</v>
      </c>
      <c r="G7380" t="s">
        <v>24271</v>
      </c>
      <c r="H7380" s="4">
        <v>802270</v>
      </c>
      <c r="I7380" t="s">
        <v>24485</v>
      </c>
    </row>
    <row r="7381" spans="1:9">
      <c r="A7381" t="str">
        <f>"0131133 "</f>
        <v xml:space="preserve">0131133 </v>
      </c>
      <c r="B7381" t="s">
        <v>24271</v>
      </c>
      <c r="C7381" s="4">
        <v>802399</v>
      </c>
      <c r="D7381" t="s">
        <v>24486</v>
      </c>
      <c r="E7381">
        <v>2</v>
      </c>
      <c r="F7381" t="s">
        <v>14459</v>
      </c>
      <c r="G7381" t="s">
        <v>24271</v>
      </c>
      <c r="H7381" s="4">
        <v>802399</v>
      </c>
      <c r="I7381" t="s">
        <v>24487</v>
      </c>
    </row>
    <row r="7382" spans="1:9">
      <c r="A7382" t="str">
        <f>"0202844 "</f>
        <v xml:space="preserve">0202844 </v>
      </c>
      <c r="B7382" t="s">
        <v>24271</v>
      </c>
      <c r="C7382" s="4">
        <v>803002</v>
      </c>
      <c r="D7382" t="s">
        <v>24488</v>
      </c>
      <c r="E7382">
        <v>2</v>
      </c>
      <c r="F7382" t="s">
        <v>24489</v>
      </c>
      <c r="G7382" t="s">
        <v>24271</v>
      </c>
      <c r="H7382" s="4">
        <v>803002</v>
      </c>
      <c r="I7382" t="s">
        <v>24490</v>
      </c>
    </row>
    <row r="7383" spans="1:9">
      <c r="A7383" t="str">
        <f>"0257441 "</f>
        <v xml:space="preserve">0257441 </v>
      </c>
      <c r="B7383" t="s">
        <v>24271</v>
      </c>
      <c r="C7383" s="4">
        <v>803118</v>
      </c>
      <c r="D7383" t="s">
        <v>24491</v>
      </c>
      <c r="E7383">
        <v>2</v>
      </c>
      <c r="F7383" t="s">
        <v>24492</v>
      </c>
      <c r="G7383" t="s">
        <v>24271</v>
      </c>
      <c r="H7383" s="4">
        <v>803118</v>
      </c>
    </row>
    <row r="7384" spans="1:9">
      <c r="A7384" t="str">
        <f>"0131283 "</f>
        <v xml:space="preserve">0131283 </v>
      </c>
      <c r="B7384" t="s">
        <v>24271</v>
      </c>
      <c r="C7384" s="4">
        <v>900002</v>
      </c>
      <c r="D7384" t="s">
        <v>24493</v>
      </c>
      <c r="E7384">
        <v>1</v>
      </c>
      <c r="F7384" t="s">
        <v>11600</v>
      </c>
      <c r="G7384" t="s">
        <v>24271</v>
      </c>
      <c r="H7384" s="4">
        <v>900002</v>
      </c>
      <c r="I7384" t="s">
        <v>24494</v>
      </c>
    </row>
    <row r="7385" spans="1:9">
      <c r="A7385" t="str">
        <f>"0131284 "</f>
        <v xml:space="preserve">0131284 </v>
      </c>
      <c r="B7385" t="s">
        <v>24271</v>
      </c>
      <c r="C7385" s="4">
        <v>900003</v>
      </c>
      <c r="D7385" t="s">
        <v>24495</v>
      </c>
      <c r="E7385">
        <v>1</v>
      </c>
      <c r="F7385" t="s">
        <v>15187</v>
      </c>
      <c r="G7385" t="s">
        <v>24271</v>
      </c>
      <c r="H7385" s="4">
        <v>900003</v>
      </c>
      <c r="I7385" t="s">
        <v>24496</v>
      </c>
    </row>
    <row r="7386" spans="1:9">
      <c r="A7386" t="str">
        <f>"0131285 "</f>
        <v xml:space="preserve">0131285 </v>
      </c>
      <c r="B7386" t="s">
        <v>24271</v>
      </c>
      <c r="C7386" s="4">
        <v>900004</v>
      </c>
      <c r="D7386" t="s">
        <v>24497</v>
      </c>
      <c r="E7386">
        <v>1</v>
      </c>
      <c r="F7386" t="s">
        <v>24498</v>
      </c>
      <c r="G7386" t="s">
        <v>24271</v>
      </c>
      <c r="H7386" s="4">
        <v>900004</v>
      </c>
      <c r="I7386" t="s">
        <v>24499</v>
      </c>
    </row>
    <row r="7387" spans="1:9">
      <c r="A7387" t="str">
        <f>"0131290 "</f>
        <v xml:space="preserve">0131290 </v>
      </c>
      <c r="B7387" t="s">
        <v>24271</v>
      </c>
      <c r="C7387" s="4">
        <v>900009</v>
      </c>
      <c r="D7387" t="s">
        <v>24500</v>
      </c>
      <c r="E7387">
        <v>1</v>
      </c>
      <c r="F7387" t="s">
        <v>24501</v>
      </c>
      <c r="G7387" t="s">
        <v>24271</v>
      </c>
      <c r="H7387" s="4">
        <v>900009</v>
      </c>
    </row>
    <row r="7388" spans="1:9">
      <c r="A7388" t="str">
        <f>"0131293 "</f>
        <v xml:space="preserve">0131293 </v>
      </c>
      <c r="B7388" t="s">
        <v>24271</v>
      </c>
      <c r="C7388" s="4">
        <v>900012</v>
      </c>
      <c r="D7388" t="s">
        <v>24502</v>
      </c>
      <c r="E7388">
        <v>2</v>
      </c>
      <c r="F7388" t="s">
        <v>24503</v>
      </c>
      <c r="G7388" t="s">
        <v>24271</v>
      </c>
      <c r="H7388" s="4">
        <v>900012</v>
      </c>
      <c r="I7388" t="s">
        <v>14012</v>
      </c>
    </row>
    <row r="7389" spans="1:9">
      <c r="A7389" t="str">
        <f>"0131320 "</f>
        <v xml:space="preserve">0131320 </v>
      </c>
      <c r="B7389" t="s">
        <v>24271</v>
      </c>
      <c r="C7389" s="4">
        <v>900042</v>
      </c>
      <c r="D7389" t="s">
        <v>24504</v>
      </c>
      <c r="E7389">
        <v>1</v>
      </c>
      <c r="F7389" t="s">
        <v>9971</v>
      </c>
      <c r="G7389" t="s">
        <v>24271</v>
      </c>
      <c r="H7389" s="4">
        <v>900042</v>
      </c>
    </row>
    <row r="7390" spans="1:9">
      <c r="A7390" t="str">
        <f>"0131324 "</f>
        <v xml:space="preserve">0131324 </v>
      </c>
      <c r="B7390" t="s">
        <v>24271</v>
      </c>
      <c r="C7390" s="4">
        <v>900046</v>
      </c>
      <c r="D7390" t="s">
        <v>24505</v>
      </c>
      <c r="E7390">
        <v>2</v>
      </c>
      <c r="F7390" t="s">
        <v>24506</v>
      </c>
      <c r="G7390" t="s">
        <v>24271</v>
      </c>
      <c r="H7390" s="4">
        <v>900046</v>
      </c>
    </row>
    <row r="7391" spans="1:9">
      <c r="A7391" t="str">
        <f>"0131336 "</f>
        <v xml:space="preserve">0131336 </v>
      </c>
      <c r="B7391" t="s">
        <v>24271</v>
      </c>
      <c r="C7391" s="4">
        <v>900058</v>
      </c>
      <c r="D7391" t="s">
        <v>24507</v>
      </c>
      <c r="E7391">
        <v>3</v>
      </c>
      <c r="F7391" t="s">
        <v>24508</v>
      </c>
      <c r="G7391" t="s">
        <v>24271</v>
      </c>
      <c r="H7391" s="4">
        <v>900058</v>
      </c>
      <c r="I7391" t="s">
        <v>24509</v>
      </c>
    </row>
    <row r="7392" spans="1:9">
      <c r="A7392" t="str">
        <f>"0131342 "</f>
        <v xml:space="preserve">0131342 </v>
      </c>
      <c r="B7392" t="s">
        <v>24271</v>
      </c>
      <c r="C7392" s="4">
        <v>900064</v>
      </c>
      <c r="D7392" t="s">
        <v>24510</v>
      </c>
      <c r="E7392">
        <v>2</v>
      </c>
      <c r="F7392" t="s">
        <v>24511</v>
      </c>
      <c r="G7392" t="s">
        <v>24271</v>
      </c>
      <c r="H7392" s="4">
        <v>900064</v>
      </c>
      <c r="I7392" t="s">
        <v>13911</v>
      </c>
    </row>
    <row r="7393" spans="1:9">
      <c r="A7393" t="str">
        <f>"0131369 "</f>
        <v xml:space="preserve">0131369 </v>
      </c>
      <c r="B7393" t="s">
        <v>24271</v>
      </c>
      <c r="C7393" s="4">
        <v>900091</v>
      </c>
      <c r="D7393" t="s">
        <v>24512</v>
      </c>
      <c r="E7393">
        <v>1</v>
      </c>
      <c r="F7393" t="s">
        <v>24513</v>
      </c>
      <c r="G7393" t="s">
        <v>24271</v>
      </c>
      <c r="H7393" s="4">
        <v>900091</v>
      </c>
      <c r="I7393" t="s">
        <v>24514</v>
      </c>
    </row>
    <row r="7394" spans="1:9">
      <c r="A7394" t="str">
        <f>"0131370 "</f>
        <v xml:space="preserve">0131370 </v>
      </c>
      <c r="B7394" t="s">
        <v>24271</v>
      </c>
      <c r="C7394" s="4">
        <v>900092</v>
      </c>
      <c r="D7394" t="s">
        <v>24515</v>
      </c>
      <c r="E7394">
        <v>1</v>
      </c>
      <c r="F7394" t="s">
        <v>24516</v>
      </c>
      <c r="G7394" t="s">
        <v>24271</v>
      </c>
      <c r="H7394" s="4">
        <v>900092</v>
      </c>
      <c r="I7394" t="s">
        <v>24517</v>
      </c>
    </row>
    <row r="7395" spans="1:9">
      <c r="A7395" t="str">
        <f>"0131373 "</f>
        <v xml:space="preserve">0131373 </v>
      </c>
      <c r="B7395" t="s">
        <v>24271</v>
      </c>
      <c r="C7395" s="4">
        <v>900103</v>
      </c>
      <c r="D7395" t="s">
        <v>24518</v>
      </c>
      <c r="E7395">
        <v>2</v>
      </c>
      <c r="F7395" t="s">
        <v>24519</v>
      </c>
      <c r="G7395" t="s">
        <v>24271</v>
      </c>
      <c r="H7395" s="4">
        <v>900103</v>
      </c>
      <c r="I7395" t="s">
        <v>13840</v>
      </c>
    </row>
    <row r="7396" spans="1:9">
      <c r="A7396" t="str">
        <f>"0131375 "</f>
        <v xml:space="preserve">0131375 </v>
      </c>
      <c r="B7396" t="s">
        <v>24271</v>
      </c>
      <c r="C7396" s="4">
        <v>900105</v>
      </c>
      <c r="D7396" t="s">
        <v>24520</v>
      </c>
      <c r="E7396">
        <v>2</v>
      </c>
      <c r="F7396" t="s">
        <v>24521</v>
      </c>
      <c r="G7396" t="s">
        <v>24271</v>
      </c>
      <c r="H7396" s="4">
        <v>900105</v>
      </c>
      <c r="I7396" t="s">
        <v>24522</v>
      </c>
    </row>
    <row r="7397" spans="1:9">
      <c r="A7397" t="str">
        <f>"0131384 "</f>
        <v xml:space="preserve">0131384 </v>
      </c>
      <c r="B7397" t="s">
        <v>24271</v>
      </c>
      <c r="C7397" s="4">
        <v>900119</v>
      </c>
      <c r="D7397" t="s">
        <v>24523</v>
      </c>
      <c r="E7397">
        <v>3</v>
      </c>
      <c r="F7397" t="s">
        <v>6321</v>
      </c>
      <c r="G7397" t="s">
        <v>24271</v>
      </c>
      <c r="H7397" s="4">
        <v>900119</v>
      </c>
      <c r="I7397" t="s">
        <v>24524</v>
      </c>
    </row>
    <row r="7398" spans="1:9">
      <c r="A7398" t="str">
        <f>"0131404 "</f>
        <v xml:space="preserve">0131404 </v>
      </c>
      <c r="B7398" t="s">
        <v>24271</v>
      </c>
      <c r="C7398" s="4">
        <v>900139</v>
      </c>
      <c r="D7398" t="s">
        <v>24525</v>
      </c>
      <c r="E7398">
        <v>1</v>
      </c>
      <c r="F7398" t="s">
        <v>24526</v>
      </c>
      <c r="G7398" t="s">
        <v>24271</v>
      </c>
      <c r="H7398" s="4">
        <v>900139</v>
      </c>
    </row>
    <row r="7399" spans="1:9">
      <c r="A7399" t="str">
        <f>"0131408 "</f>
        <v xml:space="preserve">0131408 </v>
      </c>
      <c r="B7399" t="s">
        <v>24271</v>
      </c>
      <c r="C7399" s="4">
        <v>900143</v>
      </c>
      <c r="D7399" t="s">
        <v>24527</v>
      </c>
      <c r="E7399">
        <v>1</v>
      </c>
      <c r="F7399" t="s">
        <v>24511</v>
      </c>
      <c r="G7399" t="s">
        <v>24271</v>
      </c>
      <c r="H7399" s="4">
        <v>900143</v>
      </c>
    </row>
    <row r="7400" spans="1:9">
      <c r="A7400" t="str">
        <f>"0131411 "</f>
        <v xml:space="preserve">0131411 </v>
      </c>
      <c r="B7400" t="s">
        <v>24271</v>
      </c>
      <c r="C7400" s="4">
        <v>900146</v>
      </c>
      <c r="D7400" t="s">
        <v>24528</v>
      </c>
      <c r="E7400">
        <v>1</v>
      </c>
      <c r="F7400" t="s">
        <v>14474</v>
      </c>
      <c r="G7400" t="s">
        <v>24271</v>
      </c>
      <c r="H7400" s="4">
        <v>900146</v>
      </c>
    </row>
    <row r="7401" spans="1:9">
      <c r="A7401" t="str">
        <f>"0131416 "</f>
        <v xml:space="preserve">0131416 </v>
      </c>
      <c r="B7401" t="s">
        <v>24271</v>
      </c>
      <c r="C7401" s="4">
        <v>900151</v>
      </c>
      <c r="D7401" t="s">
        <v>24529</v>
      </c>
      <c r="E7401">
        <v>1</v>
      </c>
      <c r="F7401" t="s">
        <v>14574</v>
      </c>
      <c r="G7401" t="s">
        <v>24271</v>
      </c>
      <c r="H7401" s="4">
        <v>900151</v>
      </c>
    </row>
    <row r="7402" spans="1:9">
      <c r="A7402" t="str">
        <f>"0131422 "</f>
        <v xml:space="preserve">0131422 </v>
      </c>
      <c r="B7402" t="s">
        <v>24271</v>
      </c>
      <c r="C7402" s="4">
        <v>900157</v>
      </c>
      <c r="D7402" t="s">
        <v>24530</v>
      </c>
      <c r="E7402">
        <v>1</v>
      </c>
      <c r="F7402" t="s">
        <v>24526</v>
      </c>
      <c r="G7402" t="s">
        <v>24271</v>
      </c>
      <c r="H7402" s="4">
        <v>900157</v>
      </c>
      <c r="I7402" t="s">
        <v>13871</v>
      </c>
    </row>
    <row r="7403" spans="1:9">
      <c r="A7403" t="str">
        <f>"0131424 "</f>
        <v xml:space="preserve">0131424 </v>
      </c>
      <c r="B7403" t="s">
        <v>24271</v>
      </c>
      <c r="C7403" s="4">
        <v>900159</v>
      </c>
      <c r="D7403" t="s">
        <v>24531</v>
      </c>
      <c r="E7403">
        <v>1</v>
      </c>
      <c r="F7403" t="s">
        <v>20280</v>
      </c>
      <c r="G7403" t="s">
        <v>24271</v>
      </c>
      <c r="H7403" s="4">
        <v>900159</v>
      </c>
      <c r="I7403" t="s">
        <v>24532</v>
      </c>
    </row>
    <row r="7404" spans="1:9">
      <c r="A7404" t="str">
        <f>"0131437 "</f>
        <v xml:space="preserve">0131437 </v>
      </c>
      <c r="B7404" t="s">
        <v>24271</v>
      </c>
      <c r="C7404" s="4">
        <v>900172</v>
      </c>
      <c r="D7404" t="s">
        <v>24533</v>
      </c>
      <c r="E7404">
        <v>1</v>
      </c>
      <c r="F7404" t="s">
        <v>14469</v>
      </c>
      <c r="G7404" t="s">
        <v>24271</v>
      </c>
      <c r="H7404" s="4">
        <v>900172</v>
      </c>
      <c r="I7404" t="s">
        <v>13879</v>
      </c>
    </row>
    <row r="7405" spans="1:9">
      <c r="A7405" t="str">
        <f>"0131446 "</f>
        <v xml:space="preserve">0131446 </v>
      </c>
      <c r="B7405" t="s">
        <v>24271</v>
      </c>
      <c r="C7405" s="4">
        <v>900181</v>
      </c>
      <c r="D7405" t="s">
        <v>24534</v>
      </c>
      <c r="E7405">
        <v>1</v>
      </c>
      <c r="F7405" t="s">
        <v>24535</v>
      </c>
      <c r="G7405" t="s">
        <v>24271</v>
      </c>
      <c r="H7405" s="4">
        <v>900181</v>
      </c>
      <c r="I7405" t="s">
        <v>24536</v>
      </c>
    </row>
    <row r="7406" spans="1:9">
      <c r="A7406" t="str">
        <f>"0131447 "</f>
        <v xml:space="preserve">0131447 </v>
      </c>
      <c r="B7406" t="s">
        <v>24271</v>
      </c>
      <c r="C7406" s="4">
        <v>900182</v>
      </c>
      <c r="D7406" t="s">
        <v>24537</v>
      </c>
      <c r="E7406">
        <v>1</v>
      </c>
      <c r="F7406" t="s">
        <v>24538</v>
      </c>
      <c r="G7406" t="s">
        <v>24271</v>
      </c>
      <c r="H7406" s="4">
        <v>900182</v>
      </c>
      <c r="I7406" t="s">
        <v>13860</v>
      </c>
    </row>
    <row r="7407" spans="1:9">
      <c r="A7407" t="str">
        <f>"0131449 "</f>
        <v xml:space="preserve">0131449 </v>
      </c>
      <c r="B7407" t="s">
        <v>24271</v>
      </c>
      <c r="C7407" s="4">
        <v>900184</v>
      </c>
      <c r="D7407" t="s">
        <v>24539</v>
      </c>
      <c r="E7407">
        <v>1</v>
      </c>
      <c r="F7407" t="s">
        <v>24540</v>
      </c>
      <c r="G7407" t="s">
        <v>24271</v>
      </c>
      <c r="H7407" s="4">
        <v>900184</v>
      </c>
      <c r="I7407" t="s">
        <v>13895</v>
      </c>
    </row>
    <row r="7408" spans="1:9">
      <c r="A7408" t="str">
        <f>"0131454 "</f>
        <v xml:space="preserve">0131454 </v>
      </c>
      <c r="B7408" t="s">
        <v>24271</v>
      </c>
      <c r="C7408" s="4">
        <v>900189</v>
      </c>
      <c r="D7408" t="s">
        <v>24541</v>
      </c>
      <c r="E7408">
        <v>1</v>
      </c>
      <c r="F7408" t="s">
        <v>24542</v>
      </c>
      <c r="G7408" t="s">
        <v>24271</v>
      </c>
      <c r="H7408" s="4">
        <v>900189</v>
      </c>
      <c r="I7408" t="s">
        <v>24543</v>
      </c>
    </row>
    <row r="7409" spans="1:9">
      <c r="A7409" t="str">
        <f>"0131462 "</f>
        <v xml:space="preserve">0131462 </v>
      </c>
      <c r="B7409" t="s">
        <v>24271</v>
      </c>
      <c r="C7409" s="4">
        <v>900199</v>
      </c>
      <c r="D7409" t="s">
        <v>24544</v>
      </c>
      <c r="E7409">
        <v>1</v>
      </c>
      <c r="F7409" t="s">
        <v>24545</v>
      </c>
      <c r="G7409" t="s">
        <v>24271</v>
      </c>
      <c r="H7409" s="4">
        <v>900199</v>
      </c>
      <c r="I7409" t="s">
        <v>24546</v>
      </c>
    </row>
    <row r="7410" spans="1:9">
      <c r="A7410" t="str">
        <f>"0131464 "</f>
        <v xml:space="preserve">0131464 </v>
      </c>
      <c r="B7410" t="s">
        <v>24271</v>
      </c>
      <c r="C7410" s="4">
        <v>900201</v>
      </c>
      <c r="D7410" t="s">
        <v>24547</v>
      </c>
      <c r="E7410">
        <v>1</v>
      </c>
      <c r="F7410" t="s">
        <v>24526</v>
      </c>
      <c r="G7410" t="s">
        <v>24271</v>
      </c>
      <c r="H7410" s="4">
        <v>900201</v>
      </c>
      <c r="I7410" t="s">
        <v>24548</v>
      </c>
    </row>
    <row r="7411" spans="1:9">
      <c r="A7411" t="str">
        <f>"0131484 "</f>
        <v xml:space="preserve">0131484 </v>
      </c>
      <c r="B7411" t="s">
        <v>24271</v>
      </c>
      <c r="C7411" s="4">
        <v>900221</v>
      </c>
      <c r="D7411" t="s">
        <v>24549</v>
      </c>
      <c r="E7411">
        <v>1</v>
      </c>
      <c r="F7411" t="s">
        <v>9930</v>
      </c>
      <c r="G7411" t="s">
        <v>24271</v>
      </c>
      <c r="H7411" s="4">
        <v>900221</v>
      </c>
      <c r="I7411" t="s">
        <v>24550</v>
      </c>
    </row>
    <row r="7412" spans="1:9">
      <c r="A7412" t="str">
        <f>"0131495 "</f>
        <v xml:space="preserve">0131495 </v>
      </c>
      <c r="B7412" t="s">
        <v>24271</v>
      </c>
      <c r="C7412" s="4">
        <v>900232</v>
      </c>
      <c r="D7412" t="s">
        <v>24551</v>
      </c>
      <c r="E7412">
        <v>1</v>
      </c>
      <c r="F7412" t="s">
        <v>24552</v>
      </c>
      <c r="G7412" t="s">
        <v>24271</v>
      </c>
      <c r="H7412" s="4">
        <v>900232</v>
      </c>
      <c r="I7412" t="s">
        <v>24553</v>
      </c>
    </row>
    <row r="7413" spans="1:9">
      <c r="A7413" t="str">
        <f>"0131496 "</f>
        <v xml:space="preserve">0131496 </v>
      </c>
      <c r="B7413" t="s">
        <v>24271</v>
      </c>
      <c r="C7413" s="4">
        <v>900233</v>
      </c>
      <c r="D7413" t="s">
        <v>24554</v>
      </c>
      <c r="E7413">
        <v>1</v>
      </c>
      <c r="F7413" t="s">
        <v>24555</v>
      </c>
      <c r="G7413" t="s">
        <v>24271</v>
      </c>
      <c r="H7413" s="4">
        <v>900233</v>
      </c>
      <c r="I7413" t="s">
        <v>24556</v>
      </c>
    </row>
    <row r="7414" spans="1:9">
      <c r="A7414" t="str">
        <f>"0131510 "</f>
        <v xml:space="preserve">0131510 </v>
      </c>
      <c r="B7414" t="s">
        <v>24271</v>
      </c>
      <c r="C7414" s="4">
        <v>900247</v>
      </c>
      <c r="D7414" t="s">
        <v>24557</v>
      </c>
      <c r="E7414">
        <v>1</v>
      </c>
      <c r="F7414" t="s">
        <v>24558</v>
      </c>
      <c r="G7414" t="s">
        <v>24271</v>
      </c>
      <c r="H7414" s="4">
        <v>900247</v>
      </c>
      <c r="I7414" t="s">
        <v>24559</v>
      </c>
    </row>
    <row r="7415" spans="1:9">
      <c r="A7415" t="str">
        <f>"0104384 "</f>
        <v xml:space="preserve">0104384 </v>
      </c>
      <c r="B7415" t="s">
        <v>24560</v>
      </c>
      <c r="C7415" t="s">
        <v>24561</v>
      </c>
      <c r="D7415" t="str">
        <f>"0064094   SASIC - Р РµРјРєРѕРјРїР»РµРєС‚ РєРµСЂРјРѕРІРѕС— СЂРµР№РєРё"</f>
        <v>0064094   SASIC - Р РµРјРєРѕРјРїР»РµРєС‚ РєРµСЂРјРѕРІРѕС— СЂРµР№РєРё</v>
      </c>
      <c r="E7415">
        <v>1</v>
      </c>
      <c r="F7415" t="s">
        <v>24562</v>
      </c>
      <c r="G7415" t="s">
        <v>24560</v>
      </c>
      <c r="H7415" t="str">
        <f>"0064094"</f>
        <v>0064094</v>
      </c>
      <c r="I7415" t="s">
        <v>24563</v>
      </c>
    </row>
    <row r="7416" spans="1:9">
      <c r="A7416" t="str">
        <f>"0104399 "</f>
        <v xml:space="preserve">0104399 </v>
      </c>
      <c r="B7416" t="s">
        <v>24560</v>
      </c>
      <c r="C7416" t="s">
        <v>24564</v>
      </c>
      <c r="D7416" t="str">
        <f>"0184E04   SASIC - РќР°РєС–РЅРµС‡РЅРёРє РєРµСЂРјРѕРІРѕС— С‚СЏРіРё"</f>
        <v>0184E04   SASIC - РќР°РєС–РЅРµС‡РЅРёРє РєРµСЂРјРѕРІРѕС— С‚СЏРіРё</v>
      </c>
      <c r="E7416">
        <v>2</v>
      </c>
      <c r="F7416" t="s">
        <v>9916</v>
      </c>
      <c r="G7416" t="s">
        <v>24560</v>
      </c>
      <c r="H7416" t="str">
        <f>"0184E04"</f>
        <v>0184E04</v>
      </c>
      <c r="I7416" t="s">
        <v>24565</v>
      </c>
    </row>
    <row r="7417" spans="1:9">
      <c r="A7417" t="str">
        <f>"0104400 "</f>
        <v xml:space="preserve">0104400 </v>
      </c>
      <c r="B7417" t="s">
        <v>24560</v>
      </c>
      <c r="C7417" t="s">
        <v>24566</v>
      </c>
      <c r="D7417" t="str">
        <f>"0184H44   SASIC - РќР°РєС–РЅРµС‡РЅРёРє РєРµСЂРјРѕРІРѕС— С‚СЏРіРё"</f>
        <v>0184H44   SASIC - РќР°РєС–РЅРµС‡РЅРёРє РєРµСЂРјРѕРІРѕС— С‚СЏРіРё</v>
      </c>
      <c r="E7417">
        <v>1</v>
      </c>
      <c r="F7417" t="s">
        <v>24567</v>
      </c>
      <c r="G7417" t="s">
        <v>24560</v>
      </c>
      <c r="H7417" t="str">
        <f>"0184H44"</f>
        <v>0184H44</v>
      </c>
      <c r="I7417" t="s">
        <v>24568</v>
      </c>
    </row>
    <row r="7418" spans="1:9">
      <c r="A7418" t="str">
        <f>"0104420 "</f>
        <v xml:space="preserve">0104420 </v>
      </c>
      <c r="B7418" t="s">
        <v>24560</v>
      </c>
      <c r="C7418" t="s">
        <v>24569</v>
      </c>
      <c r="D7418" t="str">
        <f>"0335405   SASIC - Р’С–РґР±С–Р№РЅРёРє Р°РјРѕСЂС‚РёР·Р°С‚РѕСЂР°"</f>
        <v>0335405   SASIC - Р’С–РґР±С–Р№РЅРёРє Р°РјРѕСЂС‚РёР·Р°С‚РѕСЂР°</v>
      </c>
      <c r="E7418">
        <v>2</v>
      </c>
      <c r="F7418" t="s">
        <v>8501</v>
      </c>
      <c r="G7418" t="s">
        <v>24560</v>
      </c>
      <c r="H7418" t="str">
        <f>"0335405"</f>
        <v>0335405</v>
      </c>
      <c r="I7418" t="s">
        <v>24570</v>
      </c>
    </row>
    <row r="7419" spans="1:9">
      <c r="A7419" t="str">
        <f>"0104421 "</f>
        <v xml:space="preserve">0104421 </v>
      </c>
      <c r="B7419" t="s">
        <v>24560</v>
      </c>
      <c r="C7419" t="s">
        <v>24571</v>
      </c>
      <c r="D7419" t="str">
        <f>"0335415   SASIC - Р’С–РґР±С–Р№РЅРёРє Р°РјРѕСЂС‚РёР·Р°С‚РѕСЂР°"</f>
        <v>0335415   SASIC - Р’С–РґР±С–Р№РЅРёРє Р°РјРѕСЂС‚РёР·Р°С‚РѕСЂР°</v>
      </c>
      <c r="E7419">
        <v>2</v>
      </c>
      <c r="F7419" t="s">
        <v>24572</v>
      </c>
      <c r="G7419" t="s">
        <v>24560</v>
      </c>
      <c r="H7419" t="str">
        <f>"0335415"</f>
        <v>0335415</v>
      </c>
      <c r="I7419" t="s">
        <v>24573</v>
      </c>
    </row>
    <row r="7420" spans="1:9">
      <c r="A7420" t="str">
        <f>"0104440 "</f>
        <v xml:space="preserve">0104440 </v>
      </c>
      <c r="B7420" t="s">
        <v>24560</v>
      </c>
      <c r="C7420" t="s">
        <v>24574</v>
      </c>
      <c r="D7420" t="str">
        <f>"0355275   SASIC - РџС–РґС€РёРїРЅРёРє РѕРїРѕСЂРё СЃС‚С–Р№РєРё Р°РјРѕСЂС‚РёР·Р°С‚РѕСЂР°"</f>
        <v>0355275   SASIC - РџС–РґС€РёРїРЅРёРє РѕРїРѕСЂРё СЃС‚С–Р№РєРё Р°РјРѕСЂС‚РёР·Р°С‚РѕСЂР°</v>
      </c>
      <c r="E7420" t="s">
        <v>16</v>
      </c>
      <c r="F7420" t="s">
        <v>24575</v>
      </c>
      <c r="G7420" t="s">
        <v>24560</v>
      </c>
      <c r="H7420" t="str">
        <f>"0355275"</f>
        <v>0355275</v>
      </c>
      <c r="I7420" t="s">
        <v>24576</v>
      </c>
    </row>
    <row r="7421" spans="1:9">
      <c r="A7421" t="str">
        <f>"0104444 "</f>
        <v xml:space="preserve">0104444 </v>
      </c>
      <c r="B7421" t="s">
        <v>24560</v>
      </c>
      <c r="C7421" t="s">
        <v>24577</v>
      </c>
      <c r="D7421" t="str">
        <f>"0355505   SASIC - РЎР°Р»СЊРЅРёРє"</f>
        <v>0355505   SASIC - РЎР°Р»СЊРЅРёРє</v>
      </c>
      <c r="E7421">
        <v>4</v>
      </c>
      <c r="F7421" t="s">
        <v>24578</v>
      </c>
      <c r="G7421" t="s">
        <v>24560</v>
      </c>
      <c r="H7421" t="str">
        <f>"0355505"</f>
        <v>0355505</v>
      </c>
      <c r="I7421" t="s">
        <v>24579</v>
      </c>
    </row>
    <row r="7422" spans="1:9">
      <c r="A7422" t="str">
        <f>"0104449 "</f>
        <v xml:space="preserve">0104449 </v>
      </c>
      <c r="B7422" t="s">
        <v>24560</v>
      </c>
      <c r="C7422" t="s">
        <v>24580</v>
      </c>
      <c r="D7422" t="str">
        <f>"0385165   SASIC - РћРїРѕСЂР° СЃС‚С–Р№РєРё Р°РјРѕСЂС‚РёР·Р°С‚РѕСЂР°"</f>
        <v>0385165   SASIC - РћРїРѕСЂР° СЃС‚С–Р№РєРё Р°РјРѕСЂС‚РёР·Р°С‚РѕСЂР°</v>
      </c>
      <c r="E7422">
        <v>2</v>
      </c>
      <c r="F7422" t="s">
        <v>14582</v>
      </c>
      <c r="G7422" t="s">
        <v>24560</v>
      </c>
      <c r="H7422" t="str">
        <f>"0385165"</f>
        <v>0385165</v>
      </c>
      <c r="I7422" t="s">
        <v>24581</v>
      </c>
    </row>
    <row r="7423" spans="1:9">
      <c r="A7423" t="str">
        <f>"0104450 "</f>
        <v xml:space="preserve">0104450 </v>
      </c>
      <c r="B7423" t="s">
        <v>24560</v>
      </c>
      <c r="C7423" t="s">
        <v>24582</v>
      </c>
      <c r="D7423" t="str">
        <f>"0385175   SASIC - РћРїРѕСЂР° СЃС‚С–Р№РєРё Р°РјРѕСЂС‚РёР·Р°С‚РѕСЂР°"</f>
        <v>0385175   SASIC - РћРїРѕСЂР° СЃС‚С–Р№РєРё Р°РјРѕСЂС‚РёР·Р°С‚РѕСЂР°</v>
      </c>
      <c r="E7423">
        <v>2</v>
      </c>
      <c r="F7423" t="s">
        <v>24583</v>
      </c>
      <c r="G7423" t="s">
        <v>24560</v>
      </c>
      <c r="H7423" t="str">
        <f>"0385175"</f>
        <v>0385175</v>
      </c>
      <c r="I7423" t="s">
        <v>24584</v>
      </c>
    </row>
    <row r="7424" spans="1:9">
      <c r="A7424" t="str">
        <f>"0104451 "</f>
        <v xml:space="preserve">0104451 </v>
      </c>
      <c r="B7424" t="s">
        <v>24560</v>
      </c>
      <c r="C7424" t="s">
        <v>24585</v>
      </c>
      <c r="D7424" t="str">
        <f>"0385185   SASIC - РћРїРѕСЂР° СЃС‚С–Р№РєРё Р°РјРѕСЂС‚РёР·Р°С‚РѕСЂР°"</f>
        <v>0385185   SASIC - РћРїРѕСЂР° СЃС‚С–Р№РєРё Р°РјРѕСЂС‚РёР·Р°С‚РѕСЂР°</v>
      </c>
      <c r="E7424">
        <v>2</v>
      </c>
      <c r="F7424" t="s">
        <v>24586</v>
      </c>
      <c r="G7424" t="s">
        <v>24560</v>
      </c>
      <c r="H7424" t="str">
        <f>"0385185"</f>
        <v>0385185</v>
      </c>
      <c r="I7424" t="s">
        <v>22046</v>
      </c>
    </row>
    <row r="7425" spans="1:9">
      <c r="A7425" t="str">
        <f>"0104452 "</f>
        <v xml:space="preserve">0104452 </v>
      </c>
      <c r="B7425" t="s">
        <v>24560</v>
      </c>
      <c r="C7425" t="s">
        <v>24587</v>
      </c>
      <c r="D7425" t="str">
        <f>"0385195   SASIC - РћРїРѕСЂР° СЃС‚С–Р№РєРё Р°РјРѕСЂС‚РёР·Р°С‚РѕСЂР°"</f>
        <v>0385195   SASIC - РћРїРѕСЂР° СЃС‚С–Р№РєРё Р°РјРѕСЂС‚РёР·Р°С‚РѕСЂР°</v>
      </c>
      <c r="E7425">
        <v>2</v>
      </c>
      <c r="F7425" t="s">
        <v>24586</v>
      </c>
      <c r="G7425" t="s">
        <v>24560</v>
      </c>
      <c r="H7425" t="str">
        <f>"0385195"</f>
        <v>0385195</v>
      </c>
      <c r="I7425" t="s">
        <v>22044</v>
      </c>
    </row>
    <row r="7426" spans="1:9">
      <c r="A7426" t="str">
        <f>"0104453 "</f>
        <v xml:space="preserve">0104453 </v>
      </c>
      <c r="B7426" t="s">
        <v>24560</v>
      </c>
      <c r="C7426" t="s">
        <v>24588</v>
      </c>
      <c r="D7426" t="str">
        <f>"0385205   SASIC - РћРїРѕСЂР° СЃС‚С–Р№РєРё Р°РјРѕСЂС‚РёР·Р°С‚РѕСЂР°"</f>
        <v>0385205   SASIC - РћРїРѕСЂР° СЃС‚С–Р№РєРё Р°РјРѕСЂС‚РёР·Р°С‚РѕСЂР°</v>
      </c>
      <c r="E7426">
        <v>2</v>
      </c>
      <c r="F7426" t="s">
        <v>24589</v>
      </c>
      <c r="G7426" t="s">
        <v>24560</v>
      </c>
      <c r="H7426" t="str">
        <f>"0385205"</f>
        <v>0385205</v>
      </c>
      <c r="I7426" t="s">
        <v>24590</v>
      </c>
    </row>
    <row r="7427" spans="1:9">
      <c r="A7427" t="str">
        <f>"0104456 "</f>
        <v xml:space="preserve">0104456 </v>
      </c>
      <c r="B7427" t="s">
        <v>24560</v>
      </c>
      <c r="C7427" t="s">
        <v>24591</v>
      </c>
      <c r="D7427" t="str">
        <f>"0385235   SASIC - РћРїРѕСЂР° СЃС‚С–Р№РєРё Р°РјРѕСЂС‚РёР·Р°С‚РѕСЂР°"</f>
        <v>0385235   SASIC - РћРїРѕСЂР° СЃС‚С–Р№РєРё Р°РјРѕСЂС‚РёР·Р°С‚РѕСЂР°</v>
      </c>
      <c r="E7427">
        <v>2</v>
      </c>
      <c r="F7427" t="s">
        <v>24592</v>
      </c>
      <c r="G7427" t="s">
        <v>24560</v>
      </c>
      <c r="H7427" t="str">
        <f>"0385235"</f>
        <v>0385235</v>
      </c>
      <c r="I7427" t="s">
        <v>24593</v>
      </c>
    </row>
    <row r="7428" spans="1:9">
      <c r="A7428" t="str">
        <f>"0104457 "</f>
        <v xml:space="preserve">0104457 </v>
      </c>
      <c r="B7428" t="s">
        <v>24560</v>
      </c>
      <c r="C7428" t="s">
        <v>24594</v>
      </c>
      <c r="D7428" t="str">
        <f>"0385245   SASIC - РћРїРѕСЂР° СЃС‚С–Р№РєРё Р°РјРѕСЂС‚РёР·Р°С‚РѕСЂР°"</f>
        <v>0385245   SASIC - РћРїРѕСЂР° СЃС‚С–Р№РєРё Р°РјРѕСЂС‚РёР·Р°С‚РѕСЂР°</v>
      </c>
      <c r="E7428">
        <v>2</v>
      </c>
      <c r="F7428" t="s">
        <v>2463</v>
      </c>
      <c r="G7428" t="s">
        <v>24560</v>
      </c>
      <c r="H7428" t="str">
        <f>"0385245"</f>
        <v>0385245</v>
      </c>
      <c r="I7428" t="s">
        <v>21963</v>
      </c>
    </row>
    <row r="7429" spans="1:9">
      <c r="A7429" t="str">
        <f>"0104458 "</f>
        <v xml:space="preserve">0104458 </v>
      </c>
      <c r="B7429" t="s">
        <v>24560</v>
      </c>
      <c r="C7429" t="s">
        <v>24595</v>
      </c>
      <c r="D7429" t="str">
        <f>"0385255   SASIC - РћРїРѕСЂР° СЃС‚С–Р№РєРё Р°РјРѕСЂС‚РёР·Р°С‚РѕСЂР°"</f>
        <v>0385255   SASIC - РћРїРѕСЂР° СЃС‚С–Р№РєРё Р°РјРѕСЂС‚РёР·Р°С‚РѕСЂР°</v>
      </c>
      <c r="E7429">
        <v>1</v>
      </c>
      <c r="F7429" t="s">
        <v>24596</v>
      </c>
      <c r="G7429" t="s">
        <v>24560</v>
      </c>
      <c r="H7429" t="str">
        <f>"0385255"</f>
        <v>0385255</v>
      </c>
      <c r="I7429" t="s">
        <v>24597</v>
      </c>
    </row>
    <row r="7430" spans="1:9">
      <c r="A7430" t="str">
        <f>"0104464 "</f>
        <v xml:space="preserve">0104464 </v>
      </c>
      <c r="B7430" t="s">
        <v>24560</v>
      </c>
      <c r="C7430" t="s">
        <v>24598</v>
      </c>
      <c r="D7430" t="str">
        <f>"0385365   SASIC - РћРїРѕСЂР° СЃС‚С–Р№РєРё Р°РјРѕСЂС‚РёР·Р°С‚РѕСЂР°"</f>
        <v>0385365   SASIC - РћРїРѕСЂР° СЃС‚С–Р№РєРё Р°РјРѕСЂС‚РёР·Р°С‚РѕСЂР°</v>
      </c>
      <c r="E7430">
        <v>1</v>
      </c>
      <c r="F7430" t="s">
        <v>24599</v>
      </c>
      <c r="G7430" t="s">
        <v>24560</v>
      </c>
      <c r="H7430" t="str">
        <f>"0385365"</f>
        <v>0385365</v>
      </c>
      <c r="I7430" t="s">
        <v>24600</v>
      </c>
    </row>
    <row r="7431" spans="1:9">
      <c r="A7431" t="str">
        <f>"0104468 "</f>
        <v xml:space="preserve">0104468 </v>
      </c>
      <c r="B7431" t="s">
        <v>24560</v>
      </c>
      <c r="C7431" t="s">
        <v>24601</v>
      </c>
      <c r="D7431" t="str">
        <f>"0385855   SASIC - РћРїРѕСЂР° СЃС‚С–Р№РєРё Р°РјРѕСЂС‚РёР·Р°С‚РѕСЂР°"</f>
        <v>0385855   SASIC - РћРїРѕСЂР° СЃС‚С–Р№РєРё Р°РјРѕСЂС‚РёР·Р°С‚РѕСЂР°</v>
      </c>
      <c r="E7431">
        <v>5</v>
      </c>
      <c r="F7431" t="s">
        <v>24602</v>
      </c>
      <c r="G7431" t="s">
        <v>24560</v>
      </c>
      <c r="H7431" t="str">
        <f>"0385855"</f>
        <v>0385855</v>
      </c>
      <c r="I7431" t="s">
        <v>24603</v>
      </c>
    </row>
    <row r="7432" spans="1:9">
      <c r="A7432" t="str">
        <f>"0104469 "</f>
        <v xml:space="preserve">0104469 </v>
      </c>
      <c r="B7432" t="s">
        <v>24560</v>
      </c>
      <c r="C7432" t="s">
        <v>24604</v>
      </c>
      <c r="D7432" t="str">
        <f>"0385875   SASIC - РћРїРѕСЂР° СЃС‚С–Р№РєРё Р°РјРѕСЂС‚РёР·Р°С‚РѕСЂР°"</f>
        <v>0385875   SASIC - РћРїРѕСЂР° СЃС‚С–Р№РєРё Р°РјРѕСЂС‚РёР·Р°С‚РѕСЂР°</v>
      </c>
      <c r="E7432">
        <v>1</v>
      </c>
      <c r="F7432" t="s">
        <v>20316</v>
      </c>
      <c r="G7432" t="s">
        <v>24560</v>
      </c>
      <c r="H7432" t="str">
        <f>"0385875"</f>
        <v>0385875</v>
      </c>
      <c r="I7432" t="s">
        <v>21991</v>
      </c>
    </row>
    <row r="7433" spans="1:9">
      <c r="A7433" t="str">
        <f>"0104470 "</f>
        <v xml:space="preserve">0104470 </v>
      </c>
      <c r="B7433" t="s">
        <v>24560</v>
      </c>
      <c r="C7433" t="s">
        <v>24605</v>
      </c>
      <c r="D7433" t="str">
        <f>"0385895   SASIC - РћРїРѕСЂР° СЃС‚С–Р№РєРё Р°РјРѕСЂС‚РёР·Р°С‚РѕСЂР°"</f>
        <v>0385895   SASIC - РћРїРѕСЂР° СЃС‚С–Р№РєРё Р°РјРѕСЂС‚РёР·Р°С‚РѕСЂР°</v>
      </c>
      <c r="E7433">
        <v>2</v>
      </c>
      <c r="F7433" t="s">
        <v>20316</v>
      </c>
      <c r="G7433" t="s">
        <v>24560</v>
      </c>
      <c r="H7433" t="str">
        <f>"0385895"</f>
        <v>0385895</v>
      </c>
      <c r="I7433" t="s">
        <v>21989</v>
      </c>
    </row>
    <row r="7434" spans="1:9">
      <c r="A7434" t="str">
        <f>"0104475 "</f>
        <v xml:space="preserve">0104475 </v>
      </c>
      <c r="B7434" t="s">
        <v>24560</v>
      </c>
      <c r="C7434" t="s">
        <v>24606</v>
      </c>
      <c r="D7434" t="str">
        <f>"0404144   SASIC - Р•Р»Р°СЃС‚РёС‡РЅР° РјСѓС„С‚Р° РєРµСЂРјРѕРІРѕРіРѕ РІР°Р»Сѓ"</f>
        <v>0404144   SASIC - Р•Р»Р°СЃС‚РёС‡РЅР° РјСѓС„С‚Р° РєРµСЂРјРѕРІРѕРіРѕ РІР°Р»Сѓ</v>
      </c>
      <c r="E7434">
        <v>1</v>
      </c>
      <c r="F7434" t="s">
        <v>8598</v>
      </c>
      <c r="G7434" t="s">
        <v>24560</v>
      </c>
      <c r="H7434" t="str">
        <f>"0404144"</f>
        <v>0404144</v>
      </c>
      <c r="I7434" t="s">
        <v>24607</v>
      </c>
    </row>
    <row r="7435" spans="1:9">
      <c r="A7435" t="str">
        <f>"0104534 "</f>
        <v xml:space="preserve">0104534 </v>
      </c>
      <c r="B7435" t="s">
        <v>24560</v>
      </c>
      <c r="C7435" t="s">
        <v>24608</v>
      </c>
      <c r="D7435" t="str">
        <f>"0594094   SASIC - РќР°РєС–РЅРµС‡РЅРёРє РєРµСЂРјРѕРІРѕС— С‚СЏРіРё"</f>
        <v>0594094   SASIC - РќР°РєС–РЅРµС‡РЅРёРє РєРµСЂРјРѕРІРѕС— С‚СЏРіРё</v>
      </c>
      <c r="E7435">
        <v>2</v>
      </c>
      <c r="F7435" t="s">
        <v>11933</v>
      </c>
      <c r="G7435" t="s">
        <v>24560</v>
      </c>
      <c r="H7435" t="str">
        <f>"0594094"</f>
        <v>0594094</v>
      </c>
      <c r="I7435" t="s">
        <v>24609</v>
      </c>
    </row>
    <row r="7436" spans="1:9">
      <c r="A7436" t="str">
        <f>"0104535 "</f>
        <v xml:space="preserve">0104535 </v>
      </c>
      <c r="B7436" t="s">
        <v>24560</v>
      </c>
      <c r="C7436" t="s">
        <v>24610</v>
      </c>
      <c r="D7436" t="str">
        <f>"0594104   SASIC - РЎР°Р№Р»РµРЅС‚Р±Р»РѕРє"</f>
        <v>0594104   SASIC - РЎР°Р№Р»РµРЅС‚Р±Р»РѕРє</v>
      </c>
      <c r="E7436">
        <v>2</v>
      </c>
      <c r="F7436" t="s">
        <v>24611</v>
      </c>
      <c r="G7436" t="s">
        <v>24560</v>
      </c>
      <c r="H7436" t="str">
        <f>"0594104"</f>
        <v>0594104</v>
      </c>
      <c r="I7436" t="s">
        <v>24612</v>
      </c>
    </row>
    <row r="7437" spans="1:9">
      <c r="A7437" t="str">
        <f>"0104536 "</f>
        <v xml:space="preserve">0104536 </v>
      </c>
      <c r="B7437" t="s">
        <v>24560</v>
      </c>
      <c r="C7437" t="s">
        <v>24613</v>
      </c>
      <c r="D7437" t="str">
        <f>"0594124   SASIC - РќР°РєС–РЅРµС‡РЅРёРє РєРµСЂРјРѕРІРѕС— С‚СЏРіРё"</f>
        <v>0594124   SASIC - РќР°РєС–РЅРµС‡РЅРёРє РєРµСЂРјРѕРІРѕС— С‚СЏРіРё</v>
      </c>
      <c r="E7437">
        <v>2</v>
      </c>
      <c r="F7437" t="s">
        <v>24614</v>
      </c>
      <c r="G7437" t="s">
        <v>24560</v>
      </c>
      <c r="H7437" t="str">
        <f>"0594124"</f>
        <v>0594124</v>
      </c>
      <c r="I7437" t="s">
        <v>24615</v>
      </c>
    </row>
    <row r="7438" spans="1:9">
      <c r="A7438" t="str">
        <f>"0104541 "</f>
        <v xml:space="preserve">0104541 </v>
      </c>
      <c r="B7438" t="s">
        <v>24560</v>
      </c>
      <c r="C7438" t="s">
        <v>24616</v>
      </c>
      <c r="D7438" t="str">
        <f>"0624144   SASIC - Р’С‚СѓР»РєР° РєРµСЂРјРѕРІРѕС— СЂРµР№РєРё"</f>
        <v>0624144   SASIC - Р’С‚СѓР»РєР° РєРµСЂРјРѕРІРѕС— СЂРµР№РєРё</v>
      </c>
      <c r="E7438">
        <v>2</v>
      </c>
      <c r="F7438" t="s">
        <v>24562</v>
      </c>
      <c r="G7438" t="s">
        <v>24560</v>
      </c>
      <c r="H7438" t="str">
        <f>"0624144"</f>
        <v>0624144</v>
      </c>
      <c r="I7438" t="s">
        <v>24617</v>
      </c>
    </row>
    <row r="7439" spans="1:9">
      <c r="A7439" t="str">
        <f>"0104552 "</f>
        <v xml:space="preserve">0104552 </v>
      </c>
      <c r="B7439" t="s">
        <v>24560</v>
      </c>
      <c r="C7439" t="s">
        <v>24618</v>
      </c>
      <c r="D7439" t="str">
        <f>"0664214   SASIC - РџРёР»СЊРѕРІРёРє РєРµСЂРјРѕРІРѕС— С‚СЏРіРё"</f>
        <v>0664214   SASIC - РџРёР»СЊРѕРІРёРє РєРµСЂРјРѕРІРѕС— С‚СЏРіРё</v>
      </c>
      <c r="E7439">
        <v>2</v>
      </c>
      <c r="F7439" t="s">
        <v>24619</v>
      </c>
      <c r="G7439" t="s">
        <v>24560</v>
      </c>
      <c r="H7439" t="str">
        <f>"0664214"</f>
        <v>0664214</v>
      </c>
      <c r="I7439" t="s">
        <v>24620</v>
      </c>
    </row>
    <row r="7440" spans="1:9">
      <c r="A7440" t="str">
        <f>"0104553 "</f>
        <v xml:space="preserve">0104553 </v>
      </c>
      <c r="B7440" t="s">
        <v>24560</v>
      </c>
      <c r="C7440" t="s">
        <v>24621</v>
      </c>
      <c r="D7440" t="str">
        <f>"0664224   SASIC - РџРёР»СЊРѕРІРёРє РєРµСЂРјРѕРІРѕС— С‚СЏРіРё"</f>
        <v>0664224   SASIC - РџРёР»СЊРѕРІРёРє РєРµСЂРјРѕРІРѕС— С‚СЏРіРё</v>
      </c>
      <c r="E7440">
        <v>1</v>
      </c>
      <c r="F7440" t="s">
        <v>24622</v>
      </c>
      <c r="G7440" t="s">
        <v>24560</v>
      </c>
      <c r="H7440" t="str">
        <f>"0664224"</f>
        <v>0664224</v>
      </c>
      <c r="I7440" t="s">
        <v>24623</v>
      </c>
    </row>
    <row r="7441" spans="1:9">
      <c r="A7441" t="str">
        <f>"0104557 "</f>
        <v xml:space="preserve">0104557 </v>
      </c>
      <c r="B7441" t="s">
        <v>24560</v>
      </c>
      <c r="C7441" t="s">
        <v>24624</v>
      </c>
      <c r="D7441" t="str">
        <f>"0664294   SASIC - РџРёР»СЊРѕРІРёРє РєРµСЂРјРѕРІРѕС— С‚СЏРіРё"</f>
        <v>0664294   SASIC - РџРёР»СЊРѕРІРёРє РєРµСЂРјРѕРІРѕС— С‚СЏРіРё</v>
      </c>
      <c r="E7441">
        <v>1</v>
      </c>
      <c r="F7441" t="s">
        <v>8362</v>
      </c>
      <c r="G7441" t="s">
        <v>24560</v>
      </c>
      <c r="H7441" t="str">
        <f>"0664294"</f>
        <v>0664294</v>
      </c>
      <c r="I7441" t="s">
        <v>24625</v>
      </c>
    </row>
    <row r="7442" spans="1:9">
      <c r="A7442" t="str">
        <f>"0104564 "</f>
        <v xml:space="preserve">0104564 </v>
      </c>
      <c r="B7442" t="s">
        <v>24560</v>
      </c>
      <c r="C7442" t="s">
        <v>24626</v>
      </c>
      <c r="D7442" t="str">
        <f>"0664414   SASIC - РџРёР»СЊРѕРІРёРє РєРµСЂРјРѕРІРѕС— С‚СЏРіРё"</f>
        <v>0664414   SASIC - РџРёР»СЊРѕРІРёРє РєРµСЂРјРѕРІРѕС— С‚СЏРіРё</v>
      </c>
      <c r="E7442">
        <v>2</v>
      </c>
      <c r="F7442" t="s">
        <v>14769</v>
      </c>
      <c r="G7442" t="s">
        <v>24560</v>
      </c>
      <c r="H7442" t="str">
        <f>"0664414"</f>
        <v>0664414</v>
      </c>
      <c r="I7442" t="s">
        <v>24627</v>
      </c>
    </row>
    <row r="7443" spans="1:9">
      <c r="A7443" t="str">
        <f>"0104565 "</f>
        <v xml:space="preserve">0104565 </v>
      </c>
      <c r="B7443" t="s">
        <v>24560</v>
      </c>
      <c r="C7443" t="s">
        <v>24628</v>
      </c>
      <c r="D7443" t="str">
        <f>"0664424   SASIC - РџРёР»СЊРѕРІРёРє РєРµСЂРјРѕРІРѕС— С‚СЏРіРё"</f>
        <v>0664424   SASIC - РџРёР»СЊРѕРІРёРє РєРµСЂРјРѕРІРѕС— С‚СЏРіРё</v>
      </c>
      <c r="E7443">
        <v>2</v>
      </c>
      <c r="F7443" t="s">
        <v>24629</v>
      </c>
      <c r="G7443" t="s">
        <v>24560</v>
      </c>
      <c r="H7443" t="str">
        <f>"0664424"</f>
        <v>0664424</v>
      </c>
      <c r="I7443" t="s">
        <v>24630</v>
      </c>
    </row>
    <row r="7444" spans="1:9">
      <c r="A7444" t="str">
        <f>"0104566 "</f>
        <v xml:space="preserve">0104566 </v>
      </c>
      <c r="B7444" t="s">
        <v>24560</v>
      </c>
      <c r="C7444" t="s">
        <v>24631</v>
      </c>
      <c r="D7444" t="str">
        <f>"0664434   SASIC - РџРёР»СЊРѕРІРёРє РєРµСЂРјРѕРІРѕС— С‚СЏРіРё"</f>
        <v>0664434   SASIC - РџРёР»СЊРѕРІРёРє РєРµСЂРјРѕРІРѕС— С‚СЏРіРё</v>
      </c>
      <c r="E7444">
        <v>4</v>
      </c>
      <c r="F7444" t="s">
        <v>24632</v>
      </c>
      <c r="G7444" t="s">
        <v>24560</v>
      </c>
      <c r="H7444" t="str">
        <f>"0664434"</f>
        <v>0664434</v>
      </c>
      <c r="I7444" t="s">
        <v>24633</v>
      </c>
    </row>
    <row r="7445" spans="1:9">
      <c r="A7445" t="str">
        <f>"0104573 "</f>
        <v xml:space="preserve">0104573 </v>
      </c>
      <c r="B7445" t="s">
        <v>24560</v>
      </c>
      <c r="C7445" t="s">
        <v>24634</v>
      </c>
      <c r="D7445" t="str">
        <f>"0664604   SASIC - РџРёР»СЊРѕРІРёРє РєРµСЂРјРѕРІРѕС— С‚СЏРіРё"</f>
        <v>0664604   SASIC - РџРёР»СЊРѕРІРёРє РєРµСЂРјРѕРІРѕС— С‚СЏРіРё</v>
      </c>
      <c r="E7445">
        <v>2</v>
      </c>
      <c r="F7445" t="s">
        <v>8423</v>
      </c>
      <c r="G7445" t="s">
        <v>24560</v>
      </c>
      <c r="H7445" t="str">
        <f>"0664604"</f>
        <v>0664604</v>
      </c>
      <c r="I7445" t="s">
        <v>24635</v>
      </c>
    </row>
    <row r="7446" spans="1:9">
      <c r="A7446" t="str">
        <f>"0104591 "</f>
        <v xml:space="preserve">0104591 </v>
      </c>
      <c r="B7446" t="s">
        <v>24560</v>
      </c>
      <c r="C7446" t="s">
        <v>24636</v>
      </c>
      <c r="D7446" t="str">
        <f>"0875275   SASIC - РўСЏРіР° СЃС‚Р°Р±С–Р»С–Р·Р°С‚РѕСЂР°"</f>
        <v>0875275   SASIC - РўСЏРіР° СЃС‚Р°Р±С–Р»С–Р·Р°С‚РѕСЂР°</v>
      </c>
      <c r="E7446">
        <v>2</v>
      </c>
      <c r="F7446" t="s">
        <v>15342</v>
      </c>
      <c r="G7446" t="s">
        <v>24560</v>
      </c>
      <c r="H7446" t="str">
        <f>"0875275"</f>
        <v>0875275</v>
      </c>
      <c r="I7446" t="s">
        <v>24637</v>
      </c>
    </row>
    <row r="7447" spans="1:9">
      <c r="A7447" t="str">
        <f>"0104595 "</f>
        <v xml:space="preserve">0104595 </v>
      </c>
      <c r="B7447" t="s">
        <v>24560</v>
      </c>
      <c r="C7447" t="s">
        <v>24638</v>
      </c>
      <c r="D7447" t="str">
        <f>"0875375   SASIC - РўСЏРіР° СЃС‚Р°Р±С–Р»С–Р·Р°С‚РѕСЂР°"</f>
        <v>0875375   SASIC - РўСЏРіР° СЃС‚Р°Р±С–Р»С–Р·Р°С‚РѕСЂР°</v>
      </c>
      <c r="E7447">
        <v>2</v>
      </c>
      <c r="F7447" t="s">
        <v>24639</v>
      </c>
      <c r="G7447" t="s">
        <v>24560</v>
      </c>
      <c r="H7447" t="str">
        <f>"0875375"</f>
        <v>0875375</v>
      </c>
      <c r="I7447" t="s">
        <v>24640</v>
      </c>
    </row>
    <row r="7448" spans="1:9">
      <c r="A7448" t="str">
        <f>"0104596 "</f>
        <v xml:space="preserve">0104596 </v>
      </c>
      <c r="B7448" t="s">
        <v>24560</v>
      </c>
      <c r="C7448" t="s">
        <v>24641</v>
      </c>
      <c r="D7448" t="str">
        <f>"0875395   SASIC - РўСЏРіР° СЃС‚Р°Р±С–Р»С–Р·Р°С‚РѕСЂР°"</f>
        <v>0875395   SASIC - РўСЏРіР° СЃС‚Р°Р±С–Р»С–Р·Р°С‚РѕСЂР°</v>
      </c>
      <c r="E7448" t="s">
        <v>16</v>
      </c>
      <c r="F7448" t="s">
        <v>23856</v>
      </c>
      <c r="G7448" t="s">
        <v>24560</v>
      </c>
      <c r="H7448" t="str">
        <f>"0875395"</f>
        <v>0875395</v>
      </c>
      <c r="I7448" t="s">
        <v>24642</v>
      </c>
    </row>
    <row r="7449" spans="1:9">
      <c r="A7449" t="str">
        <f>"0104597 "</f>
        <v xml:space="preserve">0104597 </v>
      </c>
      <c r="B7449" t="s">
        <v>24560</v>
      </c>
      <c r="C7449" t="s">
        <v>24643</v>
      </c>
      <c r="D7449" t="str">
        <f>"0875405   SASIC - РўСЏРіР° СЃС‚Р°Р±С–Р»С–Р·Р°С‚РѕСЂР°"</f>
        <v>0875405   SASIC - РўСЏРіР° СЃС‚Р°Р±С–Р»С–Р·Р°С‚РѕСЂР°</v>
      </c>
      <c r="E7449">
        <v>1</v>
      </c>
      <c r="F7449" t="s">
        <v>24644</v>
      </c>
      <c r="G7449" t="s">
        <v>24560</v>
      </c>
      <c r="H7449" t="str">
        <f>"0875405"</f>
        <v>0875405</v>
      </c>
      <c r="I7449" t="s">
        <v>24645</v>
      </c>
    </row>
    <row r="7450" spans="1:9">
      <c r="A7450" t="str">
        <f>"0104598 "</f>
        <v xml:space="preserve">0104598 </v>
      </c>
      <c r="B7450" t="s">
        <v>24560</v>
      </c>
      <c r="C7450" t="s">
        <v>24646</v>
      </c>
      <c r="D7450" t="str">
        <f>"0875415   SASIC - РўСЏРіР° СЃС‚Р°Р±С–Р»С–Р·Р°С‚РѕСЂР°"</f>
        <v>0875415   SASIC - РўСЏРіР° СЃС‚Р°Р±С–Р»С–Р·Р°С‚РѕСЂР°</v>
      </c>
      <c r="E7450">
        <v>3</v>
      </c>
      <c r="F7450" t="s">
        <v>24647</v>
      </c>
      <c r="G7450" t="s">
        <v>24560</v>
      </c>
      <c r="H7450" t="str">
        <f>"0875415"</f>
        <v>0875415</v>
      </c>
      <c r="I7450" t="s">
        <v>24648</v>
      </c>
    </row>
    <row r="7451" spans="1:9">
      <c r="A7451" t="str">
        <f>"0104600 "</f>
        <v xml:space="preserve">0104600 </v>
      </c>
      <c r="B7451" t="s">
        <v>24560</v>
      </c>
      <c r="C7451" t="s">
        <v>24649</v>
      </c>
      <c r="D7451" t="str">
        <f>"0875455   SASIC - РўСЏРіР° СЃС‚Р°Р±С–Р»С–Р·Р°С‚РѕСЂР°"</f>
        <v>0875455   SASIC - РўСЏРіР° СЃС‚Р°Р±С–Р»С–Р·Р°С‚РѕСЂР°</v>
      </c>
      <c r="E7451">
        <v>2</v>
      </c>
      <c r="F7451" t="s">
        <v>24650</v>
      </c>
      <c r="G7451" t="s">
        <v>24560</v>
      </c>
      <c r="H7451" t="str">
        <f>"0875455"</f>
        <v>0875455</v>
      </c>
      <c r="I7451" t="s">
        <v>22217</v>
      </c>
    </row>
    <row r="7452" spans="1:9">
      <c r="A7452" t="str">
        <f>"0104603 "</f>
        <v xml:space="preserve">0104603 </v>
      </c>
      <c r="B7452" t="s">
        <v>24560</v>
      </c>
      <c r="C7452" t="s">
        <v>24651</v>
      </c>
      <c r="D7452" t="str">
        <f>"0875485   SASIC - РўСЏРіР° СЃС‚Р°Р±С–Р»С–Р·Р°С‚РѕСЂР°"</f>
        <v>0875485   SASIC - РўСЏРіР° СЃС‚Р°Р±С–Р»С–Р·Р°С‚РѕСЂР°</v>
      </c>
      <c r="E7452">
        <v>3</v>
      </c>
      <c r="F7452" t="s">
        <v>14445</v>
      </c>
      <c r="G7452" t="s">
        <v>24560</v>
      </c>
      <c r="H7452" t="str">
        <f>"0875485"</f>
        <v>0875485</v>
      </c>
      <c r="I7452" t="s">
        <v>24652</v>
      </c>
    </row>
    <row r="7453" spans="1:9">
      <c r="A7453" t="str">
        <f>"0104611 "</f>
        <v xml:space="preserve">0104611 </v>
      </c>
      <c r="B7453" t="s">
        <v>24560</v>
      </c>
      <c r="C7453" t="s">
        <v>24653</v>
      </c>
      <c r="D7453" t="str">
        <f>"0935155   SASIC - Р’С‚СѓР»РєР° СЃС‚Р°Р±С–Р»С–Р·Р°С‚РѕСЂР°"</f>
        <v>0935155   SASIC - Р’С‚СѓР»РєР° СЃС‚Р°Р±С–Р»С–Р·Р°С‚РѕСЂР°</v>
      </c>
      <c r="E7453">
        <v>4</v>
      </c>
      <c r="F7453" s="1">
        <v>42911</v>
      </c>
      <c r="G7453" t="s">
        <v>24560</v>
      </c>
      <c r="H7453" t="str">
        <f>"0935155"</f>
        <v>0935155</v>
      </c>
      <c r="I7453" t="s">
        <v>24654</v>
      </c>
    </row>
    <row r="7454" spans="1:9">
      <c r="A7454" t="str">
        <f>"0104622 "</f>
        <v xml:space="preserve">0104622 </v>
      </c>
      <c r="B7454" t="s">
        <v>24560</v>
      </c>
      <c r="C7454" t="s">
        <v>24655</v>
      </c>
      <c r="D7454" t="str">
        <f>"0945345UN   SASIC - Р’С‚СѓР»РєР° СЃС‚Р°Р±С–Р»С–Р·Р°С‚РѕСЂР°"</f>
        <v>0945345UN   SASIC - Р’С‚СѓР»РєР° СЃС‚Р°Р±С–Р»С–Р·Р°С‚РѕСЂР°</v>
      </c>
      <c r="E7454">
        <v>1</v>
      </c>
      <c r="F7454" t="s">
        <v>8423</v>
      </c>
      <c r="G7454" t="s">
        <v>24560</v>
      </c>
      <c r="H7454" t="str">
        <f>"0945345UN"</f>
        <v>0945345UN</v>
      </c>
      <c r="I7454" t="s">
        <v>24656</v>
      </c>
    </row>
    <row r="7455" spans="1:9">
      <c r="A7455" t="str">
        <f>"0104624 "</f>
        <v xml:space="preserve">0104624 </v>
      </c>
      <c r="B7455" t="s">
        <v>24560</v>
      </c>
      <c r="C7455" t="s">
        <v>24657</v>
      </c>
      <c r="D7455" t="str">
        <f>"0945355UN   SASIC - Р’С‚СѓР»РєР° СЃС‚Р°Р±С–Р»С–Р·Р°С‚РѕСЂР°"</f>
        <v>0945355UN   SASIC - Р’С‚СѓР»РєР° СЃС‚Р°Р±С–Р»С–Р·Р°С‚РѕСЂР°</v>
      </c>
      <c r="E7455">
        <v>2</v>
      </c>
      <c r="F7455" t="s">
        <v>15053</v>
      </c>
      <c r="G7455" t="s">
        <v>24560</v>
      </c>
      <c r="H7455" t="str">
        <f>"0945355UN"</f>
        <v>0945355UN</v>
      </c>
      <c r="I7455" t="s">
        <v>24658</v>
      </c>
    </row>
    <row r="7456" spans="1:9">
      <c r="A7456" t="str">
        <f>"0104625 "</f>
        <v xml:space="preserve">0104625 </v>
      </c>
      <c r="B7456" t="s">
        <v>24560</v>
      </c>
      <c r="C7456" t="s">
        <v>24659</v>
      </c>
      <c r="D7456" t="str">
        <f>"0945365   SASIC - Р’С‚СѓР»РєР° СЃС‚Р°Р±С–Р»С–Р·Р°С‚РѕСЂР°"</f>
        <v>0945365   SASIC - Р’С‚СѓР»РєР° СЃС‚Р°Р±С–Р»С–Р·Р°С‚РѕСЂР°</v>
      </c>
      <c r="E7456">
        <v>2</v>
      </c>
      <c r="F7456" t="s">
        <v>24660</v>
      </c>
      <c r="G7456" t="s">
        <v>24560</v>
      </c>
      <c r="H7456" t="str">
        <f>"0945365"</f>
        <v>0945365</v>
      </c>
      <c r="I7456" t="s">
        <v>24661</v>
      </c>
    </row>
    <row r="7457" spans="1:9">
      <c r="A7457" t="str">
        <f>"0104626 "</f>
        <v xml:space="preserve">0104626 </v>
      </c>
      <c r="B7457" t="s">
        <v>24560</v>
      </c>
      <c r="C7457" t="s">
        <v>24662</v>
      </c>
      <c r="D7457" t="str">
        <f>"0945375   SASIC - Р’С‚СѓР»РєР° СЃС‚Р°Р±С–Р»С–Р·Р°С‚РѕСЂР°"</f>
        <v>0945375   SASIC - Р’С‚СѓР»РєР° СЃС‚Р°Р±С–Р»С–Р·Р°С‚РѕСЂР°</v>
      </c>
      <c r="E7457">
        <v>2</v>
      </c>
      <c r="F7457" t="s">
        <v>24663</v>
      </c>
      <c r="G7457" t="s">
        <v>24560</v>
      </c>
      <c r="H7457" t="str">
        <f>"0945375"</f>
        <v>0945375</v>
      </c>
      <c r="I7457" t="s">
        <v>24664</v>
      </c>
    </row>
    <row r="7458" spans="1:9">
      <c r="A7458" t="str">
        <f>"0104628 "</f>
        <v xml:space="preserve">0104628 </v>
      </c>
      <c r="B7458" t="s">
        <v>24560</v>
      </c>
      <c r="C7458" t="s">
        <v>24665</v>
      </c>
      <c r="D7458" t="str">
        <f>"0945425   SASIC - Р’С‚СѓР»РєР° СЃС‚Р°Р±С–Р»С–Р·Р°С‚РѕСЂР°"</f>
        <v>0945425   SASIC - Р’С‚СѓР»РєР° СЃС‚Р°Р±С–Р»С–Р·Р°С‚РѕСЂР°</v>
      </c>
      <c r="E7458">
        <v>3</v>
      </c>
      <c r="F7458" t="s">
        <v>24666</v>
      </c>
      <c r="G7458" t="s">
        <v>24560</v>
      </c>
      <c r="H7458" t="str">
        <f>"0945425"</f>
        <v>0945425</v>
      </c>
      <c r="I7458" t="s">
        <v>24667</v>
      </c>
    </row>
    <row r="7459" spans="1:9">
      <c r="A7459" t="str">
        <f>"0104629 "</f>
        <v xml:space="preserve">0104629 </v>
      </c>
      <c r="B7459" t="s">
        <v>24560</v>
      </c>
      <c r="C7459" t="s">
        <v>24668</v>
      </c>
      <c r="D7459" t="str">
        <f>"0945435   SASIC - Р’С‚СѓР»РєР° СЃС‚Р°Р±С–Р»С–Р·Р°С‚РѕСЂР°"</f>
        <v>0945435   SASIC - Р’С‚СѓР»РєР° СЃС‚Р°Р±С–Р»С–Р·Р°С‚РѕСЂР°</v>
      </c>
      <c r="E7459">
        <v>3</v>
      </c>
      <c r="F7459" t="s">
        <v>24619</v>
      </c>
      <c r="G7459" t="s">
        <v>24560</v>
      </c>
      <c r="H7459" t="str">
        <f>"0945435"</f>
        <v>0945435</v>
      </c>
      <c r="I7459" t="s">
        <v>24669</v>
      </c>
    </row>
    <row r="7460" spans="1:9">
      <c r="A7460" t="str">
        <f>"0104637 "</f>
        <v xml:space="preserve">0104637 </v>
      </c>
      <c r="B7460" t="s">
        <v>24560</v>
      </c>
      <c r="C7460" t="s">
        <v>24670</v>
      </c>
      <c r="D7460" t="str">
        <f>"0945635   SASIC - Р’С‚СѓР»РєР° СЃС‚Р°Р±С–Р»С–Р·Р°С‚РѕСЂР°"</f>
        <v>0945635   SASIC - Р’С‚СѓР»РєР° СЃС‚Р°Р±С–Р»С–Р·Р°С‚РѕСЂР°</v>
      </c>
      <c r="E7460">
        <v>2</v>
      </c>
      <c r="F7460" t="s">
        <v>24671</v>
      </c>
      <c r="G7460" t="s">
        <v>24560</v>
      </c>
      <c r="H7460" t="str">
        <f>"0945635"</f>
        <v>0945635</v>
      </c>
      <c r="I7460" t="s">
        <v>24672</v>
      </c>
    </row>
    <row r="7461" spans="1:9">
      <c r="A7461" t="str">
        <f>"0104638 "</f>
        <v xml:space="preserve">0104638 </v>
      </c>
      <c r="B7461" t="s">
        <v>24560</v>
      </c>
      <c r="C7461" t="s">
        <v>24673</v>
      </c>
      <c r="D7461" t="str">
        <f>"0945645   SASIC - Р’С‚СѓР»РєР° СЃС‚Р°Р±С–Р»С–Р·Р°С‚РѕСЂР°"</f>
        <v>0945645   SASIC - Р’С‚СѓР»РєР° СЃС‚Р°Р±С–Р»С–Р·Р°С‚РѕСЂР°</v>
      </c>
      <c r="E7461">
        <v>2</v>
      </c>
      <c r="F7461" t="s">
        <v>24674</v>
      </c>
      <c r="G7461" t="s">
        <v>24560</v>
      </c>
      <c r="H7461" t="str">
        <f>"0945645"</f>
        <v>0945645</v>
      </c>
      <c r="I7461" t="s">
        <v>24675</v>
      </c>
    </row>
    <row r="7462" spans="1:9">
      <c r="A7462" t="str">
        <f>"0104639 "</f>
        <v xml:space="preserve">0104639 </v>
      </c>
      <c r="B7462" t="s">
        <v>24560</v>
      </c>
      <c r="C7462" t="s">
        <v>24676</v>
      </c>
      <c r="D7462" t="str">
        <f>"0945655   SASIC - Р’С‚СѓР»РєР° СЃС‚Р°Р±С–Р»С–Р·Р°С‚РѕСЂР°"</f>
        <v>0945655   SASIC - Р’С‚СѓР»РєР° СЃС‚Р°Р±С–Р»С–Р·Р°С‚РѕСЂР°</v>
      </c>
      <c r="E7462" t="s">
        <v>16</v>
      </c>
      <c r="F7462" t="s">
        <v>24677</v>
      </c>
      <c r="G7462" t="s">
        <v>24560</v>
      </c>
      <c r="H7462" t="str">
        <f>"0945655"</f>
        <v>0945655</v>
      </c>
      <c r="I7462" t="s">
        <v>24678</v>
      </c>
    </row>
    <row r="7463" spans="1:9">
      <c r="A7463" t="str">
        <f>"0104643 "</f>
        <v xml:space="preserve">0104643 </v>
      </c>
      <c r="B7463" t="s">
        <v>24560</v>
      </c>
      <c r="C7463" t="s">
        <v>24679</v>
      </c>
      <c r="D7463" t="str">
        <f>"0945695   SASIC - Р’С‚СѓР»РєР° СЃС‚Р°Р±С–Р»С–Р·Р°С‚РѕСЂР°"</f>
        <v>0945695   SASIC - Р’С‚СѓР»РєР° СЃС‚Р°Р±С–Р»С–Р·Р°С‚РѕСЂР°</v>
      </c>
      <c r="E7463">
        <v>4</v>
      </c>
      <c r="F7463" t="s">
        <v>24680</v>
      </c>
      <c r="G7463" t="s">
        <v>24560</v>
      </c>
      <c r="H7463" t="str">
        <f>"0945695"</f>
        <v>0945695</v>
      </c>
      <c r="I7463" t="s">
        <v>24681</v>
      </c>
    </row>
    <row r="7464" spans="1:9">
      <c r="A7464" t="str">
        <f>"0104644 "</f>
        <v xml:space="preserve">0104644 </v>
      </c>
      <c r="B7464" t="s">
        <v>24560</v>
      </c>
      <c r="C7464" t="s">
        <v>24682</v>
      </c>
      <c r="D7464" t="str">
        <f>"0945705   SASIC - Р’С‚СѓР»РєР° СЃС‚Р°Р±С–Р»С–Р·Р°С‚РѕСЂР°"</f>
        <v>0945705   SASIC - Р’С‚СѓР»РєР° СЃС‚Р°Р±С–Р»С–Р·Р°С‚РѕСЂР°</v>
      </c>
      <c r="E7464">
        <v>2</v>
      </c>
      <c r="F7464" t="s">
        <v>24683</v>
      </c>
      <c r="G7464" t="s">
        <v>24560</v>
      </c>
      <c r="H7464" t="str">
        <f>"0945705"</f>
        <v>0945705</v>
      </c>
      <c r="I7464" t="s">
        <v>24684</v>
      </c>
    </row>
    <row r="7465" spans="1:9">
      <c r="A7465" t="str">
        <f>"0104648 "</f>
        <v xml:space="preserve">0104648 </v>
      </c>
      <c r="B7465" t="s">
        <v>24560</v>
      </c>
      <c r="C7465" t="s">
        <v>24685</v>
      </c>
      <c r="D7465" t="str">
        <f>"0945745   SASIC - Р’С‚СѓР»РєР° СЃС‚Р°Р±С–Р»С–Р·Р°С‚РѕСЂР°"</f>
        <v>0945745   SASIC - Р’С‚СѓР»РєР° СЃС‚Р°Р±С–Р»С–Р·Р°С‚РѕСЂР°</v>
      </c>
      <c r="E7465">
        <v>2</v>
      </c>
      <c r="F7465" t="s">
        <v>24686</v>
      </c>
      <c r="G7465" t="s">
        <v>24560</v>
      </c>
      <c r="H7465" t="str">
        <f>"0945745"</f>
        <v>0945745</v>
      </c>
      <c r="I7465" t="s">
        <v>24687</v>
      </c>
    </row>
    <row r="7466" spans="1:9">
      <c r="A7466" t="str">
        <f>"0104651 "</f>
        <v xml:space="preserve">0104651 </v>
      </c>
      <c r="B7466" t="s">
        <v>24560</v>
      </c>
      <c r="C7466" t="s">
        <v>24688</v>
      </c>
      <c r="D7466" t="str">
        <f>"0945775   SASIC - Р’С‚СѓР»РєР° СЃС‚Р°Р±С–Р»С–Р·Р°С‚РѕСЂР°"</f>
        <v>0945775   SASIC - Р’С‚СѓР»РєР° СЃС‚Р°Р±С–Р»С–Р·Р°С‚РѕСЂР°</v>
      </c>
      <c r="E7466">
        <v>4</v>
      </c>
      <c r="F7466" t="s">
        <v>24689</v>
      </c>
      <c r="G7466" t="s">
        <v>24560</v>
      </c>
      <c r="H7466" t="str">
        <f>"0945775"</f>
        <v>0945775</v>
      </c>
      <c r="I7466" t="s">
        <v>24690</v>
      </c>
    </row>
    <row r="7467" spans="1:9">
      <c r="A7467" t="str">
        <f>"0104654 "</f>
        <v xml:space="preserve">0104654 </v>
      </c>
      <c r="B7467" t="s">
        <v>24560</v>
      </c>
      <c r="C7467" t="s">
        <v>24691</v>
      </c>
      <c r="D7467" t="str">
        <f>"0945815   SASIC - Р’С‚СѓР»РєР° СЃС‚Р°Р±С–Р»С–Р·Р°С‚РѕСЂР°"</f>
        <v>0945815   SASIC - Р’С‚СѓР»РєР° СЃС‚Р°Р±С–Р»С–Р·Р°С‚РѕСЂР°</v>
      </c>
      <c r="E7467">
        <v>2</v>
      </c>
      <c r="F7467" t="s">
        <v>24692</v>
      </c>
      <c r="G7467" t="s">
        <v>24560</v>
      </c>
      <c r="H7467" t="str">
        <f>"0945815"</f>
        <v>0945815</v>
      </c>
      <c r="I7467" t="s">
        <v>24693</v>
      </c>
    </row>
    <row r="7468" spans="1:9">
      <c r="A7468" t="str">
        <f>"0104655 "</f>
        <v xml:space="preserve">0104655 </v>
      </c>
      <c r="B7468" t="s">
        <v>24560</v>
      </c>
      <c r="C7468" t="s">
        <v>24694</v>
      </c>
      <c r="D7468" t="str">
        <f>"0945835   SASIC - Р’С‚СѓР»РєР° СЃС‚Р°Р±С–Р»С–Р·Р°С‚РѕСЂР°"</f>
        <v>0945835   SASIC - Р’С‚СѓР»РєР° СЃС‚Р°Р±С–Р»С–Р·Р°С‚РѕСЂР°</v>
      </c>
      <c r="E7468">
        <v>2</v>
      </c>
      <c r="F7468" t="s">
        <v>24695</v>
      </c>
      <c r="G7468" t="s">
        <v>24560</v>
      </c>
      <c r="H7468" t="str">
        <f>"0945835"</f>
        <v>0945835</v>
      </c>
      <c r="I7468" t="s">
        <v>24696</v>
      </c>
    </row>
    <row r="7469" spans="1:9">
      <c r="A7469" t="str">
        <f>"0104656 "</f>
        <v xml:space="preserve">0104656 </v>
      </c>
      <c r="B7469" t="s">
        <v>24560</v>
      </c>
      <c r="C7469" t="s">
        <v>24697</v>
      </c>
      <c r="D7469" t="str">
        <f>"0945875   SASIC - Р’С‚СѓР»РєР° СЃС‚Р°Р±С–Р»С–Р·Р°С‚РѕСЂР°"</f>
        <v>0945875   SASIC - Р’С‚СѓР»РєР° СЃС‚Р°Р±С–Р»С–Р·Р°С‚РѕСЂР°</v>
      </c>
      <c r="E7469">
        <v>2</v>
      </c>
      <c r="F7469" t="s">
        <v>24680</v>
      </c>
      <c r="G7469" t="s">
        <v>24560</v>
      </c>
      <c r="H7469" t="str">
        <f>"0945875"</f>
        <v>0945875</v>
      </c>
      <c r="I7469" t="s">
        <v>24698</v>
      </c>
    </row>
    <row r="7470" spans="1:9">
      <c r="A7470" t="str">
        <f>"0104657 "</f>
        <v xml:space="preserve">0104657 </v>
      </c>
      <c r="B7470" t="s">
        <v>24560</v>
      </c>
      <c r="C7470" t="s">
        <v>24699</v>
      </c>
      <c r="D7470" t="str">
        <f>"0945885   SASIC - Р’С‚СѓР»РєР° СЃС‚Р°Р±С–Р»С–Р·Р°С‚РѕСЂР°"</f>
        <v>0945885   SASIC - Р’С‚СѓР»РєР° СЃС‚Р°Р±С–Р»С–Р·Р°С‚РѕСЂР°</v>
      </c>
      <c r="E7470">
        <v>4</v>
      </c>
      <c r="F7470" t="s">
        <v>24700</v>
      </c>
      <c r="G7470" t="s">
        <v>24560</v>
      </c>
      <c r="H7470" t="str">
        <f>"0945885"</f>
        <v>0945885</v>
      </c>
      <c r="I7470" t="s">
        <v>24701</v>
      </c>
    </row>
    <row r="7471" spans="1:9">
      <c r="A7471" t="str">
        <f>"0104658 "</f>
        <v xml:space="preserve">0104658 </v>
      </c>
      <c r="B7471" t="s">
        <v>24560</v>
      </c>
      <c r="C7471" t="s">
        <v>24702</v>
      </c>
      <c r="D7471" t="str">
        <f>"0945895   SASIC - Р’С‚СѓР»РєР° СЃС‚Р°Р±С–Р»С–Р·Р°С‚РѕСЂР°"</f>
        <v>0945895   SASIC - Р’С‚СѓР»РєР° СЃС‚Р°Р±С–Р»С–Р·Р°С‚РѕСЂР°</v>
      </c>
      <c r="E7471">
        <v>2</v>
      </c>
      <c r="F7471" t="s">
        <v>24686</v>
      </c>
      <c r="G7471" t="s">
        <v>24560</v>
      </c>
      <c r="H7471" t="str">
        <f>"0945895"</f>
        <v>0945895</v>
      </c>
      <c r="I7471" t="s">
        <v>24703</v>
      </c>
    </row>
    <row r="7472" spans="1:9">
      <c r="A7472" t="str">
        <f>"0104968 "</f>
        <v xml:space="preserve">0104968 </v>
      </c>
      <c r="B7472" t="s">
        <v>24560</v>
      </c>
      <c r="C7472" t="s">
        <v>24704</v>
      </c>
      <c r="D7472" t="s">
        <v>24705</v>
      </c>
      <c r="E7472">
        <v>2</v>
      </c>
      <c r="F7472" t="s">
        <v>24706</v>
      </c>
      <c r="G7472" t="s">
        <v>24560</v>
      </c>
      <c r="H7472">
        <v>1213093</v>
      </c>
      <c r="I7472" t="s">
        <v>24707</v>
      </c>
    </row>
    <row r="7473" spans="1:9">
      <c r="A7473" t="str">
        <f>"0104970 "</f>
        <v xml:space="preserve">0104970 </v>
      </c>
      <c r="B7473" t="s">
        <v>24560</v>
      </c>
      <c r="C7473" t="s">
        <v>24708</v>
      </c>
      <c r="D7473" t="s">
        <v>24709</v>
      </c>
      <c r="E7473">
        <v>3</v>
      </c>
      <c r="F7473" t="s">
        <v>24710</v>
      </c>
      <c r="G7473" t="s">
        <v>24560</v>
      </c>
      <c r="H7473">
        <v>1213243</v>
      </c>
      <c r="I7473" t="s">
        <v>24711</v>
      </c>
    </row>
    <row r="7474" spans="1:9">
      <c r="A7474" t="str">
        <f>"0104972 "</f>
        <v xml:space="preserve">0104972 </v>
      </c>
      <c r="B7474" t="s">
        <v>24560</v>
      </c>
      <c r="C7474" t="s">
        <v>24712</v>
      </c>
      <c r="D7474" t="s">
        <v>24713</v>
      </c>
      <c r="E7474">
        <v>2</v>
      </c>
      <c r="F7474" t="s">
        <v>24714</v>
      </c>
      <c r="G7474" t="s">
        <v>24560</v>
      </c>
      <c r="H7474">
        <v>1213273</v>
      </c>
      <c r="I7474" t="s">
        <v>24715</v>
      </c>
    </row>
    <row r="7475" spans="1:9">
      <c r="A7475" t="str">
        <f>"0104973 "</f>
        <v xml:space="preserve">0104973 </v>
      </c>
      <c r="B7475" t="s">
        <v>24560</v>
      </c>
      <c r="C7475" t="s">
        <v>24716</v>
      </c>
      <c r="D7475" t="s">
        <v>24717</v>
      </c>
      <c r="E7475">
        <v>4</v>
      </c>
      <c r="F7475" t="s">
        <v>24718</v>
      </c>
      <c r="G7475" t="s">
        <v>24560</v>
      </c>
      <c r="H7475">
        <v>1213443</v>
      </c>
      <c r="I7475" t="s">
        <v>24719</v>
      </c>
    </row>
    <row r="7476" spans="1:9">
      <c r="A7476" t="str">
        <f>"0104974 "</f>
        <v xml:space="preserve">0104974 </v>
      </c>
      <c r="B7476" t="s">
        <v>24560</v>
      </c>
      <c r="C7476" t="s">
        <v>24720</v>
      </c>
      <c r="D7476" t="s">
        <v>24721</v>
      </c>
      <c r="E7476">
        <v>1</v>
      </c>
      <c r="F7476" t="s">
        <v>24722</v>
      </c>
      <c r="G7476" t="s">
        <v>24560</v>
      </c>
      <c r="H7476">
        <v>1213463</v>
      </c>
      <c r="I7476" t="s">
        <v>24723</v>
      </c>
    </row>
    <row r="7477" spans="1:9">
      <c r="A7477" t="str">
        <f>"0105000 "</f>
        <v xml:space="preserve">0105000 </v>
      </c>
      <c r="B7477" t="s">
        <v>24560</v>
      </c>
      <c r="C7477" t="s">
        <v>24724</v>
      </c>
      <c r="D7477" t="s">
        <v>24725</v>
      </c>
      <c r="E7477" t="s">
        <v>16</v>
      </c>
      <c r="F7477" t="s">
        <v>24722</v>
      </c>
      <c r="G7477" t="s">
        <v>24560</v>
      </c>
      <c r="H7477">
        <v>1315475</v>
      </c>
      <c r="I7477" t="s">
        <v>24726</v>
      </c>
    </row>
    <row r="7478" spans="1:9">
      <c r="A7478" t="str">
        <f>"0105002 "</f>
        <v xml:space="preserve">0105002 </v>
      </c>
      <c r="B7478" t="s">
        <v>24560</v>
      </c>
      <c r="C7478" t="s">
        <v>24727</v>
      </c>
      <c r="D7478" t="s">
        <v>24728</v>
      </c>
      <c r="E7478">
        <v>1</v>
      </c>
      <c r="F7478" t="s">
        <v>24729</v>
      </c>
      <c r="G7478" t="s">
        <v>24560</v>
      </c>
      <c r="H7478">
        <v>1315495</v>
      </c>
      <c r="I7478" t="s">
        <v>24730</v>
      </c>
    </row>
    <row r="7479" spans="1:9">
      <c r="A7479" t="str">
        <f>"0105003 "</f>
        <v xml:space="preserve">0105003 </v>
      </c>
      <c r="B7479" t="s">
        <v>24560</v>
      </c>
      <c r="C7479" t="s">
        <v>24731</v>
      </c>
      <c r="D7479" t="s">
        <v>24732</v>
      </c>
      <c r="E7479">
        <v>2</v>
      </c>
      <c r="F7479" t="s">
        <v>24733</v>
      </c>
      <c r="G7479" t="s">
        <v>24560</v>
      </c>
      <c r="H7479">
        <v>1315525</v>
      </c>
      <c r="I7479" t="s">
        <v>24734</v>
      </c>
    </row>
    <row r="7480" spans="1:9">
      <c r="A7480" t="str">
        <f>"0105007 "</f>
        <v xml:space="preserve">0105007 </v>
      </c>
      <c r="B7480" t="s">
        <v>24560</v>
      </c>
      <c r="C7480" t="s">
        <v>24735</v>
      </c>
      <c r="D7480" t="s">
        <v>24736</v>
      </c>
      <c r="E7480">
        <v>2</v>
      </c>
      <c r="F7480" t="s">
        <v>24737</v>
      </c>
      <c r="G7480" t="s">
        <v>24560</v>
      </c>
      <c r="H7480">
        <v>1315565</v>
      </c>
      <c r="I7480" t="s">
        <v>24738</v>
      </c>
    </row>
    <row r="7481" spans="1:9">
      <c r="A7481" t="str">
        <f>"0105015 "</f>
        <v xml:space="preserve">0105015 </v>
      </c>
      <c r="B7481" t="s">
        <v>24560</v>
      </c>
      <c r="C7481" t="s">
        <v>24739</v>
      </c>
      <c r="D7481" t="s">
        <v>24740</v>
      </c>
      <c r="E7481">
        <v>2</v>
      </c>
      <c r="F7481" t="s">
        <v>24741</v>
      </c>
      <c r="G7481" t="s">
        <v>24560</v>
      </c>
      <c r="H7481">
        <v>1315725</v>
      </c>
      <c r="I7481" t="s">
        <v>24742</v>
      </c>
    </row>
    <row r="7482" spans="1:9">
      <c r="A7482" t="str">
        <f>"0105023 "</f>
        <v xml:space="preserve">0105023 </v>
      </c>
      <c r="B7482" t="s">
        <v>24560</v>
      </c>
      <c r="C7482" t="s">
        <v>24743</v>
      </c>
      <c r="D7482" t="s">
        <v>24744</v>
      </c>
      <c r="E7482">
        <v>2</v>
      </c>
      <c r="F7482" t="s">
        <v>24745</v>
      </c>
      <c r="G7482" t="s">
        <v>24560</v>
      </c>
      <c r="H7482">
        <v>1315935</v>
      </c>
      <c r="I7482" t="s">
        <v>24746</v>
      </c>
    </row>
    <row r="7483" spans="1:9">
      <c r="A7483" t="str">
        <f>"0105024 "</f>
        <v xml:space="preserve">0105024 </v>
      </c>
      <c r="B7483" t="s">
        <v>24560</v>
      </c>
      <c r="C7483" t="s">
        <v>24747</v>
      </c>
      <c r="D7483" t="s">
        <v>24748</v>
      </c>
      <c r="E7483">
        <v>2</v>
      </c>
      <c r="F7483" t="s">
        <v>24749</v>
      </c>
      <c r="G7483" t="s">
        <v>24560</v>
      </c>
      <c r="H7483">
        <v>1315945</v>
      </c>
      <c r="I7483" t="s">
        <v>24746</v>
      </c>
    </row>
    <row r="7484" spans="1:9">
      <c r="A7484" t="str">
        <f>"0105025 "</f>
        <v xml:space="preserve">0105025 </v>
      </c>
      <c r="B7484" t="s">
        <v>24560</v>
      </c>
      <c r="C7484" t="s">
        <v>24750</v>
      </c>
      <c r="D7484" t="s">
        <v>24751</v>
      </c>
      <c r="E7484">
        <v>4</v>
      </c>
      <c r="F7484" t="s">
        <v>24752</v>
      </c>
      <c r="G7484" t="s">
        <v>24560</v>
      </c>
      <c r="H7484">
        <v>1315955</v>
      </c>
      <c r="I7484" t="s">
        <v>22069</v>
      </c>
    </row>
    <row r="7485" spans="1:9">
      <c r="A7485" t="str">
        <f>"0105026 "</f>
        <v xml:space="preserve">0105026 </v>
      </c>
      <c r="B7485" t="s">
        <v>24560</v>
      </c>
      <c r="C7485" t="s">
        <v>24753</v>
      </c>
      <c r="D7485" t="s">
        <v>24754</v>
      </c>
      <c r="E7485">
        <v>1</v>
      </c>
      <c r="F7485" t="s">
        <v>8741</v>
      </c>
      <c r="G7485" t="s">
        <v>24560</v>
      </c>
      <c r="H7485">
        <v>1315965</v>
      </c>
      <c r="I7485" t="s">
        <v>24755</v>
      </c>
    </row>
    <row r="7486" spans="1:9">
      <c r="A7486" t="str">
        <f>"0105038 "</f>
        <v xml:space="preserve">0105038 </v>
      </c>
      <c r="B7486" t="s">
        <v>24560</v>
      </c>
      <c r="C7486" t="s">
        <v>24756</v>
      </c>
      <c r="D7486" t="s">
        <v>24757</v>
      </c>
      <c r="E7486">
        <v>4</v>
      </c>
      <c r="F7486" t="s">
        <v>24758</v>
      </c>
      <c r="G7486" t="s">
        <v>24560</v>
      </c>
      <c r="H7486">
        <v>1325605</v>
      </c>
      <c r="I7486" t="s">
        <v>24759</v>
      </c>
    </row>
    <row r="7487" spans="1:9">
      <c r="A7487" t="str">
        <f>"0105039 "</f>
        <v xml:space="preserve">0105039 </v>
      </c>
      <c r="B7487" t="s">
        <v>24560</v>
      </c>
      <c r="C7487" t="s">
        <v>24760</v>
      </c>
      <c r="D7487" t="s">
        <v>24761</v>
      </c>
      <c r="E7487">
        <v>2</v>
      </c>
      <c r="F7487" t="s">
        <v>22761</v>
      </c>
      <c r="G7487" t="s">
        <v>24560</v>
      </c>
      <c r="H7487">
        <v>1325725</v>
      </c>
      <c r="I7487" t="s">
        <v>22069</v>
      </c>
    </row>
    <row r="7488" spans="1:9">
      <c r="A7488" t="str">
        <f>"0105040 "</f>
        <v xml:space="preserve">0105040 </v>
      </c>
      <c r="B7488" t="s">
        <v>24560</v>
      </c>
      <c r="C7488" t="s">
        <v>24762</v>
      </c>
      <c r="D7488" t="s">
        <v>24763</v>
      </c>
      <c r="E7488">
        <v>4</v>
      </c>
      <c r="F7488" t="s">
        <v>14710</v>
      </c>
      <c r="G7488" t="s">
        <v>24560</v>
      </c>
      <c r="H7488">
        <v>1325735</v>
      </c>
      <c r="I7488" t="s">
        <v>24764</v>
      </c>
    </row>
    <row r="7489" spans="1:9">
      <c r="A7489" t="str">
        <f>"0105045 "</f>
        <v xml:space="preserve">0105045 </v>
      </c>
      <c r="B7489" t="s">
        <v>24560</v>
      </c>
      <c r="C7489" t="s">
        <v>24765</v>
      </c>
      <c r="D7489" t="s">
        <v>24766</v>
      </c>
      <c r="E7489">
        <v>4</v>
      </c>
      <c r="F7489" t="s">
        <v>24767</v>
      </c>
      <c r="G7489" t="s">
        <v>24560</v>
      </c>
      <c r="H7489">
        <v>1425325</v>
      </c>
      <c r="I7489" t="s">
        <v>24768</v>
      </c>
    </row>
    <row r="7490" spans="1:9">
      <c r="A7490" t="str">
        <f>"0105055 "</f>
        <v xml:space="preserve">0105055 </v>
      </c>
      <c r="B7490" t="s">
        <v>24560</v>
      </c>
      <c r="C7490" t="s">
        <v>24769</v>
      </c>
      <c r="D7490" t="s">
        <v>24770</v>
      </c>
      <c r="E7490">
        <v>4</v>
      </c>
      <c r="F7490" t="s">
        <v>24771</v>
      </c>
      <c r="G7490" t="s">
        <v>24560</v>
      </c>
      <c r="H7490">
        <v>1525615</v>
      </c>
      <c r="I7490" t="s">
        <v>24772</v>
      </c>
    </row>
    <row r="7491" spans="1:9">
      <c r="A7491" t="str">
        <f>"0105056 "</f>
        <v xml:space="preserve">0105056 </v>
      </c>
      <c r="B7491" t="s">
        <v>24560</v>
      </c>
      <c r="C7491" t="s">
        <v>24773</v>
      </c>
      <c r="D7491" t="s">
        <v>24774</v>
      </c>
      <c r="E7491">
        <v>1</v>
      </c>
      <c r="F7491" t="s">
        <v>24775</v>
      </c>
      <c r="G7491" t="s">
        <v>24560</v>
      </c>
      <c r="H7491">
        <v>1525625</v>
      </c>
      <c r="I7491" t="s">
        <v>24776</v>
      </c>
    </row>
    <row r="7492" spans="1:9">
      <c r="A7492" t="str">
        <f>"0105067 "</f>
        <v xml:space="preserve">0105067 </v>
      </c>
      <c r="B7492" t="s">
        <v>24560</v>
      </c>
      <c r="C7492" t="s">
        <v>24777</v>
      </c>
      <c r="D7492" t="s">
        <v>24778</v>
      </c>
      <c r="E7492" t="s">
        <v>16</v>
      </c>
      <c r="F7492" t="s">
        <v>24575</v>
      </c>
      <c r="G7492" t="s">
        <v>24560</v>
      </c>
      <c r="H7492">
        <v>1615205</v>
      </c>
      <c r="I7492" t="s">
        <v>24779</v>
      </c>
    </row>
    <row r="7493" spans="1:9">
      <c r="A7493" t="str">
        <f>"0105345 "</f>
        <v xml:space="preserve">0105345 </v>
      </c>
      <c r="B7493" t="s">
        <v>24560</v>
      </c>
      <c r="C7493" t="s">
        <v>24780</v>
      </c>
      <c r="D7493" t="s">
        <v>24781</v>
      </c>
      <c r="E7493">
        <v>3</v>
      </c>
      <c r="F7493" s="1">
        <v>43017</v>
      </c>
      <c r="G7493" t="s">
        <v>24560</v>
      </c>
      <c r="H7493">
        <v>1630210</v>
      </c>
      <c r="I7493" t="s">
        <v>24782</v>
      </c>
    </row>
    <row r="7494" spans="1:9">
      <c r="A7494" t="str">
        <f>"0105346 "</f>
        <v xml:space="preserve">0105346 </v>
      </c>
      <c r="B7494" t="s">
        <v>24560</v>
      </c>
      <c r="C7494" t="s">
        <v>24783</v>
      </c>
      <c r="D7494" t="s">
        <v>24784</v>
      </c>
      <c r="E7494" t="s">
        <v>16</v>
      </c>
      <c r="F7494" s="3">
        <v>26299</v>
      </c>
      <c r="G7494" t="s">
        <v>24560</v>
      </c>
      <c r="H7494">
        <v>1640020</v>
      </c>
      <c r="I7494" t="s">
        <v>24785</v>
      </c>
    </row>
    <row r="7495" spans="1:9">
      <c r="A7495" t="str">
        <f>"0105347 "</f>
        <v xml:space="preserve">0105347 </v>
      </c>
      <c r="B7495" t="s">
        <v>24560</v>
      </c>
      <c r="C7495" t="s">
        <v>24786</v>
      </c>
      <c r="D7495" t="s">
        <v>24787</v>
      </c>
      <c r="E7495" t="s">
        <v>16</v>
      </c>
      <c r="F7495" s="3">
        <v>42125</v>
      </c>
      <c r="G7495" t="s">
        <v>24560</v>
      </c>
      <c r="H7495">
        <v>1640540</v>
      </c>
      <c r="I7495" t="s">
        <v>24788</v>
      </c>
    </row>
    <row r="7496" spans="1:9">
      <c r="A7496" t="str">
        <f>"0105349 "</f>
        <v xml:space="preserve">0105349 </v>
      </c>
      <c r="B7496" t="s">
        <v>24560</v>
      </c>
      <c r="C7496" t="s">
        <v>24789</v>
      </c>
      <c r="D7496" t="s">
        <v>24790</v>
      </c>
      <c r="E7496">
        <v>2</v>
      </c>
      <c r="F7496" t="s">
        <v>8336</v>
      </c>
      <c r="G7496" t="s">
        <v>24560</v>
      </c>
      <c r="H7496">
        <v>1645345</v>
      </c>
      <c r="I7496" t="s">
        <v>24791</v>
      </c>
    </row>
    <row r="7497" spans="1:9">
      <c r="A7497" t="str">
        <f>"0105362 "</f>
        <v xml:space="preserve">0105362 </v>
      </c>
      <c r="B7497" t="s">
        <v>24560</v>
      </c>
      <c r="C7497" t="s">
        <v>24792</v>
      </c>
      <c r="D7497" t="s">
        <v>24793</v>
      </c>
      <c r="E7497">
        <v>2</v>
      </c>
      <c r="F7497" t="s">
        <v>24794</v>
      </c>
      <c r="G7497" t="s">
        <v>24560</v>
      </c>
      <c r="H7497">
        <v>1665635</v>
      </c>
      <c r="I7497" t="s">
        <v>24795</v>
      </c>
    </row>
    <row r="7498" spans="1:9">
      <c r="A7498" t="str">
        <f>"0105365 "</f>
        <v xml:space="preserve">0105365 </v>
      </c>
      <c r="B7498" t="s">
        <v>24560</v>
      </c>
      <c r="C7498" t="s">
        <v>24796</v>
      </c>
      <c r="D7498" t="s">
        <v>24797</v>
      </c>
      <c r="E7498">
        <v>2</v>
      </c>
      <c r="F7498" t="s">
        <v>24798</v>
      </c>
      <c r="G7498" t="s">
        <v>24560</v>
      </c>
      <c r="H7498">
        <v>1665675</v>
      </c>
      <c r="I7498" t="s">
        <v>24799</v>
      </c>
    </row>
    <row r="7499" spans="1:9">
      <c r="A7499" t="str">
        <f>"0105434 "</f>
        <v xml:space="preserve">0105434 </v>
      </c>
      <c r="B7499" t="s">
        <v>24560</v>
      </c>
      <c r="C7499" t="s">
        <v>24800</v>
      </c>
      <c r="D7499" t="s">
        <v>24801</v>
      </c>
      <c r="E7499">
        <v>1</v>
      </c>
      <c r="F7499" t="s">
        <v>24802</v>
      </c>
      <c r="G7499" t="s">
        <v>24560</v>
      </c>
      <c r="H7499">
        <v>1715095</v>
      </c>
      <c r="I7499" t="s">
        <v>24803</v>
      </c>
    </row>
    <row r="7500" spans="1:9">
      <c r="A7500" t="str">
        <f>"0105435 "</f>
        <v xml:space="preserve">0105435 </v>
      </c>
      <c r="B7500" t="s">
        <v>24560</v>
      </c>
      <c r="C7500" t="s">
        <v>24804</v>
      </c>
      <c r="D7500" t="s">
        <v>24805</v>
      </c>
      <c r="E7500">
        <v>1</v>
      </c>
      <c r="F7500" t="s">
        <v>24806</v>
      </c>
      <c r="G7500" t="s">
        <v>24560</v>
      </c>
      <c r="H7500">
        <v>1715105</v>
      </c>
      <c r="I7500" t="s">
        <v>24807</v>
      </c>
    </row>
    <row r="7501" spans="1:9">
      <c r="A7501" t="str">
        <f>"0105436 "</f>
        <v xml:space="preserve">0105436 </v>
      </c>
      <c r="B7501" t="s">
        <v>24560</v>
      </c>
      <c r="C7501" t="s">
        <v>24808</v>
      </c>
      <c r="D7501" t="s">
        <v>24809</v>
      </c>
      <c r="E7501" t="s">
        <v>16</v>
      </c>
      <c r="F7501" t="s">
        <v>8483</v>
      </c>
      <c r="G7501" t="s">
        <v>24560</v>
      </c>
      <c r="H7501">
        <v>1715115</v>
      </c>
      <c r="I7501" t="s">
        <v>21899</v>
      </c>
    </row>
    <row r="7502" spans="1:9">
      <c r="A7502" t="str">
        <f>"0105441 "</f>
        <v xml:space="preserve">0105441 </v>
      </c>
      <c r="B7502" t="s">
        <v>24560</v>
      </c>
      <c r="C7502" t="s">
        <v>24810</v>
      </c>
      <c r="D7502" t="s">
        <v>24811</v>
      </c>
      <c r="E7502">
        <v>2</v>
      </c>
      <c r="F7502" t="s">
        <v>24812</v>
      </c>
      <c r="G7502" t="s">
        <v>24560</v>
      </c>
      <c r="H7502">
        <v>1725425</v>
      </c>
      <c r="I7502" t="s">
        <v>24813</v>
      </c>
    </row>
    <row r="7503" spans="1:9">
      <c r="A7503" t="str">
        <f>"0105442 "</f>
        <v xml:space="preserve">0105442 </v>
      </c>
      <c r="B7503" t="s">
        <v>24560</v>
      </c>
      <c r="C7503" t="s">
        <v>24814</v>
      </c>
      <c r="D7503" t="s">
        <v>24815</v>
      </c>
      <c r="E7503">
        <v>2</v>
      </c>
      <c r="F7503" t="s">
        <v>8598</v>
      </c>
      <c r="G7503" t="s">
        <v>24560</v>
      </c>
      <c r="H7503">
        <v>1725435</v>
      </c>
      <c r="I7503" t="s">
        <v>24816</v>
      </c>
    </row>
    <row r="7504" spans="1:9">
      <c r="A7504" t="str">
        <f>"0105849 "</f>
        <v xml:space="preserve">0105849 </v>
      </c>
      <c r="B7504" t="s">
        <v>24560</v>
      </c>
      <c r="C7504" t="s">
        <v>24817</v>
      </c>
      <c r="D7504" t="s">
        <v>24818</v>
      </c>
      <c r="E7504">
        <v>1</v>
      </c>
      <c r="F7504" t="s">
        <v>24819</v>
      </c>
      <c r="G7504" t="s">
        <v>24560</v>
      </c>
      <c r="H7504">
        <v>1785385</v>
      </c>
      <c r="I7504" t="s">
        <v>24820</v>
      </c>
    </row>
    <row r="7505" spans="1:9">
      <c r="A7505" t="str">
        <f>"0105850 "</f>
        <v xml:space="preserve">0105850 </v>
      </c>
      <c r="B7505" t="s">
        <v>24560</v>
      </c>
      <c r="C7505" t="s">
        <v>24821</v>
      </c>
      <c r="D7505" t="s">
        <v>24822</v>
      </c>
      <c r="E7505">
        <v>2</v>
      </c>
      <c r="F7505" t="s">
        <v>20029</v>
      </c>
      <c r="G7505" t="s">
        <v>24560</v>
      </c>
      <c r="H7505">
        <v>1785395</v>
      </c>
      <c r="I7505" t="s">
        <v>24820</v>
      </c>
    </row>
    <row r="7506" spans="1:9">
      <c r="A7506" t="str">
        <f>"0105857 "</f>
        <v xml:space="preserve">0105857 </v>
      </c>
      <c r="B7506" t="s">
        <v>24560</v>
      </c>
      <c r="C7506" t="s">
        <v>24823</v>
      </c>
      <c r="D7506" t="s">
        <v>24824</v>
      </c>
      <c r="E7506">
        <v>1</v>
      </c>
      <c r="F7506" t="s">
        <v>24825</v>
      </c>
      <c r="G7506" t="s">
        <v>24560</v>
      </c>
      <c r="H7506">
        <v>1900002</v>
      </c>
      <c r="I7506" t="s">
        <v>24826</v>
      </c>
    </row>
    <row r="7507" spans="1:9">
      <c r="A7507" t="str">
        <f>"0105859 "</f>
        <v xml:space="preserve">0105859 </v>
      </c>
      <c r="B7507" t="s">
        <v>24560</v>
      </c>
      <c r="C7507" t="s">
        <v>24827</v>
      </c>
      <c r="D7507" t="s">
        <v>24828</v>
      </c>
      <c r="E7507">
        <v>1</v>
      </c>
      <c r="F7507" t="s">
        <v>24829</v>
      </c>
      <c r="G7507" t="s">
        <v>24560</v>
      </c>
      <c r="H7507">
        <v>1900004</v>
      </c>
      <c r="I7507" t="s">
        <v>24830</v>
      </c>
    </row>
    <row r="7508" spans="1:9">
      <c r="A7508" t="str">
        <f>"0105864 "</f>
        <v xml:space="preserve">0105864 </v>
      </c>
      <c r="B7508" t="s">
        <v>24560</v>
      </c>
      <c r="C7508" t="s">
        <v>24831</v>
      </c>
      <c r="D7508" t="s">
        <v>24832</v>
      </c>
      <c r="E7508">
        <v>1</v>
      </c>
      <c r="F7508" t="s">
        <v>24833</v>
      </c>
      <c r="G7508" t="s">
        <v>24560</v>
      </c>
      <c r="H7508">
        <v>1900009</v>
      </c>
      <c r="I7508" t="s">
        <v>24834</v>
      </c>
    </row>
    <row r="7509" spans="1:9">
      <c r="A7509" t="str">
        <f>"0105866 "</f>
        <v xml:space="preserve">0105866 </v>
      </c>
      <c r="B7509" t="s">
        <v>24560</v>
      </c>
      <c r="C7509" t="s">
        <v>24835</v>
      </c>
      <c r="D7509" t="s">
        <v>24836</v>
      </c>
      <c r="E7509">
        <v>1</v>
      </c>
      <c r="F7509" t="s">
        <v>24837</v>
      </c>
      <c r="G7509" t="s">
        <v>24560</v>
      </c>
      <c r="H7509">
        <v>1900012</v>
      </c>
      <c r="I7509" t="s">
        <v>24838</v>
      </c>
    </row>
    <row r="7510" spans="1:9">
      <c r="A7510" t="str">
        <f>"0105869 "</f>
        <v xml:space="preserve">0105869 </v>
      </c>
      <c r="B7510" t="s">
        <v>24560</v>
      </c>
      <c r="C7510" t="s">
        <v>24839</v>
      </c>
      <c r="D7510" t="s">
        <v>24840</v>
      </c>
      <c r="E7510">
        <v>1</v>
      </c>
      <c r="F7510" t="s">
        <v>24841</v>
      </c>
      <c r="G7510" t="s">
        <v>24560</v>
      </c>
      <c r="H7510">
        <v>1900016</v>
      </c>
      <c r="I7510" t="s">
        <v>24842</v>
      </c>
    </row>
    <row r="7511" spans="1:9">
      <c r="A7511" t="str">
        <f>"0105871 "</f>
        <v xml:space="preserve">0105871 </v>
      </c>
      <c r="B7511" t="s">
        <v>24560</v>
      </c>
      <c r="C7511" t="s">
        <v>24843</v>
      </c>
      <c r="D7511" t="s">
        <v>24844</v>
      </c>
      <c r="E7511">
        <v>2</v>
      </c>
      <c r="F7511" t="s">
        <v>24845</v>
      </c>
      <c r="G7511" t="s">
        <v>24560</v>
      </c>
      <c r="H7511">
        <v>1904003</v>
      </c>
      <c r="I7511" t="s">
        <v>24846</v>
      </c>
    </row>
    <row r="7512" spans="1:9">
      <c r="A7512" t="str">
        <f>"0105873 "</f>
        <v xml:space="preserve">0105873 </v>
      </c>
      <c r="B7512" t="s">
        <v>24560</v>
      </c>
      <c r="C7512" t="s">
        <v>24847</v>
      </c>
      <c r="D7512" t="s">
        <v>24848</v>
      </c>
      <c r="E7512">
        <v>1</v>
      </c>
      <c r="F7512" t="s">
        <v>24849</v>
      </c>
      <c r="G7512" t="s">
        <v>24560</v>
      </c>
      <c r="H7512">
        <v>1904006</v>
      </c>
      <c r="I7512" t="s">
        <v>24850</v>
      </c>
    </row>
    <row r="7513" spans="1:9">
      <c r="A7513" t="str">
        <f>"0188208 "</f>
        <v xml:space="preserve">0188208 </v>
      </c>
      <c r="B7513" t="s">
        <v>24560</v>
      </c>
      <c r="C7513" t="s">
        <v>24851</v>
      </c>
      <c r="D7513" t="s">
        <v>24852</v>
      </c>
      <c r="E7513">
        <v>1</v>
      </c>
      <c r="F7513" t="s">
        <v>24853</v>
      </c>
      <c r="G7513" t="s">
        <v>24560</v>
      </c>
      <c r="H7513">
        <v>1904008</v>
      </c>
      <c r="I7513" t="s">
        <v>24854</v>
      </c>
    </row>
    <row r="7514" spans="1:9">
      <c r="A7514" t="str">
        <f>"0105878 "</f>
        <v xml:space="preserve">0105878 </v>
      </c>
      <c r="B7514" t="s">
        <v>24560</v>
      </c>
      <c r="C7514" t="s">
        <v>24855</v>
      </c>
      <c r="D7514" t="s">
        <v>24856</v>
      </c>
      <c r="E7514">
        <v>2</v>
      </c>
      <c r="F7514" t="s">
        <v>24857</v>
      </c>
      <c r="G7514" t="s">
        <v>24560</v>
      </c>
      <c r="H7514">
        <v>1904013</v>
      </c>
      <c r="I7514" t="s">
        <v>24858</v>
      </c>
    </row>
    <row r="7515" spans="1:9">
      <c r="A7515" t="str">
        <f>"0152423 "</f>
        <v xml:space="preserve">0152423 </v>
      </c>
      <c r="B7515" t="s">
        <v>24560</v>
      </c>
      <c r="C7515" t="s">
        <v>24859</v>
      </c>
      <c r="D7515" t="s">
        <v>24860</v>
      </c>
      <c r="E7515">
        <v>2</v>
      </c>
      <c r="F7515" t="s">
        <v>9896</v>
      </c>
      <c r="G7515" t="s">
        <v>24560</v>
      </c>
      <c r="H7515">
        <v>1904017</v>
      </c>
      <c r="I7515" t="s">
        <v>24861</v>
      </c>
    </row>
    <row r="7516" spans="1:9">
      <c r="A7516" t="str">
        <f>"0105883 "</f>
        <v xml:space="preserve">0105883 </v>
      </c>
      <c r="B7516" t="s">
        <v>24560</v>
      </c>
      <c r="C7516" t="s">
        <v>24862</v>
      </c>
      <c r="D7516" t="s">
        <v>24863</v>
      </c>
      <c r="E7516">
        <v>2</v>
      </c>
      <c r="F7516" t="s">
        <v>24864</v>
      </c>
      <c r="G7516" t="s">
        <v>24560</v>
      </c>
      <c r="H7516">
        <v>1904020</v>
      </c>
      <c r="I7516" t="s">
        <v>24865</v>
      </c>
    </row>
    <row r="7517" spans="1:9">
      <c r="A7517" t="str">
        <f>"0105886 "</f>
        <v xml:space="preserve">0105886 </v>
      </c>
      <c r="B7517" t="s">
        <v>24560</v>
      </c>
      <c r="C7517" t="s">
        <v>24866</v>
      </c>
      <c r="D7517" t="s">
        <v>24867</v>
      </c>
      <c r="E7517">
        <v>1</v>
      </c>
      <c r="F7517" t="s">
        <v>24644</v>
      </c>
      <c r="G7517" t="s">
        <v>24560</v>
      </c>
      <c r="H7517">
        <v>1904023</v>
      </c>
      <c r="I7517" t="s">
        <v>24868</v>
      </c>
    </row>
    <row r="7518" spans="1:9">
      <c r="A7518" t="str">
        <f>"0105896 "</f>
        <v xml:space="preserve">0105896 </v>
      </c>
      <c r="B7518" t="s">
        <v>24560</v>
      </c>
      <c r="C7518" t="s">
        <v>24869</v>
      </c>
      <c r="D7518" t="s">
        <v>24870</v>
      </c>
      <c r="E7518">
        <v>2</v>
      </c>
      <c r="F7518" t="s">
        <v>24871</v>
      </c>
      <c r="G7518" t="s">
        <v>24560</v>
      </c>
      <c r="H7518">
        <v>1904035</v>
      </c>
      <c r="I7518" t="s">
        <v>24872</v>
      </c>
    </row>
    <row r="7519" spans="1:9">
      <c r="A7519" t="str">
        <f>"0152424 "</f>
        <v xml:space="preserve">0152424 </v>
      </c>
      <c r="B7519" t="s">
        <v>24560</v>
      </c>
      <c r="C7519" t="s">
        <v>24873</v>
      </c>
      <c r="D7519" t="s">
        <v>24874</v>
      </c>
      <c r="E7519">
        <v>1</v>
      </c>
      <c r="F7519" t="s">
        <v>24875</v>
      </c>
      <c r="G7519" t="s">
        <v>24560</v>
      </c>
      <c r="H7519">
        <v>1904037</v>
      </c>
      <c r="I7519" t="s">
        <v>24876</v>
      </c>
    </row>
    <row r="7520" spans="1:9">
      <c r="A7520" t="str">
        <f>"0152425 "</f>
        <v xml:space="preserve">0152425 </v>
      </c>
      <c r="B7520" t="s">
        <v>24560</v>
      </c>
      <c r="C7520" t="s">
        <v>24877</v>
      </c>
      <c r="D7520" t="s">
        <v>24878</v>
      </c>
      <c r="E7520" t="s">
        <v>16</v>
      </c>
      <c r="F7520" t="s">
        <v>24879</v>
      </c>
      <c r="G7520" t="s">
        <v>24560</v>
      </c>
      <c r="H7520">
        <v>1904038</v>
      </c>
      <c r="I7520" t="s">
        <v>24880</v>
      </c>
    </row>
    <row r="7521" spans="1:9">
      <c r="A7521" t="str">
        <f>"0152426 "</f>
        <v xml:space="preserve">0152426 </v>
      </c>
      <c r="B7521" t="s">
        <v>24560</v>
      </c>
      <c r="C7521" t="s">
        <v>24881</v>
      </c>
      <c r="D7521" t="s">
        <v>24882</v>
      </c>
      <c r="E7521">
        <v>4</v>
      </c>
      <c r="F7521" t="s">
        <v>24883</v>
      </c>
      <c r="G7521" t="s">
        <v>24560</v>
      </c>
      <c r="H7521">
        <v>1904039</v>
      </c>
      <c r="I7521" t="s">
        <v>24884</v>
      </c>
    </row>
    <row r="7522" spans="1:9">
      <c r="A7522" t="str">
        <f>"0159368 "</f>
        <v xml:space="preserve">0159368 </v>
      </c>
      <c r="B7522" t="s">
        <v>24560</v>
      </c>
      <c r="C7522" t="s">
        <v>24885</v>
      </c>
      <c r="D7522" t="s">
        <v>24886</v>
      </c>
      <c r="E7522">
        <v>2</v>
      </c>
      <c r="F7522" t="s">
        <v>20753</v>
      </c>
      <c r="G7522" t="s">
        <v>24560</v>
      </c>
      <c r="H7522">
        <v>1904040</v>
      </c>
      <c r="I7522" t="s">
        <v>24887</v>
      </c>
    </row>
    <row r="7523" spans="1:9">
      <c r="A7523" t="str">
        <f>"0105902 "</f>
        <v xml:space="preserve">0105902 </v>
      </c>
      <c r="B7523" t="s">
        <v>24560</v>
      </c>
      <c r="C7523" t="s">
        <v>24888</v>
      </c>
      <c r="D7523" t="s">
        <v>24889</v>
      </c>
      <c r="E7523">
        <v>1</v>
      </c>
      <c r="F7523" t="s">
        <v>15530</v>
      </c>
      <c r="G7523" t="s">
        <v>24560</v>
      </c>
      <c r="H7523">
        <v>1906005</v>
      </c>
      <c r="I7523" t="s">
        <v>24890</v>
      </c>
    </row>
    <row r="7524" spans="1:9">
      <c r="A7524" t="str">
        <f>"0105919 "</f>
        <v xml:space="preserve">0105919 </v>
      </c>
      <c r="B7524" t="s">
        <v>24560</v>
      </c>
      <c r="C7524" t="s">
        <v>24891</v>
      </c>
      <c r="D7524" t="s">
        <v>24892</v>
      </c>
      <c r="E7524">
        <v>1</v>
      </c>
      <c r="F7524" t="s">
        <v>24893</v>
      </c>
      <c r="G7524" t="s">
        <v>24560</v>
      </c>
      <c r="H7524">
        <v>1906024</v>
      </c>
      <c r="I7524" t="s">
        <v>24894</v>
      </c>
    </row>
    <row r="7525" spans="1:9">
      <c r="A7525" t="str">
        <f>"0105920 "</f>
        <v xml:space="preserve">0105920 </v>
      </c>
      <c r="B7525" t="s">
        <v>24560</v>
      </c>
      <c r="C7525" t="s">
        <v>24895</v>
      </c>
      <c r="D7525" t="s">
        <v>24896</v>
      </c>
      <c r="E7525">
        <v>2</v>
      </c>
      <c r="F7525" t="s">
        <v>24897</v>
      </c>
      <c r="G7525" t="s">
        <v>24560</v>
      </c>
      <c r="H7525">
        <v>1906025</v>
      </c>
      <c r="I7525" t="s">
        <v>24898</v>
      </c>
    </row>
    <row r="7526" spans="1:9">
      <c r="A7526" t="str">
        <f>"0105933 "</f>
        <v xml:space="preserve">0105933 </v>
      </c>
      <c r="B7526" t="s">
        <v>24560</v>
      </c>
      <c r="C7526" t="s">
        <v>24899</v>
      </c>
      <c r="D7526" t="s">
        <v>24900</v>
      </c>
      <c r="E7526">
        <v>1</v>
      </c>
      <c r="F7526" t="s">
        <v>24901</v>
      </c>
      <c r="G7526" t="s">
        <v>24560</v>
      </c>
      <c r="H7526">
        <v>1906041</v>
      </c>
      <c r="I7526" t="s">
        <v>24902</v>
      </c>
    </row>
    <row r="7527" spans="1:9">
      <c r="A7527" t="str">
        <f>"0105948 "</f>
        <v xml:space="preserve">0105948 </v>
      </c>
      <c r="B7527" t="s">
        <v>24560</v>
      </c>
      <c r="C7527" t="s">
        <v>24903</v>
      </c>
      <c r="D7527" t="s">
        <v>24904</v>
      </c>
      <c r="E7527">
        <v>2</v>
      </c>
      <c r="F7527" t="s">
        <v>14516</v>
      </c>
      <c r="G7527" t="s">
        <v>24560</v>
      </c>
      <c r="H7527">
        <v>1954001</v>
      </c>
      <c r="I7527" t="s">
        <v>24905</v>
      </c>
    </row>
    <row r="7528" spans="1:9">
      <c r="A7528" t="str">
        <f>"0202902 "</f>
        <v xml:space="preserve">0202902 </v>
      </c>
      <c r="B7528" t="s">
        <v>24560</v>
      </c>
      <c r="C7528" t="s">
        <v>24906</v>
      </c>
      <c r="D7528" t="s">
        <v>24907</v>
      </c>
      <c r="E7528">
        <v>1</v>
      </c>
      <c r="F7528" t="s">
        <v>24908</v>
      </c>
      <c r="G7528" t="s">
        <v>24560</v>
      </c>
      <c r="H7528">
        <v>1964003</v>
      </c>
      <c r="I7528" t="s">
        <v>24909</v>
      </c>
    </row>
    <row r="7529" spans="1:9">
      <c r="A7529" t="str">
        <f>"0105989 "</f>
        <v xml:space="preserve">0105989 </v>
      </c>
      <c r="B7529" t="s">
        <v>24560</v>
      </c>
      <c r="C7529" t="s">
        <v>24910</v>
      </c>
      <c r="D7529" t="s">
        <v>24911</v>
      </c>
      <c r="E7529">
        <v>1</v>
      </c>
      <c r="F7529" t="s">
        <v>24912</v>
      </c>
      <c r="G7529" t="s">
        <v>24560</v>
      </c>
      <c r="H7529">
        <v>2001026</v>
      </c>
      <c r="I7529" t="s">
        <v>24913</v>
      </c>
    </row>
    <row r="7530" spans="1:9">
      <c r="A7530" t="str">
        <f>"0106067 "</f>
        <v xml:space="preserve">0106067 </v>
      </c>
      <c r="B7530" t="s">
        <v>24560</v>
      </c>
      <c r="C7530" t="s">
        <v>24914</v>
      </c>
      <c r="D7530" t="s">
        <v>24915</v>
      </c>
      <c r="E7530" t="s">
        <v>16</v>
      </c>
      <c r="F7530" t="s">
        <v>24916</v>
      </c>
      <c r="G7530" t="s">
        <v>24560</v>
      </c>
      <c r="H7530">
        <v>2005250</v>
      </c>
      <c r="I7530" t="s">
        <v>24917</v>
      </c>
    </row>
    <row r="7531" spans="1:9">
      <c r="A7531" t="str">
        <f>"0106072 "</f>
        <v xml:space="preserve">0106072 </v>
      </c>
      <c r="B7531" t="s">
        <v>24560</v>
      </c>
      <c r="C7531" t="s">
        <v>24918</v>
      </c>
      <c r="D7531" t="s">
        <v>24919</v>
      </c>
      <c r="E7531">
        <v>2</v>
      </c>
      <c r="F7531" t="s">
        <v>8374</v>
      </c>
      <c r="G7531" t="s">
        <v>24560</v>
      </c>
      <c r="H7531">
        <v>2005256</v>
      </c>
      <c r="I7531" t="s">
        <v>24920</v>
      </c>
    </row>
    <row r="7532" spans="1:9">
      <c r="A7532" t="str">
        <f>"0106106 "</f>
        <v xml:space="preserve">0106106 </v>
      </c>
      <c r="B7532" t="s">
        <v>24560</v>
      </c>
      <c r="C7532" t="s">
        <v>24921</v>
      </c>
      <c r="D7532" t="s">
        <v>24922</v>
      </c>
      <c r="E7532">
        <v>2</v>
      </c>
      <c r="F7532" t="s">
        <v>9961</v>
      </c>
      <c r="G7532" t="s">
        <v>24560</v>
      </c>
      <c r="H7532">
        <v>2006021</v>
      </c>
      <c r="I7532" t="s">
        <v>24923</v>
      </c>
    </row>
    <row r="7533" spans="1:9">
      <c r="A7533" t="str">
        <f>"0106116 "</f>
        <v xml:space="preserve">0106116 </v>
      </c>
      <c r="B7533" t="s">
        <v>24560</v>
      </c>
      <c r="C7533" t="s">
        <v>24924</v>
      </c>
      <c r="D7533" t="s">
        <v>24925</v>
      </c>
      <c r="E7533">
        <v>2</v>
      </c>
      <c r="F7533" t="s">
        <v>24926</v>
      </c>
      <c r="G7533" t="s">
        <v>24560</v>
      </c>
      <c r="H7533">
        <v>2006170</v>
      </c>
      <c r="I7533" t="s">
        <v>24927</v>
      </c>
    </row>
    <row r="7534" spans="1:9">
      <c r="A7534" t="str">
        <f>"0106249 "</f>
        <v xml:space="preserve">0106249 </v>
      </c>
      <c r="B7534" t="s">
        <v>24560</v>
      </c>
      <c r="C7534" t="s">
        <v>24928</v>
      </c>
      <c r="D7534" t="s">
        <v>24929</v>
      </c>
      <c r="E7534">
        <v>1</v>
      </c>
      <c r="F7534" t="s">
        <v>8903</v>
      </c>
      <c r="G7534" t="s">
        <v>24560</v>
      </c>
      <c r="H7534">
        <v>2105205</v>
      </c>
      <c r="I7534" t="s">
        <v>24930</v>
      </c>
    </row>
    <row r="7535" spans="1:9">
      <c r="A7535" t="str">
        <f>"0106335 "</f>
        <v xml:space="preserve">0106335 </v>
      </c>
      <c r="B7535" t="s">
        <v>24560</v>
      </c>
      <c r="C7535" t="s">
        <v>24931</v>
      </c>
      <c r="D7535" t="s">
        <v>24932</v>
      </c>
      <c r="E7535">
        <v>1</v>
      </c>
      <c r="F7535" t="s">
        <v>1998</v>
      </c>
      <c r="G7535" t="s">
        <v>24560</v>
      </c>
      <c r="H7535">
        <v>2250002</v>
      </c>
      <c r="I7535" t="s">
        <v>24933</v>
      </c>
    </row>
    <row r="7536" spans="1:9">
      <c r="A7536" t="str">
        <f>"0106337 "</f>
        <v xml:space="preserve">0106337 </v>
      </c>
      <c r="B7536" t="s">
        <v>24560</v>
      </c>
      <c r="C7536" t="s">
        <v>24934</v>
      </c>
      <c r="D7536" t="s">
        <v>24935</v>
      </c>
      <c r="E7536">
        <v>2</v>
      </c>
      <c r="F7536" t="s">
        <v>24936</v>
      </c>
      <c r="G7536" t="s">
        <v>24560</v>
      </c>
      <c r="H7536">
        <v>2250004</v>
      </c>
      <c r="I7536" t="s">
        <v>24937</v>
      </c>
    </row>
    <row r="7537" spans="1:9">
      <c r="A7537" t="str">
        <f>"0106338 "</f>
        <v xml:space="preserve">0106338 </v>
      </c>
      <c r="B7537" t="s">
        <v>24560</v>
      </c>
      <c r="C7537" t="s">
        <v>24938</v>
      </c>
      <c r="D7537" t="s">
        <v>24939</v>
      </c>
      <c r="E7537">
        <v>2</v>
      </c>
      <c r="F7537" t="s">
        <v>15350</v>
      </c>
      <c r="G7537" t="s">
        <v>24560</v>
      </c>
      <c r="H7537">
        <v>2250005</v>
      </c>
      <c r="I7537" t="s">
        <v>24940</v>
      </c>
    </row>
    <row r="7538" spans="1:9">
      <c r="A7538" t="str">
        <f>"0106341 "</f>
        <v xml:space="preserve">0106341 </v>
      </c>
      <c r="B7538" t="s">
        <v>24560</v>
      </c>
      <c r="C7538" t="s">
        <v>24941</v>
      </c>
      <c r="D7538" t="s">
        <v>24942</v>
      </c>
      <c r="E7538">
        <v>2</v>
      </c>
      <c r="F7538" t="s">
        <v>24943</v>
      </c>
      <c r="G7538" t="s">
        <v>24560</v>
      </c>
      <c r="H7538">
        <v>2250008</v>
      </c>
      <c r="I7538" t="s">
        <v>24944</v>
      </c>
    </row>
    <row r="7539" spans="1:9">
      <c r="A7539" t="str">
        <f>"0106343 "</f>
        <v xml:space="preserve">0106343 </v>
      </c>
      <c r="B7539" t="s">
        <v>24560</v>
      </c>
      <c r="C7539" t="s">
        <v>24945</v>
      </c>
      <c r="D7539" t="s">
        <v>24946</v>
      </c>
      <c r="E7539">
        <v>2</v>
      </c>
      <c r="F7539" t="s">
        <v>8306</v>
      </c>
      <c r="G7539" t="s">
        <v>24560</v>
      </c>
      <c r="H7539">
        <v>2250011</v>
      </c>
      <c r="I7539" t="s">
        <v>24947</v>
      </c>
    </row>
    <row r="7540" spans="1:9">
      <c r="A7540" t="str">
        <f>"0106344 "</f>
        <v xml:space="preserve">0106344 </v>
      </c>
      <c r="B7540" t="s">
        <v>24560</v>
      </c>
      <c r="C7540" t="s">
        <v>24948</v>
      </c>
      <c r="D7540" t="s">
        <v>24949</v>
      </c>
      <c r="E7540">
        <v>2</v>
      </c>
      <c r="F7540" t="s">
        <v>24950</v>
      </c>
      <c r="G7540" t="s">
        <v>24560</v>
      </c>
      <c r="H7540">
        <v>2250012</v>
      </c>
      <c r="I7540" t="s">
        <v>24951</v>
      </c>
    </row>
    <row r="7541" spans="1:9">
      <c r="A7541" t="str">
        <f>"0106345 "</f>
        <v xml:space="preserve">0106345 </v>
      </c>
      <c r="B7541" t="s">
        <v>24560</v>
      </c>
      <c r="C7541" t="s">
        <v>24952</v>
      </c>
      <c r="D7541" t="s">
        <v>24953</v>
      </c>
      <c r="E7541">
        <v>2</v>
      </c>
      <c r="F7541" t="s">
        <v>8472</v>
      </c>
      <c r="G7541" t="s">
        <v>24560</v>
      </c>
      <c r="H7541">
        <v>2250013</v>
      </c>
      <c r="I7541" t="s">
        <v>24954</v>
      </c>
    </row>
    <row r="7542" spans="1:9">
      <c r="A7542" t="str">
        <f>"0106350 "</f>
        <v xml:space="preserve">0106350 </v>
      </c>
      <c r="B7542" t="s">
        <v>24560</v>
      </c>
      <c r="C7542" t="s">
        <v>24955</v>
      </c>
      <c r="D7542" t="s">
        <v>24956</v>
      </c>
      <c r="E7542">
        <v>2</v>
      </c>
      <c r="F7542" t="s">
        <v>24957</v>
      </c>
      <c r="G7542" t="s">
        <v>24560</v>
      </c>
      <c r="H7542">
        <v>2254002</v>
      </c>
      <c r="I7542" t="s">
        <v>21813</v>
      </c>
    </row>
    <row r="7543" spans="1:9">
      <c r="A7543" t="str">
        <f>"0106351 "</f>
        <v xml:space="preserve">0106351 </v>
      </c>
      <c r="B7543" t="s">
        <v>24560</v>
      </c>
      <c r="C7543" t="s">
        <v>24958</v>
      </c>
      <c r="D7543" t="s">
        <v>24959</v>
      </c>
      <c r="E7543">
        <v>4</v>
      </c>
      <c r="F7543" t="s">
        <v>24960</v>
      </c>
      <c r="G7543" t="s">
        <v>24560</v>
      </c>
      <c r="H7543">
        <v>2254003</v>
      </c>
      <c r="I7543" t="s">
        <v>21813</v>
      </c>
    </row>
    <row r="7544" spans="1:9">
      <c r="A7544" t="str">
        <f>"0106353 "</f>
        <v xml:space="preserve">0106353 </v>
      </c>
      <c r="B7544" t="s">
        <v>24560</v>
      </c>
      <c r="C7544" t="s">
        <v>24961</v>
      </c>
      <c r="D7544" t="s">
        <v>24962</v>
      </c>
      <c r="E7544">
        <v>2</v>
      </c>
      <c r="F7544" t="s">
        <v>7356</v>
      </c>
      <c r="G7544" t="s">
        <v>24560</v>
      </c>
      <c r="H7544">
        <v>2254008</v>
      </c>
      <c r="I7544" t="s">
        <v>24963</v>
      </c>
    </row>
    <row r="7545" spans="1:9">
      <c r="A7545" t="str">
        <f>"0152435 "</f>
        <v xml:space="preserve">0152435 </v>
      </c>
      <c r="B7545" t="s">
        <v>24560</v>
      </c>
      <c r="C7545" t="s">
        <v>24964</v>
      </c>
      <c r="D7545" t="s">
        <v>24965</v>
      </c>
      <c r="E7545">
        <v>2</v>
      </c>
      <c r="F7545" t="s">
        <v>24966</v>
      </c>
      <c r="G7545" t="s">
        <v>24560</v>
      </c>
      <c r="H7545">
        <v>2254010</v>
      </c>
      <c r="I7545" t="s">
        <v>24967</v>
      </c>
    </row>
    <row r="7546" spans="1:9">
      <c r="A7546" t="str">
        <f>"0159386 "</f>
        <v xml:space="preserve">0159386 </v>
      </c>
      <c r="B7546" t="s">
        <v>24560</v>
      </c>
      <c r="C7546" t="s">
        <v>24968</v>
      </c>
      <c r="D7546" t="s">
        <v>24969</v>
      </c>
      <c r="E7546" t="s">
        <v>16</v>
      </c>
      <c r="F7546" t="s">
        <v>24970</v>
      </c>
      <c r="G7546" t="s">
        <v>24560</v>
      </c>
      <c r="H7546">
        <v>2254015</v>
      </c>
      <c r="I7546" t="s">
        <v>24971</v>
      </c>
    </row>
    <row r="7547" spans="1:9">
      <c r="A7547" t="str">
        <f>"0189352 "</f>
        <v xml:space="preserve">0189352 </v>
      </c>
      <c r="B7547" t="s">
        <v>24560</v>
      </c>
      <c r="C7547" t="s">
        <v>24972</v>
      </c>
      <c r="D7547" t="s">
        <v>24973</v>
      </c>
      <c r="E7547">
        <v>3</v>
      </c>
      <c r="F7547" t="s">
        <v>24974</v>
      </c>
      <c r="G7547" t="s">
        <v>24560</v>
      </c>
      <c r="H7547">
        <v>2254018</v>
      </c>
      <c r="I7547" t="s">
        <v>24975</v>
      </c>
    </row>
    <row r="7548" spans="1:9">
      <c r="A7548" t="str">
        <f>"0106361 "</f>
        <v xml:space="preserve">0106361 </v>
      </c>
      <c r="B7548" t="s">
        <v>24560</v>
      </c>
      <c r="C7548" t="s">
        <v>24976</v>
      </c>
      <c r="D7548" t="s">
        <v>24977</v>
      </c>
      <c r="E7548">
        <v>2</v>
      </c>
      <c r="F7548" t="s">
        <v>7356</v>
      </c>
      <c r="G7548" t="s">
        <v>24560</v>
      </c>
      <c r="H7548">
        <v>2256009</v>
      </c>
      <c r="I7548" t="s">
        <v>24978</v>
      </c>
    </row>
    <row r="7549" spans="1:9">
      <c r="A7549" t="str">
        <f>"0106367 "</f>
        <v xml:space="preserve">0106367 </v>
      </c>
      <c r="B7549" t="s">
        <v>24560</v>
      </c>
      <c r="C7549" t="s">
        <v>24979</v>
      </c>
      <c r="D7549" t="s">
        <v>24980</v>
      </c>
      <c r="E7549">
        <v>3</v>
      </c>
      <c r="F7549" t="s">
        <v>11708</v>
      </c>
      <c r="G7549" t="s">
        <v>24560</v>
      </c>
      <c r="H7549">
        <v>2256015</v>
      </c>
      <c r="I7549" t="s">
        <v>21791</v>
      </c>
    </row>
    <row r="7550" spans="1:9">
      <c r="A7550" t="str">
        <f>"0106368 "</f>
        <v xml:space="preserve">0106368 </v>
      </c>
      <c r="B7550" t="s">
        <v>24560</v>
      </c>
      <c r="C7550" t="s">
        <v>24981</v>
      </c>
      <c r="D7550" t="s">
        <v>24982</v>
      </c>
      <c r="E7550" t="s">
        <v>16</v>
      </c>
      <c r="F7550" t="s">
        <v>11708</v>
      </c>
      <c r="G7550" t="s">
        <v>24560</v>
      </c>
      <c r="H7550">
        <v>2256017</v>
      </c>
      <c r="I7550" t="s">
        <v>21793</v>
      </c>
    </row>
    <row r="7551" spans="1:9">
      <c r="A7551" t="str">
        <f>"0106378 "</f>
        <v xml:space="preserve">0106378 </v>
      </c>
      <c r="B7551" t="s">
        <v>24560</v>
      </c>
      <c r="C7551" t="s">
        <v>24983</v>
      </c>
      <c r="D7551" t="s">
        <v>24984</v>
      </c>
      <c r="E7551">
        <v>2</v>
      </c>
      <c r="F7551" t="s">
        <v>24632</v>
      </c>
      <c r="G7551" t="s">
        <v>24560</v>
      </c>
      <c r="H7551">
        <v>2256028</v>
      </c>
      <c r="I7551" t="s">
        <v>24985</v>
      </c>
    </row>
    <row r="7552" spans="1:9">
      <c r="A7552" t="str">
        <f>"0106382 "</f>
        <v xml:space="preserve">0106382 </v>
      </c>
      <c r="B7552" t="s">
        <v>24560</v>
      </c>
      <c r="C7552" t="s">
        <v>24986</v>
      </c>
      <c r="D7552" t="s">
        <v>24987</v>
      </c>
      <c r="E7552">
        <v>1</v>
      </c>
      <c r="F7552" t="s">
        <v>24988</v>
      </c>
      <c r="G7552" t="s">
        <v>24560</v>
      </c>
      <c r="H7552">
        <v>2256032</v>
      </c>
      <c r="I7552" t="s">
        <v>24989</v>
      </c>
    </row>
    <row r="7553" spans="1:9">
      <c r="A7553" t="str">
        <f>"0106386 "</f>
        <v xml:space="preserve">0106386 </v>
      </c>
      <c r="B7553" t="s">
        <v>24560</v>
      </c>
      <c r="C7553" t="s">
        <v>24990</v>
      </c>
      <c r="D7553" t="s">
        <v>24991</v>
      </c>
      <c r="E7553">
        <v>1</v>
      </c>
      <c r="F7553" t="s">
        <v>24632</v>
      </c>
      <c r="G7553" t="s">
        <v>24560</v>
      </c>
      <c r="H7553">
        <v>2256038</v>
      </c>
      <c r="I7553" t="s">
        <v>24992</v>
      </c>
    </row>
    <row r="7554" spans="1:9">
      <c r="A7554" t="str">
        <f>"0152440 "</f>
        <v xml:space="preserve">0152440 </v>
      </c>
      <c r="B7554" t="s">
        <v>24560</v>
      </c>
      <c r="C7554" t="s">
        <v>24993</v>
      </c>
      <c r="D7554" t="s">
        <v>24994</v>
      </c>
      <c r="E7554">
        <v>2</v>
      </c>
      <c r="F7554" t="s">
        <v>24995</v>
      </c>
      <c r="G7554" t="s">
        <v>24560</v>
      </c>
      <c r="H7554">
        <v>2256049</v>
      </c>
      <c r="I7554" t="s">
        <v>24996</v>
      </c>
    </row>
    <row r="7555" spans="1:9">
      <c r="A7555" t="str">
        <f>"0152441 "</f>
        <v xml:space="preserve">0152441 </v>
      </c>
      <c r="B7555" t="s">
        <v>24560</v>
      </c>
      <c r="C7555" t="s">
        <v>24997</v>
      </c>
      <c r="D7555" t="s">
        <v>24998</v>
      </c>
      <c r="E7555">
        <v>2</v>
      </c>
      <c r="F7555" t="s">
        <v>24999</v>
      </c>
      <c r="G7555" t="s">
        <v>24560</v>
      </c>
      <c r="H7555">
        <v>2256050</v>
      </c>
      <c r="I7555" t="s">
        <v>25000</v>
      </c>
    </row>
    <row r="7556" spans="1:9">
      <c r="A7556" t="str">
        <f>"0106395 "</f>
        <v xml:space="preserve">0106395 </v>
      </c>
      <c r="B7556" t="s">
        <v>24560</v>
      </c>
      <c r="C7556" t="s">
        <v>25001</v>
      </c>
      <c r="D7556" t="s">
        <v>25002</v>
      </c>
      <c r="E7556">
        <v>2</v>
      </c>
      <c r="F7556" t="s">
        <v>25003</v>
      </c>
      <c r="G7556" t="s">
        <v>24560</v>
      </c>
      <c r="H7556">
        <v>2300001</v>
      </c>
      <c r="I7556" t="s">
        <v>25004</v>
      </c>
    </row>
    <row r="7557" spans="1:9">
      <c r="A7557" t="str">
        <f>"0106399 "</f>
        <v xml:space="preserve">0106399 </v>
      </c>
      <c r="B7557" t="s">
        <v>24560</v>
      </c>
      <c r="C7557" t="s">
        <v>25005</v>
      </c>
      <c r="D7557" t="s">
        <v>25006</v>
      </c>
      <c r="E7557">
        <v>2</v>
      </c>
      <c r="F7557" t="s">
        <v>25007</v>
      </c>
      <c r="G7557" t="s">
        <v>24560</v>
      </c>
      <c r="H7557">
        <v>2300005</v>
      </c>
      <c r="I7557" t="s">
        <v>21908</v>
      </c>
    </row>
    <row r="7558" spans="1:9">
      <c r="A7558" t="str">
        <f>"0106400 "</f>
        <v xml:space="preserve">0106400 </v>
      </c>
      <c r="B7558" t="s">
        <v>24560</v>
      </c>
      <c r="C7558" t="s">
        <v>25008</v>
      </c>
      <c r="D7558" t="s">
        <v>25009</v>
      </c>
      <c r="E7558">
        <v>2</v>
      </c>
      <c r="F7558" t="s">
        <v>25007</v>
      </c>
      <c r="G7558" t="s">
        <v>24560</v>
      </c>
      <c r="H7558">
        <v>2300006</v>
      </c>
      <c r="I7558" t="s">
        <v>25010</v>
      </c>
    </row>
    <row r="7559" spans="1:9">
      <c r="A7559" t="str">
        <f>"0106404 "</f>
        <v xml:space="preserve">0106404 </v>
      </c>
      <c r="B7559" t="s">
        <v>24560</v>
      </c>
      <c r="C7559" t="s">
        <v>25011</v>
      </c>
      <c r="D7559" t="s">
        <v>25012</v>
      </c>
      <c r="E7559">
        <v>1</v>
      </c>
      <c r="F7559" t="s">
        <v>9317</v>
      </c>
      <c r="G7559" t="s">
        <v>24560</v>
      </c>
      <c r="H7559">
        <v>2300011</v>
      </c>
      <c r="I7559" t="s">
        <v>25013</v>
      </c>
    </row>
    <row r="7560" spans="1:9">
      <c r="A7560" t="str">
        <f>"0106418 "</f>
        <v xml:space="preserve">0106418 </v>
      </c>
      <c r="B7560" t="s">
        <v>24560</v>
      </c>
      <c r="C7560" t="s">
        <v>25014</v>
      </c>
      <c r="D7560" t="s">
        <v>25015</v>
      </c>
      <c r="E7560">
        <v>2</v>
      </c>
      <c r="F7560" t="s">
        <v>25016</v>
      </c>
      <c r="G7560" t="s">
        <v>24560</v>
      </c>
      <c r="H7560">
        <v>2300026</v>
      </c>
      <c r="I7560" t="s">
        <v>25017</v>
      </c>
    </row>
    <row r="7561" spans="1:9">
      <c r="A7561" t="str">
        <f>"0106419 "</f>
        <v xml:space="preserve">0106419 </v>
      </c>
      <c r="B7561" t="s">
        <v>24560</v>
      </c>
      <c r="C7561" t="s">
        <v>25018</v>
      </c>
      <c r="D7561" t="s">
        <v>25019</v>
      </c>
      <c r="E7561">
        <v>4</v>
      </c>
      <c r="F7561" t="s">
        <v>25020</v>
      </c>
      <c r="G7561" t="s">
        <v>24560</v>
      </c>
      <c r="H7561">
        <v>2300027</v>
      </c>
      <c r="I7561" t="s">
        <v>25021</v>
      </c>
    </row>
    <row r="7562" spans="1:9">
      <c r="A7562" t="str">
        <f>"0106421 "</f>
        <v xml:space="preserve">0106421 </v>
      </c>
      <c r="B7562" t="s">
        <v>24560</v>
      </c>
      <c r="C7562" t="s">
        <v>25022</v>
      </c>
      <c r="D7562" t="s">
        <v>25023</v>
      </c>
      <c r="E7562">
        <v>4</v>
      </c>
      <c r="F7562" t="s">
        <v>25024</v>
      </c>
      <c r="G7562" t="s">
        <v>24560</v>
      </c>
      <c r="H7562">
        <v>2300029</v>
      </c>
      <c r="I7562" t="s">
        <v>22251</v>
      </c>
    </row>
    <row r="7563" spans="1:9">
      <c r="A7563" t="str">
        <f>"0106425 "</f>
        <v xml:space="preserve">0106425 </v>
      </c>
      <c r="B7563" t="s">
        <v>24560</v>
      </c>
      <c r="C7563" t="s">
        <v>25025</v>
      </c>
      <c r="D7563" t="s">
        <v>25026</v>
      </c>
      <c r="E7563">
        <v>2</v>
      </c>
      <c r="F7563" t="s">
        <v>25027</v>
      </c>
      <c r="G7563" t="s">
        <v>24560</v>
      </c>
      <c r="H7563">
        <v>2300033</v>
      </c>
      <c r="I7563" t="s">
        <v>25028</v>
      </c>
    </row>
    <row r="7564" spans="1:9">
      <c r="A7564" t="str">
        <f>"0106426 "</f>
        <v xml:space="preserve">0106426 </v>
      </c>
      <c r="B7564" t="s">
        <v>24560</v>
      </c>
      <c r="C7564" t="s">
        <v>25029</v>
      </c>
      <c r="D7564" t="s">
        <v>25030</v>
      </c>
      <c r="E7564" t="s">
        <v>16</v>
      </c>
      <c r="F7564" t="s">
        <v>15929</v>
      </c>
      <c r="G7564" t="s">
        <v>24560</v>
      </c>
      <c r="H7564">
        <v>2300034</v>
      </c>
      <c r="I7564" t="s">
        <v>25031</v>
      </c>
    </row>
    <row r="7565" spans="1:9">
      <c r="A7565" t="str">
        <f>"0106427 "</f>
        <v xml:space="preserve">0106427 </v>
      </c>
      <c r="B7565" t="s">
        <v>24560</v>
      </c>
      <c r="C7565" t="s">
        <v>25032</v>
      </c>
      <c r="D7565" t="s">
        <v>25033</v>
      </c>
      <c r="E7565">
        <v>3</v>
      </c>
      <c r="F7565" t="s">
        <v>25034</v>
      </c>
      <c r="G7565" t="s">
        <v>24560</v>
      </c>
      <c r="H7565">
        <v>2300035</v>
      </c>
      <c r="I7565" t="s">
        <v>25035</v>
      </c>
    </row>
    <row r="7566" spans="1:9">
      <c r="A7566" t="str">
        <f>"0106430 "</f>
        <v xml:space="preserve">0106430 </v>
      </c>
      <c r="B7566" t="s">
        <v>24560</v>
      </c>
      <c r="C7566" t="s">
        <v>25036</v>
      </c>
      <c r="D7566" t="s">
        <v>25037</v>
      </c>
      <c r="E7566" t="s">
        <v>16</v>
      </c>
      <c r="F7566" t="s">
        <v>24745</v>
      </c>
      <c r="G7566" t="s">
        <v>24560</v>
      </c>
      <c r="H7566">
        <v>2300038</v>
      </c>
      <c r="I7566" t="s">
        <v>25038</v>
      </c>
    </row>
    <row r="7567" spans="1:9">
      <c r="A7567" t="str">
        <f>"0106432 "</f>
        <v xml:space="preserve">0106432 </v>
      </c>
      <c r="B7567" t="s">
        <v>24560</v>
      </c>
      <c r="C7567" t="s">
        <v>25039</v>
      </c>
      <c r="D7567" t="s">
        <v>25040</v>
      </c>
      <c r="E7567">
        <v>2</v>
      </c>
      <c r="F7567" t="s">
        <v>25003</v>
      </c>
      <c r="G7567" t="s">
        <v>24560</v>
      </c>
      <c r="H7567">
        <v>2300041</v>
      </c>
      <c r="I7567" t="s">
        <v>25041</v>
      </c>
    </row>
    <row r="7568" spans="1:9">
      <c r="A7568" t="str">
        <f>"0106433 "</f>
        <v xml:space="preserve">0106433 </v>
      </c>
      <c r="B7568" t="s">
        <v>24560</v>
      </c>
      <c r="C7568" t="s">
        <v>25042</v>
      </c>
      <c r="D7568" t="s">
        <v>25043</v>
      </c>
      <c r="E7568">
        <v>2</v>
      </c>
      <c r="F7568" t="s">
        <v>25003</v>
      </c>
      <c r="G7568" t="s">
        <v>24560</v>
      </c>
      <c r="H7568">
        <v>2300043</v>
      </c>
      <c r="I7568" t="s">
        <v>25044</v>
      </c>
    </row>
    <row r="7569" spans="1:9">
      <c r="A7569" t="str">
        <f>"0106434 "</f>
        <v xml:space="preserve">0106434 </v>
      </c>
      <c r="B7569" t="s">
        <v>24560</v>
      </c>
      <c r="C7569" t="s">
        <v>25045</v>
      </c>
      <c r="D7569" t="s">
        <v>25046</v>
      </c>
      <c r="E7569">
        <v>2</v>
      </c>
      <c r="F7569" s="3">
        <v>26481</v>
      </c>
      <c r="G7569" t="s">
        <v>24560</v>
      </c>
      <c r="H7569">
        <v>2300044</v>
      </c>
      <c r="I7569" t="s">
        <v>25047</v>
      </c>
    </row>
    <row r="7570" spans="1:9">
      <c r="A7570" t="str">
        <f>"0160425 "</f>
        <v xml:space="preserve">0160425 </v>
      </c>
      <c r="B7570" t="s">
        <v>24560</v>
      </c>
      <c r="C7570" t="s">
        <v>25048</v>
      </c>
      <c r="D7570" t="s">
        <v>25049</v>
      </c>
      <c r="E7570">
        <v>4</v>
      </c>
      <c r="F7570" t="s">
        <v>24611</v>
      </c>
      <c r="G7570" t="s">
        <v>24560</v>
      </c>
      <c r="H7570">
        <v>2300045</v>
      </c>
      <c r="I7570" t="s">
        <v>25050</v>
      </c>
    </row>
    <row r="7571" spans="1:9">
      <c r="A7571" t="str">
        <f>"0159387 "</f>
        <v xml:space="preserve">0159387 </v>
      </c>
      <c r="B7571" t="s">
        <v>24560</v>
      </c>
      <c r="C7571" t="s">
        <v>25051</v>
      </c>
      <c r="D7571" t="s">
        <v>25052</v>
      </c>
      <c r="E7571">
        <v>2</v>
      </c>
      <c r="F7571" t="s">
        <v>25053</v>
      </c>
      <c r="G7571" t="s">
        <v>24560</v>
      </c>
      <c r="H7571">
        <v>2300046</v>
      </c>
      <c r="I7571" t="s">
        <v>25054</v>
      </c>
    </row>
    <row r="7572" spans="1:9">
      <c r="A7572" t="str">
        <f>"0202910 "</f>
        <v xml:space="preserve">0202910 </v>
      </c>
      <c r="B7572" t="s">
        <v>24560</v>
      </c>
      <c r="C7572" t="s">
        <v>25055</v>
      </c>
      <c r="D7572" t="s">
        <v>25056</v>
      </c>
      <c r="E7572">
        <v>4</v>
      </c>
      <c r="F7572" t="s">
        <v>25057</v>
      </c>
      <c r="G7572" t="s">
        <v>24560</v>
      </c>
      <c r="H7572">
        <v>2300051</v>
      </c>
      <c r="I7572" t="s">
        <v>25058</v>
      </c>
    </row>
    <row r="7573" spans="1:9">
      <c r="A7573" t="str">
        <f>"0106438 "</f>
        <v xml:space="preserve">0106438 </v>
      </c>
      <c r="B7573" t="s">
        <v>24560</v>
      </c>
      <c r="C7573" t="s">
        <v>25059</v>
      </c>
      <c r="D7573" t="s">
        <v>25060</v>
      </c>
      <c r="E7573">
        <v>2</v>
      </c>
      <c r="F7573" s="1">
        <v>42764</v>
      </c>
      <c r="G7573" t="s">
        <v>24560</v>
      </c>
      <c r="H7573">
        <v>2304005</v>
      </c>
      <c r="I7573" t="s">
        <v>25061</v>
      </c>
    </row>
    <row r="7574" spans="1:9">
      <c r="A7574" t="str">
        <f>"0106439 "</f>
        <v xml:space="preserve">0106439 </v>
      </c>
      <c r="B7574" t="s">
        <v>24560</v>
      </c>
      <c r="C7574" t="s">
        <v>25062</v>
      </c>
      <c r="D7574" t="s">
        <v>25063</v>
      </c>
      <c r="E7574">
        <v>4</v>
      </c>
      <c r="F7574" t="s">
        <v>24629</v>
      </c>
      <c r="G7574" t="s">
        <v>24560</v>
      </c>
      <c r="H7574">
        <v>2304006</v>
      </c>
      <c r="I7574" t="s">
        <v>25064</v>
      </c>
    </row>
    <row r="7575" spans="1:9">
      <c r="A7575" t="str">
        <f>"0106440 "</f>
        <v xml:space="preserve">0106440 </v>
      </c>
      <c r="B7575" t="s">
        <v>24560</v>
      </c>
      <c r="C7575" t="s">
        <v>25065</v>
      </c>
      <c r="D7575" t="s">
        <v>25066</v>
      </c>
      <c r="E7575">
        <v>4</v>
      </c>
      <c r="F7575" t="s">
        <v>25067</v>
      </c>
      <c r="G7575" t="s">
        <v>24560</v>
      </c>
      <c r="H7575">
        <v>2304007</v>
      </c>
      <c r="I7575" t="s">
        <v>25068</v>
      </c>
    </row>
    <row r="7576" spans="1:9">
      <c r="A7576" t="str">
        <f>"0106447 "</f>
        <v xml:space="preserve">0106447 </v>
      </c>
      <c r="B7576" t="s">
        <v>24560</v>
      </c>
      <c r="C7576" t="s">
        <v>25069</v>
      </c>
      <c r="D7576" t="s">
        <v>25070</v>
      </c>
      <c r="E7576">
        <v>2</v>
      </c>
      <c r="F7576" t="s">
        <v>25071</v>
      </c>
      <c r="G7576" t="s">
        <v>24560</v>
      </c>
      <c r="H7576">
        <v>2304015</v>
      </c>
      <c r="I7576" t="s">
        <v>25072</v>
      </c>
    </row>
    <row r="7577" spans="1:9">
      <c r="A7577" t="str">
        <f>"0106448 "</f>
        <v xml:space="preserve">0106448 </v>
      </c>
      <c r="B7577" t="s">
        <v>24560</v>
      </c>
      <c r="C7577" t="s">
        <v>25073</v>
      </c>
      <c r="D7577" t="s">
        <v>25074</v>
      </c>
      <c r="E7577">
        <v>4</v>
      </c>
      <c r="F7577" t="s">
        <v>25071</v>
      </c>
      <c r="G7577" t="s">
        <v>24560</v>
      </c>
      <c r="H7577">
        <v>2304016</v>
      </c>
      <c r="I7577" t="s">
        <v>25075</v>
      </c>
    </row>
    <row r="7578" spans="1:9">
      <c r="A7578" t="str">
        <f>"0106451 "</f>
        <v xml:space="preserve">0106451 </v>
      </c>
      <c r="B7578" t="s">
        <v>24560</v>
      </c>
      <c r="C7578" t="s">
        <v>25076</v>
      </c>
      <c r="D7578" t="s">
        <v>25077</v>
      </c>
      <c r="E7578" t="s">
        <v>16</v>
      </c>
      <c r="F7578" t="s">
        <v>14435</v>
      </c>
      <c r="G7578" t="s">
        <v>24560</v>
      </c>
      <c r="H7578">
        <v>2304019</v>
      </c>
      <c r="I7578" t="s">
        <v>25078</v>
      </c>
    </row>
    <row r="7579" spans="1:9">
      <c r="A7579" t="str">
        <f>"0106452 "</f>
        <v xml:space="preserve">0106452 </v>
      </c>
      <c r="B7579" t="s">
        <v>24560</v>
      </c>
      <c r="C7579" t="s">
        <v>25079</v>
      </c>
      <c r="D7579" t="s">
        <v>25080</v>
      </c>
      <c r="E7579">
        <v>4</v>
      </c>
      <c r="F7579" t="s">
        <v>24714</v>
      </c>
      <c r="G7579" t="s">
        <v>24560</v>
      </c>
      <c r="H7579">
        <v>2304020</v>
      </c>
      <c r="I7579" t="s">
        <v>25081</v>
      </c>
    </row>
    <row r="7580" spans="1:9">
      <c r="A7580" t="str">
        <f>"0106454 "</f>
        <v xml:space="preserve">0106454 </v>
      </c>
      <c r="B7580" t="s">
        <v>24560</v>
      </c>
      <c r="C7580" t="s">
        <v>25082</v>
      </c>
      <c r="D7580" t="s">
        <v>25083</v>
      </c>
      <c r="E7580" t="s">
        <v>16</v>
      </c>
      <c r="F7580" t="s">
        <v>25084</v>
      </c>
      <c r="G7580" t="s">
        <v>24560</v>
      </c>
      <c r="H7580">
        <v>2304022</v>
      </c>
      <c r="I7580" t="s">
        <v>25085</v>
      </c>
    </row>
    <row r="7581" spans="1:9">
      <c r="A7581" t="str">
        <f>"0106456 "</f>
        <v xml:space="preserve">0106456 </v>
      </c>
      <c r="B7581" t="s">
        <v>24560</v>
      </c>
      <c r="C7581" t="s">
        <v>25086</v>
      </c>
      <c r="D7581" t="s">
        <v>25087</v>
      </c>
      <c r="E7581">
        <v>2</v>
      </c>
      <c r="F7581" t="s">
        <v>25088</v>
      </c>
      <c r="G7581" t="s">
        <v>24560</v>
      </c>
      <c r="H7581">
        <v>2304025</v>
      </c>
      <c r="I7581" t="s">
        <v>25089</v>
      </c>
    </row>
    <row r="7582" spans="1:9">
      <c r="A7582" t="str">
        <f>"0106457 "</f>
        <v xml:space="preserve">0106457 </v>
      </c>
      <c r="B7582" t="s">
        <v>24560</v>
      </c>
      <c r="C7582" t="s">
        <v>25090</v>
      </c>
      <c r="D7582" t="s">
        <v>25091</v>
      </c>
      <c r="E7582" t="s">
        <v>16</v>
      </c>
      <c r="F7582" t="s">
        <v>25092</v>
      </c>
      <c r="G7582" t="s">
        <v>24560</v>
      </c>
      <c r="H7582">
        <v>2304026</v>
      </c>
      <c r="I7582" t="s">
        <v>25093</v>
      </c>
    </row>
    <row r="7583" spans="1:9">
      <c r="A7583" t="str">
        <f>"0106458 "</f>
        <v xml:space="preserve">0106458 </v>
      </c>
      <c r="B7583" t="s">
        <v>24560</v>
      </c>
      <c r="C7583" t="s">
        <v>25094</v>
      </c>
      <c r="D7583" t="s">
        <v>25095</v>
      </c>
      <c r="E7583">
        <v>2</v>
      </c>
      <c r="F7583" t="s">
        <v>25096</v>
      </c>
      <c r="G7583" t="s">
        <v>24560</v>
      </c>
      <c r="H7583">
        <v>2304028</v>
      </c>
      <c r="I7583" t="s">
        <v>25097</v>
      </c>
    </row>
    <row r="7584" spans="1:9">
      <c r="A7584" t="str">
        <f>"0152450 "</f>
        <v xml:space="preserve">0152450 </v>
      </c>
      <c r="B7584" t="s">
        <v>24560</v>
      </c>
      <c r="C7584" t="s">
        <v>25098</v>
      </c>
      <c r="D7584" t="s">
        <v>25099</v>
      </c>
      <c r="E7584">
        <v>2</v>
      </c>
      <c r="F7584" t="s">
        <v>25100</v>
      </c>
      <c r="G7584" t="s">
        <v>24560</v>
      </c>
      <c r="H7584">
        <v>2304030</v>
      </c>
      <c r="I7584" t="s">
        <v>25101</v>
      </c>
    </row>
    <row r="7585" spans="1:9">
      <c r="A7585" t="str">
        <f>"0152452 "</f>
        <v xml:space="preserve">0152452 </v>
      </c>
      <c r="B7585" t="s">
        <v>24560</v>
      </c>
      <c r="C7585" t="s">
        <v>25102</v>
      </c>
      <c r="D7585" t="s">
        <v>25103</v>
      </c>
      <c r="E7585">
        <v>2</v>
      </c>
      <c r="F7585" t="s">
        <v>24710</v>
      </c>
      <c r="G7585" t="s">
        <v>24560</v>
      </c>
      <c r="H7585">
        <v>2304032</v>
      </c>
      <c r="I7585" t="s">
        <v>25104</v>
      </c>
    </row>
    <row r="7586" spans="1:9">
      <c r="A7586" t="str">
        <f>"0188234 "</f>
        <v xml:space="preserve">0188234 </v>
      </c>
      <c r="B7586" t="s">
        <v>24560</v>
      </c>
      <c r="C7586" t="s">
        <v>25105</v>
      </c>
      <c r="D7586" t="s">
        <v>25106</v>
      </c>
      <c r="E7586">
        <v>4</v>
      </c>
      <c r="F7586" t="s">
        <v>25107</v>
      </c>
      <c r="G7586" t="s">
        <v>24560</v>
      </c>
      <c r="H7586">
        <v>2304035</v>
      </c>
      <c r="I7586" t="s">
        <v>25108</v>
      </c>
    </row>
    <row r="7587" spans="1:9">
      <c r="A7587" t="str">
        <f>"0199022 "</f>
        <v xml:space="preserve">0199022 </v>
      </c>
      <c r="B7587" t="s">
        <v>24560</v>
      </c>
      <c r="C7587" t="s">
        <v>25109</v>
      </c>
      <c r="D7587" t="s">
        <v>25110</v>
      </c>
      <c r="E7587">
        <v>2</v>
      </c>
      <c r="F7587" t="s">
        <v>25111</v>
      </c>
      <c r="G7587" t="s">
        <v>24560</v>
      </c>
      <c r="H7587">
        <v>2304040</v>
      </c>
      <c r="I7587" t="s">
        <v>25112</v>
      </c>
    </row>
    <row r="7588" spans="1:9">
      <c r="A7588" t="str">
        <f>"0233700 "</f>
        <v xml:space="preserve">0233700 </v>
      </c>
      <c r="B7588" t="s">
        <v>24560</v>
      </c>
      <c r="C7588" t="s">
        <v>25113</v>
      </c>
      <c r="D7588" t="s">
        <v>25114</v>
      </c>
      <c r="E7588">
        <v>2</v>
      </c>
      <c r="F7588" t="s">
        <v>14715</v>
      </c>
      <c r="G7588" t="s">
        <v>24560</v>
      </c>
      <c r="H7588" t="s">
        <v>25113</v>
      </c>
      <c r="I7588" t="s">
        <v>25115</v>
      </c>
    </row>
    <row r="7589" spans="1:9">
      <c r="A7589" t="str">
        <f>"0106472 "</f>
        <v xml:space="preserve">0106472 </v>
      </c>
      <c r="B7589" t="s">
        <v>24560</v>
      </c>
      <c r="C7589" t="s">
        <v>25116</v>
      </c>
      <c r="D7589" t="s">
        <v>25117</v>
      </c>
      <c r="E7589">
        <v>2</v>
      </c>
      <c r="F7589" t="s">
        <v>14769</v>
      </c>
      <c r="G7589" t="s">
        <v>24560</v>
      </c>
      <c r="H7589">
        <v>2306014</v>
      </c>
      <c r="I7589" t="s">
        <v>25118</v>
      </c>
    </row>
    <row r="7590" spans="1:9">
      <c r="A7590" t="str">
        <f>"0106474 "</f>
        <v xml:space="preserve">0106474 </v>
      </c>
      <c r="B7590" t="s">
        <v>24560</v>
      </c>
      <c r="C7590" t="s">
        <v>25119</v>
      </c>
      <c r="D7590" t="s">
        <v>25120</v>
      </c>
      <c r="E7590">
        <v>2</v>
      </c>
      <c r="F7590" t="s">
        <v>25121</v>
      </c>
      <c r="G7590" t="s">
        <v>24560</v>
      </c>
      <c r="H7590">
        <v>2306018</v>
      </c>
      <c r="I7590" t="s">
        <v>25122</v>
      </c>
    </row>
    <row r="7591" spans="1:9">
      <c r="A7591" t="str">
        <f>"0106484 "</f>
        <v xml:space="preserve">0106484 </v>
      </c>
      <c r="B7591" t="s">
        <v>24560</v>
      </c>
      <c r="C7591" t="s">
        <v>25123</v>
      </c>
      <c r="D7591" t="s">
        <v>25124</v>
      </c>
      <c r="E7591">
        <v>4</v>
      </c>
      <c r="F7591" t="s">
        <v>25007</v>
      </c>
      <c r="G7591" t="s">
        <v>24560</v>
      </c>
      <c r="H7591">
        <v>2306029</v>
      </c>
      <c r="I7591" t="s">
        <v>25125</v>
      </c>
    </row>
    <row r="7592" spans="1:9">
      <c r="A7592" t="str">
        <f>"0106487 "</f>
        <v xml:space="preserve">0106487 </v>
      </c>
      <c r="B7592" t="s">
        <v>24560</v>
      </c>
      <c r="C7592" t="s">
        <v>25126</v>
      </c>
      <c r="D7592" t="s">
        <v>25127</v>
      </c>
      <c r="E7592">
        <v>2</v>
      </c>
      <c r="F7592" t="s">
        <v>25121</v>
      </c>
      <c r="G7592" t="s">
        <v>24560</v>
      </c>
      <c r="H7592">
        <v>2306033</v>
      </c>
      <c r="I7592" t="s">
        <v>25128</v>
      </c>
    </row>
    <row r="7593" spans="1:9">
      <c r="A7593" t="str">
        <f>"0106494 "</f>
        <v xml:space="preserve">0106494 </v>
      </c>
      <c r="B7593" t="s">
        <v>24560</v>
      </c>
      <c r="C7593" t="s">
        <v>25129</v>
      </c>
      <c r="D7593" t="s">
        <v>25130</v>
      </c>
      <c r="E7593">
        <v>2</v>
      </c>
      <c r="F7593" t="s">
        <v>25131</v>
      </c>
      <c r="G7593" t="s">
        <v>24560</v>
      </c>
      <c r="H7593">
        <v>2306041</v>
      </c>
      <c r="I7593" t="s">
        <v>25132</v>
      </c>
    </row>
    <row r="7594" spans="1:9">
      <c r="A7594" t="str">
        <f>"0106495 "</f>
        <v xml:space="preserve">0106495 </v>
      </c>
      <c r="B7594" t="s">
        <v>24560</v>
      </c>
      <c r="C7594" t="s">
        <v>25133</v>
      </c>
      <c r="D7594" t="s">
        <v>25134</v>
      </c>
      <c r="E7594">
        <v>1</v>
      </c>
      <c r="F7594" t="s">
        <v>25131</v>
      </c>
      <c r="G7594" t="s">
        <v>24560</v>
      </c>
      <c r="H7594">
        <v>2306042</v>
      </c>
      <c r="I7594" t="s">
        <v>25135</v>
      </c>
    </row>
    <row r="7595" spans="1:9">
      <c r="A7595" t="str">
        <f>"0106496 "</f>
        <v xml:space="preserve">0106496 </v>
      </c>
      <c r="B7595" t="s">
        <v>24560</v>
      </c>
      <c r="C7595" t="s">
        <v>25136</v>
      </c>
      <c r="D7595" t="s">
        <v>25137</v>
      </c>
      <c r="E7595">
        <v>1</v>
      </c>
      <c r="F7595" t="s">
        <v>25138</v>
      </c>
      <c r="G7595" t="s">
        <v>24560</v>
      </c>
      <c r="H7595">
        <v>2306043</v>
      </c>
      <c r="I7595" t="s">
        <v>25139</v>
      </c>
    </row>
    <row r="7596" spans="1:9">
      <c r="A7596" t="str">
        <f>"0106497 "</f>
        <v xml:space="preserve">0106497 </v>
      </c>
      <c r="B7596" t="s">
        <v>24560</v>
      </c>
      <c r="C7596" t="s">
        <v>25140</v>
      </c>
      <c r="D7596" t="s">
        <v>25141</v>
      </c>
      <c r="E7596">
        <v>1</v>
      </c>
      <c r="F7596" t="s">
        <v>25142</v>
      </c>
      <c r="G7596" t="s">
        <v>24560</v>
      </c>
      <c r="H7596">
        <v>2306044</v>
      </c>
      <c r="I7596" t="s">
        <v>25143</v>
      </c>
    </row>
    <row r="7597" spans="1:9">
      <c r="A7597" t="str">
        <f>"0106504 "</f>
        <v xml:space="preserve">0106504 </v>
      </c>
      <c r="B7597" t="s">
        <v>24560</v>
      </c>
      <c r="C7597" t="s">
        <v>25144</v>
      </c>
      <c r="D7597" t="s">
        <v>25145</v>
      </c>
      <c r="E7597">
        <v>4</v>
      </c>
      <c r="F7597" t="s">
        <v>24825</v>
      </c>
      <c r="G7597" t="s">
        <v>24560</v>
      </c>
      <c r="H7597">
        <v>2306052</v>
      </c>
      <c r="I7597" t="s">
        <v>25146</v>
      </c>
    </row>
    <row r="7598" spans="1:9">
      <c r="A7598" t="str">
        <f>"0188237 "</f>
        <v xml:space="preserve">0188237 </v>
      </c>
      <c r="B7598" t="s">
        <v>24560</v>
      </c>
      <c r="C7598" t="s">
        <v>25147</v>
      </c>
      <c r="D7598" t="s">
        <v>25148</v>
      </c>
      <c r="E7598">
        <v>2</v>
      </c>
      <c r="F7598" t="s">
        <v>25149</v>
      </c>
      <c r="G7598" t="s">
        <v>24560</v>
      </c>
      <c r="H7598">
        <v>2306089</v>
      </c>
      <c r="I7598" t="s">
        <v>25150</v>
      </c>
    </row>
    <row r="7599" spans="1:9">
      <c r="A7599" t="str">
        <f>"0152461 "</f>
        <v xml:space="preserve">0152461 </v>
      </c>
      <c r="B7599" t="s">
        <v>24560</v>
      </c>
      <c r="C7599" t="s">
        <v>25151</v>
      </c>
      <c r="D7599" t="s">
        <v>25152</v>
      </c>
      <c r="E7599">
        <v>2</v>
      </c>
      <c r="F7599" t="s">
        <v>25153</v>
      </c>
      <c r="G7599" t="s">
        <v>24560</v>
      </c>
      <c r="H7599">
        <v>2306100</v>
      </c>
      <c r="I7599" t="s">
        <v>25154</v>
      </c>
    </row>
    <row r="7600" spans="1:9">
      <c r="A7600" t="str">
        <f>"0152463 "</f>
        <v xml:space="preserve">0152463 </v>
      </c>
      <c r="B7600" t="s">
        <v>24560</v>
      </c>
      <c r="C7600" t="s">
        <v>25155</v>
      </c>
      <c r="D7600" t="s">
        <v>25156</v>
      </c>
      <c r="E7600">
        <v>2</v>
      </c>
      <c r="F7600" s="3">
        <v>26481</v>
      </c>
      <c r="G7600" t="s">
        <v>24560</v>
      </c>
      <c r="H7600">
        <v>2306102</v>
      </c>
      <c r="I7600" t="s">
        <v>25157</v>
      </c>
    </row>
    <row r="7601" spans="1:9">
      <c r="A7601" t="str">
        <f>"0159395 "</f>
        <v xml:space="preserve">0159395 </v>
      </c>
      <c r="B7601" t="s">
        <v>24560</v>
      </c>
      <c r="C7601" t="s">
        <v>25158</v>
      </c>
      <c r="D7601" t="s">
        <v>25159</v>
      </c>
      <c r="E7601">
        <v>2</v>
      </c>
      <c r="F7601" t="s">
        <v>25160</v>
      </c>
      <c r="G7601" t="s">
        <v>24560</v>
      </c>
      <c r="H7601">
        <v>2306104</v>
      </c>
      <c r="I7601" t="s">
        <v>25161</v>
      </c>
    </row>
    <row r="7602" spans="1:9">
      <c r="A7602" t="str">
        <f>"0159396 "</f>
        <v xml:space="preserve">0159396 </v>
      </c>
      <c r="B7602" t="s">
        <v>24560</v>
      </c>
      <c r="C7602" t="s">
        <v>25162</v>
      </c>
      <c r="D7602" t="s">
        <v>25163</v>
      </c>
      <c r="E7602">
        <v>2</v>
      </c>
      <c r="F7602" t="s">
        <v>25160</v>
      </c>
      <c r="G7602" t="s">
        <v>24560</v>
      </c>
      <c r="H7602">
        <v>2306105</v>
      </c>
      <c r="I7602" t="s">
        <v>25164</v>
      </c>
    </row>
    <row r="7603" spans="1:9">
      <c r="A7603" t="str">
        <f>"0159406 "</f>
        <v xml:space="preserve">0159406 </v>
      </c>
      <c r="B7603" t="s">
        <v>24560</v>
      </c>
      <c r="C7603" t="s">
        <v>25165</v>
      </c>
      <c r="D7603" t="s">
        <v>25166</v>
      </c>
      <c r="E7603">
        <v>2</v>
      </c>
      <c r="F7603" t="s">
        <v>25167</v>
      </c>
      <c r="G7603" t="s">
        <v>24560</v>
      </c>
      <c r="H7603">
        <v>2306129</v>
      </c>
      <c r="I7603" t="s">
        <v>6030</v>
      </c>
    </row>
    <row r="7604" spans="1:9">
      <c r="A7604" t="str">
        <f>"0159408 "</f>
        <v xml:space="preserve">0159408 </v>
      </c>
      <c r="B7604" t="s">
        <v>24560</v>
      </c>
      <c r="C7604" t="s">
        <v>25168</v>
      </c>
      <c r="D7604" t="s">
        <v>25169</v>
      </c>
      <c r="E7604">
        <v>2</v>
      </c>
      <c r="F7604" t="s">
        <v>25170</v>
      </c>
      <c r="G7604" t="s">
        <v>24560</v>
      </c>
      <c r="H7604">
        <v>2306131</v>
      </c>
      <c r="I7604" t="s">
        <v>25171</v>
      </c>
    </row>
    <row r="7605" spans="1:9">
      <c r="A7605" t="str">
        <f>"0159409 "</f>
        <v xml:space="preserve">0159409 </v>
      </c>
      <c r="B7605" t="s">
        <v>24560</v>
      </c>
      <c r="C7605" t="s">
        <v>25172</v>
      </c>
      <c r="D7605" t="s">
        <v>25173</v>
      </c>
      <c r="E7605">
        <v>2</v>
      </c>
      <c r="F7605" t="s">
        <v>14715</v>
      </c>
      <c r="G7605" t="s">
        <v>24560</v>
      </c>
      <c r="H7605">
        <v>2306132</v>
      </c>
      <c r="I7605" t="s">
        <v>25174</v>
      </c>
    </row>
    <row r="7606" spans="1:9">
      <c r="A7606" t="str">
        <f>"0188256 "</f>
        <v xml:space="preserve">0188256 </v>
      </c>
      <c r="B7606" t="s">
        <v>24560</v>
      </c>
      <c r="C7606" t="s">
        <v>25175</v>
      </c>
      <c r="D7606" t="s">
        <v>25176</v>
      </c>
      <c r="E7606">
        <v>2</v>
      </c>
      <c r="F7606" t="s">
        <v>7356</v>
      </c>
      <c r="G7606" t="s">
        <v>24560</v>
      </c>
      <c r="H7606">
        <v>2306165</v>
      </c>
      <c r="I7606" t="s">
        <v>25177</v>
      </c>
    </row>
    <row r="7607" spans="1:9">
      <c r="A7607" t="str">
        <f>"0106632 "</f>
        <v xml:space="preserve">0106632 </v>
      </c>
      <c r="B7607" t="s">
        <v>24560</v>
      </c>
      <c r="C7607" t="s">
        <v>25178</v>
      </c>
      <c r="D7607" t="s">
        <v>25179</v>
      </c>
      <c r="E7607">
        <v>4</v>
      </c>
      <c r="F7607" t="s">
        <v>25180</v>
      </c>
      <c r="G7607" t="s">
        <v>24560</v>
      </c>
      <c r="H7607">
        <v>2545135</v>
      </c>
      <c r="I7607" t="s">
        <v>25181</v>
      </c>
    </row>
    <row r="7608" spans="1:9">
      <c r="A7608" t="str">
        <f>"0106634 "</f>
        <v xml:space="preserve">0106634 </v>
      </c>
      <c r="B7608" t="s">
        <v>24560</v>
      </c>
      <c r="C7608" t="s">
        <v>25182</v>
      </c>
      <c r="D7608" t="s">
        <v>25183</v>
      </c>
      <c r="E7608">
        <v>2</v>
      </c>
      <c r="F7608" t="s">
        <v>8448</v>
      </c>
      <c r="G7608" t="s">
        <v>24560</v>
      </c>
      <c r="H7608">
        <v>2545195</v>
      </c>
      <c r="I7608" t="s">
        <v>25184</v>
      </c>
    </row>
    <row r="7609" spans="1:9">
      <c r="A7609" t="str">
        <f>"0106641 "</f>
        <v xml:space="preserve">0106641 </v>
      </c>
      <c r="B7609" t="s">
        <v>24560</v>
      </c>
      <c r="C7609" t="s">
        <v>25185</v>
      </c>
      <c r="D7609" t="s">
        <v>25186</v>
      </c>
      <c r="E7609">
        <v>2</v>
      </c>
      <c r="F7609" t="s">
        <v>25187</v>
      </c>
      <c r="G7609" t="s">
        <v>24560</v>
      </c>
      <c r="H7609">
        <v>2600001</v>
      </c>
      <c r="I7609" t="s">
        <v>25188</v>
      </c>
    </row>
    <row r="7610" spans="1:9">
      <c r="A7610" t="str">
        <f>"0106646 "</f>
        <v xml:space="preserve">0106646 </v>
      </c>
      <c r="B7610" t="s">
        <v>24560</v>
      </c>
      <c r="C7610" t="s">
        <v>25189</v>
      </c>
      <c r="D7610" t="s">
        <v>25190</v>
      </c>
      <c r="E7610">
        <v>2</v>
      </c>
      <c r="F7610" t="s">
        <v>24883</v>
      </c>
      <c r="G7610" t="s">
        <v>24560</v>
      </c>
      <c r="H7610">
        <v>2600006</v>
      </c>
      <c r="I7610" t="s">
        <v>25191</v>
      </c>
    </row>
    <row r="7611" spans="1:9">
      <c r="A7611" t="str">
        <f>"0106652 "</f>
        <v xml:space="preserve">0106652 </v>
      </c>
      <c r="B7611" t="s">
        <v>24560</v>
      </c>
      <c r="C7611" t="s">
        <v>25192</v>
      </c>
      <c r="D7611" t="s">
        <v>25193</v>
      </c>
      <c r="E7611">
        <v>1</v>
      </c>
      <c r="F7611" t="s">
        <v>25194</v>
      </c>
      <c r="G7611" t="s">
        <v>24560</v>
      </c>
      <c r="H7611">
        <v>2604002</v>
      </c>
      <c r="I7611" t="s">
        <v>15381</v>
      </c>
    </row>
    <row r="7612" spans="1:9">
      <c r="A7612" t="str">
        <f>"0106654 "</f>
        <v xml:space="preserve">0106654 </v>
      </c>
      <c r="B7612" t="s">
        <v>24560</v>
      </c>
      <c r="C7612" t="s">
        <v>25195</v>
      </c>
      <c r="D7612" t="s">
        <v>25196</v>
      </c>
      <c r="E7612">
        <v>2</v>
      </c>
      <c r="F7612" t="s">
        <v>24974</v>
      </c>
      <c r="G7612" t="s">
        <v>24560</v>
      </c>
      <c r="H7612">
        <v>2606001</v>
      </c>
      <c r="I7612" t="s">
        <v>25197</v>
      </c>
    </row>
    <row r="7613" spans="1:9">
      <c r="A7613" t="str">
        <f>"0106685 "</f>
        <v xml:space="preserve">0106685 </v>
      </c>
      <c r="B7613" t="s">
        <v>24560</v>
      </c>
      <c r="C7613" t="s">
        <v>25198</v>
      </c>
      <c r="D7613" t="s">
        <v>25199</v>
      </c>
      <c r="E7613">
        <v>2</v>
      </c>
      <c r="F7613" t="s">
        <v>20557</v>
      </c>
      <c r="G7613" t="s">
        <v>24560</v>
      </c>
      <c r="H7613">
        <v>2650014</v>
      </c>
      <c r="I7613" t="s">
        <v>25200</v>
      </c>
    </row>
    <row r="7614" spans="1:9">
      <c r="A7614" t="str">
        <f>"0106686 "</f>
        <v xml:space="preserve">0106686 </v>
      </c>
      <c r="B7614" t="s">
        <v>24560</v>
      </c>
      <c r="C7614" t="s">
        <v>25201</v>
      </c>
      <c r="D7614" t="s">
        <v>25202</v>
      </c>
      <c r="E7614">
        <v>2</v>
      </c>
      <c r="F7614" t="s">
        <v>25203</v>
      </c>
      <c r="G7614" t="s">
        <v>24560</v>
      </c>
      <c r="H7614">
        <v>2650015</v>
      </c>
      <c r="I7614" t="s">
        <v>21993</v>
      </c>
    </row>
    <row r="7615" spans="1:9">
      <c r="A7615" t="str">
        <f>"0106687 "</f>
        <v xml:space="preserve">0106687 </v>
      </c>
      <c r="B7615" t="s">
        <v>24560</v>
      </c>
      <c r="C7615" t="s">
        <v>25204</v>
      </c>
      <c r="D7615" t="s">
        <v>25205</v>
      </c>
      <c r="E7615">
        <v>1</v>
      </c>
      <c r="F7615" t="s">
        <v>25027</v>
      </c>
      <c r="G7615" t="s">
        <v>24560</v>
      </c>
      <c r="H7615">
        <v>2650016</v>
      </c>
      <c r="I7615" t="s">
        <v>25206</v>
      </c>
    </row>
    <row r="7616" spans="1:9">
      <c r="A7616" t="str">
        <f>"0106690 "</f>
        <v xml:space="preserve">0106690 </v>
      </c>
      <c r="B7616" t="s">
        <v>24560</v>
      </c>
      <c r="C7616" t="s">
        <v>25207</v>
      </c>
      <c r="D7616" t="s">
        <v>25208</v>
      </c>
      <c r="E7616">
        <v>2</v>
      </c>
      <c r="F7616" t="s">
        <v>11910</v>
      </c>
      <c r="G7616" t="s">
        <v>24560</v>
      </c>
      <c r="H7616">
        <v>2650019</v>
      </c>
      <c r="I7616" t="s">
        <v>25209</v>
      </c>
    </row>
    <row r="7617" spans="1:9">
      <c r="A7617" t="str">
        <f>"0106691 "</f>
        <v xml:space="preserve">0106691 </v>
      </c>
      <c r="B7617" t="s">
        <v>24560</v>
      </c>
      <c r="C7617" t="s">
        <v>25210</v>
      </c>
      <c r="D7617" t="s">
        <v>25211</v>
      </c>
      <c r="E7617">
        <v>1</v>
      </c>
      <c r="F7617" t="s">
        <v>25016</v>
      </c>
      <c r="G7617" t="s">
        <v>24560</v>
      </c>
      <c r="H7617">
        <v>2650021</v>
      </c>
      <c r="I7617" t="s">
        <v>25212</v>
      </c>
    </row>
    <row r="7618" spans="1:9">
      <c r="A7618" t="str">
        <f>"0106693 "</f>
        <v xml:space="preserve">0106693 </v>
      </c>
      <c r="B7618" t="s">
        <v>24560</v>
      </c>
      <c r="C7618" t="s">
        <v>25213</v>
      </c>
      <c r="D7618" t="s">
        <v>25214</v>
      </c>
      <c r="E7618">
        <v>2</v>
      </c>
      <c r="F7618" t="s">
        <v>25215</v>
      </c>
      <c r="G7618" t="s">
        <v>24560</v>
      </c>
      <c r="H7618">
        <v>2650023</v>
      </c>
      <c r="I7618" t="s">
        <v>25216</v>
      </c>
    </row>
    <row r="7619" spans="1:9">
      <c r="A7619" t="str">
        <f>"0106700 "</f>
        <v xml:space="preserve">0106700 </v>
      </c>
      <c r="B7619" t="s">
        <v>24560</v>
      </c>
      <c r="C7619" t="s">
        <v>25217</v>
      </c>
      <c r="D7619" t="s">
        <v>25218</v>
      </c>
      <c r="E7619">
        <v>2</v>
      </c>
      <c r="F7619" t="s">
        <v>25219</v>
      </c>
      <c r="G7619" t="s">
        <v>24560</v>
      </c>
      <c r="H7619">
        <v>2650031</v>
      </c>
      <c r="I7619" t="s">
        <v>25220</v>
      </c>
    </row>
    <row r="7620" spans="1:9">
      <c r="A7620" t="str">
        <f>"0106701 "</f>
        <v xml:space="preserve">0106701 </v>
      </c>
      <c r="B7620" t="s">
        <v>24560</v>
      </c>
      <c r="C7620" t="s">
        <v>25221</v>
      </c>
      <c r="D7620" t="s">
        <v>25222</v>
      </c>
      <c r="E7620">
        <v>4</v>
      </c>
      <c r="F7620" t="s">
        <v>25223</v>
      </c>
      <c r="G7620" t="s">
        <v>24560</v>
      </c>
      <c r="H7620">
        <v>2650032</v>
      </c>
      <c r="I7620" t="s">
        <v>25224</v>
      </c>
    </row>
    <row r="7621" spans="1:9">
      <c r="A7621" t="str">
        <f>"0106704 "</f>
        <v xml:space="preserve">0106704 </v>
      </c>
      <c r="B7621" t="s">
        <v>24560</v>
      </c>
      <c r="C7621" t="s">
        <v>25225</v>
      </c>
      <c r="D7621" t="s">
        <v>25226</v>
      </c>
      <c r="E7621">
        <v>2</v>
      </c>
      <c r="F7621" t="s">
        <v>25227</v>
      </c>
      <c r="G7621" t="s">
        <v>24560</v>
      </c>
      <c r="H7621">
        <v>2650035</v>
      </c>
      <c r="I7621" t="s">
        <v>25228</v>
      </c>
    </row>
    <row r="7622" spans="1:9">
      <c r="A7622" t="str">
        <f>"0152491 "</f>
        <v xml:space="preserve">0152491 </v>
      </c>
      <c r="B7622" t="s">
        <v>24560</v>
      </c>
      <c r="C7622" t="s">
        <v>25229</v>
      </c>
      <c r="D7622" t="s">
        <v>25230</v>
      </c>
      <c r="E7622">
        <v>1</v>
      </c>
      <c r="F7622" t="s">
        <v>15929</v>
      </c>
      <c r="G7622" t="s">
        <v>24560</v>
      </c>
      <c r="H7622">
        <v>2650038</v>
      </c>
      <c r="I7622" t="s">
        <v>25231</v>
      </c>
    </row>
    <row r="7623" spans="1:9">
      <c r="A7623" t="str">
        <f>"0152493 "</f>
        <v xml:space="preserve">0152493 </v>
      </c>
      <c r="B7623" t="s">
        <v>24560</v>
      </c>
      <c r="C7623" t="s">
        <v>25232</v>
      </c>
      <c r="D7623" t="s">
        <v>25233</v>
      </c>
      <c r="E7623">
        <v>4</v>
      </c>
      <c r="F7623" t="s">
        <v>25234</v>
      </c>
      <c r="G7623" t="s">
        <v>24560</v>
      </c>
      <c r="H7623">
        <v>2650041</v>
      </c>
      <c r="I7623" t="s">
        <v>25235</v>
      </c>
    </row>
    <row r="7624" spans="1:9">
      <c r="A7624" t="str">
        <f>"0106708 "</f>
        <v xml:space="preserve">0106708 </v>
      </c>
      <c r="B7624" t="s">
        <v>24560</v>
      </c>
      <c r="C7624" t="s">
        <v>25236</v>
      </c>
      <c r="D7624" t="s">
        <v>25237</v>
      </c>
      <c r="E7624">
        <v>5</v>
      </c>
      <c r="F7624" t="s">
        <v>25238</v>
      </c>
      <c r="G7624" t="s">
        <v>24560</v>
      </c>
      <c r="H7624">
        <v>2654002</v>
      </c>
      <c r="I7624" t="s">
        <v>25239</v>
      </c>
    </row>
    <row r="7625" spans="1:9">
      <c r="A7625" t="str">
        <f>"0106709 "</f>
        <v xml:space="preserve">0106709 </v>
      </c>
      <c r="B7625" t="s">
        <v>24560</v>
      </c>
      <c r="C7625" t="s">
        <v>25240</v>
      </c>
      <c r="D7625" t="s">
        <v>25241</v>
      </c>
      <c r="E7625">
        <v>2</v>
      </c>
      <c r="F7625" t="s">
        <v>8567</v>
      </c>
      <c r="G7625" t="s">
        <v>24560</v>
      </c>
      <c r="H7625">
        <v>2654003</v>
      </c>
      <c r="I7625" t="s">
        <v>25242</v>
      </c>
    </row>
    <row r="7626" spans="1:9">
      <c r="A7626" t="str">
        <f>"0106716 "</f>
        <v xml:space="preserve">0106716 </v>
      </c>
      <c r="B7626" t="s">
        <v>24560</v>
      </c>
      <c r="C7626" t="s">
        <v>25243</v>
      </c>
      <c r="D7626" t="s">
        <v>25244</v>
      </c>
      <c r="E7626">
        <v>2</v>
      </c>
      <c r="F7626" t="s">
        <v>25245</v>
      </c>
      <c r="G7626" t="s">
        <v>24560</v>
      </c>
      <c r="H7626">
        <v>2654011</v>
      </c>
      <c r="I7626" t="s">
        <v>25246</v>
      </c>
    </row>
    <row r="7627" spans="1:9">
      <c r="A7627" t="str">
        <f>"0106724 "</f>
        <v xml:space="preserve">0106724 </v>
      </c>
      <c r="B7627" t="s">
        <v>24560</v>
      </c>
      <c r="C7627" t="s">
        <v>25247</v>
      </c>
      <c r="D7627" t="s">
        <v>25248</v>
      </c>
      <c r="E7627">
        <v>4</v>
      </c>
      <c r="F7627" t="s">
        <v>25249</v>
      </c>
      <c r="G7627" t="s">
        <v>24560</v>
      </c>
      <c r="H7627">
        <v>2654020</v>
      </c>
      <c r="I7627" t="s">
        <v>25250</v>
      </c>
    </row>
    <row r="7628" spans="1:9">
      <c r="A7628" t="str">
        <f>"0152498 "</f>
        <v xml:space="preserve">0152498 </v>
      </c>
      <c r="B7628" t="s">
        <v>24560</v>
      </c>
      <c r="C7628" t="s">
        <v>25251</v>
      </c>
      <c r="D7628" t="s">
        <v>25252</v>
      </c>
      <c r="E7628">
        <v>1</v>
      </c>
      <c r="F7628" t="s">
        <v>25253</v>
      </c>
      <c r="G7628" t="s">
        <v>24560</v>
      </c>
      <c r="H7628">
        <v>2654028</v>
      </c>
      <c r="I7628" t="s">
        <v>25254</v>
      </c>
    </row>
    <row r="7629" spans="1:9">
      <c r="A7629" t="str">
        <f>"0106735 "</f>
        <v xml:space="preserve">0106735 </v>
      </c>
      <c r="B7629" t="s">
        <v>24560</v>
      </c>
      <c r="C7629" t="s">
        <v>25255</v>
      </c>
      <c r="D7629" t="s">
        <v>25256</v>
      </c>
      <c r="E7629">
        <v>2</v>
      </c>
      <c r="F7629" t="s">
        <v>25257</v>
      </c>
      <c r="G7629" t="s">
        <v>24560</v>
      </c>
      <c r="H7629">
        <v>2656012</v>
      </c>
      <c r="I7629" t="s">
        <v>25258</v>
      </c>
    </row>
    <row r="7630" spans="1:9">
      <c r="A7630" t="str">
        <f>"0106742 "</f>
        <v xml:space="preserve">0106742 </v>
      </c>
      <c r="B7630" t="s">
        <v>24560</v>
      </c>
      <c r="C7630" t="s">
        <v>25259</v>
      </c>
      <c r="D7630" t="s">
        <v>25260</v>
      </c>
      <c r="E7630">
        <v>2</v>
      </c>
      <c r="F7630" t="s">
        <v>25261</v>
      </c>
      <c r="G7630" t="s">
        <v>24560</v>
      </c>
      <c r="H7630">
        <v>2656021</v>
      </c>
      <c r="I7630" t="s">
        <v>25262</v>
      </c>
    </row>
    <row r="7631" spans="1:9">
      <c r="A7631" t="str">
        <f>"0152510 "</f>
        <v xml:space="preserve">0152510 </v>
      </c>
      <c r="B7631" t="s">
        <v>24560</v>
      </c>
      <c r="C7631" t="s">
        <v>25263</v>
      </c>
      <c r="D7631" t="s">
        <v>25264</v>
      </c>
      <c r="E7631">
        <v>2</v>
      </c>
      <c r="F7631" t="s">
        <v>25265</v>
      </c>
      <c r="G7631" t="s">
        <v>24560</v>
      </c>
      <c r="H7631">
        <v>2656038</v>
      </c>
      <c r="I7631" t="s">
        <v>25266</v>
      </c>
    </row>
    <row r="7632" spans="1:9">
      <c r="A7632" t="str">
        <f>"0152520 "</f>
        <v xml:space="preserve">0152520 </v>
      </c>
      <c r="B7632" t="s">
        <v>24560</v>
      </c>
      <c r="C7632" t="s">
        <v>25267</v>
      </c>
      <c r="D7632" t="s">
        <v>25268</v>
      </c>
      <c r="E7632">
        <v>2</v>
      </c>
      <c r="F7632" t="s">
        <v>25269</v>
      </c>
      <c r="G7632" t="s">
        <v>24560</v>
      </c>
      <c r="H7632">
        <v>2656049</v>
      </c>
      <c r="I7632" t="s">
        <v>25270</v>
      </c>
    </row>
    <row r="7633" spans="1:9">
      <c r="A7633" t="str">
        <f>"0106750 "</f>
        <v xml:space="preserve">0106750 </v>
      </c>
      <c r="B7633" t="s">
        <v>24560</v>
      </c>
      <c r="C7633" t="s">
        <v>25271</v>
      </c>
      <c r="D7633" t="s">
        <v>25272</v>
      </c>
      <c r="E7633">
        <v>1</v>
      </c>
      <c r="F7633" t="s">
        <v>25273</v>
      </c>
      <c r="G7633" t="s">
        <v>24560</v>
      </c>
      <c r="H7633">
        <v>2700007</v>
      </c>
      <c r="I7633" t="s">
        <v>25274</v>
      </c>
    </row>
    <row r="7634" spans="1:9">
      <c r="A7634" t="str">
        <f>"0106785 "</f>
        <v xml:space="preserve">0106785 </v>
      </c>
      <c r="B7634" t="s">
        <v>24560</v>
      </c>
      <c r="C7634" t="s">
        <v>25275</v>
      </c>
      <c r="D7634" t="s">
        <v>25276</v>
      </c>
      <c r="E7634">
        <v>1</v>
      </c>
      <c r="F7634" t="s">
        <v>25277</v>
      </c>
      <c r="G7634" t="s">
        <v>24560</v>
      </c>
      <c r="H7634">
        <v>2704002</v>
      </c>
      <c r="I7634" t="s">
        <v>25278</v>
      </c>
    </row>
    <row r="7635" spans="1:9">
      <c r="A7635" t="str">
        <f>"0106797 "</f>
        <v xml:space="preserve">0106797 </v>
      </c>
      <c r="B7635" t="s">
        <v>24560</v>
      </c>
      <c r="C7635" t="s">
        <v>25279</v>
      </c>
      <c r="D7635" t="s">
        <v>25280</v>
      </c>
      <c r="E7635">
        <v>1</v>
      </c>
      <c r="F7635" t="s">
        <v>25281</v>
      </c>
      <c r="G7635" t="s">
        <v>24560</v>
      </c>
      <c r="H7635">
        <v>2704016</v>
      </c>
      <c r="I7635" t="s">
        <v>25282</v>
      </c>
    </row>
    <row r="7636" spans="1:9">
      <c r="A7636" t="str">
        <f>"0106799 "</f>
        <v xml:space="preserve">0106799 </v>
      </c>
      <c r="B7636" t="s">
        <v>24560</v>
      </c>
      <c r="C7636" t="s">
        <v>25283</v>
      </c>
      <c r="D7636" t="s">
        <v>25284</v>
      </c>
      <c r="E7636">
        <v>1</v>
      </c>
      <c r="F7636" t="s">
        <v>25285</v>
      </c>
      <c r="G7636" t="s">
        <v>24560</v>
      </c>
      <c r="H7636">
        <v>2704018</v>
      </c>
      <c r="I7636" t="s">
        <v>25286</v>
      </c>
    </row>
    <row r="7637" spans="1:9">
      <c r="A7637" t="str">
        <f>"0152564 "</f>
        <v xml:space="preserve">0152564 </v>
      </c>
      <c r="B7637" t="s">
        <v>24560</v>
      </c>
      <c r="C7637" t="s">
        <v>25287</v>
      </c>
      <c r="D7637" t="s">
        <v>25288</v>
      </c>
      <c r="E7637">
        <v>1</v>
      </c>
      <c r="F7637" t="s">
        <v>25289</v>
      </c>
      <c r="G7637" t="s">
        <v>24560</v>
      </c>
      <c r="H7637">
        <v>2704065</v>
      </c>
      <c r="I7637" t="s">
        <v>25290</v>
      </c>
    </row>
    <row r="7638" spans="1:9">
      <c r="A7638" t="str">
        <f>"0159443 "</f>
        <v xml:space="preserve">0159443 </v>
      </c>
      <c r="B7638" t="s">
        <v>24560</v>
      </c>
      <c r="C7638" t="s">
        <v>25291</v>
      </c>
      <c r="D7638" t="s">
        <v>25292</v>
      </c>
      <c r="E7638">
        <v>3</v>
      </c>
      <c r="F7638" t="s">
        <v>25293</v>
      </c>
      <c r="G7638" t="s">
        <v>24560</v>
      </c>
      <c r="H7638">
        <v>2704085</v>
      </c>
      <c r="I7638" t="s">
        <v>22026</v>
      </c>
    </row>
    <row r="7639" spans="1:9">
      <c r="A7639" t="str">
        <f>"0159444 "</f>
        <v xml:space="preserve">0159444 </v>
      </c>
      <c r="B7639" t="s">
        <v>24560</v>
      </c>
      <c r="C7639" t="s">
        <v>25294</v>
      </c>
      <c r="D7639" t="s">
        <v>25295</v>
      </c>
      <c r="E7639">
        <v>1</v>
      </c>
      <c r="F7639" t="s">
        <v>25296</v>
      </c>
      <c r="G7639" t="s">
        <v>24560</v>
      </c>
      <c r="H7639">
        <v>2704086</v>
      </c>
      <c r="I7639" t="s">
        <v>25297</v>
      </c>
    </row>
    <row r="7640" spans="1:9">
      <c r="A7640" t="str">
        <f>"0106848 "</f>
        <v xml:space="preserve">0106848 </v>
      </c>
      <c r="B7640" t="s">
        <v>24560</v>
      </c>
      <c r="C7640" t="s">
        <v>25298</v>
      </c>
      <c r="D7640" t="s">
        <v>25299</v>
      </c>
      <c r="E7640">
        <v>1</v>
      </c>
      <c r="F7640" t="s">
        <v>20738</v>
      </c>
      <c r="G7640" t="s">
        <v>24560</v>
      </c>
      <c r="H7640">
        <v>2750002</v>
      </c>
      <c r="I7640" t="s">
        <v>25300</v>
      </c>
    </row>
    <row r="7641" spans="1:9">
      <c r="A7641" t="str">
        <f>"0106851 "</f>
        <v xml:space="preserve">0106851 </v>
      </c>
      <c r="B7641" t="s">
        <v>24560</v>
      </c>
      <c r="C7641" t="s">
        <v>25301</v>
      </c>
      <c r="D7641" t="s">
        <v>25302</v>
      </c>
      <c r="E7641">
        <v>2</v>
      </c>
      <c r="F7641" t="s">
        <v>8347</v>
      </c>
      <c r="G7641" t="s">
        <v>24560</v>
      </c>
      <c r="H7641">
        <v>2750007</v>
      </c>
      <c r="I7641" t="s">
        <v>25303</v>
      </c>
    </row>
    <row r="7642" spans="1:9">
      <c r="A7642" t="str">
        <f>"0106852 "</f>
        <v xml:space="preserve">0106852 </v>
      </c>
      <c r="B7642" t="s">
        <v>24560</v>
      </c>
      <c r="C7642" t="s">
        <v>25304</v>
      </c>
      <c r="D7642" t="s">
        <v>25305</v>
      </c>
      <c r="E7642">
        <v>1</v>
      </c>
      <c r="F7642" t="s">
        <v>8398</v>
      </c>
      <c r="G7642" t="s">
        <v>24560</v>
      </c>
      <c r="H7642">
        <v>2754001</v>
      </c>
      <c r="I7642" t="s">
        <v>25306</v>
      </c>
    </row>
    <row r="7643" spans="1:9">
      <c r="A7643" t="str">
        <f>"0106861 "</f>
        <v xml:space="preserve">0106861 </v>
      </c>
      <c r="B7643" t="s">
        <v>24560</v>
      </c>
      <c r="C7643" t="s">
        <v>25307</v>
      </c>
      <c r="D7643" t="s">
        <v>25308</v>
      </c>
      <c r="E7643">
        <v>1</v>
      </c>
      <c r="F7643" t="s">
        <v>25309</v>
      </c>
      <c r="G7643" t="s">
        <v>24560</v>
      </c>
      <c r="H7643">
        <v>2873493</v>
      </c>
      <c r="I7643" t="s">
        <v>25310</v>
      </c>
    </row>
    <row r="7644" spans="1:9">
      <c r="A7644" t="str">
        <f>"0106870 "</f>
        <v xml:space="preserve">0106870 </v>
      </c>
      <c r="B7644" t="s">
        <v>24560</v>
      </c>
      <c r="C7644" t="s">
        <v>25311</v>
      </c>
      <c r="D7644" t="s">
        <v>25312</v>
      </c>
      <c r="E7644">
        <v>1</v>
      </c>
      <c r="F7644" t="s">
        <v>9832</v>
      </c>
      <c r="G7644" t="s">
        <v>24560</v>
      </c>
      <c r="H7644">
        <v>2873773</v>
      </c>
      <c r="I7644" t="s">
        <v>25313</v>
      </c>
    </row>
    <row r="7645" spans="1:9">
      <c r="A7645" t="str">
        <f>"0106874 "</f>
        <v xml:space="preserve">0106874 </v>
      </c>
      <c r="B7645" t="s">
        <v>24560</v>
      </c>
      <c r="C7645" t="s">
        <v>25314</v>
      </c>
      <c r="D7645" t="s">
        <v>25315</v>
      </c>
      <c r="E7645">
        <v>1</v>
      </c>
      <c r="F7645" t="s">
        <v>25316</v>
      </c>
      <c r="G7645" t="s">
        <v>24560</v>
      </c>
      <c r="H7645">
        <v>2873813</v>
      </c>
      <c r="I7645" t="s">
        <v>25317</v>
      </c>
    </row>
    <row r="7646" spans="1:9">
      <c r="A7646" t="str">
        <f>"0106877 "</f>
        <v xml:space="preserve">0106877 </v>
      </c>
      <c r="B7646" t="s">
        <v>24560</v>
      </c>
      <c r="C7646" t="s">
        <v>25318</v>
      </c>
      <c r="D7646" t="s">
        <v>25319</v>
      </c>
      <c r="E7646">
        <v>1</v>
      </c>
      <c r="F7646" t="s">
        <v>25320</v>
      </c>
      <c r="G7646" t="s">
        <v>24560</v>
      </c>
      <c r="H7646">
        <v>2873883</v>
      </c>
      <c r="I7646" t="s">
        <v>25321</v>
      </c>
    </row>
    <row r="7647" spans="1:9">
      <c r="A7647" t="str">
        <f>"0106878 "</f>
        <v xml:space="preserve">0106878 </v>
      </c>
      <c r="B7647" t="s">
        <v>24560</v>
      </c>
      <c r="C7647" t="s">
        <v>25322</v>
      </c>
      <c r="D7647" t="s">
        <v>25323</v>
      </c>
      <c r="E7647">
        <v>1</v>
      </c>
      <c r="F7647" t="s">
        <v>25324</v>
      </c>
      <c r="G7647" t="s">
        <v>24560</v>
      </c>
      <c r="H7647">
        <v>2933003</v>
      </c>
      <c r="I7647" t="s">
        <v>25325</v>
      </c>
    </row>
    <row r="7648" spans="1:9">
      <c r="A7648" t="str">
        <f>"0106879 "</f>
        <v xml:space="preserve">0106879 </v>
      </c>
      <c r="B7648" t="s">
        <v>24560</v>
      </c>
      <c r="C7648" t="s">
        <v>25326</v>
      </c>
      <c r="D7648" t="s">
        <v>25327</v>
      </c>
      <c r="E7648">
        <v>1</v>
      </c>
      <c r="F7648" t="s">
        <v>24733</v>
      </c>
      <c r="G7648" t="s">
        <v>24560</v>
      </c>
      <c r="H7648">
        <v>2933013</v>
      </c>
      <c r="I7648" t="s">
        <v>25328</v>
      </c>
    </row>
    <row r="7649" spans="1:9">
      <c r="A7649" t="str">
        <f>"0106881 "</f>
        <v xml:space="preserve">0106881 </v>
      </c>
      <c r="B7649" t="s">
        <v>24560</v>
      </c>
      <c r="C7649" t="s">
        <v>25329</v>
      </c>
      <c r="D7649" t="s">
        <v>25330</v>
      </c>
      <c r="E7649">
        <v>4</v>
      </c>
      <c r="F7649" t="s">
        <v>25331</v>
      </c>
      <c r="G7649" t="s">
        <v>24560</v>
      </c>
      <c r="H7649">
        <v>2933033</v>
      </c>
      <c r="I7649" t="s">
        <v>25332</v>
      </c>
    </row>
    <row r="7650" spans="1:9">
      <c r="A7650" t="str">
        <f>"0106883 "</f>
        <v xml:space="preserve">0106883 </v>
      </c>
      <c r="B7650" t="s">
        <v>24560</v>
      </c>
      <c r="C7650" t="s">
        <v>25333</v>
      </c>
      <c r="D7650" t="s">
        <v>25334</v>
      </c>
      <c r="E7650">
        <v>2</v>
      </c>
      <c r="F7650" t="s">
        <v>15272</v>
      </c>
      <c r="G7650" t="s">
        <v>24560</v>
      </c>
      <c r="H7650">
        <v>2933063</v>
      </c>
      <c r="I7650" t="s">
        <v>25335</v>
      </c>
    </row>
    <row r="7651" spans="1:9">
      <c r="A7651" t="str">
        <f>"0106893 "</f>
        <v xml:space="preserve">0106893 </v>
      </c>
      <c r="B7651" t="s">
        <v>24560</v>
      </c>
      <c r="C7651" t="s">
        <v>25336</v>
      </c>
      <c r="D7651" t="s">
        <v>25337</v>
      </c>
      <c r="E7651">
        <v>2</v>
      </c>
      <c r="F7651" t="s">
        <v>25338</v>
      </c>
      <c r="G7651" t="s">
        <v>24560</v>
      </c>
      <c r="H7651">
        <v>2933203</v>
      </c>
      <c r="I7651" t="s">
        <v>25339</v>
      </c>
    </row>
    <row r="7652" spans="1:9">
      <c r="A7652" t="str">
        <f>"0106905 "</f>
        <v xml:space="preserve">0106905 </v>
      </c>
      <c r="B7652" t="s">
        <v>24560</v>
      </c>
      <c r="C7652" t="s">
        <v>25340</v>
      </c>
      <c r="D7652" t="s">
        <v>25341</v>
      </c>
      <c r="E7652">
        <v>1</v>
      </c>
      <c r="F7652" t="s">
        <v>24602</v>
      </c>
      <c r="G7652" t="s">
        <v>24560</v>
      </c>
      <c r="H7652">
        <v>2933743</v>
      </c>
      <c r="I7652" t="s">
        <v>25342</v>
      </c>
    </row>
    <row r="7653" spans="1:9">
      <c r="A7653" t="str">
        <f>"0106907 "</f>
        <v xml:space="preserve">0106907 </v>
      </c>
      <c r="B7653" t="s">
        <v>24560</v>
      </c>
      <c r="C7653" t="s">
        <v>25343</v>
      </c>
      <c r="D7653" t="s">
        <v>25344</v>
      </c>
      <c r="E7653">
        <v>2</v>
      </c>
      <c r="F7653" t="s">
        <v>25345</v>
      </c>
      <c r="G7653" t="s">
        <v>24560</v>
      </c>
      <c r="H7653">
        <v>2933773</v>
      </c>
      <c r="I7653" t="s">
        <v>25346</v>
      </c>
    </row>
    <row r="7654" spans="1:9">
      <c r="A7654" t="str">
        <f>"0106908 "</f>
        <v xml:space="preserve">0106908 </v>
      </c>
      <c r="B7654" t="s">
        <v>24560</v>
      </c>
      <c r="C7654" t="s">
        <v>25347</v>
      </c>
      <c r="D7654" t="s">
        <v>25348</v>
      </c>
      <c r="E7654">
        <v>2</v>
      </c>
      <c r="F7654" t="s">
        <v>25349</v>
      </c>
      <c r="G7654" t="s">
        <v>24560</v>
      </c>
      <c r="H7654">
        <v>2933803</v>
      </c>
      <c r="I7654" t="s">
        <v>25350</v>
      </c>
    </row>
    <row r="7655" spans="1:9">
      <c r="A7655" t="str">
        <f>"0106910 "</f>
        <v xml:space="preserve">0106910 </v>
      </c>
      <c r="B7655" t="s">
        <v>24560</v>
      </c>
      <c r="C7655" t="s">
        <v>25351</v>
      </c>
      <c r="D7655" t="s">
        <v>25352</v>
      </c>
      <c r="E7655">
        <v>2</v>
      </c>
      <c r="F7655" t="s">
        <v>25353</v>
      </c>
      <c r="G7655" t="s">
        <v>24560</v>
      </c>
      <c r="H7655">
        <v>2933833</v>
      </c>
      <c r="I7655" t="s">
        <v>25354</v>
      </c>
    </row>
    <row r="7656" spans="1:9">
      <c r="A7656" t="str">
        <f>"0106915 "</f>
        <v xml:space="preserve">0106915 </v>
      </c>
      <c r="B7656" t="s">
        <v>24560</v>
      </c>
      <c r="C7656" t="s">
        <v>25355</v>
      </c>
      <c r="D7656" t="s">
        <v>25356</v>
      </c>
      <c r="E7656">
        <v>1</v>
      </c>
      <c r="F7656" t="s">
        <v>25357</v>
      </c>
      <c r="G7656" t="s">
        <v>24560</v>
      </c>
      <c r="H7656">
        <v>2933983</v>
      </c>
      <c r="I7656" t="s">
        <v>25358</v>
      </c>
    </row>
    <row r="7657" spans="1:9">
      <c r="A7657" t="str">
        <f>"0106916 "</f>
        <v xml:space="preserve">0106916 </v>
      </c>
      <c r="B7657" t="s">
        <v>24560</v>
      </c>
      <c r="C7657" t="s">
        <v>25359</v>
      </c>
      <c r="D7657" t="s">
        <v>25360</v>
      </c>
      <c r="E7657">
        <v>1</v>
      </c>
      <c r="F7657" t="s">
        <v>25016</v>
      </c>
      <c r="G7657" t="s">
        <v>24560</v>
      </c>
      <c r="H7657">
        <v>2933993</v>
      </c>
      <c r="I7657" t="s">
        <v>25361</v>
      </c>
    </row>
    <row r="7658" spans="1:9">
      <c r="A7658" t="str">
        <f>"0152643 "</f>
        <v xml:space="preserve">0152643 </v>
      </c>
      <c r="B7658" t="s">
        <v>24560</v>
      </c>
      <c r="C7658" t="s">
        <v>25362</v>
      </c>
      <c r="D7658" t="s">
        <v>25363</v>
      </c>
      <c r="E7658">
        <v>2</v>
      </c>
      <c r="F7658" t="s">
        <v>25215</v>
      </c>
      <c r="G7658" t="s">
        <v>24560</v>
      </c>
      <c r="H7658">
        <v>2954007</v>
      </c>
      <c r="I7658" t="s">
        <v>25364</v>
      </c>
    </row>
    <row r="7659" spans="1:9">
      <c r="A7659" t="str">
        <f>"0106964 "</f>
        <v xml:space="preserve">0106964 </v>
      </c>
      <c r="B7659" t="s">
        <v>24560</v>
      </c>
      <c r="C7659" t="s">
        <v>25365</v>
      </c>
      <c r="D7659" t="s">
        <v>25366</v>
      </c>
      <c r="E7659">
        <v>2</v>
      </c>
      <c r="F7659" t="s">
        <v>25367</v>
      </c>
      <c r="G7659" t="s">
        <v>24560</v>
      </c>
      <c r="H7659">
        <v>3008035</v>
      </c>
      <c r="I7659" t="s">
        <v>22140</v>
      </c>
    </row>
    <row r="7660" spans="1:9">
      <c r="A7660" t="str">
        <f>"0106968 "</f>
        <v xml:space="preserve">0106968 </v>
      </c>
      <c r="B7660" t="s">
        <v>24560</v>
      </c>
      <c r="C7660" t="s">
        <v>25368</v>
      </c>
      <c r="D7660" t="s">
        <v>25369</v>
      </c>
      <c r="E7660">
        <v>3</v>
      </c>
      <c r="F7660" t="s">
        <v>25024</v>
      </c>
      <c r="G7660" t="s">
        <v>24560</v>
      </c>
      <c r="H7660">
        <v>3008040</v>
      </c>
      <c r="I7660" t="s">
        <v>25370</v>
      </c>
    </row>
    <row r="7661" spans="1:9">
      <c r="A7661" t="str">
        <f>"0106996 "</f>
        <v xml:space="preserve">0106996 </v>
      </c>
      <c r="B7661" t="s">
        <v>24560</v>
      </c>
      <c r="C7661" t="s">
        <v>25371</v>
      </c>
      <c r="D7661" t="s">
        <v>25372</v>
      </c>
      <c r="E7661">
        <v>2</v>
      </c>
      <c r="F7661" t="s">
        <v>20730</v>
      </c>
      <c r="G7661" t="s">
        <v>24560</v>
      </c>
      <c r="H7661">
        <v>3008154</v>
      </c>
      <c r="I7661" t="s">
        <v>25373</v>
      </c>
    </row>
    <row r="7662" spans="1:9">
      <c r="A7662" t="str">
        <f>"0107008 "</f>
        <v xml:space="preserve">0107008 </v>
      </c>
      <c r="B7662" t="s">
        <v>24560</v>
      </c>
      <c r="C7662" t="s">
        <v>25374</v>
      </c>
      <c r="D7662" t="s">
        <v>25375</v>
      </c>
      <c r="E7662">
        <v>4</v>
      </c>
      <c r="F7662" t="s">
        <v>25376</v>
      </c>
      <c r="G7662" t="s">
        <v>24560</v>
      </c>
      <c r="H7662">
        <v>3008242</v>
      </c>
      <c r="I7662" t="s">
        <v>22083</v>
      </c>
    </row>
    <row r="7663" spans="1:9">
      <c r="A7663" t="str">
        <f>"0107013 "</f>
        <v xml:space="preserve">0107013 </v>
      </c>
      <c r="B7663" t="s">
        <v>24560</v>
      </c>
      <c r="C7663" t="s">
        <v>25377</v>
      </c>
      <c r="D7663" t="s">
        <v>25378</v>
      </c>
      <c r="E7663" t="s">
        <v>16</v>
      </c>
      <c r="F7663" t="s">
        <v>24558</v>
      </c>
      <c r="G7663" t="s">
        <v>24560</v>
      </c>
      <c r="H7663">
        <v>3008247</v>
      </c>
      <c r="I7663" t="s">
        <v>25379</v>
      </c>
    </row>
    <row r="7664" spans="1:9">
      <c r="A7664" t="str">
        <f>"0107034 "</f>
        <v xml:space="preserve">0107034 </v>
      </c>
      <c r="B7664" t="s">
        <v>24560</v>
      </c>
      <c r="C7664" t="s">
        <v>25380</v>
      </c>
      <c r="D7664" t="s">
        <v>25381</v>
      </c>
      <c r="E7664" t="s">
        <v>16</v>
      </c>
      <c r="F7664" s="3">
        <v>13516</v>
      </c>
      <c r="G7664" t="s">
        <v>24560</v>
      </c>
      <c r="H7664">
        <v>3130270</v>
      </c>
      <c r="I7664" t="s">
        <v>25382</v>
      </c>
    </row>
    <row r="7665" spans="1:9">
      <c r="A7665" t="str">
        <f>"0107751 "</f>
        <v xml:space="preserve">0107751 </v>
      </c>
      <c r="B7665" t="s">
        <v>24560</v>
      </c>
      <c r="C7665" t="s">
        <v>25383</v>
      </c>
      <c r="D7665" t="s">
        <v>25384</v>
      </c>
      <c r="E7665">
        <v>1</v>
      </c>
      <c r="F7665" t="s">
        <v>25385</v>
      </c>
      <c r="G7665" t="s">
        <v>24560</v>
      </c>
      <c r="H7665">
        <v>4001322</v>
      </c>
      <c r="I7665" t="s">
        <v>25386</v>
      </c>
    </row>
    <row r="7666" spans="1:9">
      <c r="A7666" t="str">
        <f>"0107759 "</f>
        <v xml:space="preserve">0107759 </v>
      </c>
      <c r="B7666" t="s">
        <v>24560</v>
      </c>
      <c r="C7666" t="s">
        <v>25387</v>
      </c>
      <c r="D7666" t="s">
        <v>25388</v>
      </c>
      <c r="E7666">
        <v>1</v>
      </c>
      <c r="F7666" t="s">
        <v>25389</v>
      </c>
      <c r="G7666" t="s">
        <v>24560</v>
      </c>
      <c r="H7666">
        <v>4001330</v>
      </c>
      <c r="I7666" t="s">
        <v>25390</v>
      </c>
    </row>
    <row r="7667" spans="1:9">
      <c r="A7667" t="str">
        <f>"0107776 "</f>
        <v xml:space="preserve">0107776 </v>
      </c>
      <c r="B7667" t="s">
        <v>24560</v>
      </c>
      <c r="C7667" t="s">
        <v>25391</v>
      </c>
      <c r="D7667" t="s">
        <v>25392</v>
      </c>
      <c r="E7667">
        <v>1</v>
      </c>
      <c r="F7667" t="s">
        <v>25393</v>
      </c>
      <c r="G7667" t="s">
        <v>24560</v>
      </c>
      <c r="H7667">
        <v>4001349</v>
      </c>
      <c r="I7667" t="s">
        <v>25394</v>
      </c>
    </row>
    <row r="7668" spans="1:9">
      <c r="A7668" t="str">
        <f>"0107779 "</f>
        <v xml:space="preserve">0107779 </v>
      </c>
      <c r="B7668" t="s">
        <v>24560</v>
      </c>
      <c r="C7668" t="s">
        <v>25395</v>
      </c>
      <c r="D7668" t="s">
        <v>25396</v>
      </c>
      <c r="E7668">
        <v>1</v>
      </c>
      <c r="F7668" t="s">
        <v>14614</v>
      </c>
      <c r="G7668" t="s">
        <v>24560</v>
      </c>
      <c r="H7668">
        <v>4001353</v>
      </c>
      <c r="I7668" t="s">
        <v>25394</v>
      </c>
    </row>
    <row r="7669" spans="1:9">
      <c r="A7669" t="str">
        <f>"0107798 "</f>
        <v xml:space="preserve">0107798 </v>
      </c>
      <c r="B7669" t="s">
        <v>24560</v>
      </c>
      <c r="C7669" t="s">
        <v>25397</v>
      </c>
      <c r="D7669" t="s">
        <v>25398</v>
      </c>
      <c r="E7669">
        <v>1</v>
      </c>
      <c r="F7669" t="s">
        <v>25399</v>
      </c>
      <c r="G7669" t="s">
        <v>24560</v>
      </c>
      <c r="H7669">
        <v>4001374</v>
      </c>
      <c r="I7669" t="s">
        <v>25400</v>
      </c>
    </row>
    <row r="7670" spans="1:9">
      <c r="A7670" t="str">
        <f>"0107809 "</f>
        <v xml:space="preserve">0107809 </v>
      </c>
      <c r="B7670" t="s">
        <v>24560</v>
      </c>
      <c r="C7670" t="s">
        <v>25401</v>
      </c>
      <c r="D7670" t="s">
        <v>25402</v>
      </c>
      <c r="E7670">
        <v>1</v>
      </c>
      <c r="F7670" t="s">
        <v>24733</v>
      </c>
      <c r="G7670" t="s">
        <v>24560</v>
      </c>
      <c r="H7670">
        <v>4001386</v>
      </c>
      <c r="I7670" t="s">
        <v>25403</v>
      </c>
    </row>
    <row r="7671" spans="1:9">
      <c r="A7671" t="str">
        <f>"0107829 "</f>
        <v xml:space="preserve">0107829 </v>
      </c>
      <c r="B7671" t="s">
        <v>24560</v>
      </c>
      <c r="C7671" t="s">
        <v>25404</v>
      </c>
      <c r="D7671" t="s">
        <v>25405</v>
      </c>
      <c r="E7671">
        <v>2</v>
      </c>
      <c r="F7671" t="s">
        <v>8225</v>
      </c>
      <c r="G7671" t="s">
        <v>24560</v>
      </c>
      <c r="H7671">
        <v>4001410</v>
      </c>
      <c r="I7671" t="s">
        <v>25406</v>
      </c>
    </row>
    <row r="7672" spans="1:9">
      <c r="A7672" t="str">
        <f>"0107831 "</f>
        <v xml:space="preserve">0107831 </v>
      </c>
      <c r="B7672" t="s">
        <v>24560</v>
      </c>
      <c r="C7672" t="s">
        <v>25407</v>
      </c>
      <c r="D7672" t="s">
        <v>25408</v>
      </c>
      <c r="E7672">
        <v>3</v>
      </c>
      <c r="F7672" t="s">
        <v>24680</v>
      </c>
      <c r="G7672" t="s">
        <v>24560</v>
      </c>
      <c r="H7672">
        <v>4001413</v>
      </c>
      <c r="I7672" t="s">
        <v>25409</v>
      </c>
    </row>
    <row r="7673" spans="1:9">
      <c r="A7673" t="str">
        <f>"0107832 "</f>
        <v xml:space="preserve">0107832 </v>
      </c>
      <c r="B7673" t="s">
        <v>24560</v>
      </c>
      <c r="C7673" t="s">
        <v>25410</v>
      </c>
      <c r="D7673" t="s">
        <v>25411</v>
      </c>
      <c r="E7673" t="s">
        <v>16</v>
      </c>
      <c r="F7673" t="s">
        <v>24936</v>
      </c>
      <c r="G7673" t="s">
        <v>24560</v>
      </c>
      <c r="H7673">
        <v>4001414</v>
      </c>
      <c r="I7673" t="s">
        <v>25412</v>
      </c>
    </row>
    <row r="7674" spans="1:9">
      <c r="A7674" t="str">
        <f>"0107835 "</f>
        <v xml:space="preserve">0107835 </v>
      </c>
      <c r="B7674" t="s">
        <v>24560</v>
      </c>
      <c r="C7674" t="s">
        <v>25413</v>
      </c>
      <c r="D7674" t="s">
        <v>25414</v>
      </c>
      <c r="E7674">
        <v>2</v>
      </c>
      <c r="F7674" t="s">
        <v>25415</v>
      </c>
      <c r="G7674" t="s">
        <v>24560</v>
      </c>
      <c r="H7674">
        <v>4001417</v>
      </c>
      <c r="I7674" t="s">
        <v>25416</v>
      </c>
    </row>
    <row r="7675" spans="1:9">
      <c r="A7675" t="str">
        <f>"0107839 "</f>
        <v xml:space="preserve">0107839 </v>
      </c>
      <c r="B7675" t="s">
        <v>24560</v>
      </c>
      <c r="C7675" t="s">
        <v>25417</v>
      </c>
      <c r="D7675" t="s">
        <v>25418</v>
      </c>
      <c r="E7675">
        <v>2</v>
      </c>
      <c r="F7675" t="s">
        <v>14705</v>
      </c>
      <c r="G7675" t="s">
        <v>24560</v>
      </c>
      <c r="H7675">
        <v>4001424</v>
      </c>
      <c r="I7675" t="s">
        <v>25419</v>
      </c>
    </row>
    <row r="7676" spans="1:9">
      <c r="A7676" t="str">
        <f>"0107849 "</f>
        <v xml:space="preserve">0107849 </v>
      </c>
      <c r="B7676" t="s">
        <v>24560</v>
      </c>
      <c r="C7676" t="s">
        <v>25420</v>
      </c>
      <c r="D7676" t="s">
        <v>25421</v>
      </c>
      <c r="E7676">
        <v>1</v>
      </c>
      <c r="F7676" s="1">
        <v>42764</v>
      </c>
      <c r="G7676" t="s">
        <v>24560</v>
      </c>
      <c r="H7676">
        <v>4001440</v>
      </c>
      <c r="I7676" t="s">
        <v>25422</v>
      </c>
    </row>
    <row r="7677" spans="1:9">
      <c r="A7677" t="str">
        <f>"0107864 "</f>
        <v xml:space="preserve">0107864 </v>
      </c>
      <c r="B7677" t="s">
        <v>24560</v>
      </c>
      <c r="C7677" t="s">
        <v>25423</v>
      </c>
      <c r="D7677" t="s">
        <v>25424</v>
      </c>
      <c r="E7677">
        <v>1</v>
      </c>
      <c r="F7677" t="s">
        <v>25425</v>
      </c>
      <c r="G7677" t="s">
        <v>24560</v>
      </c>
      <c r="H7677">
        <v>4001457</v>
      </c>
      <c r="I7677" t="s">
        <v>25426</v>
      </c>
    </row>
    <row r="7678" spans="1:9">
      <c r="A7678" t="str">
        <f>"0107868 "</f>
        <v xml:space="preserve">0107868 </v>
      </c>
      <c r="B7678" t="s">
        <v>24560</v>
      </c>
      <c r="C7678" t="s">
        <v>25427</v>
      </c>
      <c r="D7678" t="s">
        <v>25428</v>
      </c>
      <c r="E7678">
        <v>2</v>
      </c>
      <c r="F7678" t="s">
        <v>25160</v>
      </c>
      <c r="G7678" t="s">
        <v>24560</v>
      </c>
      <c r="H7678">
        <v>4001462</v>
      </c>
      <c r="I7678" t="s">
        <v>25429</v>
      </c>
    </row>
    <row r="7679" spans="1:9">
      <c r="A7679" t="str">
        <f>"0107870 "</f>
        <v xml:space="preserve">0107870 </v>
      </c>
      <c r="B7679" t="s">
        <v>24560</v>
      </c>
      <c r="C7679" t="s">
        <v>25430</v>
      </c>
      <c r="D7679" t="s">
        <v>25431</v>
      </c>
      <c r="E7679">
        <v>2</v>
      </c>
      <c r="F7679" t="s">
        <v>25432</v>
      </c>
      <c r="G7679" t="s">
        <v>24560</v>
      </c>
      <c r="H7679">
        <v>4001464</v>
      </c>
      <c r="I7679" t="s">
        <v>25433</v>
      </c>
    </row>
    <row r="7680" spans="1:9">
      <c r="A7680" t="str">
        <f>"0107877 "</f>
        <v xml:space="preserve">0107877 </v>
      </c>
      <c r="B7680" t="s">
        <v>24560</v>
      </c>
      <c r="C7680" t="s">
        <v>25434</v>
      </c>
      <c r="D7680" t="s">
        <v>25435</v>
      </c>
      <c r="E7680">
        <v>2</v>
      </c>
      <c r="F7680" t="s">
        <v>25170</v>
      </c>
      <c r="G7680" t="s">
        <v>24560</v>
      </c>
      <c r="H7680">
        <v>4001473</v>
      </c>
      <c r="I7680" t="s">
        <v>25436</v>
      </c>
    </row>
    <row r="7681" spans="1:9">
      <c r="A7681" t="str">
        <f>"0107879 "</f>
        <v xml:space="preserve">0107879 </v>
      </c>
      <c r="B7681" t="s">
        <v>24560</v>
      </c>
      <c r="C7681" t="s">
        <v>25437</v>
      </c>
      <c r="D7681" t="s">
        <v>25438</v>
      </c>
      <c r="E7681">
        <v>4</v>
      </c>
      <c r="F7681" t="s">
        <v>25439</v>
      </c>
      <c r="G7681" t="s">
        <v>24560</v>
      </c>
      <c r="H7681">
        <v>4001475</v>
      </c>
      <c r="I7681" t="s">
        <v>25440</v>
      </c>
    </row>
    <row r="7682" spans="1:9">
      <c r="A7682" t="str">
        <f>"0107880 "</f>
        <v xml:space="preserve">0107880 </v>
      </c>
      <c r="B7682" t="s">
        <v>24560</v>
      </c>
      <c r="C7682" t="s">
        <v>25441</v>
      </c>
      <c r="D7682" t="s">
        <v>25442</v>
      </c>
      <c r="E7682" t="s">
        <v>16</v>
      </c>
      <c r="F7682" s="1">
        <v>42874</v>
      </c>
      <c r="G7682" t="s">
        <v>24560</v>
      </c>
      <c r="H7682">
        <v>4001476</v>
      </c>
      <c r="I7682" t="s">
        <v>25443</v>
      </c>
    </row>
    <row r="7683" spans="1:9">
      <c r="A7683" t="str">
        <f>"0107881 "</f>
        <v xml:space="preserve">0107881 </v>
      </c>
      <c r="B7683" t="s">
        <v>24560</v>
      </c>
      <c r="C7683" t="s">
        <v>25444</v>
      </c>
      <c r="D7683" t="s">
        <v>25445</v>
      </c>
      <c r="E7683">
        <v>2</v>
      </c>
      <c r="F7683" t="s">
        <v>25121</v>
      </c>
      <c r="G7683" t="s">
        <v>24560</v>
      </c>
      <c r="H7683">
        <v>4001477</v>
      </c>
      <c r="I7683" t="s">
        <v>25446</v>
      </c>
    </row>
    <row r="7684" spans="1:9">
      <c r="A7684" t="str">
        <f>"0107882 "</f>
        <v xml:space="preserve">0107882 </v>
      </c>
      <c r="B7684" t="s">
        <v>24560</v>
      </c>
      <c r="C7684" t="s">
        <v>25447</v>
      </c>
      <c r="D7684" t="s">
        <v>25448</v>
      </c>
      <c r="E7684">
        <v>2</v>
      </c>
      <c r="F7684" t="s">
        <v>25067</v>
      </c>
      <c r="G7684" t="s">
        <v>24560</v>
      </c>
      <c r="H7684">
        <v>4001478</v>
      </c>
      <c r="I7684" t="s">
        <v>25449</v>
      </c>
    </row>
    <row r="7685" spans="1:9">
      <c r="A7685" t="str">
        <f>"0107883 "</f>
        <v xml:space="preserve">0107883 </v>
      </c>
      <c r="B7685" t="s">
        <v>24560</v>
      </c>
      <c r="C7685" t="s">
        <v>25450</v>
      </c>
      <c r="D7685" t="s">
        <v>25451</v>
      </c>
      <c r="E7685">
        <v>2</v>
      </c>
      <c r="F7685" t="s">
        <v>25121</v>
      </c>
      <c r="G7685" t="s">
        <v>24560</v>
      </c>
      <c r="H7685">
        <v>4001479</v>
      </c>
      <c r="I7685" t="s">
        <v>25452</v>
      </c>
    </row>
    <row r="7686" spans="1:9">
      <c r="A7686" t="str">
        <f>"0107885 "</f>
        <v xml:space="preserve">0107885 </v>
      </c>
      <c r="B7686" t="s">
        <v>24560</v>
      </c>
      <c r="C7686" t="s">
        <v>25453</v>
      </c>
      <c r="D7686" t="s">
        <v>25454</v>
      </c>
      <c r="E7686">
        <v>2</v>
      </c>
      <c r="F7686" s="1">
        <v>42874</v>
      </c>
      <c r="G7686" t="s">
        <v>24560</v>
      </c>
      <c r="H7686">
        <v>4001482</v>
      </c>
      <c r="I7686" t="s">
        <v>25455</v>
      </c>
    </row>
    <row r="7687" spans="1:9">
      <c r="A7687" t="str">
        <f>"0107890 "</f>
        <v xml:space="preserve">0107890 </v>
      </c>
      <c r="B7687" t="s">
        <v>24560</v>
      </c>
      <c r="C7687" t="s">
        <v>25456</v>
      </c>
      <c r="D7687" t="s">
        <v>25457</v>
      </c>
      <c r="E7687">
        <v>2</v>
      </c>
      <c r="F7687" t="s">
        <v>25458</v>
      </c>
      <c r="G7687" t="s">
        <v>24560</v>
      </c>
      <c r="H7687">
        <v>4001487</v>
      </c>
      <c r="I7687" t="s">
        <v>25459</v>
      </c>
    </row>
    <row r="7688" spans="1:9">
      <c r="A7688" t="str">
        <f>"0107891 "</f>
        <v xml:space="preserve">0107891 </v>
      </c>
      <c r="B7688" t="s">
        <v>24560</v>
      </c>
      <c r="C7688" t="s">
        <v>25460</v>
      </c>
      <c r="D7688" t="s">
        <v>25461</v>
      </c>
      <c r="E7688">
        <v>2</v>
      </c>
      <c r="F7688" t="s">
        <v>12098</v>
      </c>
      <c r="G7688" t="s">
        <v>24560</v>
      </c>
      <c r="H7688">
        <v>4001489</v>
      </c>
      <c r="I7688" t="s">
        <v>25462</v>
      </c>
    </row>
    <row r="7689" spans="1:9">
      <c r="A7689" t="str">
        <f>"0107893 "</f>
        <v xml:space="preserve">0107893 </v>
      </c>
      <c r="B7689" t="s">
        <v>24560</v>
      </c>
      <c r="C7689" t="s">
        <v>25463</v>
      </c>
      <c r="D7689" t="s">
        <v>25464</v>
      </c>
      <c r="E7689">
        <v>2</v>
      </c>
      <c r="F7689" t="s">
        <v>25020</v>
      </c>
      <c r="G7689" t="s">
        <v>24560</v>
      </c>
      <c r="H7689">
        <v>4001492</v>
      </c>
      <c r="I7689" t="s">
        <v>25465</v>
      </c>
    </row>
    <row r="7690" spans="1:9">
      <c r="A7690" t="str">
        <f>"0107894 "</f>
        <v xml:space="preserve">0107894 </v>
      </c>
      <c r="B7690" t="s">
        <v>24560</v>
      </c>
      <c r="C7690" t="s">
        <v>25466</v>
      </c>
      <c r="D7690" t="s">
        <v>25467</v>
      </c>
      <c r="E7690">
        <v>2</v>
      </c>
      <c r="F7690" t="s">
        <v>7344</v>
      </c>
      <c r="G7690" t="s">
        <v>24560</v>
      </c>
      <c r="H7690">
        <v>4001493</v>
      </c>
      <c r="I7690" t="s">
        <v>25468</v>
      </c>
    </row>
    <row r="7691" spans="1:9">
      <c r="A7691" t="str">
        <f>"0107895 "</f>
        <v xml:space="preserve">0107895 </v>
      </c>
      <c r="B7691" t="s">
        <v>24560</v>
      </c>
      <c r="C7691" t="s">
        <v>25469</v>
      </c>
      <c r="D7691" t="s">
        <v>25470</v>
      </c>
      <c r="E7691">
        <v>2</v>
      </c>
      <c r="F7691" t="s">
        <v>25160</v>
      </c>
      <c r="G7691" t="s">
        <v>24560</v>
      </c>
      <c r="H7691">
        <v>4001494</v>
      </c>
      <c r="I7691" t="s">
        <v>25471</v>
      </c>
    </row>
    <row r="7692" spans="1:9">
      <c r="A7692" t="str">
        <f>"0107896 "</f>
        <v xml:space="preserve">0107896 </v>
      </c>
      <c r="B7692" t="s">
        <v>24560</v>
      </c>
      <c r="C7692" t="s">
        <v>25472</v>
      </c>
      <c r="D7692" t="s">
        <v>25473</v>
      </c>
      <c r="E7692">
        <v>2</v>
      </c>
      <c r="F7692" t="s">
        <v>25121</v>
      </c>
      <c r="G7692" t="s">
        <v>24560</v>
      </c>
      <c r="H7692">
        <v>4001495</v>
      </c>
      <c r="I7692" t="s">
        <v>25436</v>
      </c>
    </row>
    <row r="7693" spans="1:9">
      <c r="A7693" t="str">
        <f>"0107900 "</f>
        <v xml:space="preserve">0107900 </v>
      </c>
      <c r="B7693" t="s">
        <v>24560</v>
      </c>
      <c r="C7693" t="s">
        <v>25474</v>
      </c>
      <c r="D7693" t="s">
        <v>25475</v>
      </c>
      <c r="E7693">
        <v>3</v>
      </c>
      <c r="F7693" t="s">
        <v>25476</v>
      </c>
      <c r="G7693" t="s">
        <v>24560</v>
      </c>
      <c r="H7693">
        <v>4001502</v>
      </c>
      <c r="I7693" t="s">
        <v>25477</v>
      </c>
    </row>
    <row r="7694" spans="1:9">
      <c r="A7694" t="str">
        <f>"0107902 "</f>
        <v xml:space="preserve">0107902 </v>
      </c>
      <c r="B7694" t="s">
        <v>24560</v>
      </c>
      <c r="C7694" t="s">
        <v>25478</v>
      </c>
      <c r="D7694" t="s">
        <v>25479</v>
      </c>
      <c r="E7694">
        <v>2</v>
      </c>
      <c r="F7694" t="s">
        <v>25480</v>
      </c>
      <c r="G7694" t="s">
        <v>24560</v>
      </c>
      <c r="H7694">
        <v>4001504</v>
      </c>
      <c r="I7694" t="s">
        <v>25481</v>
      </c>
    </row>
    <row r="7695" spans="1:9">
      <c r="A7695" t="str">
        <f>"0107903 "</f>
        <v xml:space="preserve">0107903 </v>
      </c>
      <c r="B7695" t="s">
        <v>24560</v>
      </c>
      <c r="C7695" t="s">
        <v>25482</v>
      </c>
      <c r="D7695" t="s">
        <v>25483</v>
      </c>
      <c r="E7695" t="s">
        <v>16</v>
      </c>
      <c r="F7695" t="s">
        <v>25180</v>
      </c>
      <c r="G7695" t="s">
        <v>24560</v>
      </c>
      <c r="H7695">
        <v>4001505</v>
      </c>
      <c r="I7695" t="s">
        <v>25484</v>
      </c>
    </row>
    <row r="7696" spans="1:9">
      <c r="A7696" t="str">
        <f>"0107906 "</f>
        <v xml:space="preserve">0107906 </v>
      </c>
      <c r="B7696" t="s">
        <v>24560</v>
      </c>
      <c r="C7696" t="s">
        <v>25485</v>
      </c>
      <c r="D7696" t="s">
        <v>25486</v>
      </c>
      <c r="E7696">
        <v>4</v>
      </c>
      <c r="F7696" t="s">
        <v>24622</v>
      </c>
      <c r="G7696" t="s">
        <v>24560</v>
      </c>
      <c r="H7696">
        <v>4001508</v>
      </c>
      <c r="I7696" t="s">
        <v>25487</v>
      </c>
    </row>
    <row r="7697" spans="1:9">
      <c r="A7697" t="str">
        <f>"0107912 "</f>
        <v xml:space="preserve">0107912 </v>
      </c>
      <c r="B7697" t="s">
        <v>24560</v>
      </c>
      <c r="C7697" t="s">
        <v>25488</v>
      </c>
      <c r="D7697" t="s">
        <v>25489</v>
      </c>
      <c r="E7697">
        <v>1</v>
      </c>
      <c r="F7697" t="s">
        <v>14705</v>
      </c>
      <c r="G7697" t="s">
        <v>24560</v>
      </c>
      <c r="H7697">
        <v>4001515</v>
      </c>
      <c r="I7697" t="s">
        <v>25490</v>
      </c>
    </row>
    <row r="7698" spans="1:9">
      <c r="A7698" t="str">
        <f>"0107914 "</f>
        <v xml:space="preserve">0107914 </v>
      </c>
      <c r="B7698" t="s">
        <v>24560</v>
      </c>
      <c r="C7698" t="s">
        <v>25491</v>
      </c>
      <c r="D7698" t="s">
        <v>25492</v>
      </c>
      <c r="E7698">
        <v>1</v>
      </c>
      <c r="F7698" t="s">
        <v>24666</v>
      </c>
      <c r="G7698" t="s">
        <v>24560</v>
      </c>
      <c r="H7698">
        <v>4001517</v>
      </c>
      <c r="I7698" t="s">
        <v>25493</v>
      </c>
    </row>
    <row r="7699" spans="1:9">
      <c r="A7699" t="str">
        <f>"0107921 "</f>
        <v xml:space="preserve">0107921 </v>
      </c>
      <c r="B7699" t="s">
        <v>24560</v>
      </c>
      <c r="C7699" t="s">
        <v>25494</v>
      </c>
      <c r="D7699" t="s">
        <v>25495</v>
      </c>
      <c r="E7699">
        <v>2</v>
      </c>
      <c r="F7699" t="s">
        <v>25496</v>
      </c>
      <c r="G7699" t="s">
        <v>24560</v>
      </c>
      <c r="H7699">
        <v>4001526</v>
      </c>
      <c r="I7699" t="s">
        <v>25497</v>
      </c>
    </row>
    <row r="7700" spans="1:9">
      <c r="A7700" t="str">
        <f>"0107927 "</f>
        <v xml:space="preserve">0107927 </v>
      </c>
      <c r="B7700" t="s">
        <v>24560</v>
      </c>
      <c r="C7700" t="s">
        <v>25498</v>
      </c>
      <c r="D7700" t="s">
        <v>25499</v>
      </c>
      <c r="E7700">
        <v>2</v>
      </c>
      <c r="F7700" t="s">
        <v>19937</v>
      </c>
      <c r="G7700" t="s">
        <v>24560</v>
      </c>
      <c r="H7700">
        <v>4001533</v>
      </c>
      <c r="I7700" t="s">
        <v>25500</v>
      </c>
    </row>
    <row r="7701" spans="1:9">
      <c r="A7701" t="str">
        <f>"0107928 "</f>
        <v xml:space="preserve">0107928 </v>
      </c>
      <c r="B7701" t="s">
        <v>24560</v>
      </c>
      <c r="C7701" t="s">
        <v>25501</v>
      </c>
      <c r="D7701" t="s">
        <v>25502</v>
      </c>
      <c r="E7701">
        <v>2</v>
      </c>
      <c r="F7701" t="s">
        <v>25503</v>
      </c>
      <c r="G7701" t="s">
        <v>24560</v>
      </c>
      <c r="H7701">
        <v>4001534</v>
      </c>
      <c r="I7701" t="s">
        <v>25504</v>
      </c>
    </row>
    <row r="7702" spans="1:9">
      <c r="A7702" t="str">
        <f>"0107929 "</f>
        <v xml:space="preserve">0107929 </v>
      </c>
      <c r="B7702" t="s">
        <v>24560</v>
      </c>
      <c r="C7702" t="s">
        <v>25505</v>
      </c>
      <c r="D7702" t="s">
        <v>25506</v>
      </c>
      <c r="E7702">
        <v>2</v>
      </c>
      <c r="F7702" t="s">
        <v>8519</v>
      </c>
      <c r="G7702" t="s">
        <v>24560</v>
      </c>
      <c r="H7702">
        <v>4001535</v>
      </c>
      <c r="I7702" t="s">
        <v>21754</v>
      </c>
    </row>
    <row r="7703" spans="1:9">
      <c r="A7703" t="str">
        <f>"0107930 "</f>
        <v xml:space="preserve">0107930 </v>
      </c>
      <c r="B7703" t="s">
        <v>24560</v>
      </c>
      <c r="C7703" t="s">
        <v>25507</v>
      </c>
      <c r="D7703" t="s">
        <v>25508</v>
      </c>
      <c r="E7703">
        <v>4</v>
      </c>
      <c r="F7703" t="s">
        <v>25509</v>
      </c>
      <c r="G7703" t="s">
        <v>24560</v>
      </c>
      <c r="H7703">
        <v>4001536</v>
      </c>
      <c r="I7703" t="s">
        <v>25510</v>
      </c>
    </row>
    <row r="7704" spans="1:9">
      <c r="A7704" t="str">
        <f>"0107932 "</f>
        <v xml:space="preserve">0107932 </v>
      </c>
      <c r="B7704" t="s">
        <v>24560</v>
      </c>
      <c r="C7704" t="s">
        <v>25511</v>
      </c>
      <c r="D7704" t="s">
        <v>25512</v>
      </c>
      <c r="E7704">
        <v>4</v>
      </c>
      <c r="F7704" t="s">
        <v>25513</v>
      </c>
      <c r="G7704" t="s">
        <v>24560</v>
      </c>
      <c r="H7704">
        <v>4001539</v>
      </c>
      <c r="I7704" t="s">
        <v>25514</v>
      </c>
    </row>
    <row r="7705" spans="1:9">
      <c r="A7705" t="str">
        <f>"0107933 "</f>
        <v xml:space="preserve">0107933 </v>
      </c>
      <c r="B7705" t="s">
        <v>24560</v>
      </c>
      <c r="C7705" t="s">
        <v>25515</v>
      </c>
      <c r="D7705" t="s">
        <v>25516</v>
      </c>
      <c r="E7705" t="s">
        <v>16</v>
      </c>
      <c r="F7705" t="s">
        <v>25517</v>
      </c>
      <c r="G7705" t="s">
        <v>24560</v>
      </c>
      <c r="H7705">
        <v>4001540</v>
      </c>
      <c r="I7705" t="s">
        <v>25518</v>
      </c>
    </row>
    <row r="7706" spans="1:9">
      <c r="A7706" t="str">
        <f>"0107936 "</f>
        <v xml:space="preserve">0107936 </v>
      </c>
      <c r="B7706" t="s">
        <v>24560</v>
      </c>
      <c r="C7706" t="s">
        <v>25519</v>
      </c>
      <c r="D7706" t="s">
        <v>25520</v>
      </c>
      <c r="E7706">
        <v>2</v>
      </c>
      <c r="F7706" t="s">
        <v>25521</v>
      </c>
      <c r="G7706" t="s">
        <v>24560</v>
      </c>
      <c r="H7706">
        <v>4001545</v>
      </c>
      <c r="I7706" t="s">
        <v>25522</v>
      </c>
    </row>
    <row r="7707" spans="1:9">
      <c r="A7707" t="str">
        <f>"0107939 "</f>
        <v xml:space="preserve">0107939 </v>
      </c>
      <c r="B7707" t="s">
        <v>24560</v>
      </c>
      <c r="C7707" t="s">
        <v>25523</v>
      </c>
      <c r="D7707" t="s">
        <v>25524</v>
      </c>
      <c r="E7707">
        <v>2</v>
      </c>
      <c r="F7707" t="s">
        <v>25525</v>
      </c>
      <c r="G7707" t="s">
        <v>24560</v>
      </c>
      <c r="H7707">
        <v>4001548</v>
      </c>
      <c r="I7707" t="s">
        <v>25526</v>
      </c>
    </row>
    <row r="7708" spans="1:9">
      <c r="A7708" t="str">
        <f>"0107942 "</f>
        <v xml:space="preserve">0107942 </v>
      </c>
      <c r="B7708" t="s">
        <v>24560</v>
      </c>
      <c r="C7708" t="s">
        <v>25527</v>
      </c>
      <c r="D7708" t="s">
        <v>25528</v>
      </c>
      <c r="E7708">
        <v>2</v>
      </c>
      <c r="F7708" t="s">
        <v>25529</v>
      </c>
      <c r="G7708" t="s">
        <v>24560</v>
      </c>
      <c r="H7708">
        <v>4001552</v>
      </c>
      <c r="I7708" t="s">
        <v>21913</v>
      </c>
    </row>
    <row r="7709" spans="1:9">
      <c r="A7709" t="str">
        <f>"0107966 "</f>
        <v xml:space="preserve">0107966 </v>
      </c>
      <c r="B7709" t="s">
        <v>24560</v>
      </c>
      <c r="C7709" t="s">
        <v>25530</v>
      </c>
      <c r="D7709" t="s">
        <v>25531</v>
      </c>
      <c r="E7709">
        <v>2</v>
      </c>
      <c r="F7709" t="s">
        <v>25532</v>
      </c>
      <c r="G7709" t="s">
        <v>24560</v>
      </c>
      <c r="H7709">
        <v>4001579</v>
      </c>
      <c r="I7709" t="s">
        <v>25533</v>
      </c>
    </row>
    <row r="7710" spans="1:9">
      <c r="A7710" t="str">
        <f>"0107967 "</f>
        <v xml:space="preserve">0107967 </v>
      </c>
      <c r="B7710" t="s">
        <v>24560</v>
      </c>
      <c r="C7710" t="s">
        <v>25534</v>
      </c>
      <c r="D7710" t="s">
        <v>25535</v>
      </c>
      <c r="E7710">
        <v>2</v>
      </c>
      <c r="F7710" t="s">
        <v>25536</v>
      </c>
      <c r="G7710" t="s">
        <v>24560</v>
      </c>
      <c r="H7710">
        <v>4001580</v>
      </c>
      <c r="I7710" t="s">
        <v>25537</v>
      </c>
    </row>
    <row r="7711" spans="1:9">
      <c r="A7711" t="str">
        <f>"0107968 "</f>
        <v xml:space="preserve">0107968 </v>
      </c>
      <c r="B7711" t="s">
        <v>24560</v>
      </c>
      <c r="C7711" t="s">
        <v>25538</v>
      </c>
      <c r="D7711" t="s">
        <v>25539</v>
      </c>
      <c r="E7711">
        <v>2</v>
      </c>
      <c r="F7711" t="s">
        <v>24758</v>
      </c>
      <c r="G7711" t="s">
        <v>24560</v>
      </c>
      <c r="H7711">
        <v>4001582</v>
      </c>
      <c r="I7711" t="s">
        <v>25540</v>
      </c>
    </row>
    <row r="7712" spans="1:9">
      <c r="A7712" t="str">
        <f>"0107971 "</f>
        <v xml:space="preserve">0107971 </v>
      </c>
      <c r="B7712" t="s">
        <v>24560</v>
      </c>
      <c r="C7712" t="s">
        <v>25541</v>
      </c>
      <c r="D7712" t="s">
        <v>25542</v>
      </c>
      <c r="E7712">
        <v>2</v>
      </c>
      <c r="F7712" t="s">
        <v>25543</v>
      </c>
      <c r="G7712" t="s">
        <v>24560</v>
      </c>
      <c r="H7712">
        <v>4001585</v>
      </c>
      <c r="I7712" t="s">
        <v>25544</v>
      </c>
    </row>
    <row r="7713" spans="1:9">
      <c r="A7713" t="str">
        <f>"0107987 "</f>
        <v xml:space="preserve">0107987 </v>
      </c>
      <c r="B7713" t="s">
        <v>24560</v>
      </c>
      <c r="C7713" t="s">
        <v>25545</v>
      </c>
      <c r="D7713" t="s">
        <v>25546</v>
      </c>
      <c r="E7713">
        <v>2</v>
      </c>
      <c r="F7713" t="s">
        <v>25547</v>
      </c>
      <c r="G7713" t="s">
        <v>24560</v>
      </c>
      <c r="H7713">
        <v>4001604</v>
      </c>
      <c r="I7713" t="s">
        <v>25548</v>
      </c>
    </row>
    <row r="7714" spans="1:9">
      <c r="A7714" t="str">
        <f>"0107988 "</f>
        <v xml:space="preserve">0107988 </v>
      </c>
      <c r="B7714" t="s">
        <v>24560</v>
      </c>
      <c r="C7714" t="s">
        <v>25549</v>
      </c>
      <c r="D7714" t="s">
        <v>25550</v>
      </c>
      <c r="E7714">
        <v>2</v>
      </c>
      <c r="F7714" t="s">
        <v>25551</v>
      </c>
      <c r="G7714" t="s">
        <v>24560</v>
      </c>
      <c r="H7714">
        <v>4001605</v>
      </c>
      <c r="I7714" t="s">
        <v>25552</v>
      </c>
    </row>
    <row r="7715" spans="1:9">
      <c r="A7715" t="str">
        <f>"0107991 "</f>
        <v xml:space="preserve">0107991 </v>
      </c>
      <c r="B7715" t="s">
        <v>24560</v>
      </c>
      <c r="C7715" t="s">
        <v>25553</v>
      </c>
      <c r="D7715" t="s">
        <v>25554</v>
      </c>
      <c r="E7715">
        <v>2</v>
      </c>
      <c r="F7715" t="s">
        <v>25555</v>
      </c>
      <c r="G7715" t="s">
        <v>24560</v>
      </c>
      <c r="H7715">
        <v>4001609</v>
      </c>
      <c r="I7715" t="s">
        <v>25556</v>
      </c>
    </row>
    <row r="7716" spans="1:9">
      <c r="A7716" t="str">
        <f>"0107995 "</f>
        <v xml:space="preserve">0107995 </v>
      </c>
      <c r="B7716" t="s">
        <v>24560</v>
      </c>
      <c r="C7716" t="s">
        <v>25557</v>
      </c>
      <c r="D7716" t="s">
        <v>25558</v>
      </c>
      <c r="E7716" t="s">
        <v>16</v>
      </c>
      <c r="F7716" t="s">
        <v>8444</v>
      </c>
      <c r="G7716" t="s">
        <v>24560</v>
      </c>
      <c r="H7716">
        <v>4001615</v>
      </c>
      <c r="I7716" t="s">
        <v>25559</v>
      </c>
    </row>
    <row r="7717" spans="1:9">
      <c r="A7717" t="str">
        <f>"0108006 "</f>
        <v xml:space="preserve">0108006 </v>
      </c>
      <c r="B7717" t="s">
        <v>24560</v>
      </c>
      <c r="C7717" t="s">
        <v>25560</v>
      </c>
      <c r="D7717" t="s">
        <v>25561</v>
      </c>
      <c r="E7717">
        <v>2</v>
      </c>
      <c r="F7717" t="s">
        <v>20494</v>
      </c>
      <c r="G7717" t="s">
        <v>24560</v>
      </c>
      <c r="H7717">
        <v>4001627</v>
      </c>
      <c r="I7717" t="s">
        <v>25562</v>
      </c>
    </row>
    <row r="7718" spans="1:9">
      <c r="A7718" t="str">
        <f>"0108008 "</f>
        <v xml:space="preserve">0108008 </v>
      </c>
      <c r="B7718" t="s">
        <v>24560</v>
      </c>
      <c r="C7718" t="s">
        <v>25563</v>
      </c>
      <c r="D7718" t="s">
        <v>25564</v>
      </c>
      <c r="E7718">
        <v>2</v>
      </c>
      <c r="F7718" t="s">
        <v>14516</v>
      </c>
      <c r="G7718" t="s">
        <v>24560</v>
      </c>
      <c r="H7718">
        <v>4001629</v>
      </c>
      <c r="I7718" t="s">
        <v>25565</v>
      </c>
    </row>
    <row r="7719" spans="1:9">
      <c r="A7719" t="str">
        <f>"0108009 "</f>
        <v xml:space="preserve">0108009 </v>
      </c>
      <c r="B7719" t="s">
        <v>24560</v>
      </c>
      <c r="C7719" t="s">
        <v>25566</v>
      </c>
      <c r="D7719" t="s">
        <v>25567</v>
      </c>
      <c r="E7719" t="s">
        <v>16</v>
      </c>
      <c r="F7719" t="s">
        <v>25568</v>
      </c>
      <c r="G7719" t="s">
        <v>24560</v>
      </c>
      <c r="H7719">
        <v>4001630</v>
      </c>
      <c r="I7719" t="s">
        <v>25569</v>
      </c>
    </row>
    <row r="7720" spans="1:9">
      <c r="A7720" t="str">
        <f>"0108012 "</f>
        <v xml:space="preserve">0108012 </v>
      </c>
      <c r="B7720" t="s">
        <v>24560</v>
      </c>
      <c r="C7720" t="s">
        <v>25570</v>
      </c>
      <c r="D7720" t="s">
        <v>25571</v>
      </c>
      <c r="E7720">
        <v>1</v>
      </c>
      <c r="F7720" t="s">
        <v>19972</v>
      </c>
      <c r="G7720" t="s">
        <v>24560</v>
      </c>
      <c r="H7720">
        <v>4001634</v>
      </c>
      <c r="I7720" t="s">
        <v>25572</v>
      </c>
    </row>
    <row r="7721" spans="1:9">
      <c r="A7721" t="str">
        <f>"0108013 "</f>
        <v xml:space="preserve">0108013 </v>
      </c>
      <c r="B7721" t="s">
        <v>24560</v>
      </c>
      <c r="C7721" t="s">
        <v>25573</v>
      </c>
      <c r="D7721" t="s">
        <v>25574</v>
      </c>
      <c r="E7721">
        <v>1</v>
      </c>
      <c r="F7721" t="s">
        <v>25575</v>
      </c>
      <c r="G7721" t="s">
        <v>24560</v>
      </c>
      <c r="H7721">
        <v>4001635</v>
      </c>
      <c r="I7721" t="s">
        <v>25576</v>
      </c>
    </row>
    <row r="7722" spans="1:9">
      <c r="A7722" t="str">
        <f>"0108015 "</f>
        <v xml:space="preserve">0108015 </v>
      </c>
      <c r="B7722" t="s">
        <v>24560</v>
      </c>
      <c r="C7722" t="s">
        <v>25577</v>
      </c>
      <c r="D7722" t="s">
        <v>25578</v>
      </c>
      <c r="E7722">
        <v>2</v>
      </c>
      <c r="F7722" t="s">
        <v>25579</v>
      </c>
      <c r="G7722" t="s">
        <v>24560</v>
      </c>
      <c r="H7722">
        <v>4001637</v>
      </c>
      <c r="I7722" t="s">
        <v>25580</v>
      </c>
    </row>
    <row r="7723" spans="1:9">
      <c r="A7723" t="str">
        <f>"0108022 "</f>
        <v xml:space="preserve">0108022 </v>
      </c>
      <c r="B7723" t="s">
        <v>24560</v>
      </c>
      <c r="C7723" t="s">
        <v>25581</v>
      </c>
      <c r="D7723" t="s">
        <v>25582</v>
      </c>
      <c r="E7723">
        <v>2</v>
      </c>
      <c r="F7723" t="s">
        <v>25583</v>
      </c>
      <c r="G7723" t="s">
        <v>24560</v>
      </c>
      <c r="H7723">
        <v>4001645</v>
      </c>
      <c r="I7723" t="s">
        <v>21987</v>
      </c>
    </row>
    <row r="7724" spans="1:9">
      <c r="A7724" t="str">
        <f>"0108035 "</f>
        <v xml:space="preserve">0108035 </v>
      </c>
      <c r="B7724" t="s">
        <v>24560</v>
      </c>
      <c r="C7724" t="s">
        <v>25584</v>
      </c>
      <c r="D7724" t="s">
        <v>25585</v>
      </c>
      <c r="E7724">
        <v>1</v>
      </c>
      <c r="F7724" t="s">
        <v>25586</v>
      </c>
      <c r="G7724" t="s">
        <v>24560</v>
      </c>
      <c r="H7724">
        <v>4001716</v>
      </c>
      <c r="I7724" t="s">
        <v>25587</v>
      </c>
    </row>
    <row r="7725" spans="1:9">
      <c r="A7725" t="str">
        <f>"0108036 "</f>
        <v xml:space="preserve">0108036 </v>
      </c>
      <c r="B7725" t="s">
        <v>24560</v>
      </c>
      <c r="C7725" t="s">
        <v>25588</v>
      </c>
      <c r="D7725" t="s">
        <v>25589</v>
      </c>
      <c r="E7725">
        <v>3</v>
      </c>
      <c r="F7725" t="s">
        <v>25590</v>
      </c>
      <c r="G7725" t="s">
        <v>24560</v>
      </c>
      <c r="H7725">
        <v>4001717</v>
      </c>
      <c r="I7725" t="s">
        <v>25591</v>
      </c>
    </row>
    <row r="7726" spans="1:9">
      <c r="A7726" t="str">
        <f>"0108051 "</f>
        <v xml:space="preserve">0108051 </v>
      </c>
      <c r="B7726" t="s">
        <v>24560</v>
      </c>
      <c r="C7726" t="s">
        <v>25592</v>
      </c>
      <c r="D7726" t="s">
        <v>25593</v>
      </c>
      <c r="E7726">
        <v>1</v>
      </c>
      <c r="F7726" t="s">
        <v>25594</v>
      </c>
      <c r="G7726" t="s">
        <v>24560</v>
      </c>
      <c r="H7726">
        <v>4001737</v>
      </c>
      <c r="I7726" t="s">
        <v>25595</v>
      </c>
    </row>
    <row r="7727" spans="1:9">
      <c r="A7727" t="str">
        <f>"0108068 "</f>
        <v xml:space="preserve">0108068 </v>
      </c>
      <c r="B7727" t="s">
        <v>24560</v>
      </c>
      <c r="C7727" t="s">
        <v>25596</v>
      </c>
      <c r="D7727" t="s">
        <v>25597</v>
      </c>
      <c r="E7727">
        <v>1</v>
      </c>
      <c r="F7727" t="s">
        <v>25598</v>
      </c>
      <c r="G7727" t="s">
        <v>24560</v>
      </c>
      <c r="H7727">
        <v>4001759</v>
      </c>
      <c r="I7727" t="s">
        <v>25599</v>
      </c>
    </row>
    <row r="7728" spans="1:9">
      <c r="A7728" t="str">
        <f>"0108084 "</f>
        <v xml:space="preserve">0108084 </v>
      </c>
      <c r="B7728" t="s">
        <v>24560</v>
      </c>
      <c r="C7728" t="s">
        <v>25600</v>
      </c>
      <c r="D7728" t="s">
        <v>25601</v>
      </c>
      <c r="E7728">
        <v>1</v>
      </c>
      <c r="F7728" t="s">
        <v>14893</v>
      </c>
      <c r="G7728" t="s">
        <v>24560</v>
      </c>
      <c r="H7728">
        <v>4001778</v>
      </c>
      <c r="I7728" t="s">
        <v>25602</v>
      </c>
    </row>
    <row r="7729" spans="1:9">
      <c r="A7729" t="str">
        <f>"0108089 "</f>
        <v xml:space="preserve">0108089 </v>
      </c>
      <c r="B7729" t="s">
        <v>24560</v>
      </c>
      <c r="C7729" t="s">
        <v>25603</v>
      </c>
      <c r="D7729" t="s">
        <v>25604</v>
      </c>
      <c r="E7729">
        <v>1</v>
      </c>
      <c r="F7729" t="s">
        <v>14435</v>
      </c>
      <c r="G7729" t="s">
        <v>24560</v>
      </c>
      <c r="H7729">
        <v>4001784</v>
      </c>
      <c r="I7729" t="s">
        <v>25605</v>
      </c>
    </row>
    <row r="7730" spans="1:9">
      <c r="A7730" t="str">
        <f>"0108096 "</f>
        <v xml:space="preserve">0108096 </v>
      </c>
      <c r="B7730" t="s">
        <v>24560</v>
      </c>
      <c r="C7730" t="s">
        <v>25606</v>
      </c>
      <c r="D7730" t="s">
        <v>25607</v>
      </c>
      <c r="E7730">
        <v>1</v>
      </c>
      <c r="F7730" t="s">
        <v>9798</v>
      </c>
      <c r="G7730" t="s">
        <v>24560</v>
      </c>
      <c r="H7730">
        <v>4001792</v>
      </c>
      <c r="I7730" t="s">
        <v>25608</v>
      </c>
    </row>
    <row r="7731" spans="1:9">
      <c r="A7731" t="str">
        <f>"0108097 "</f>
        <v xml:space="preserve">0108097 </v>
      </c>
      <c r="B7731" t="s">
        <v>24560</v>
      </c>
      <c r="C7731" t="s">
        <v>25609</v>
      </c>
      <c r="D7731" t="s">
        <v>25610</v>
      </c>
      <c r="E7731">
        <v>2</v>
      </c>
      <c r="F7731" t="s">
        <v>19953</v>
      </c>
      <c r="G7731" t="s">
        <v>24560</v>
      </c>
      <c r="H7731">
        <v>4001793</v>
      </c>
      <c r="I7731" t="s">
        <v>22002</v>
      </c>
    </row>
    <row r="7732" spans="1:9">
      <c r="A7732" t="str">
        <f>"0108108 "</f>
        <v xml:space="preserve">0108108 </v>
      </c>
      <c r="B7732" t="s">
        <v>24560</v>
      </c>
      <c r="C7732" t="s">
        <v>25611</v>
      </c>
      <c r="D7732" t="s">
        <v>25612</v>
      </c>
      <c r="E7732">
        <v>1</v>
      </c>
      <c r="F7732" t="s">
        <v>9209</v>
      </c>
      <c r="G7732" t="s">
        <v>24560</v>
      </c>
      <c r="H7732">
        <v>4001805</v>
      </c>
      <c r="I7732" t="s">
        <v>25613</v>
      </c>
    </row>
    <row r="7733" spans="1:9">
      <c r="A7733" t="str">
        <f>"0108116 "</f>
        <v xml:space="preserve">0108116 </v>
      </c>
      <c r="B7733" t="s">
        <v>24560</v>
      </c>
      <c r="C7733" t="s">
        <v>25614</v>
      </c>
      <c r="D7733" t="s">
        <v>25615</v>
      </c>
      <c r="E7733">
        <v>4</v>
      </c>
      <c r="F7733" t="s">
        <v>19953</v>
      </c>
      <c r="G7733" t="s">
        <v>24560</v>
      </c>
      <c r="H7733">
        <v>4001814</v>
      </c>
      <c r="I7733" t="s">
        <v>22004</v>
      </c>
    </row>
    <row r="7734" spans="1:9">
      <c r="A7734" t="str">
        <f>"0108227 "</f>
        <v xml:space="preserve">0108227 </v>
      </c>
      <c r="B7734" t="s">
        <v>24560</v>
      </c>
      <c r="C7734" t="s">
        <v>25616</v>
      </c>
      <c r="D7734" t="s">
        <v>25617</v>
      </c>
      <c r="E7734">
        <v>2</v>
      </c>
      <c r="F7734" t="s">
        <v>15933</v>
      </c>
      <c r="G7734" t="s">
        <v>24560</v>
      </c>
      <c r="H7734">
        <v>4003324</v>
      </c>
      <c r="I7734" t="s">
        <v>25618</v>
      </c>
    </row>
    <row r="7735" spans="1:9">
      <c r="A7735" t="str">
        <f>"0108228 "</f>
        <v xml:space="preserve">0108228 </v>
      </c>
      <c r="B7735" t="s">
        <v>24560</v>
      </c>
      <c r="C7735" t="s">
        <v>25619</v>
      </c>
      <c r="D7735" t="s">
        <v>25620</v>
      </c>
      <c r="E7735">
        <v>2</v>
      </c>
      <c r="F7735" t="s">
        <v>14715</v>
      </c>
      <c r="G7735" t="s">
        <v>24560</v>
      </c>
      <c r="H7735">
        <v>4003347</v>
      </c>
      <c r="I7735" t="s">
        <v>25621</v>
      </c>
    </row>
    <row r="7736" spans="1:9">
      <c r="A7736" t="str">
        <f>"0108251 "</f>
        <v xml:space="preserve">0108251 </v>
      </c>
      <c r="B7736" t="s">
        <v>24560</v>
      </c>
      <c r="C7736" t="s">
        <v>25622</v>
      </c>
      <c r="D7736" t="s">
        <v>25623</v>
      </c>
      <c r="E7736">
        <v>2</v>
      </c>
      <c r="F7736" t="s">
        <v>25624</v>
      </c>
      <c r="G7736" t="s">
        <v>24560</v>
      </c>
      <c r="H7736">
        <v>4003377</v>
      </c>
      <c r="I7736" t="s">
        <v>25625</v>
      </c>
    </row>
    <row r="7737" spans="1:9">
      <c r="A7737" t="str">
        <f>"0108256 "</f>
        <v xml:space="preserve">0108256 </v>
      </c>
      <c r="B7737" t="s">
        <v>24560</v>
      </c>
      <c r="C7737" t="s">
        <v>25626</v>
      </c>
      <c r="D7737" t="s">
        <v>25627</v>
      </c>
      <c r="E7737">
        <v>2</v>
      </c>
      <c r="F7737" t="s">
        <v>25628</v>
      </c>
      <c r="G7737" t="s">
        <v>24560</v>
      </c>
      <c r="H7737">
        <v>4003382</v>
      </c>
      <c r="I7737" t="s">
        <v>25629</v>
      </c>
    </row>
    <row r="7738" spans="1:9">
      <c r="A7738" t="str">
        <f>"0108279 "</f>
        <v xml:space="preserve">0108279 </v>
      </c>
      <c r="B7738" t="s">
        <v>24560</v>
      </c>
      <c r="C7738" t="s">
        <v>25630</v>
      </c>
      <c r="D7738" t="s">
        <v>25631</v>
      </c>
      <c r="E7738">
        <v>3</v>
      </c>
      <c r="F7738" t="s">
        <v>14841</v>
      </c>
      <c r="G7738" t="s">
        <v>24560</v>
      </c>
      <c r="H7738">
        <v>4003408</v>
      </c>
      <c r="I7738" t="s">
        <v>25632</v>
      </c>
    </row>
    <row r="7739" spans="1:9">
      <c r="A7739" t="str">
        <f>"0108288 "</f>
        <v xml:space="preserve">0108288 </v>
      </c>
      <c r="B7739" t="s">
        <v>24560</v>
      </c>
      <c r="C7739" t="s">
        <v>25633</v>
      </c>
      <c r="D7739" t="s">
        <v>25634</v>
      </c>
      <c r="E7739">
        <v>1</v>
      </c>
      <c r="F7739" t="s">
        <v>14435</v>
      </c>
      <c r="G7739" t="s">
        <v>24560</v>
      </c>
      <c r="H7739">
        <v>4003419</v>
      </c>
      <c r="I7739" t="s">
        <v>25635</v>
      </c>
    </row>
    <row r="7740" spans="1:9">
      <c r="A7740" t="str">
        <f>"0108306 "</f>
        <v xml:space="preserve">0108306 </v>
      </c>
      <c r="B7740" t="s">
        <v>24560</v>
      </c>
      <c r="C7740" t="s">
        <v>25636</v>
      </c>
      <c r="D7740" t="s">
        <v>25637</v>
      </c>
      <c r="E7740" t="s">
        <v>16</v>
      </c>
      <c r="F7740" t="s">
        <v>25638</v>
      </c>
      <c r="G7740" t="s">
        <v>24560</v>
      </c>
      <c r="H7740">
        <v>4003440</v>
      </c>
      <c r="I7740" t="s">
        <v>25639</v>
      </c>
    </row>
    <row r="7741" spans="1:9">
      <c r="A7741" t="str">
        <f>"0108316 "</f>
        <v xml:space="preserve">0108316 </v>
      </c>
      <c r="B7741" t="s">
        <v>24560</v>
      </c>
      <c r="C7741" t="s">
        <v>25640</v>
      </c>
      <c r="D7741" t="s">
        <v>25641</v>
      </c>
      <c r="E7741">
        <v>2</v>
      </c>
      <c r="F7741" t="s">
        <v>14435</v>
      </c>
      <c r="G7741" t="s">
        <v>24560</v>
      </c>
      <c r="H7741">
        <v>4003455</v>
      </c>
      <c r="I7741" t="s">
        <v>25642</v>
      </c>
    </row>
    <row r="7742" spans="1:9">
      <c r="A7742" t="str">
        <f>"0108327 "</f>
        <v xml:space="preserve">0108327 </v>
      </c>
      <c r="B7742" t="s">
        <v>24560</v>
      </c>
      <c r="C7742" t="s">
        <v>25643</v>
      </c>
      <c r="D7742" t="s">
        <v>25644</v>
      </c>
      <c r="E7742">
        <v>4</v>
      </c>
      <c r="F7742" t="s">
        <v>25645</v>
      </c>
      <c r="G7742" t="s">
        <v>24560</v>
      </c>
      <c r="H7742">
        <v>4003470</v>
      </c>
      <c r="I7742" t="s">
        <v>25646</v>
      </c>
    </row>
    <row r="7743" spans="1:9">
      <c r="A7743" t="str">
        <f>"0108439 "</f>
        <v xml:space="preserve">0108439 </v>
      </c>
      <c r="B7743" t="s">
        <v>24560</v>
      </c>
      <c r="C7743" t="s">
        <v>25647</v>
      </c>
      <c r="D7743" t="s">
        <v>25648</v>
      </c>
      <c r="E7743">
        <v>2</v>
      </c>
      <c r="F7743" t="s">
        <v>24619</v>
      </c>
      <c r="G7743" t="s">
        <v>24560</v>
      </c>
      <c r="H7743">
        <v>4005134</v>
      </c>
      <c r="I7743" t="s">
        <v>25649</v>
      </c>
    </row>
    <row r="7744" spans="1:9">
      <c r="A7744" t="str">
        <f>"0108443 "</f>
        <v xml:space="preserve">0108443 </v>
      </c>
      <c r="B7744" t="s">
        <v>24560</v>
      </c>
      <c r="C7744" t="s">
        <v>25650</v>
      </c>
      <c r="D7744" t="s">
        <v>25651</v>
      </c>
      <c r="E7744" t="s">
        <v>16</v>
      </c>
      <c r="F7744" t="s">
        <v>25652</v>
      </c>
      <c r="G7744" t="s">
        <v>24560</v>
      </c>
      <c r="H7744">
        <v>4005141</v>
      </c>
      <c r="I7744" t="s">
        <v>25653</v>
      </c>
    </row>
    <row r="7745" spans="1:9">
      <c r="A7745" t="str">
        <f>"0108445 "</f>
        <v xml:space="preserve">0108445 </v>
      </c>
      <c r="B7745" t="s">
        <v>24560</v>
      </c>
      <c r="C7745" t="s">
        <v>25654</v>
      </c>
      <c r="D7745" t="s">
        <v>25655</v>
      </c>
      <c r="E7745">
        <v>1</v>
      </c>
      <c r="F7745" t="s">
        <v>15530</v>
      </c>
      <c r="G7745" t="s">
        <v>24560</v>
      </c>
      <c r="H7745">
        <v>4005147</v>
      </c>
      <c r="I7745" t="s">
        <v>25656</v>
      </c>
    </row>
    <row r="7746" spans="1:9">
      <c r="A7746" t="str">
        <f>"0108446 "</f>
        <v xml:space="preserve">0108446 </v>
      </c>
      <c r="B7746" t="s">
        <v>24560</v>
      </c>
      <c r="C7746" t="s">
        <v>25657</v>
      </c>
      <c r="D7746" t="s">
        <v>25658</v>
      </c>
      <c r="E7746">
        <v>2</v>
      </c>
      <c r="F7746" t="s">
        <v>15122</v>
      </c>
      <c r="G7746" t="s">
        <v>24560</v>
      </c>
      <c r="H7746">
        <v>4005148</v>
      </c>
      <c r="I7746" t="s">
        <v>25659</v>
      </c>
    </row>
    <row r="7747" spans="1:9">
      <c r="A7747" t="str">
        <f>"0108448 "</f>
        <v xml:space="preserve">0108448 </v>
      </c>
      <c r="B7747" t="s">
        <v>24560</v>
      </c>
      <c r="C7747" t="s">
        <v>25660</v>
      </c>
      <c r="D7747" t="s">
        <v>25661</v>
      </c>
      <c r="E7747" t="s">
        <v>16</v>
      </c>
      <c r="F7747" t="s">
        <v>25662</v>
      </c>
      <c r="G7747" t="s">
        <v>24560</v>
      </c>
      <c r="H7747">
        <v>4005150</v>
      </c>
      <c r="I7747" t="s">
        <v>25663</v>
      </c>
    </row>
    <row r="7748" spans="1:9">
      <c r="A7748" t="str">
        <f>"0108449 "</f>
        <v xml:space="preserve">0108449 </v>
      </c>
      <c r="B7748" t="s">
        <v>24560</v>
      </c>
      <c r="C7748" t="s">
        <v>25664</v>
      </c>
      <c r="D7748" t="s">
        <v>25665</v>
      </c>
      <c r="E7748">
        <v>4</v>
      </c>
      <c r="F7748" t="s">
        <v>24706</v>
      </c>
      <c r="G7748" t="s">
        <v>24560</v>
      </c>
      <c r="H7748">
        <v>4005151</v>
      </c>
      <c r="I7748" t="s">
        <v>25666</v>
      </c>
    </row>
    <row r="7749" spans="1:9">
      <c r="A7749" t="str">
        <f>"0108450 "</f>
        <v xml:space="preserve">0108450 </v>
      </c>
      <c r="B7749" t="s">
        <v>24560</v>
      </c>
      <c r="C7749" t="s">
        <v>25667</v>
      </c>
      <c r="D7749" t="s">
        <v>25668</v>
      </c>
      <c r="E7749" t="s">
        <v>16</v>
      </c>
      <c r="F7749" t="s">
        <v>24629</v>
      </c>
      <c r="G7749" t="s">
        <v>24560</v>
      </c>
      <c r="H7749">
        <v>4005152</v>
      </c>
      <c r="I7749" t="s">
        <v>21995</v>
      </c>
    </row>
    <row r="7750" spans="1:9">
      <c r="A7750" t="str">
        <f>"0108451 "</f>
        <v xml:space="preserve">0108451 </v>
      </c>
      <c r="B7750" t="s">
        <v>24560</v>
      </c>
      <c r="C7750" t="s">
        <v>25669</v>
      </c>
      <c r="D7750" t="s">
        <v>25670</v>
      </c>
      <c r="E7750" t="s">
        <v>16</v>
      </c>
      <c r="F7750" t="s">
        <v>25167</v>
      </c>
      <c r="G7750" t="s">
        <v>24560</v>
      </c>
      <c r="H7750">
        <v>4005153</v>
      </c>
      <c r="I7750" t="s">
        <v>25671</v>
      </c>
    </row>
    <row r="7751" spans="1:9">
      <c r="A7751" t="str">
        <f>"0108473 "</f>
        <v xml:space="preserve">0108473 </v>
      </c>
      <c r="B7751" t="s">
        <v>24560</v>
      </c>
      <c r="C7751" t="s">
        <v>25672</v>
      </c>
      <c r="D7751" t="s">
        <v>25673</v>
      </c>
      <c r="E7751" t="s">
        <v>16</v>
      </c>
      <c r="F7751" t="s">
        <v>25249</v>
      </c>
      <c r="G7751" t="s">
        <v>24560</v>
      </c>
      <c r="H7751">
        <v>4005257</v>
      </c>
      <c r="I7751" t="s">
        <v>25674</v>
      </c>
    </row>
    <row r="7752" spans="1:9">
      <c r="A7752" t="str">
        <f>"0108485 "</f>
        <v xml:space="preserve">0108485 </v>
      </c>
      <c r="B7752" t="s">
        <v>24560</v>
      </c>
      <c r="C7752" t="s">
        <v>25675</v>
      </c>
      <c r="D7752" t="s">
        <v>25676</v>
      </c>
      <c r="E7752">
        <v>2</v>
      </c>
      <c r="F7752" t="s">
        <v>25677</v>
      </c>
      <c r="G7752" t="s">
        <v>24560</v>
      </c>
      <c r="H7752">
        <v>4005272</v>
      </c>
      <c r="I7752" t="s">
        <v>25678</v>
      </c>
    </row>
    <row r="7753" spans="1:9">
      <c r="A7753" t="str">
        <f>"0108488 "</f>
        <v xml:space="preserve">0108488 </v>
      </c>
      <c r="B7753" t="s">
        <v>24560</v>
      </c>
      <c r="C7753" t="s">
        <v>25679</v>
      </c>
      <c r="D7753" t="s">
        <v>25680</v>
      </c>
      <c r="E7753">
        <v>4</v>
      </c>
      <c r="F7753" t="s">
        <v>25681</v>
      </c>
      <c r="G7753" t="s">
        <v>24560</v>
      </c>
      <c r="H7753">
        <v>4005276</v>
      </c>
      <c r="I7753" t="s">
        <v>25682</v>
      </c>
    </row>
    <row r="7754" spans="1:9">
      <c r="A7754" t="str">
        <f>"0108489 "</f>
        <v xml:space="preserve">0108489 </v>
      </c>
      <c r="B7754" t="s">
        <v>24560</v>
      </c>
      <c r="C7754" t="s">
        <v>25683</v>
      </c>
      <c r="D7754" t="s">
        <v>25684</v>
      </c>
      <c r="E7754" t="s">
        <v>16</v>
      </c>
      <c r="F7754" t="s">
        <v>15933</v>
      </c>
      <c r="G7754" t="s">
        <v>24560</v>
      </c>
      <c r="H7754">
        <v>4005277</v>
      </c>
      <c r="I7754" t="s">
        <v>25685</v>
      </c>
    </row>
    <row r="7755" spans="1:9">
      <c r="A7755" t="str">
        <f>"0108490 "</f>
        <v xml:space="preserve">0108490 </v>
      </c>
      <c r="B7755" t="s">
        <v>24560</v>
      </c>
      <c r="C7755" t="s">
        <v>25686</v>
      </c>
      <c r="D7755" t="s">
        <v>25687</v>
      </c>
      <c r="E7755" t="s">
        <v>16</v>
      </c>
      <c r="F7755" t="s">
        <v>25688</v>
      </c>
      <c r="G7755" t="s">
        <v>24560</v>
      </c>
      <c r="H7755">
        <v>4005278</v>
      </c>
      <c r="I7755" t="s">
        <v>15045</v>
      </c>
    </row>
    <row r="7756" spans="1:9">
      <c r="A7756" t="str">
        <f>"0108491 "</f>
        <v xml:space="preserve">0108491 </v>
      </c>
      <c r="B7756" t="s">
        <v>24560</v>
      </c>
      <c r="C7756" t="s">
        <v>25689</v>
      </c>
      <c r="D7756" t="s">
        <v>25690</v>
      </c>
      <c r="E7756">
        <v>4</v>
      </c>
      <c r="F7756" t="s">
        <v>19972</v>
      </c>
      <c r="G7756" t="s">
        <v>24560</v>
      </c>
      <c r="H7756">
        <v>4005279</v>
      </c>
      <c r="I7756" t="s">
        <v>25691</v>
      </c>
    </row>
    <row r="7757" spans="1:9">
      <c r="A7757" t="str">
        <f>"0108492 "</f>
        <v xml:space="preserve">0108492 </v>
      </c>
      <c r="B7757" t="s">
        <v>24560</v>
      </c>
      <c r="C7757" t="s">
        <v>25692</v>
      </c>
      <c r="D7757" t="s">
        <v>25693</v>
      </c>
      <c r="E7757" t="s">
        <v>16</v>
      </c>
      <c r="F7757" t="s">
        <v>14497</v>
      </c>
      <c r="G7757" t="s">
        <v>24560</v>
      </c>
      <c r="H7757">
        <v>4005280</v>
      </c>
      <c r="I7757" t="s">
        <v>25694</v>
      </c>
    </row>
    <row r="7758" spans="1:9">
      <c r="A7758" t="str">
        <f>"0108493 "</f>
        <v xml:space="preserve">0108493 </v>
      </c>
      <c r="B7758" t="s">
        <v>24560</v>
      </c>
      <c r="C7758" t="s">
        <v>25695</v>
      </c>
      <c r="D7758" t="s">
        <v>25696</v>
      </c>
      <c r="E7758" t="s">
        <v>16</v>
      </c>
      <c r="F7758" t="s">
        <v>16111</v>
      </c>
      <c r="G7758" t="s">
        <v>24560</v>
      </c>
      <c r="H7758">
        <v>4005281</v>
      </c>
      <c r="I7758" t="s">
        <v>25697</v>
      </c>
    </row>
    <row r="7759" spans="1:9">
      <c r="A7759" t="str">
        <f>"0108494 "</f>
        <v xml:space="preserve">0108494 </v>
      </c>
      <c r="B7759" t="s">
        <v>24560</v>
      </c>
      <c r="C7759" t="s">
        <v>25698</v>
      </c>
      <c r="D7759" t="s">
        <v>25699</v>
      </c>
      <c r="E7759">
        <v>2</v>
      </c>
      <c r="F7759" t="s">
        <v>25700</v>
      </c>
      <c r="G7759" t="s">
        <v>24560</v>
      </c>
      <c r="H7759">
        <v>4005300</v>
      </c>
      <c r="I7759" t="s">
        <v>25701</v>
      </c>
    </row>
    <row r="7760" spans="1:9">
      <c r="A7760" t="str">
        <f>"0108503 "</f>
        <v xml:space="preserve">0108503 </v>
      </c>
      <c r="B7760" t="s">
        <v>24560</v>
      </c>
      <c r="C7760" t="s">
        <v>25702</v>
      </c>
      <c r="D7760" t="s">
        <v>25703</v>
      </c>
      <c r="E7760">
        <v>1</v>
      </c>
      <c r="F7760" t="s">
        <v>20175</v>
      </c>
      <c r="G7760" t="s">
        <v>24560</v>
      </c>
      <c r="H7760">
        <v>4005350</v>
      </c>
      <c r="I7760" t="s">
        <v>25704</v>
      </c>
    </row>
    <row r="7761" spans="1:9">
      <c r="A7761" t="str">
        <f>"0108508 "</f>
        <v xml:space="preserve">0108508 </v>
      </c>
      <c r="B7761" t="s">
        <v>24560</v>
      </c>
      <c r="C7761" t="s">
        <v>25705</v>
      </c>
      <c r="D7761" t="s">
        <v>25706</v>
      </c>
      <c r="E7761" t="s">
        <v>16</v>
      </c>
      <c r="F7761" t="s">
        <v>15648</v>
      </c>
      <c r="G7761" t="s">
        <v>24560</v>
      </c>
      <c r="H7761">
        <v>4005373</v>
      </c>
      <c r="I7761" t="s">
        <v>25707</v>
      </c>
    </row>
    <row r="7762" spans="1:9">
      <c r="A7762" t="str">
        <f>"0108558 "</f>
        <v xml:space="preserve">0108558 </v>
      </c>
      <c r="B7762" t="s">
        <v>24560</v>
      </c>
      <c r="C7762" t="s">
        <v>25708</v>
      </c>
      <c r="D7762" t="s">
        <v>25709</v>
      </c>
      <c r="E7762">
        <v>2</v>
      </c>
      <c r="F7762" t="s">
        <v>9901</v>
      </c>
      <c r="G7762" t="s">
        <v>24560</v>
      </c>
      <c r="H7762">
        <v>4005528</v>
      </c>
      <c r="I7762" t="s">
        <v>25710</v>
      </c>
    </row>
    <row r="7763" spans="1:9">
      <c r="A7763" t="str">
        <f>"0108559 "</f>
        <v xml:space="preserve">0108559 </v>
      </c>
      <c r="B7763" t="s">
        <v>24560</v>
      </c>
      <c r="C7763" t="s">
        <v>25711</v>
      </c>
      <c r="D7763" t="s">
        <v>25712</v>
      </c>
      <c r="E7763">
        <v>4</v>
      </c>
      <c r="F7763" t="s">
        <v>9901</v>
      </c>
      <c r="G7763" t="s">
        <v>24560</v>
      </c>
      <c r="H7763">
        <v>4005529</v>
      </c>
      <c r="I7763" t="s">
        <v>25713</v>
      </c>
    </row>
    <row r="7764" spans="1:9">
      <c r="A7764" t="str">
        <f>"0108565 "</f>
        <v xml:space="preserve">0108565 </v>
      </c>
      <c r="B7764" t="s">
        <v>24560</v>
      </c>
      <c r="C7764" t="s">
        <v>25714</v>
      </c>
      <c r="D7764" t="s">
        <v>25715</v>
      </c>
      <c r="E7764">
        <v>2</v>
      </c>
      <c r="F7764" t="s">
        <v>25716</v>
      </c>
      <c r="G7764" t="s">
        <v>24560</v>
      </c>
      <c r="H7764">
        <v>4005536</v>
      </c>
      <c r="I7764" t="s">
        <v>25717</v>
      </c>
    </row>
    <row r="7765" spans="1:9">
      <c r="A7765" t="str">
        <f>"0108566 "</f>
        <v xml:space="preserve">0108566 </v>
      </c>
      <c r="B7765" t="s">
        <v>24560</v>
      </c>
      <c r="C7765" t="s">
        <v>25718</v>
      </c>
      <c r="D7765" t="s">
        <v>25719</v>
      </c>
      <c r="E7765" t="s">
        <v>16</v>
      </c>
      <c r="F7765" t="s">
        <v>25509</v>
      </c>
      <c r="G7765" t="s">
        <v>24560</v>
      </c>
      <c r="H7765">
        <v>4005537</v>
      </c>
      <c r="I7765" t="s">
        <v>25720</v>
      </c>
    </row>
    <row r="7766" spans="1:9">
      <c r="A7766" t="str">
        <f>"0108627 "</f>
        <v xml:space="preserve">0108627 </v>
      </c>
      <c r="B7766" t="s">
        <v>24560</v>
      </c>
      <c r="C7766" t="s">
        <v>25721</v>
      </c>
      <c r="D7766" t="s">
        <v>25722</v>
      </c>
      <c r="E7766">
        <v>4</v>
      </c>
      <c r="F7766" t="s">
        <v>25723</v>
      </c>
      <c r="G7766" t="s">
        <v>24560</v>
      </c>
      <c r="H7766">
        <v>4006075</v>
      </c>
      <c r="I7766" t="s">
        <v>25724</v>
      </c>
    </row>
    <row r="7767" spans="1:9">
      <c r="A7767" t="str">
        <f>"0108638 "</f>
        <v xml:space="preserve">0108638 </v>
      </c>
      <c r="B7767" t="s">
        <v>24560</v>
      </c>
      <c r="C7767" t="s">
        <v>25725</v>
      </c>
      <c r="D7767" t="s">
        <v>25726</v>
      </c>
      <c r="E7767">
        <v>2</v>
      </c>
      <c r="F7767" t="s">
        <v>20262</v>
      </c>
      <c r="G7767" t="s">
        <v>24560</v>
      </c>
      <c r="H7767">
        <v>4006114</v>
      </c>
      <c r="I7767" t="s">
        <v>25727</v>
      </c>
    </row>
    <row r="7768" spans="1:9">
      <c r="A7768" t="str">
        <f>"0108642 "</f>
        <v xml:space="preserve">0108642 </v>
      </c>
      <c r="B7768" t="s">
        <v>24560</v>
      </c>
      <c r="C7768" t="s">
        <v>25728</v>
      </c>
      <c r="D7768" t="s">
        <v>25729</v>
      </c>
      <c r="E7768">
        <v>1</v>
      </c>
      <c r="F7768" t="s">
        <v>14828</v>
      </c>
      <c r="G7768" t="s">
        <v>24560</v>
      </c>
      <c r="H7768">
        <v>4006120</v>
      </c>
      <c r="I7768" t="s">
        <v>25730</v>
      </c>
    </row>
    <row r="7769" spans="1:9">
      <c r="A7769" t="str">
        <f>"0108653 "</f>
        <v xml:space="preserve">0108653 </v>
      </c>
      <c r="B7769" t="s">
        <v>24560</v>
      </c>
      <c r="C7769" t="s">
        <v>25731</v>
      </c>
      <c r="D7769" t="s">
        <v>25732</v>
      </c>
      <c r="E7769">
        <v>1</v>
      </c>
      <c r="F7769" t="s">
        <v>25733</v>
      </c>
      <c r="G7769" t="s">
        <v>24560</v>
      </c>
      <c r="H7769">
        <v>4006133</v>
      </c>
      <c r="I7769" t="s">
        <v>25734</v>
      </c>
    </row>
    <row r="7770" spans="1:9">
      <c r="A7770" t="str">
        <f>"0108654 "</f>
        <v xml:space="preserve">0108654 </v>
      </c>
      <c r="B7770" t="s">
        <v>24560</v>
      </c>
      <c r="C7770" t="s">
        <v>25735</v>
      </c>
      <c r="D7770" t="s">
        <v>25736</v>
      </c>
      <c r="E7770" t="s">
        <v>16</v>
      </c>
      <c r="F7770" t="s">
        <v>11933</v>
      </c>
      <c r="G7770" t="s">
        <v>24560</v>
      </c>
      <c r="H7770">
        <v>4006134</v>
      </c>
      <c r="I7770" t="s">
        <v>25737</v>
      </c>
    </row>
    <row r="7771" spans="1:9">
      <c r="A7771" t="str">
        <f>"0108655 "</f>
        <v xml:space="preserve">0108655 </v>
      </c>
      <c r="B7771" t="s">
        <v>24560</v>
      </c>
      <c r="C7771" t="s">
        <v>25738</v>
      </c>
      <c r="D7771" t="s">
        <v>25739</v>
      </c>
      <c r="E7771" t="s">
        <v>16</v>
      </c>
      <c r="F7771" t="s">
        <v>14833</v>
      </c>
      <c r="G7771" t="s">
        <v>24560</v>
      </c>
      <c r="H7771">
        <v>4006135</v>
      </c>
      <c r="I7771" t="s">
        <v>25740</v>
      </c>
    </row>
    <row r="7772" spans="1:9">
      <c r="A7772" t="str">
        <f>"0108663 "</f>
        <v xml:space="preserve">0108663 </v>
      </c>
      <c r="B7772" t="s">
        <v>24560</v>
      </c>
      <c r="C7772" t="s">
        <v>25741</v>
      </c>
      <c r="D7772" t="s">
        <v>25742</v>
      </c>
      <c r="E7772" t="s">
        <v>16</v>
      </c>
      <c r="F7772" t="s">
        <v>5219</v>
      </c>
      <c r="G7772" t="s">
        <v>24560</v>
      </c>
      <c r="H7772">
        <v>4006147</v>
      </c>
      <c r="I7772" t="s">
        <v>25743</v>
      </c>
    </row>
    <row r="7773" spans="1:9">
      <c r="A7773" t="str">
        <f>"0108664 "</f>
        <v xml:space="preserve">0108664 </v>
      </c>
      <c r="B7773" t="s">
        <v>24560</v>
      </c>
      <c r="C7773" t="s">
        <v>25744</v>
      </c>
      <c r="D7773" t="s">
        <v>25745</v>
      </c>
      <c r="E7773" t="s">
        <v>16</v>
      </c>
      <c r="F7773" t="s">
        <v>5219</v>
      </c>
      <c r="G7773" t="s">
        <v>24560</v>
      </c>
      <c r="H7773">
        <v>4006148</v>
      </c>
      <c r="I7773" t="s">
        <v>25746</v>
      </c>
    </row>
    <row r="7774" spans="1:9">
      <c r="A7774" t="str">
        <f>"0108665 "</f>
        <v xml:space="preserve">0108665 </v>
      </c>
      <c r="B7774" t="s">
        <v>24560</v>
      </c>
      <c r="C7774" t="s">
        <v>25747</v>
      </c>
      <c r="D7774" t="s">
        <v>25748</v>
      </c>
      <c r="E7774">
        <v>1</v>
      </c>
      <c r="F7774" t="s">
        <v>25749</v>
      </c>
      <c r="G7774" t="s">
        <v>24560</v>
      </c>
      <c r="H7774">
        <v>4006153</v>
      </c>
      <c r="I7774" t="s">
        <v>25750</v>
      </c>
    </row>
    <row r="7775" spans="1:9">
      <c r="A7775" t="str">
        <f>"0108666 "</f>
        <v xml:space="preserve">0108666 </v>
      </c>
      <c r="B7775" t="s">
        <v>24560</v>
      </c>
      <c r="C7775" t="s">
        <v>25751</v>
      </c>
      <c r="D7775" t="s">
        <v>25752</v>
      </c>
      <c r="E7775">
        <v>1</v>
      </c>
      <c r="F7775" t="s">
        <v>25749</v>
      </c>
      <c r="G7775" t="s">
        <v>24560</v>
      </c>
      <c r="H7775">
        <v>4006154</v>
      </c>
      <c r="I7775" t="s">
        <v>25753</v>
      </c>
    </row>
    <row r="7776" spans="1:9">
      <c r="A7776" t="str">
        <f>"0108667 "</f>
        <v xml:space="preserve">0108667 </v>
      </c>
      <c r="B7776" t="s">
        <v>24560</v>
      </c>
      <c r="C7776" t="s">
        <v>25754</v>
      </c>
      <c r="D7776" t="s">
        <v>25755</v>
      </c>
      <c r="E7776" t="s">
        <v>16</v>
      </c>
      <c r="F7776" t="s">
        <v>25756</v>
      </c>
      <c r="G7776" t="s">
        <v>24560</v>
      </c>
      <c r="H7776">
        <v>4006157</v>
      </c>
      <c r="I7776" t="s">
        <v>25757</v>
      </c>
    </row>
    <row r="7777" spans="1:9">
      <c r="A7777" t="str">
        <f>"0108668 "</f>
        <v xml:space="preserve">0108668 </v>
      </c>
      <c r="B7777" t="s">
        <v>24560</v>
      </c>
      <c r="C7777" t="s">
        <v>25758</v>
      </c>
      <c r="D7777" t="s">
        <v>25759</v>
      </c>
      <c r="E7777" t="s">
        <v>16</v>
      </c>
      <c r="F7777" t="s">
        <v>25756</v>
      </c>
      <c r="G7777" t="s">
        <v>24560</v>
      </c>
      <c r="H7777">
        <v>4006158</v>
      </c>
      <c r="I7777" t="s">
        <v>25760</v>
      </c>
    </row>
    <row r="7778" spans="1:9">
      <c r="A7778" t="str">
        <f>"0108669 "</f>
        <v xml:space="preserve">0108669 </v>
      </c>
      <c r="B7778" t="s">
        <v>24560</v>
      </c>
      <c r="C7778" t="s">
        <v>25761</v>
      </c>
      <c r="D7778" t="s">
        <v>25762</v>
      </c>
      <c r="E7778">
        <v>2</v>
      </c>
      <c r="F7778" t="s">
        <v>25763</v>
      </c>
      <c r="G7778" t="s">
        <v>24560</v>
      </c>
      <c r="H7778">
        <v>4006159</v>
      </c>
      <c r="I7778" t="s">
        <v>25764</v>
      </c>
    </row>
    <row r="7779" spans="1:9">
      <c r="A7779" t="str">
        <f>"0108679 "</f>
        <v xml:space="preserve">0108679 </v>
      </c>
      <c r="B7779" t="s">
        <v>24560</v>
      </c>
      <c r="C7779" t="s">
        <v>25765</v>
      </c>
      <c r="D7779" t="s">
        <v>25766</v>
      </c>
      <c r="E7779" t="s">
        <v>16</v>
      </c>
      <c r="F7779" t="s">
        <v>8423</v>
      </c>
      <c r="G7779" t="s">
        <v>24560</v>
      </c>
      <c r="H7779">
        <v>4006215</v>
      </c>
      <c r="I7779" t="s">
        <v>25767</v>
      </c>
    </row>
    <row r="7780" spans="1:9">
      <c r="A7780" t="str">
        <f>"0108686 "</f>
        <v xml:space="preserve">0108686 </v>
      </c>
      <c r="B7780" t="s">
        <v>24560</v>
      </c>
      <c r="C7780" t="s">
        <v>25768</v>
      </c>
      <c r="D7780" t="s">
        <v>25769</v>
      </c>
      <c r="E7780" t="s">
        <v>16</v>
      </c>
      <c r="F7780" t="s">
        <v>24700</v>
      </c>
      <c r="G7780" t="s">
        <v>24560</v>
      </c>
      <c r="H7780">
        <v>4006224</v>
      </c>
      <c r="I7780" t="s">
        <v>25770</v>
      </c>
    </row>
    <row r="7781" spans="1:9">
      <c r="A7781" t="str">
        <f>"0108927 "</f>
        <v xml:space="preserve">0108927 </v>
      </c>
      <c r="B7781" t="s">
        <v>24560</v>
      </c>
      <c r="C7781" t="s">
        <v>25771</v>
      </c>
      <c r="D7781" t="s">
        <v>25772</v>
      </c>
      <c r="E7781">
        <v>2</v>
      </c>
      <c r="F7781" t="s">
        <v>25773</v>
      </c>
      <c r="G7781" t="s">
        <v>24560</v>
      </c>
      <c r="H7781" t="s">
        <v>25774</v>
      </c>
      <c r="I7781" t="s">
        <v>25775</v>
      </c>
    </row>
    <row r="7782" spans="1:9">
      <c r="A7782" t="str">
        <f>"0108929 "</f>
        <v xml:space="preserve">0108929 </v>
      </c>
      <c r="B7782" t="s">
        <v>24560</v>
      </c>
      <c r="C7782" t="s">
        <v>25776</v>
      </c>
      <c r="D7782" t="s">
        <v>25777</v>
      </c>
      <c r="E7782">
        <v>1</v>
      </c>
      <c r="F7782" t="s">
        <v>25778</v>
      </c>
      <c r="G7782" t="s">
        <v>24560</v>
      </c>
      <c r="H7782" t="s">
        <v>25779</v>
      </c>
      <c r="I7782" t="s">
        <v>25780</v>
      </c>
    </row>
    <row r="7783" spans="1:9">
      <c r="A7783" t="str">
        <f>"0109107 "</f>
        <v xml:space="preserve">0109107 </v>
      </c>
      <c r="B7783" t="s">
        <v>24560</v>
      </c>
      <c r="C7783" t="s">
        <v>25781</v>
      </c>
      <c r="D7783" t="s">
        <v>25782</v>
      </c>
      <c r="E7783">
        <v>2</v>
      </c>
      <c r="F7783" s="3">
        <v>21398</v>
      </c>
      <c r="G7783" t="s">
        <v>24560</v>
      </c>
      <c r="H7783">
        <v>5233103</v>
      </c>
      <c r="I7783" t="s">
        <v>25783</v>
      </c>
    </row>
    <row r="7784" spans="1:9">
      <c r="A7784" t="str">
        <f>"0109134 "</f>
        <v xml:space="preserve">0109134 </v>
      </c>
      <c r="B7784" t="s">
        <v>24560</v>
      </c>
      <c r="C7784" t="s">
        <v>25784</v>
      </c>
      <c r="D7784" t="s">
        <v>25785</v>
      </c>
      <c r="E7784">
        <v>4</v>
      </c>
      <c r="F7784" t="s">
        <v>25786</v>
      </c>
      <c r="G7784" t="s">
        <v>24560</v>
      </c>
      <c r="H7784">
        <v>5233403</v>
      </c>
      <c r="I7784" t="s">
        <v>25787</v>
      </c>
    </row>
    <row r="7785" spans="1:9">
      <c r="A7785" t="str">
        <f>"0109138 "</f>
        <v xml:space="preserve">0109138 </v>
      </c>
      <c r="B7785" t="s">
        <v>24560</v>
      </c>
      <c r="C7785" t="s">
        <v>25788</v>
      </c>
      <c r="D7785" t="s">
        <v>25789</v>
      </c>
      <c r="E7785">
        <v>2</v>
      </c>
      <c r="F7785" t="s">
        <v>25790</v>
      </c>
      <c r="G7785" t="s">
        <v>24560</v>
      </c>
      <c r="H7785">
        <v>5233453</v>
      </c>
      <c r="I7785" t="s">
        <v>25791</v>
      </c>
    </row>
    <row r="7786" spans="1:9">
      <c r="A7786" t="str">
        <f>"0109140 "</f>
        <v xml:space="preserve">0109140 </v>
      </c>
      <c r="B7786" t="s">
        <v>24560</v>
      </c>
      <c r="C7786" t="s">
        <v>25792</v>
      </c>
      <c r="D7786" t="s">
        <v>25793</v>
      </c>
      <c r="E7786">
        <v>1</v>
      </c>
      <c r="F7786" t="s">
        <v>24908</v>
      </c>
      <c r="G7786" t="s">
        <v>24560</v>
      </c>
      <c r="H7786">
        <v>5233513</v>
      </c>
      <c r="I7786" t="s">
        <v>25794</v>
      </c>
    </row>
    <row r="7787" spans="1:9">
      <c r="A7787" t="str">
        <f>"0109145 "</f>
        <v xml:space="preserve">0109145 </v>
      </c>
      <c r="B7787" t="s">
        <v>24560</v>
      </c>
      <c r="C7787" t="s">
        <v>25795</v>
      </c>
      <c r="D7787" t="s">
        <v>25796</v>
      </c>
      <c r="E7787">
        <v>4</v>
      </c>
      <c r="F7787" t="s">
        <v>24741</v>
      </c>
      <c r="G7787" t="s">
        <v>24560</v>
      </c>
      <c r="H7787">
        <v>5233603</v>
      </c>
      <c r="I7787" t="s">
        <v>25797</v>
      </c>
    </row>
    <row r="7788" spans="1:9">
      <c r="A7788" t="str">
        <f>"0109147 "</f>
        <v xml:space="preserve">0109147 </v>
      </c>
      <c r="B7788" t="s">
        <v>24560</v>
      </c>
      <c r="C7788" t="s">
        <v>25798</v>
      </c>
      <c r="D7788" t="s">
        <v>25799</v>
      </c>
      <c r="E7788">
        <v>1</v>
      </c>
      <c r="F7788" t="s">
        <v>25800</v>
      </c>
      <c r="G7788" t="s">
        <v>24560</v>
      </c>
      <c r="H7788">
        <v>5233613</v>
      </c>
      <c r="I7788" t="s">
        <v>21762</v>
      </c>
    </row>
    <row r="7789" spans="1:9">
      <c r="A7789" t="str">
        <f>"0109148 "</f>
        <v xml:space="preserve">0109148 </v>
      </c>
      <c r="B7789" t="s">
        <v>24560</v>
      </c>
      <c r="C7789" t="s">
        <v>25801</v>
      </c>
      <c r="D7789" t="s">
        <v>25802</v>
      </c>
      <c r="E7789" t="s">
        <v>16</v>
      </c>
      <c r="F7789" t="s">
        <v>20842</v>
      </c>
      <c r="G7789" t="s">
        <v>24560</v>
      </c>
      <c r="H7789">
        <v>5233623</v>
      </c>
      <c r="I7789" t="s">
        <v>25803</v>
      </c>
    </row>
    <row r="7790" spans="1:9">
      <c r="A7790" t="str">
        <f>"0109151 "</f>
        <v xml:space="preserve">0109151 </v>
      </c>
      <c r="B7790" t="s">
        <v>24560</v>
      </c>
      <c r="C7790" t="s">
        <v>25804</v>
      </c>
      <c r="D7790" t="s">
        <v>25805</v>
      </c>
      <c r="E7790" t="s">
        <v>16</v>
      </c>
      <c r="F7790" t="s">
        <v>25806</v>
      </c>
      <c r="G7790" t="s">
        <v>24560</v>
      </c>
      <c r="H7790">
        <v>5233833</v>
      </c>
      <c r="I7790" t="s">
        <v>25807</v>
      </c>
    </row>
    <row r="7791" spans="1:9">
      <c r="A7791" t="str">
        <f>"0109152 "</f>
        <v xml:space="preserve">0109152 </v>
      </c>
      <c r="B7791" t="s">
        <v>24560</v>
      </c>
      <c r="C7791" t="s">
        <v>25808</v>
      </c>
      <c r="D7791" t="s">
        <v>25809</v>
      </c>
      <c r="E7791">
        <v>2</v>
      </c>
      <c r="F7791" t="s">
        <v>25227</v>
      </c>
      <c r="G7791" t="s">
        <v>24560</v>
      </c>
      <c r="H7791">
        <v>5233843</v>
      </c>
      <c r="I7791" t="s">
        <v>25810</v>
      </c>
    </row>
    <row r="7792" spans="1:9">
      <c r="A7792" t="str">
        <f>"0109153 "</f>
        <v xml:space="preserve">0109153 </v>
      </c>
      <c r="B7792" t="s">
        <v>24560</v>
      </c>
      <c r="C7792" t="s">
        <v>25811</v>
      </c>
      <c r="D7792" t="s">
        <v>25812</v>
      </c>
      <c r="E7792">
        <v>4</v>
      </c>
      <c r="F7792" t="s">
        <v>25813</v>
      </c>
      <c r="G7792" t="s">
        <v>24560</v>
      </c>
      <c r="H7792">
        <v>5233913</v>
      </c>
      <c r="I7792" t="s">
        <v>25814</v>
      </c>
    </row>
    <row r="7793" spans="1:9">
      <c r="A7793" t="str">
        <f>"0109154 "</f>
        <v xml:space="preserve">0109154 </v>
      </c>
      <c r="B7793" t="s">
        <v>24560</v>
      </c>
      <c r="C7793" t="s">
        <v>25815</v>
      </c>
      <c r="D7793" t="s">
        <v>25816</v>
      </c>
      <c r="E7793">
        <v>2</v>
      </c>
      <c r="F7793" t="s">
        <v>20738</v>
      </c>
      <c r="G7793" t="s">
        <v>24560</v>
      </c>
      <c r="H7793">
        <v>5233923</v>
      </c>
      <c r="I7793" t="s">
        <v>25817</v>
      </c>
    </row>
    <row r="7794" spans="1:9">
      <c r="A7794" t="str">
        <f>"0109155 "</f>
        <v xml:space="preserve">0109155 </v>
      </c>
      <c r="B7794" t="s">
        <v>24560</v>
      </c>
      <c r="C7794" t="s">
        <v>25818</v>
      </c>
      <c r="D7794" t="s">
        <v>25819</v>
      </c>
      <c r="E7794">
        <v>2</v>
      </c>
      <c r="F7794" t="s">
        <v>25820</v>
      </c>
      <c r="G7794" t="s">
        <v>24560</v>
      </c>
      <c r="H7794">
        <v>5233933</v>
      </c>
      <c r="I7794" t="s">
        <v>25821</v>
      </c>
    </row>
    <row r="7795" spans="1:9">
      <c r="A7795" t="str">
        <f>"0109161 "</f>
        <v xml:space="preserve">0109161 </v>
      </c>
      <c r="B7795" t="s">
        <v>24560</v>
      </c>
      <c r="C7795" t="s">
        <v>25822</v>
      </c>
      <c r="D7795" t="s">
        <v>25823</v>
      </c>
      <c r="E7795">
        <v>2</v>
      </c>
      <c r="F7795" t="s">
        <v>25824</v>
      </c>
      <c r="G7795" t="s">
        <v>24560</v>
      </c>
      <c r="H7795" t="s">
        <v>25825</v>
      </c>
      <c r="I7795" t="s">
        <v>25826</v>
      </c>
    </row>
    <row r="7796" spans="1:9">
      <c r="A7796" t="str">
        <f>"0109492 "</f>
        <v xml:space="preserve">0109492 </v>
      </c>
      <c r="B7796" t="s">
        <v>24560</v>
      </c>
      <c r="C7796" t="s">
        <v>25827</v>
      </c>
      <c r="D7796" t="s">
        <v>25828</v>
      </c>
      <c r="E7796">
        <v>1</v>
      </c>
      <c r="F7796" t="s">
        <v>25829</v>
      </c>
      <c r="G7796" t="s">
        <v>24560</v>
      </c>
      <c r="H7796">
        <v>6403323</v>
      </c>
      <c r="I7796" t="s">
        <v>25830</v>
      </c>
    </row>
    <row r="7797" spans="1:9">
      <c r="A7797" t="str">
        <f>"0109494 "</f>
        <v xml:space="preserve">0109494 </v>
      </c>
      <c r="B7797" t="s">
        <v>24560</v>
      </c>
      <c r="C7797" t="s">
        <v>25831</v>
      </c>
      <c r="D7797" t="s">
        <v>25832</v>
      </c>
      <c r="E7797">
        <v>1</v>
      </c>
      <c r="F7797" t="s">
        <v>25503</v>
      </c>
      <c r="G7797" t="s">
        <v>24560</v>
      </c>
      <c r="H7797">
        <v>6403343</v>
      </c>
      <c r="I7797" t="s">
        <v>25833</v>
      </c>
    </row>
    <row r="7798" spans="1:9">
      <c r="A7798" t="str">
        <f>"0109501 "</f>
        <v xml:space="preserve">0109501 </v>
      </c>
      <c r="B7798" t="s">
        <v>24560</v>
      </c>
      <c r="C7798" t="s">
        <v>25834</v>
      </c>
      <c r="D7798" t="s">
        <v>25835</v>
      </c>
      <c r="E7798" t="s">
        <v>16</v>
      </c>
      <c r="F7798" t="s">
        <v>25836</v>
      </c>
      <c r="G7798" t="s">
        <v>24560</v>
      </c>
      <c r="H7798">
        <v>6403513</v>
      </c>
      <c r="I7798" t="s">
        <v>25837</v>
      </c>
    </row>
    <row r="7799" spans="1:9">
      <c r="A7799" t="str">
        <f>"0109504 "</f>
        <v xml:space="preserve">0109504 </v>
      </c>
      <c r="B7799" t="s">
        <v>24560</v>
      </c>
      <c r="C7799" t="s">
        <v>25838</v>
      </c>
      <c r="D7799" t="s">
        <v>25839</v>
      </c>
      <c r="E7799">
        <v>2</v>
      </c>
      <c r="F7799" t="s">
        <v>25829</v>
      </c>
      <c r="G7799" t="s">
        <v>24560</v>
      </c>
      <c r="H7799">
        <v>6403553</v>
      </c>
      <c r="I7799" t="s">
        <v>25840</v>
      </c>
    </row>
    <row r="7800" spans="1:9">
      <c r="A7800" t="str">
        <f>"0109506 "</f>
        <v xml:space="preserve">0109506 </v>
      </c>
      <c r="B7800" t="s">
        <v>24560</v>
      </c>
      <c r="C7800" t="s">
        <v>25841</v>
      </c>
      <c r="D7800" t="s">
        <v>25842</v>
      </c>
      <c r="E7800">
        <v>2</v>
      </c>
      <c r="F7800" t="s">
        <v>9357</v>
      </c>
      <c r="G7800" t="s">
        <v>24560</v>
      </c>
      <c r="H7800">
        <v>6403573</v>
      </c>
      <c r="I7800" t="s">
        <v>25843</v>
      </c>
    </row>
    <row r="7801" spans="1:9">
      <c r="A7801" t="str">
        <f>"0110162 "</f>
        <v xml:space="preserve">0110162 </v>
      </c>
      <c r="B7801" t="s">
        <v>24560</v>
      </c>
      <c r="C7801" t="s">
        <v>25844</v>
      </c>
      <c r="D7801" t="s">
        <v>25845</v>
      </c>
      <c r="E7801">
        <v>1</v>
      </c>
      <c r="F7801" t="s">
        <v>25846</v>
      </c>
      <c r="G7801" t="s">
        <v>24560</v>
      </c>
      <c r="H7801">
        <v>7470001</v>
      </c>
      <c r="I7801" t="s">
        <v>25847</v>
      </c>
    </row>
    <row r="7802" spans="1:9">
      <c r="A7802" t="str">
        <f>"0110293 "</f>
        <v xml:space="preserve">0110293 </v>
      </c>
      <c r="B7802" t="s">
        <v>24560</v>
      </c>
      <c r="C7802" t="s">
        <v>25848</v>
      </c>
      <c r="D7802" t="s">
        <v>25849</v>
      </c>
      <c r="E7802">
        <v>3</v>
      </c>
      <c r="F7802" t="s">
        <v>25850</v>
      </c>
      <c r="G7802" t="s">
        <v>24560</v>
      </c>
      <c r="H7802">
        <v>7574001</v>
      </c>
      <c r="I7802" t="s">
        <v>25851</v>
      </c>
    </row>
    <row r="7803" spans="1:9">
      <c r="A7803" t="str">
        <f>"0110298 "</f>
        <v xml:space="preserve">0110298 </v>
      </c>
      <c r="B7803" t="s">
        <v>24560</v>
      </c>
      <c r="C7803" t="s">
        <v>25852</v>
      </c>
      <c r="D7803" t="s">
        <v>25853</v>
      </c>
      <c r="E7803">
        <v>2</v>
      </c>
      <c r="F7803" t="s">
        <v>14791</v>
      </c>
      <c r="G7803" t="s">
        <v>24560</v>
      </c>
      <c r="H7803">
        <v>7574007</v>
      </c>
      <c r="I7803" t="s">
        <v>25854</v>
      </c>
    </row>
    <row r="7804" spans="1:9">
      <c r="A7804" t="str">
        <f>"0110299 "</f>
        <v xml:space="preserve">0110299 </v>
      </c>
      <c r="B7804" t="s">
        <v>24560</v>
      </c>
      <c r="C7804" t="s">
        <v>25855</v>
      </c>
      <c r="D7804" t="s">
        <v>25856</v>
      </c>
      <c r="E7804">
        <v>4</v>
      </c>
      <c r="F7804" t="s">
        <v>25857</v>
      </c>
      <c r="G7804" t="s">
        <v>24560</v>
      </c>
      <c r="H7804">
        <v>7574008</v>
      </c>
      <c r="I7804" t="s">
        <v>25858</v>
      </c>
    </row>
    <row r="7805" spans="1:9">
      <c r="A7805" t="str">
        <f>"0110300 "</f>
        <v xml:space="preserve">0110300 </v>
      </c>
      <c r="B7805" t="s">
        <v>24560</v>
      </c>
      <c r="C7805" t="s">
        <v>25859</v>
      </c>
      <c r="D7805" t="s">
        <v>25860</v>
      </c>
      <c r="E7805">
        <v>2</v>
      </c>
      <c r="F7805" t="s">
        <v>25857</v>
      </c>
      <c r="G7805" t="s">
        <v>24560</v>
      </c>
      <c r="H7805">
        <v>7574009</v>
      </c>
      <c r="I7805" t="s">
        <v>25861</v>
      </c>
    </row>
    <row r="7806" spans="1:9">
      <c r="A7806" t="str">
        <f>"0160168 "</f>
        <v xml:space="preserve">0160168 </v>
      </c>
      <c r="B7806" t="s">
        <v>24560</v>
      </c>
      <c r="C7806" t="s">
        <v>25862</v>
      </c>
      <c r="D7806" t="s">
        <v>25863</v>
      </c>
      <c r="E7806">
        <v>1</v>
      </c>
      <c r="F7806" t="s">
        <v>25864</v>
      </c>
      <c r="G7806" t="s">
        <v>24560</v>
      </c>
      <c r="H7806">
        <v>7574012</v>
      </c>
      <c r="I7806" t="s">
        <v>25865</v>
      </c>
    </row>
    <row r="7807" spans="1:9">
      <c r="A7807" t="str">
        <f>"0110313 "</f>
        <v xml:space="preserve">0110313 </v>
      </c>
      <c r="B7807" t="s">
        <v>24560</v>
      </c>
      <c r="C7807" t="s">
        <v>25866</v>
      </c>
      <c r="D7807" t="s">
        <v>25867</v>
      </c>
      <c r="E7807">
        <v>3</v>
      </c>
      <c r="F7807" t="s">
        <v>25376</v>
      </c>
      <c r="G7807" t="s">
        <v>24560</v>
      </c>
      <c r="H7807">
        <v>7576017</v>
      </c>
      <c r="I7807" t="s">
        <v>25868</v>
      </c>
    </row>
    <row r="7808" spans="1:9">
      <c r="A7808" t="str">
        <f>"0110314 "</f>
        <v xml:space="preserve">0110314 </v>
      </c>
      <c r="B7808" t="s">
        <v>24560</v>
      </c>
      <c r="C7808" t="s">
        <v>25869</v>
      </c>
      <c r="D7808" t="s">
        <v>25870</v>
      </c>
      <c r="E7808">
        <v>2</v>
      </c>
      <c r="F7808" t="s">
        <v>25871</v>
      </c>
      <c r="G7808" t="s">
        <v>24560</v>
      </c>
      <c r="H7808">
        <v>7576018</v>
      </c>
      <c r="I7808" t="s">
        <v>25872</v>
      </c>
    </row>
    <row r="7809" spans="1:9">
      <c r="A7809" t="str">
        <f>"0160175 "</f>
        <v xml:space="preserve">0160175 </v>
      </c>
      <c r="B7809" t="s">
        <v>24560</v>
      </c>
      <c r="C7809" t="s">
        <v>25873</v>
      </c>
      <c r="D7809" t="s">
        <v>25874</v>
      </c>
      <c r="E7809">
        <v>2</v>
      </c>
      <c r="F7809" t="s">
        <v>25875</v>
      </c>
      <c r="G7809" t="s">
        <v>24560</v>
      </c>
      <c r="H7809">
        <v>7576028</v>
      </c>
      <c r="I7809" t="s">
        <v>25876</v>
      </c>
    </row>
    <row r="7810" spans="1:9">
      <c r="A7810" t="str">
        <f>"0110315 "</f>
        <v xml:space="preserve">0110315 </v>
      </c>
      <c r="B7810" t="s">
        <v>24560</v>
      </c>
      <c r="C7810" t="s">
        <v>25877</v>
      </c>
      <c r="D7810" t="s">
        <v>25878</v>
      </c>
      <c r="E7810">
        <v>1</v>
      </c>
      <c r="F7810" t="s">
        <v>25879</v>
      </c>
      <c r="G7810" t="s">
        <v>24560</v>
      </c>
      <c r="H7810">
        <v>7670001</v>
      </c>
      <c r="I7810" t="s">
        <v>25880</v>
      </c>
    </row>
    <row r="7811" spans="1:9">
      <c r="A7811" t="str">
        <f>"0110316 "</f>
        <v xml:space="preserve">0110316 </v>
      </c>
      <c r="B7811" t="s">
        <v>24560</v>
      </c>
      <c r="C7811" t="s">
        <v>25881</v>
      </c>
      <c r="D7811" t="s">
        <v>25882</v>
      </c>
      <c r="E7811">
        <v>1</v>
      </c>
      <c r="F7811" t="s">
        <v>25879</v>
      </c>
      <c r="G7811" t="s">
        <v>24560</v>
      </c>
      <c r="H7811">
        <v>7670002</v>
      </c>
      <c r="I7811" t="s">
        <v>22375</v>
      </c>
    </row>
    <row r="7812" spans="1:9">
      <c r="A7812" t="str">
        <f>"0110317 "</f>
        <v xml:space="preserve">0110317 </v>
      </c>
      <c r="B7812" t="s">
        <v>24560</v>
      </c>
      <c r="C7812" t="s">
        <v>25883</v>
      </c>
      <c r="D7812" t="s">
        <v>25884</v>
      </c>
      <c r="E7812">
        <v>1</v>
      </c>
      <c r="F7812" t="s">
        <v>15068</v>
      </c>
      <c r="G7812" t="s">
        <v>24560</v>
      </c>
      <c r="H7812">
        <v>7670003</v>
      </c>
      <c r="I7812" t="s">
        <v>25885</v>
      </c>
    </row>
    <row r="7813" spans="1:9">
      <c r="A7813" t="str">
        <f>"0110318 "</f>
        <v xml:space="preserve">0110318 </v>
      </c>
      <c r="B7813" t="s">
        <v>24560</v>
      </c>
      <c r="C7813" t="s">
        <v>25886</v>
      </c>
      <c r="D7813" t="s">
        <v>25887</v>
      </c>
      <c r="E7813">
        <v>1</v>
      </c>
      <c r="F7813" t="s">
        <v>15068</v>
      </c>
      <c r="G7813" t="s">
        <v>24560</v>
      </c>
      <c r="H7813">
        <v>7670004</v>
      </c>
      <c r="I7813" t="s">
        <v>25888</v>
      </c>
    </row>
    <row r="7814" spans="1:9">
      <c r="A7814" t="str">
        <f>"0110324 "</f>
        <v xml:space="preserve">0110324 </v>
      </c>
      <c r="B7814" t="s">
        <v>24560</v>
      </c>
      <c r="C7814" t="s">
        <v>25889</v>
      </c>
      <c r="D7814" t="s">
        <v>25890</v>
      </c>
      <c r="E7814">
        <v>4</v>
      </c>
      <c r="F7814" t="s">
        <v>25891</v>
      </c>
      <c r="G7814" t="s">
        <v>24560</v>
      </c>
      <c r="H7814">
        <v>7670011</v>
      </c>
      <c r="I7814" t="s">
        <v>25892</v>
      </c>
    </row>
    <row r="7815" spans="1:9">
      <c r="A7815" t="str">
        <f>"0110327 "</f>
        <v xml:space="preserve">0110327 </v>
      </c>
      <c r="B7815" t="s">
        <v>24560</v>
      </c>
      <c r="C7815" t="s">
        <v>25893</v>
      </c>
      <c r="D7815" t="s">
        <v>25894</v>
      </c>
      <c r="E7815">
        <v>2</v>
      </c>
      <c r="F7815" t="s">
        <v>14469</v>
      </c>
      <c r="G7815" t="s">
        <v>24560</v>
      </c>
      <c r="H7815">
        <v>7670014</v>
      </c>
      <c r="I7815" t="s">
        <v>25895</v>
      </c>
    </row>
    <row r="7816" spans="1:9">
      <c r="A7816" t="str">
        <f>"0110328 "</f>
        <v xml:space="preserve">0110328 </v>
      </c>
      <c r="B7816" t="s">
        <v>24560</v>
      </c>
      <c r="C7816" t="s">
        <v>25896</v>
      </c>
      <c r="D7816" t="s">
        <v>25897</v>
      </c>
      <c r="E7816">
        <v>2</v>
      </c>
      <c r="F7816" t="s">
        <v>14469</v>
      </c>
      <c r="G7816" t="s">
        <v>24560</v>
      </c>
      <c r="H7816">
        <v>7670015</v>
      </c>
      <c r="I7816" t="s">
        <v>25898</v>
      </c>
    </row>
    <row r="7817" spans="1:9">
      <c r="A7817" t="str">
        <f>"0110337 "</f>
        <v xml:space="preserve">0110337 </v>
      </c>
      <c r="B7817" t="s">
        <v>24560</v>
      </c>
      <c r="C7817" t="s">
        <v>25899</v>
      </c>
      <c r="D7817" t="s">
        <v>25900</v>
      </c>
      <c r="E7817">
        <v>2</v>
      </c>
      <c r="F7817" t="s">
        <v>25901</v>
      </c>
      <c r="G7817" t="s">
        <v>24560</v>
      </c>
      <c r="H7817">
        <v>7674013</v>
      </c>
      <c r="I7817" t="s">
        <v>25902</v>
      </c>
    </row>
    <row r="7818" spans="1:9">
      <c r="A7818" t="str">
        <f>"0110338 "</f>
        <v xml:space="preserve">0110338 </v>
      </c>
      <c r="B7818" t="s">
        <v>24560</v>
      </c>
      <c r="C7818" t="s">
        <v>25903</v>
      </c>
      <c r="D7818" t="s">
        <v>25904</v>
      </c>
      <c r="E7818">
        <v>2</v>
      </c>
      <c r="F7818" t="s">
        <v>25901</v>
      </c>
      <c r="G7818" t="s">
        <v>24560</v>
      </c>
      <c r="H7818">
        <v>7674015</v>
      </c>
      <c r="I7818" t="s">
        <v>25905</v>
      </c>
    </row>
    <row r="7819" spans="1:9">
      <c r="A7819" t="str">
        <f>"0110349 "</f>
        <v xml:space="preserve">0110349 </v>
      </c>
      <c r="B7819" t="s">
        <v>24560</v>
      </c>
      <c r="C7819" t="s">
        <v>25906</v>
      </c>
      <c r="D7819" t="s">
        <v>25907</v>
      </c>
      <c r="E7819">
        <v>1</v>
      </c>
      <c r="F7819" t="s">
        <v>25908</v>
      </c>
      <c r="G7819" t="s">
        <v>24560</v>
      </c>
      <c r="H7819">
        <v>7676019</v>
      </c>
      <c r="I7819" t="s">
        <v>25909</v>
      </c>
    </row>
    <row r="7820" spans="1:9">
      <c r="A7820" t="str">
        <f>"0110350 "</f>
        <v xml:space="preserve">0110350 </v>
      </c>
      <c r="B7820" t="s">
        <v>24560</v>
      </c>
      <c r="C7820" t="s">
        <v>25910</v>
      </c>
      <c r="D7820" t="s">
        <v>25911</v>
      </c>
      <c r="E7820">
        <v>1</v>
      </c>
      <c r="F7820" t="s">
        <v>25908</v>
      </c>
      <c r="G7820" t="s">
        <v>24560</v>
      </c>
      <c r="H7820">
        <v>7676020</v>
      </c>
      <c r="I7820" t="s">
        <v>25912</v>
      </c>
    </row>
    <row r="7821" spans="1:9">
      <c r="A7821" t="str">
        <f>"0110367 "</f>
        <v xml:space="preserve">0110367 </v>
      </c>
      <c r="B7821" t="s">
        <v>24560</v>
      </c>
      <c r="C7821" t="s">
        <v>25913</v>
      </c>
      <c r="D7821" t="s">
        <v>25914</v>
      </c>
      <c r="E7821">
        <v>1</v>
      </c>
      <c r="F7821" t="s">
        <v>9961</v>
      </c>
      <c r="G7821" t="s">
        <v>24560</v>
      </c>
      <c r="H7821">
        <v>7676039</v>
      </c>
      <c r="I7821" t="s">
        <v>25915</v>
      </c>
    </row>
    <row r="7822" spans="1:9">
      <c r="A7822" t="str">
        <f>"0110368 "</f>
        <v xml:space="preserve">0110368 </v>
      </c>
      <c r="B7822" t="s">
        <v>24560</v>
      </c>
      <c r="C7822" t="s">
        <v>25916</v>
      </c>
      <c r="D7822" t="s">
        <v>25917</v>
      </c>
      <c r="E7822">
        <v>1</v>
      </c>
      <c r="F7822" t="s">
        <v>9961</v>
      </c>
      <c r="G7822" t="s">
        <v>24560</v>
      </c>
      <c r="H7822">
        <v>7676040</v>
      </c>
      <c r="I7822" t="s">
        <v>25918</v>
      </c>
    </row>
    <row r="7823" spans="1:9">
      <c r="A7823" t="str">
        <f>"0160242 "</f>
        <v xml:space="preserve">0160242 </v>
      </c>
      <c r="B7823" t="s">
        <v>24560</v>
      </c>
      <c r="C7823" t="s">
        <v>25919</v>
      </c>
      <c r="D7823" t="s">
        <v>25920</v>
      </c>
      <c r="E7823">
        <v>1</v>
      </c>
      <c r="F7823" t="s">
        <v>25921</v>
      </c>
      <c r="G7823" t="s">
        <v>24560</v>
      </c>
      <c r="H7823">
        <v>7770015</v>
      </c>
      <c r="I7823" t="s">
        <v>25922</v>
      </c>
    </row>
    <row r="7824" spans="1:9">
      <c r="A7824" t="str">
        <f>"0110386 "</f>
        <v xml:space="preserve">0110386 </v>
      </c>
      <c r="B7824" t="s">
        <v>24560</v>
      </c>
      <c r="C7824" t="s">
        <v>25923</v>
      </c>
      <c r="D7824" t="s">
        <v>25924</v>
      </c>
      <c r="E7824" t="s">
        <v>16</v>
      </c>
      <c r="F7824" t="s">
        <v>25925</v>
      </c>
      <c r="G7824" t="s">
        <v>24560</v>
      </c>
      <c r="H7824">
        <v>7774013</v>
      </c>
      <c r="I7824" t="s">
        <v>25926</v>
      </c>
    </row>
    <row r="7825" spans="1:9">
      <c r="A7825" t="str">
        <f>"0160246 "</f>
        <v xml:space="preserve">0160246 </v>
      </c>
      <c r="B7825" t="s">
        <v>24560</v>
      </c>
      <c r="C7825" t="s">
        <v>25927</v>
      </c>
      <c r="D7825" t="s">
        <v>25928</v>
      </c>
      <c r="E7825">
        <v>2</v>
      </c>
      <c r="F7825" t="s">
        <v>25908</v>
      </c>
      <c r="G7825" t="s">
        <v>24560</v>
      </c>
      <c r="H7825">
        <v>7774017</v>
      </c>
      <c r="I7825" t="s">
        <v>25929</v>
      </c>
    </row>
    <row r="7826" spans="1:9">
      <c r="A7826" t="str">
        <f>"0110430 "</f>
        <v xml:space="preserve">0110430 </v>
      </c>
      <c r="B7826" t="s">
        <v>24560</v>
      </c>
      <c r="C7826" t="s">
        <v>25930</v>
      </c>
      <c r="D7826" t="s">
        <v>25931</v>
      </c>
      <c r="E7826">
        <v>2</v>
      </c>
      <c r="F7826" t="s">
        <v>7356</v>
      </c>
      <c r="G7826" t="s">
        <v>24560</v>
      </c>
      <c r="H7826">
        <v>8003201</v>
      </c>
      <c r="I7826" t="s">
        <v>25932</v>
      </c>
    </row>
    <row r="7827" spans="1:9">
      <c r="A7827" t="str">
        <f>"0110431 "</f>
        <v xml:space="preserve">0110431 </v>
      </c>
      <c r="B7827" t="s">
        <v>24560</v>
      </c>
      <c r="C7827" t="s">
        <v>25933</v>
      </c>
      <c r="D7827" t="s">
        <v>25934</v>
      </c>
      <c r="E7827" t="s">
        <v>16</v>
      </c>
      <c r="F7827" t="s">
        <v>24689</v>
      </c>
      <c r="G7827" t="s">
        <v>24560</v>
      </c>
      <c r="H7827">
        <v>8003202</v>
      </c>
      <c r="I7827" t="s">
        <v>25935</v>
      </c>
    </row>
    <row r="7828" spans="1:9">
      <c r="A7828" t="str">
        <f>"0110432 "</f>
        <v xml:space="preserve">0110432 </v>
      </c>
      <c r="B7828" t="s">
        <v>24560</v>
      </c>
      <c r="C7828" t="s">
        <v>25936</v>
      </c>
      <c r="D7828" t="s">
        <v>25937</v>
      </c>
      <c r="E7828" t="s">
        <v>16</v>
      </c>
      <c r="F7828" t="s">
        <v>25938</v>
      </c>
      <c r="G7828" t="s">
        <v>24560</v>
      </c>
      <c r="H7828">
        <v>8003204</v>
      </c>
      <c r="I7828" t="s">
        <v>25939</v>
      </c>
    </row>
    <row r="7829" spans="1:9">
      <c r="A7829" t="str">
        <f>"0110434 "</f>
        <v xml:space="preserve">0110434 </v>
      </c>
      <c r="B7829" t="s">
        <v>24560</v>
      </c>
      <c r="C7829" t="s">
        <v>25940</v>
      </c>
      <c r="D7829" t="s">
        <v>25941</v>
      </c>
      <c r="E7829">
        <v>1</v>
      </c>
      <c r="F7829" t="s">
        <v>14715</v>
      </c>
      <c r="G7829" t="s">
        <v>24560</v>
      </c>
      <c r="H7829">
        <v>8003206</v>
      </c>
      <c r="I7829" t="s">
        <v>25942</v>
      </c>
    </row>
    <row r="7830" spans="1:9">
      <c r="A7830" t="str">
        <f>"0110438 "</f>
        <v xml:space="preserve">0110438 </v>
      </c>
      <c r="B7830" t="s">
        <v>24560</v>
      </c>
      <c r="C7830" t="s">
        <v>25943</v>
      </c>
      <c r="D7830" t="s">
        <v>25944</v>
      </c>
      <c r="E7830">
        <v>2</v>
      </c>
      <c r="F7830" t="s">
        <v>24677</v>
      </c>
      <c r="G7830" t="s">
        <v>24560</v>
      </c>
      <c r="H7830">
        <v>8003210</v>
      </c>
      <c r="I7830" t="s">
        <v>25945</v>
      </c>
    </row>
    <row r="7831" spans="1:9">
      <c r="A7831" t="str">
        <f>"0110449 "</f>
        <v xml:space="preserve">0110449 </v>
      </c>
      <c r="B7831" t="s">
        <v>24560</v>
      </c>
      <c r="C7831" t="s">
        <v>25946</v>
      </c>
      <c r="D7831" t="s">
        <v>25947</v>
      </c>
      <c r="E7831">
        <v>1</v>
      </c>
      <c r="F7831" t="s">
        <v>25948</v>
      </c>
      <c r="G7831" t="s">
        <v>24560</v>
      </c>
      <c r="H7831">
        <v>8005210</v>
      </c>
      <c r="I7831" t="s">
        <v>25949</v>
      </c>
    </row>
    <row r="7832" spans="1:9">
      <c r="A7832" t="str">
        <f>"0110468 "</f>
        <v xml:space="preserve">0110468 </v>
      </c>
      <c r="B7832" t="s">
        <v>24560</v>
      </c>
      <c r="C7832" t="s">
        <v>25950</v>
      </c>
      <c r="D7832" t="s">
        <v>25951</v>
      </c>
      <c r="E7832">
        <v>2</v>
      </c>
      <c r="F7832" t="s">
        <v>25952</v>
      </c>
      <c r="G7832" t="s">
        <v>24560</v>
      </c>
      <c r="H7832">
        <v>8061281</v>
      </c>
      <c r="I7832" t="s">
        <v>21982</v>
      </c>
    </row>
    <row r="7833" spans="1:9">
      <c r="A7833" t="str">
        <f>"0110473 "</f>
        <v xml:space="preserve">0110473 </v>
      </c>
      <c r="B7833" t="s">
        <v>24560</v>
      </c>
      <c r="C7833" t="s">
        <v>25953</v>
      </c>
      <c r="D7833" t="s">
        <v>25954</v>
      </c>
      <c r="E7833">
        <v>2</v>
      </c>
      <c r="F7833" t="s">
        <v>20834</v>
      </c>
      <c r="G7833" t="s">
        <v>24560</v>
      </c>
      <c r="H7833">
        <v>8061691</v>
      </c>
      <c r="I7833" t="s">
        <v>25955</v>
      </c>
    </row>
    <row r="7834" spans="1:9">
      <c r="A7834" t="str">
        <f>"0110489 "</f>
        <v xml:space="preserve">0110489 </v>
      </c>
      <c r="B7834" t="s">
        <v>24560</v>
      </c>
      <c r="C7834" t="s">
        <v>25956</v>
      </c>
      <c r="D7834" t="s">
        <v>25957</v>
      </c>
      <c r="E7834">
        <v>1</v>
      </c>
      <c r="F7834" t="s">
        <v>25096</v>
      </c>
      <c r="G7834" t="s">
        <v>24560</v>
      </c>
      <c r="H7834">
        <v>8091041</v>
      </c>
      <c r="I7834" t="s">
        <v>25958</v>
      </c>
    </row>
    <row r="7835" spans="1:9">
      <c r="A7835" t="str">
        <f>"0110493 "</f>
        <v xml:space="preserve">0110493 </v>
      </c>
      <c r="B7835" t="s">
        <v>24560</v>
      </c>
      <c r="C7835" t="s">
        <v>25959</v>
      </c>
      <c r="D7835" t="s">
        <v>25960</v>
      </c>
      <c r="E7835">
        <v>5</v>
      </c>
      <c r="F7835" t="s">
        <v>25480</v>
      </c>
      <c r="G7835" t="s">
        <v>24560</v>
      </c>
      <c r="H7835">
        <v>8091161</v>
      </c>
      <c r="I7835" t="s">
        <v>22033</v>
      </c>
    </row>
    <row r="7836" spans="1:9">
      <c r="A7836" t="str">
        <f>"0110494 "</f>
        <v xml:space="preserve">0110494 </v>
      </c>
      <c r="B7836" t="s">
        <v>24560</v>
      </c>
      <c r="C7836" t="s">
        <v>25961</v>
      </c>
      <c r="D7836" t="s">
        <v>25962</v>
      </c>
      <c r="E7836">
        <v>1</v>
      </c>
      <c r="F7836" t="s">
        <v>15933</v>
      </c>
      <c r="G7836" t="s">
        <v>24560</v>
      </c>
      <c r="H7836">
        <v>8091281</v>
      </c>
      <c r="I7836" t="s">
        <v>25963</v>
      </c>
    </row>
    <row r="7837" spans="1:9">
      <c r="A7837" t="str">
        <f>"0110497 "</f>
        <v xml:space="preserve">0110497 </v>
      </c>
      <c r="B7837" t="s">
        <v>24560</v>
      </c>
      <c r="C7837" t="s">
        <v>25964</v>
      </c>
      <c r="D7837" t="s">
        <v>25965</v>
      </c>
      <c r="E7837">
        <v>1</v>
      </c>
      <c r="F7837" t="s">
        <v>24957</v>
      </c>
      <c r="G7837" t="s">
        <v>24560</v>
      </c>
      <c r="H7837">
        <v>8091331</v>
      </c>
      <c r="I7837" t="s">
        <v>25966</v>
      </c>
    </row>
    <row r="7838" spans="1:9">
      <c r="A7838" t="str">
        <f>"0110547 "</f>
        <v xml:space="preserve">0110547 </v>
      </c>
      <c r="B7838" t="s">
        <v>24560</v>
      </c>
      <c r="C7838" t="s">
        <v>25967</v>
      </c>
      <c r="D7838" t="s">
        <v>25968</v>
      </c>
      <c r="E7838">
        <v>1</v>
      </c>
      <c r="F7838" t="s">
        <v>25969</v>
      </c>
      <c r="G7838" t="s">
        <v>24560</v>
      </c>
      <c r="H7838" s="5">
        <v>8.1229999999999994E+56</v>
      </c>
      <c r="I7838" t="s">
        <v>25970</v>
      </c>
    </row>
    <row r="7839" spans="1:9">
      <c r="A7839" t="str">
        <f>"0110590 "</f>
        <v xml:space="preserve">0110590 </v>
      </c>
      <c r="B7839" t="s">
        <v>24560</v>
      </c>
      <c r="C7839" t="s">
        <v>25971</v>
      </c>
      <c r="D7839" t="s">
        <v>25972</v>
      </c>
      <c r="E7839">
        <v>3</v>
      </c>
      <c r="F7839" t="s">
        <v>20888</v>
      </c>
      <c r="G7839" t="s">
        <v>24560</v>
      </c>
      <c r="H7839">
        <v>8173183</v>
      </c>
      <c r="I7839" t="s">
        <v>25973</v>
      </c>
    </row>
    <row r="7840" spans="1:9">
      <c r="A7840" t="str">
        <f>"0110594 "</f>
        <v xml:space="preserve">0110594 </v>
      </c>
      <c r="B7840" t="s">
        <v>24560</v>
      </c>
      <c r="C7840" t="s">
        <v>25974</v>
      </c>
      <c r="D7840" t="s">
        <v>25975</v>
      </c>
      <c r="E7840">
        <v>1</v>
      </c>
      <c r="F7840" t="s">
        <v>25976</v>
      </c>
      <c r="G7840" t="s">
        <v>24560</v>
      </c>
      <c r="H7840">
        <v>8173273</v>
      </c>
      <c r="I7840" t="s">
        <v>25977</v>
      </c>
    </row>
    <row r="7841" spans="1:9">
      <c r="A7841" t="str">
        <f>"0110596 "</f>
        <v xml:space="preserve">0110596 </v>
      </c>
      <c r="B7841" t="s">
        <v>24560</v>
      </c>
      <c r="C7841" t="s">
        <v>25978</v>
      </c>
      <c r="D7841" t="s">
        <v>25979</v>
      </c>
      <c r="E7841">
        <v>1</v>
      </c>
      <c r="F7841" t="s">
        <v>25980</v>
      </c>
      <c r="G7841" t="s">
        <v>24560</v>
      </c>
      <c r="H7841">
        <v>8173313</v>
      </c>
      <c r="I7841" t="s">
        <v>25981</v>
      </c>
    </row>
    <row r="7842" spans="1:9">
      <c r="A7842" t="str">
        <f>"0110599 "</f>
        <v xml:space="preserve">0110599 </v>
      </c>
      <c r="B7842" t="s">
        <v>24560</v>
      </c>
      <c r="C7842" t="s">
        <v>25982</v>
      </c>
      <c r="D7842" t="s">
        <v>25983</v>
      </c>
      <c r="E7842">
        <v>1</v>
      </c>
      <c r="F7842" t="s">
        <v>24879</v>
      </c>
      <c r="G7842" t="s">
        <v>24560</v>
      </c>
      <c r="H7842">
        <v>8173433</v>
      </c>
      <c r="I7842" t="s">
        <v>25984</v>
      </c>
    </row>
    <row r="7843" spans="1:9">
      <c r="A7843" t="str">
        <f>"0110605 "</f>
        <v xml:space="preserve">0110605 </v>
      </c>
      <c r="B7843" t="s">
        <v>24560</v>
      </c>
      <c r="C7843" t="s">
        <v>25985</v>
      </c>
      <c r="D7843" t="s">
        <v>25986</v>
      </c>
      <c r="E7843">
        <v>1</v>
      </c>
      <c r="F7843" t="s">
        <v>15068</v>
      </c>
      <c r="G7843" t="s">
        <v>24560</v>
      </c>
      <c r="H7843">
        <v>8173573</v>
      </c>
      <c r="I7843" t="s">
        <v>25987</v>
      </c>
    </row>
    <row r="7844" spans="1:9">
      <c r="A7844" t="str">
        <f>"0110606 "</f>
        <v xml:space="preserve">0110606 </v>
      </c>
      <c r="B7844" t="s">
        <v>24560</v>
      </c>
      <c r="C7844" t="s">
        <v>25988</v>
      </c>
      <c r="D7844" t="s">
        <v>25989</v>
      </c>
      <c r="E7844">
        <v>1</v>
      </c>
      <c r="F7844" t="s">
        <v>15068</v>
      </c>
      <c r="G7844" t="s">
        <v>24560</v>
      </c>
      <c r="H7844">
        <v>8173585</v>
      </c>
      <c r="I7844" t="s">
        <v>25990</v>
      </c>
    </row>
    <row r="7845" spans="1:9">
      <c r="A7845" t="str">
        <f>"0110610 "</f>
        <v xml:space="preserve">0110610 </v>
      </c>
      <c r="B7845" t="s">
        <v>24560</v>
      </c>
      <c r="C7845" t="s">
        <v>25991</v>
      </c>
      <c r="D7845" t="s">
        <v>25992</v>
      </c>
      <c r="E7845">
        <v>2</v>
      </c>
      <c r="F7845" t="s">
        <v>20179</v>
      </c>
      <c r="G7845" t="s">
        <v>24560</v>
      </c>
      <c r="H7845">
        <v>8173683</v>
      </c>
      <c r="I7845" t="s">
        <v>25993</v>
      </c>
    </row>
    <row r="7846" spans="1:9">
      <c r="A7846" t="str">
        <f>"0110634 "</f>
        <v xml:space="preserve">0110634 </v>
      </c>
      <c r="B7846" t="s">
        <v>24560</v>
      </c>
      <c r="C7846" t="s">
        <v>25994</v>
      </c>
      <c r="D7846" t="s">
        <v>25995</v>
      </c>
      <c r="E7846">
        <v>1</v>
      </c>
      <c r="F7846" t="s">
        <v>25996</v>
      </c>
      <c r="G7846" t="s">
        <v>24560</v>
      </c>
      <c r="H7846">
        <v>8271181</v>
      </c>
      <c r="I7846" t="s">
        <v>25997</v>
      </c>
    </row>
    <row r="7847" spans="1:9">
      <c r="A7847" t="str">
        <f>"0110638 "</f>
        <v xml:space="preserve">0110638 </v>
      </c>
      <c r="B7847" t="s">
        <v>24560</v>
      </c>
      <c r="C7847" t="s">
        <v>25998</v>
      </c>
      <c r="D7847" t="s">
        <v>25999</v>
      </c>
      <c r="E7847">
        <v>2</v>
      </c>
      <c r="F7847" t="s">
        <v>26000</v>
      </c>
      <c r="G7847" t="s">
        <v>24560</v>
      </c>
      <c r="H7847">
        <v>8271221</v>
      </c>
      <c r="I7847" t="s">
        <v>26001</v>
      </c>
    </row>
    <row r="7848" spans="1:9">
      <c r="A7848" t="str">
        <f>"0110684 "</f>
        <v xml:space="preserve">0110684 </v>
      </c>
      <c r="B7848" t="s">
        <v>24560</v>
      </c>
      <c r="C7848" t="s">
        <v>26002</v>
      </c>
      <c r="D7848" t="s">
        <v>26003</v>
      </c>
      <c r="E7848">
        <v>1</v>
      </c>
      <c r="F7848" t="s">
        <v>26004</v>
      </c>
      <c r="G7848" t="s">
        <v>24560</v>
      </c>
      <c r="H7848">
        <v>8431921</v>
      </c>
      <c r="I7848" t="s">
        <v>26005</v>
      </c>
    </row>
    <row r="7849" spans="1:9">
      <c r="A7849" t="str">
        <f>"0110692 "</f>
        <v xml:space="preserve">0110692 </v>
      </c>
      <c r="B7849" t="s">
        <v>24560</v>
      </c>
      <c r="C7849" t="s">
        <v>26006</v>
      </c>
      <c r="D7849" t="s">
        <v>26007</v>
      </c>
      <c r="E7849">
        <v>1</v>
      </c>
      <c r="F7849" t="s">
        <v>4930</v>
      </c>
      <c r="G7849" t="s">
        <v>24560</v>
      </c>
      <c r="H7849">
        <v>8441251</v>
      </c>
      <c r="I7849" t="s">
        <v>26008</v>
      </c>
    </row>
    <row r="7850" spans="1:9">
      <c r="A7850" t="str">
        <f>"0110697 "</f>
        <v xml:space="preserve">0110697 </v>
      </c>
      <c r="B7850" t="s">
        <v>24560</v>
      </c>
      <c r="C7850" t="s">
        <v>26009</v>
      </c>
      <c r="D7850" t="s">
        <v>26010</v>
      </c>
      <c r="E7850">
        <v>2</v>
      </c>
      <c r="F7850" t="s">
        <v>25496</v>
      </c>
      <c r="G7850" t="s">
        <v>24560</v>
      </c>
      <c r="H7850">
        <v>8441471</v>
      </c>
      <c r="I7850" t="s">
        <v>26011</v>
      </c>
    </row>
    <row r="7851" spans="1:9">
      <c r="A7851" t="str">
        <f>"0110699 "</f>
        <v xml:space="preserve">0110699 </v>
      </c>
      <c r="B7851" t="s">
        <v>24560</v>
      </c>
      <c r="C7851" t="s">
        <v>26012</v>
      </c>
      <c r="D7851" t="s">
        <v>26013</v>
      </c>
      <c r="E7851">
        <v>1</v>
      </c>
      <c r="F7851" t="s">
        <v>26014</v>
      </c>
      <c r="G7851" t="s">
        <v>24560</v>
      </c>
      <c r="H7851">
        <v>8441511</v>
      </c>
      <c r="I7851" t="s">
        <v>22058</v>
      </c>
    </row>
    <row r="7852" spans="1:9">
      <c r="A7852" t="str">
        <f>"0110705 "</f>
        <v xml:space="preserve">0110705 </v>
      </c>
      <c r="B7852" t="s">
        <v>24560</v>
      </c>
      <c r="C7852" t="s">
        <v>26015</v>
      </c>
      <c r="D7852" t="s">
        <v>26016</v>
      </c>
      <c r="E7852">
        <v>1</v>
      </c>
      <c r="F7852" t="s">
        <v>24498</v>
      </c>
      <c r="G7852" t="s">
        <v>24560</v>
      </c>
      <c r="H7852">
        <v>8441751</v>
      </c>
      <c r="I7852" t="s">
        <v>21971</v>
      </c>
    </row>
    <row r="7853" spans="1:9">
      <c r="A7853" t="str">
        <f>"0110706 "</f>
        <v xml:space="preserve">0110706 </v>
      </c>
      <c r="B7853" t="s">
        <v>24560</v>
      </c>
      <c r="C7853" t="s">
        <v>26017</v>
      </c>
      <c r="D7853" t="s">
        <v>26018</v>
      </c>
      <c r="E7853">
        <v>1</v>
      </c>
      <c r="F7853" t="s">
        <v>14859</v>
      </c>
      <c r="G7853" t="s">
        <v>24560</v>
      </c>
      <c r="H7853">
        <v>8441771</v>
      </c>
      <c r="I7853" t="s">
        <v>21973</v>
      </c>
    </row>
    <row r="7854" spans="1:9">
      <c r="A7854" t="str">
        <f>"0110712 "</f>
        <v xml:space="preserve">0110712 </v>
      </c>
      <c r="B7854" t="s">
        <v>24560</v>
      </c>
      <c r="C7854" t="s">
        <v>26019</v>
      </c>
      <c r="D7854" t="s">
        <v>26020</v>
      </c>
      <c r="E7854">
        <v>1</v>
      </c>
      <c r="F7854" t="s">
        <v>15522</v>
      </c>
      <c r="G7854" t="s">
        <v>24560</v>
      </c>
      <c r="H7854">
        <v>8441931</v>
      </c>
      <c r="I7854" t="s">
        <v>21979</v>
      </c>
    </row>
    <row r="7855" spans="1:9">
      <c r="A7855" t="str">
        <f>"0110715 "</f>
        <v xml:space="preserve">0110715 </v>
      </c>
      <c r="B7855" t="s">
        <v>24560</v>
      </c>
      <c r="C7855" t="s">
        <v>26021</v>
      </c>
      <c r="D7855" t="s">
        <v>26022</v>
      </c>
      <c r="E7855">
        <v>1</v>
      </c>
      <c r="F7855" t="s">
        <v>25194</v>
      </c>
      <c r="G7855" t="s">
        <v>24560</v>
      </c>
      <c r="H7855" t="s">
        <v>26023</v>
      </c>
      <c r="I7855" t="s">
        <v>22020</v>
      </c>
    </row>
    <row r="7856" spans="1:9">
      <c r="A7856" t="str">
        <f>"0110717 "</f>
        <v xml:space="preserve">0110717 </v>
      </c>
      <c r="B7856" t="s">
        <v>24560</v>
      </c>
      <c r="C7856" t="s">
        <v>26024</v>
      </c>
      <c r="D7856" t="s">
        <v>26025</v>
      </c>
      <c r="E7856">
        <v>1</v>
      </c>
      <c r="F7856" t="s">
        <v>26026</v>
      </c>
      <c r="G7856" t="s">
        <v>24560</v>
      </c>
      <c r="H7856">
        <v>8461551</v>
      </c>
      <c r="I7856" t="s">
        <v>26027</v>
      </c>
    </row>
    <row r="7857" spans="1:9">
      <c r="A7857" t="str">
        <f>"0110719 "</f>
        <v xml:space="preserve">0110719 </v>
      </c>
      <c r="B7857" t="s">
        <v>24560</v>
      </c>
      <c r="C7857" t="s">
        <v>26028</v>
      </c>
      <c r="D7857" t="s">
        <v>26029</v>
      </c>
      <c r="E7857">
        <v>2</v>
      </c>
      <c r="F7857" t="s">
        <v>26030</v>
      </c>
      <c r="G7857" t="s">
        <v>24560</v>
      </c>
      <c r="H7857">
        <v>8461661</v>
      </c>
      <c r="I7857" t="s">
        <v>22041</v>
      </c>
    </row>
    <row r="7858" spans="1:9">
      <c r="A7858" t="str">
        <f>"0111513 "</f>
        <v xml:space="preserve">0111513 </v>
      </c>
      <c r="B7858" t="s">
        <v>24560</v>
      </c>
      <c r="C7858" t="s">
        <v>26031</v>
      </c>
      <c r="D7858" t="s">
        <v>26032</v>
      </c>
      <c r="E7858">
        <v>4</v>
      </c>
      <c r="F7858" s="1">
        <v>42911</v>
      </c>
      <c r="G7858" t="s">
        <v>24560</v>
      </c>
      <c r="H7858">
        <v>9001502</v>
      </c>
      <c r="I7858" t="s">
        <v>26033</v>
      </c>
    </row>
    <row r="7859" spans="1:9">
      <c r="A7859" t="str">
        <f>"0111515 "</f>
        <v xml:space="preserve">0111515 </v>
      </c>
      <c r="B7859" t="s">
        <v>24560</v>
      </c>
      <c r="C7859" t="s">
        <v>26034</v>
      </c>
      <c r="D7859" t="s">
        <v>26035</v>
      </c>
      <c r="E7859">
        <v>2</v>
      </c>
      <c r="F7859" t="s">
        <v>26036</v>
      </c>
      <c r="G7859" t="s">
        <v>24560</v>
      </c>
      <c r="H7859">
        <v>9001504</v>
      </c>
      <c r="I7859" t="s">
        <v>26037</v>
      </c>
    </row>
    <row r="7860" spans="1:9">
      <c r="A7860" t="str">
        <f>"0111516 "</f>
        <v xml:space="preserve">0111516 </v>
      </c>
      <c r="B7860" t="s">
        <v>24560</v>
      </c>
      <c r="C7860" t="s">
        <v>26038</v>
      </c>
      <c r="D7860" t="s">
        <v>26039</v>
      </c>
      <c r="E7860">
        <v>2</v>
      </c>
      <c r="F7860" t="s">
        <v>25439</v>
      </c>
      <c r="G7860" t="s">
        <v>24560</v>
      </c>
      <c r="H7860">
        <v>9001505</v>
      </c>
      <c r="I7860" t="s">
        <v>26040</v>
      </c>
    </row>
    <row r="7861" spans="1:9">
      <c r="A7861" t="str">
        <f>"0111529 "</f>
        <v xml:space="preserve">0111529 </v>
      </c>
      <c r="B7861" t="s">
        <v>24560</v>
      </c>
      <c r="C7861" t="s">
        <v>26041</v>
      </c>
      <c r="D7861" t="s">
        <v>26042</v>
      </c>
      <c r="E7861">
        <v>2</v>
      </c>
      <c r="F7861" t="s">
        <v>24611</v>
      </c>
      <c r="G7861" t="s">
        <v>24560</v>
      </c>
      <c r="H7861">
        <v>9001523</v>
      </c>
      <c r="I7861" t="s">
        <v>26043</v>
      </c>
    </row>
    <row r="7862" spans="1:9">
      <c r="A7862" t="str">
        <f>"0111544 "</f>
        <v xml:space="preserve">0111544 </v>
      </c>
      <c r="B7862" t="s">
        <v>24560</v>
      </c>
      <c r="C7862" t="s">
        <v>26044</v>
      </c>
      <c r="D7862" t="s">
        <v>26045</v>
      </c>
      <c r="E7862">
        <v>2</v>
      </c>
      <c r="F7862" t="s">
        <v>26046</v>
      </c>
      <c r="G7862" t="s">
        <v>24560</v>
      </c>
      <c r="H7862">
        <v>9001539</v>
      </c>
      <c r="I7862" t="s">
        <v>26047</v>
      </c>
    </row>
    <row r="7863" spans="1:9">
      <c r="A7863" t="str">
        <f>"0111545 "</f>
        <v xml:space="preserve">0111545 </v>
      </c>
      <c r="B7863" t="s">
        <v>24560</v>
      </c>
      <c r="C7863" t="s">
        <v>26048</v>
      </c>
      <c r="D7863" t="s">
        <v>26049</v>
      </c>
      <c r="E7863">
        <v>3</v>
      </c>
      <c r="F7863" t="s">
        <v>20557</v>
      </c>
      <c r="G7863" t="s">
        <v>24560</v>
      </c>
      <c r="H7863">
        <v>9001540</v>
      </c>
      <c r="I7863" t="s">
        <v>21737</v>
      </c>
    </row>
    <row r="7864" spans="1:9">
      <c r="A7864" t="str">
        <f>"0111546 "</f>
        <v xml:space="preserve">0111546 </v>
      </c>
      <c r="B7864" t="s">
        <v>24560</v>
      </c>
      <c r="C7864" t="s">
        <v>26050</v>
      </c>
      <c r="D7864" t="s">
        <v>26051</v>
      </c>
      <c r="E7864">
        <v>4</v>
      </c>
      <c r="F7864" t="s">
        <v>26052</v>
      </c>
      <c r="G7864" t="s">
        <v>24560</v>
      </c>
      <c r="H7864">
        <v>9001542</v>
      </c>
      <c r="I7864" t="s">
        <v>26053</v>
      </c>
    </row>
    <row r="7865" spans="1:9">
      <c r="A7865" t="str">
        <f>"0111548 "</f>
        <v xml:space="preserve">0111548 </v>
      </c>
      <c r="B7865" t="s">
        <v>24560</v>
      </c>
      <c r="C7865" t="s">
        <v>26054</v>
      </c>
      <c r="D7865" t="s">
        <v>26055</v>
      </c>
      <c r="E7865">
        <v>2</v>
      </c>
      <c r="F7865" t="s">
        <v>25786</v>
      </c>
      <c r="G7865" t="s">
        <v>24560</v>
      </c>
      <c r="H7865">
        <v>9001544</v>
      </c>
      <c r="I7865" t="s">
        <v>26056</v>
      </c>
    </row>
    <row r="7866" spans="1:9">
      <c r="A7866" t="str">
        <f>"0111555 "</f>
        <v xml:space="preserve">0111555 </v>
      </c>
      <c r="B7866" t="s">
        <v>24560</v>
      </c>
      <c r="C7866" t="s">
        <v>26057</v>
      </c>
      <c r="D7866" t="s">
        <v>26058</v>
      </c>
      <c r="E7866">
        <v>2</v>
      </c>
      <c r="F7866" t="s">
        <v>26059</v>
      </c>
      <c r="G7866" t="s">
        <v>24560</v>
      </c>
      <c r="H7866">
        <v>9001552</v>
      </c>
      <c r="I7866" t="s">
        <v>26060</v>
      </c>
    </row>
    <row r="7867" spans="1:9">
      <c r="A7867" t="str">
        <f>"0111596 "</f>
        <v xml:space="preserve">0111596 </v>
      </c>
      <c r="B7867" t="s">
        <v>24560</v>
      </c>
      <c r="C7867" t="s">
        <v>26061</v>
      </c>
      <c r="D7867" t="s">
        <v>26062</v>
      </c>
      <c r="E7867">
        <v>2</v>
      </c>
      <c r="F7867" t="s">
        <v>26063</v>
      </c>
      <c r="G7867" t="s">
        <v>24560</v>
      </c>
      <c r="H7867">
        <v>9001599</v>
      </c>
      <c r="I7867" t="s">
        <v>21896</v>
      </c>
    </row>
    <row r="7868" spans="1:9">
      <c r="A7868" t="str">
        <f>"0111598 "</f>
        <v xml:space="preserve">0111598 </v>
      </c>
      <c r="B7868" t="s">
        <v>24560</v>
      </c>
      <c r="C7868" t="s">
        <v>26064</v>
      </c>
      <c r="D7868" t="s">
        <v>26065</v>
      </c>
      <c r="E7868">
        <v>2</v>
      </c>
      <c r="F7868" t="s">
        <v>26066</v>
      </c>
      <c r="G7868" t="s">
        <v>24560</v>
      </c>
      <c r="H7868">
        <v>9001602</v>
      </c>
      <c r="I7868" t="s">
        <v>26067</v>
      </c>
    </row>
    <row r="7869" spans="1:9">
      <c r="A7869" t="str">
        <f>"0111609 "</f>
        <v xml:space="preserve">0111609 </v>
      </c>
      <c r="B7869" t="s">
        <v>24560</v>
      </c>
      <c r="C7869" t="s">
        <v>26068</v>
      </c>
      <c r="D7869" t="s">
        <v>26069</v>
      </c>
      <c r="E7869">
        <v>4</v>
      </c>
      <c r="F7869" t="s">
        <v>25723</v>
      </c>
      <c r="G7869" t="s">
        <v>24560</v>
      </c>
      <c r="H7869">
        <v>9001614</v>
      </c>
      <c r="I7869" t="s">
        <v>26070</v>
      </c>
    </row>
    <row r="7870" spans="1:9">
      <c r="A7870" t="str">
        <f>"0111610 "</f>
        <v xml:space="preserve">0111610 </v>
      </c>
      <c r="B7870" t="s">
        <v>24560</v>
      </c>
      <c r="C7870" t="s">
        <v>26071</v>
      </c>
      <c r="D7870" t="s">
        <v>26072</v>
      </c>
      <c r="E7870">
        <v>1</v>
      </c>
      <c r="F7870" t="s">
        <v>15390</v>
      </c>
      <c r="G7870" t="s">
        <v>24560</v>
      </c>
      <c r="H7870">
        <v>9001615</v>
      </c>
      <c r="I7870" t="s">
        <v>26073</v>
      </c>
    </row>
    <row r="7871" spans="1:9">
      <c r="A7871" t="str">
        <f>"0111611 "</f>
        <v xml:space="preserve">0111611 </v>
      </c>
      <c r="B7871" t="s">
        <v>24560</v>
      </c>
      <c r="C7871" t="s">
        <v>26074</v>
      </c>
      <c r="D7871" t="s">
        <v>26075</v>
      </c>
      <c r="E7871">
        <v>2</v>
      </c>
      <c r="F7871" t="s">
        <v>26076</v>
      </c>
      <c r="G7871" t="s">
        <v>24560</v>
      </c>
      <c r="H7871">
        <v>9001616</v>
      </c>
      <c r="I7871" t="s">
        <v>26077</v>
      </c>
    </row>
    <row r="7872" spans="1:9">
      <c r="A7872" t="str">
        <f>"0111625 "</f>
        <v xml:space="preserve">0111625 </v>
      </c>
      <c r="B7872" t="s">
        <v>24560</v>
      </c>
      <c r="C7872" t="s">
        <v>26078</v>
      </c>
      <c r="D7872" t="s">
        <v>26079</v>
      </c>
      <c r="E7872">
        <v>1</v>
      </c>
      <c r="F7872" t="s">
        <v>26080</v>
      </c>
      <c r="G7872" t="s">
        <v>24560</v>
      </c>
      <c r="H7872">
        <v>9001632</v>
      </c>
      <c r="I7872" t="s">
        <v>26081</v>
      </c>
    </row>
    <row r="7873" spans="1:9">
      <c r="A7873" t="str">
        <f>"0111630 "</f>
        <v xml:space="preserve">0111630 </v>
      </c>
      <c r="B7873" t="s">
        <v>24560</v>
      </c>
      <c r="C7873" t="s">
        <v>26082</v>
      </c>
      <c r="D7873" t="s">
        <v>26083</v>
      </c>
      <c r="E7873">
        <v>2</v>
      </c>
      <c r="F7873" t="s">
        <v>25316</v>
      </c>
      <c r="G7873" t="s">
        <v>24560</v>
      </c>
      <c r="H7873">
        <v>9001637</v>
      </c>
      <c r="I7873" t="s">
        <v>26084</v>
      </c>
    </row>
    <row r="7874" spans="1:9">
      <c r="A7874" t="str">
        <f>"0111685 "</f>
        <v xml:space="preserve">0111685 </v>
      </c>
      <c r="B7874" t="s">
        <v>24560</v>
      </c>
      <c r="C7874" t="s">
        <v>26085</v>
      </c>
      <c r="D7874" t="s">
        <v>26086</v>
      </c>
      <c r="E7874">
        <v>4</v>
      </c>
      <c r="F7874" t="s">
        <v>26087</v>
      </c>
      <c r="G7874" t="s">
        <v>24560</v>
      </c>
      <c r="H7874">
        <v>9001702</v>
      </c>
      <c r="I7874" t="s">
        <v>26088</v>
      </c>
    </row>
    <row r="7875" spans="1:9">
      <c r="A7875" t="str">
        <f>"0111688 "</f>
        <v xml:space="preserve">0111688 </v>
      </c>
      <c r="B7875" t="s">
        <v>24560</v>
      </c>
      <c r="C7875" t="s">
        <v>26089</v>
      </c>
      <c r="D7875" t="s">
        <v>26090</v>
      </c>
      <c r="E7875">
        <v>2</v>
      </c>
      <c r="F7875" t="s">
        <v>14956</v>
      </c>
      <c r="G7875" t="s">
        <v>24560</v>
      </c>
      <c r="H7875">
        <v>9001705</v>
      </c>
      <c r="I7875" t="s">
        <v>26091</v>
      </c>
    </row>
    <row r="7876" spans="1:9">
      <c r="A7876" t="str">
        <f>"0111692 "</f>
        <v xml:space="preserve">0111692 </v>
      </c>
      <c r="B7876" t="s">
        <v>24560</v>
      </c>
      <c r="C7876" t="s">
        <v>26092</v>
      </c>
      <c r="D7876" t="s">
        <v>26093</v>
      </c>
      <c r="E7876">
        <v>2</v>
      </c>
      <c r="F7876" t="s">
        <v>25517</v>
      </c>
      <c r="G7876" t="s">
        <v>24560</v>
      </c>
      <c r="H7876">
        <v>9001709</v>
      </c>
      <c r="I7876" t="s">
        <v>26094</v>
      </c>
    </row>
    <row r="7877" spans="1:9">
      <c r="A7877" t="str">
        <f>"0111710 "</f>
        <v xml:space="preserve">0111710 </v>
      </c>
      <c r="B7877" t="s">
        <v>24560</v>
      </c>
      <c r="C7877" t="s">
        <v>26095</v>
      </c>
      <c r="D7877" t="s">
        <v>26096</v>
      </c>
      <c r="E7877">
        <v>1</v>
      </c>
      <c r="F7877" t="s">
        <v>25813</v>
      </c>
      <c r="G7877" t="s">
        <v>24560</v>
      </c>
      <c r="H7877">
        <v>9001729</v>
      </c>
      <c r="I7877" t="s">
        <v>26097</v>
      </c>
    </row>
    <row r="7878" spans="1:9">
      <c r="A7878" t="str">
        <f>"0111711 "</f>
        <v xml:space="preserve">0111711 </v>
      </c>
      <c r="B7878" t="s">
        <v>24560</v>
      </c>
      <c r="C7878" t="s">
        <v>26098</v>
      </c>
      <c r="D7878" t="s">
        <v>26099</v>
      </c>
      <c r="E7878">
        <v>2</v>
      </c>
      <c r="F7878" s="1">
        <v>42874</v>
      </c>
      <c r="G7878" t="s">
        <v>24560</v>
      </c>
      <c r="H7878">
        <v>9001730</v>
      </c>
      <c r="I7878" t="s">
        <v>26100</v>
      </c>
    </row>
    <row r="7879" spans="1:9">
      <c r="A7879" t="str">
        <f>"0111712 "</f>
        <v xml:space="preserve">0111712 </v>
      </c>
      <c r="B7879" t="s">
        <v>24560</v>
      </c>
      <c r="C7879" t="s">
        <v>26101</v>
      </c>
      <c r="D7879" t="s">
        <v>26102</v>
      </c>
      <c r="E7879">
        <v>2</v>
      </c>
      <c r="F7879" s="3">
        <v>43800</v>
      </c>
      <c r="G7879" t="s">
        <v>24560</v>
      </c>
      <c r="H7879">
        <v>9001732</v>
      </c>
      <c r="I7879" t="s">
        <v>26103</v>
      </c>
    </row>
    <row r="7880" spans="1:9">
      <c r="A7880" t="str">
        <f>"0111713 "</f>
        <v xml:space="preserve">0111713 </v>
      </c>
      <c r="B7880" t="s">
        <v>24560</v>
      </c>
      <c r="C7880" t="s">
        <v>26104</v>
      </c>
      <c r="D7880" t="s">
        <v>26105</v>
      </c>
      <c r="E7880">
        <v>4</v>
      </c>
      <c r="F7880" t="s">
        <v>24741</v>
      </c>
      <c r="G7880" t="s">
        <v>24560</v>
      </c>
      <c r="H7880">
        <v>9001733</v>
      </c>
      <c r="I7880" t="s">
        <v>26106</v>
      </c>
    </row>
    <row r="7881" spans="1:9">
      <c r="A7881" t="str">
        <f>"0111722 "</f>
        <v xml:space="preserve">0111722 </v>
      </c>
      <c r="B7881" t="s">
        <v>24560</v>
      </c>
      <c r="C7881" t="s">
        <v>26107</v>
      </c>
      <c r="D7881" t="s">
        <v>26108</v>
      </c>
      <c r="E7881" t="s">
        <v>16</v>
      </c>
      <c r="F7881" t="s">
        <v>24683</v>
      </c>
      <c r="G7881" t="s">
        <v>24560</v>
      </c>
      <c r="H7881">
        <v>9001743</v>
      </c>
      <c r="I7881" t="s">
        <v>26109</v>
      </c>
    </row>
    <row r="7882" spans="1:9">
      <c r="A7882" t="str">
        <f>"0111735 "</f>
        <v xml:space="preserve">0111735 </v>
      </c>
      <c r="B7882" t="s">
        <v>24560</v>
      </c>
      <c r="C7882" t="s">
        <v>26110</v>
      </c>
      <c r="D7882" t="s">
        <v>26111</v>
      </c>
      <c r="E7882" t="s">
        <v>16</v>
      </c>
      <c r="F7882" t="s">
        <v>24700</v>
      </c>
      <c r="G7882" t="s">
        <v>24560</v>
      </c>
      <c r="H7882">
        <v>9001759</v>
      </c>
      <c r="I7882" t="s">
        <v>26112</v>
      </c>
    </row>
    <row r="7883" spans="1:9">
      <c r="A7883" t="str">
        <f>"0111738 "</f>
        <v xml:space="preserve">0111738 </v>
      </c>
      <c r="B7883" t="s">
        <v>24560</v>
      </c>
      <c r="C7883" t="s">
        <v>26113</v>
      </c>
      <c r="D7883" t="s">
        <v>26114</v>
      </c>
      <c r="E7883">
        <v>2</v>
      </c>
      <c r="F7883" t="s">
        <v>24692</v>
      </c>
      <c r="G7883" t="s">
        <v>24560</v>
      </c>
      <c r="H7883">
        <v>9001763</v>
      </c>
      <c r="I7883" t="s">
        <v>26115</v>
      </c>
    </row>
    <row r="7884" spans="1:9">
      <c r="A7884" t="str">
        <f>"0111749 "</f>
        <v xml:space="preserve">0111749 </v>
      </c>
      <c r="B7884" t="s">
        <v>24560</v>
      </c>
      <c r="C7884" t="s">
        <v>26116</v>
      </c>
      <c r="D7884" t="s">
        <v>26117</v>
      </c>
      <c r="E7884">
        <v>4</v>
      </c>
      <c r="F7884" t="s">
        <v>24936</v>
      </c>
      <c r="G7884" t="s">
        <v>24560</v>
      </c>
      <c r="H7884">
        <v>9001775</v>
      </c>
      <c r="I7884" t="s">
        <v>26118</v>
      </c>
    </row>
    <row r="7885" spans="1:9">
      <c r="A7885" t="str">
        <f>"0111757 "</f>
        <v xml:space="preserve">0111757 </v>
      </c>
      <c r="B7885" t="s">
        <v>24560</v>
      </c>
      <c r="C7885" t="s">
        <v>26119</v>
      </c>
      <c r="D7885" t="s">
        <v>26120</v>
      </c>
      <c r="E7885">
        <v>4</v>
      </c>
      <c r="F7885" s="1">
        <v>42874</v>
      </c>
      <c r="G7885" t="s">
        <v>24560</v>
      </c>
      <c r="H7885">
        <v>9001784</v>
      </c>
      <c r="I7885" t="s">
        <v>26121</v>
      </c>
    </row>
    <row r="7886" spans="1:9">
      <c r="A7886" t="str">
        <f>"0111807 "</f>
        <v xml:space="preserve">0111807 </v>
      </c>
      <c r="B7886" t="s">
        <v>24560</v>
      </c>
      <c r="C7886" t="s">
        <v>26122</v>
      </c>
      <c r="D7886" t="s">
        <v>26123</v>
      </c>
      <c r="E7886">
        <v>1</v>
      </c>
      <c r="F7886" t="s">
        <v>26124</v>
      </c>
      <c r="G7886" t="s">
        <v>24560</v>
      </c>
      <c r="H7886">
        <v>9001933</v>
      </c>
      <c r="I7886" t="s">
        <v>26125</v>
      </c>
    </row>
    <row r="7887" spans="1:9">
      <c r="A7887" t="str">
        <f>"0111819 "</f>
        <v xml:space="preserve">0111819 </v>
      </c>
      <c r="B7887" t="s">
        <v>24560</v>
      </c>
      <c r="C7887" t="s">
        <v>26126</v>
      </c>
      <c r="D7887" t="s">
        <v>26127</v>
      </c>
      <c r="E7887">
        <v>1</v>
      </c>
      <c r="F7887" t="s">
        <v>24650</v>
      </c>
      <c r="G7887" t="s">
        <v>24560</v>
      </c>
      <c r="H7887">
        <v>9001947</v>
      </c>
      <c r="I7887" t="s">
        <v>26128</v>
      </c>
    </row>
    <row r="7888" spans="1:9">
      <c r="A7888" t="str">
        <f>"0111821 "</f>
        <v xml:space="preserve">0111821 </v>
      </c>
      <c r="B7888" t="s">
        <v>24560</v>
      </c>
      <c r="C7888" t="s">
        <v>26129</v>
      </c>
      <c r="D7888" t="s">
        <v>26130</v>
      </c>
      <c r="E7888">
        <v>2</v>
      </c>
      <c r="F7888" t="s">
        <v>24767</v>
      </c>
      <c r="G7888" t="s">
        <v>24560</v>
      </c>
      <c r="H7888">
        <v>9001950</v>
      </c>
      <c r="I7888" t="s">
        <v>26131</v>
      </c>
    </row>
    <row r="7889" spans="1:9">
      <c r="A7889" t="str">
        <f>"0111888 "</f>
        <v xml:space="preserve">0111888 </v>
      </c>
      <c r="B7889" t="s">
        <v>24560</v>
      </c>
      <c r="C7889" t="s">
        <v>26132</v>
      </c>
      <c r="D7889" t="s">
        <v>26133</v>
      </c>
      <c r="E7889">
        <v>1</v>
      </c>
      <c r="F7889" t="s">
        <v>20517</v>
      </c>
      <c r="G7889" t="s">
        <v>24560</v>
      </c>
      <c r="H7889">
        <v>9002433</v>
      </c>
      <c r="I7889" t="s">
        <v>26134</v>
      </c>
    </row>
    <row r="7890" spans="1:9">
      <c r="A7890" t="str">
        <f>"0111891 "</f>
        <v xml:space="preserve">0111891 </v>
      </c>
      <c r="B7890" t="s">
        <v>24560</v>
      </c>
      <c r="C7890" t="s">
        <v>26135</v>
      </c>
      <c r="D7890" t="s">
        <v>26136</v>
      </c>
      <c r="E7890">
        <v>1</v>
      </c>
      <c r="F7890" t="s">
        <v>9627</v>
      </c>
      <c r="G7890" t="s">
        <v>24560</v>
      </c>
      <c r="H7890">
        <v>9002436</v>
      </c>
      <c r="I7890" t="s">
        <v>26137</v>
      </c>
    </row>
    <row r="7891" spans="1:9">
      <c r="A7891" t="str">
        <f>"0111892 "</f>
        <v xml:space="preserve">0111892 </v>
      </c>
      <c r="B7891" t="s">
        <v>24560</v>
      </c>
      <c r="C7891" t="s">
        <v>26138</v>
      </c>
      <c r="D7891" t="s">
        <v>26139</v>
      </c>
      <c r="E7891">
        <v>1</v>
      </c>
      <c r="F7891" t="s">
        <v>26140</v>
      </c>
      <c r="G7891" t="s">
        <v>24560</v>
      </c>
      <c r="H7891">
        <v>9002437</v>
      </c>
      <c r="I7891" t="s">
        <v>26141</v>
      </c>
    </row>
    <row r="7892" spans="1:9">
      <c r="A7892" t="str">
        <f>"0111893 "</f>
        <v xml:space="preserve">0111893 </v>
      </c>
      <c r="B7892" t="s">
        <v>24560</v>
      </c>
      <c r="C7892" t="s">
        <v>26142</v>
      </c>
      <c r="D7892" t="s">
        <v>26143</v>
      </c>
      <c r="E7892">
        <v>3</v>
      </c>
      <c r="F7892" t="s">
        <v>19996</v>
      </c>
      <c r="G7892" t="s">
        <v>24560</v>
      </c>
      <c r="H7892">
        <v>9002438</v>
      </c>
      <c r="I7892" t="s">
        <v>26144</v>
      </c>
    </row>
    <row r="7893" spans="1:9">
      <c r="A7893" t="str">
        <f>"0111992 "</f>
        <v xml:space="preserve">0111992 </v>
      </c>
      <c r="B7893" t="s">
        <v>24560</v>
      </c>
      <c r="C7893" t="s">
        <v>26145</v>
      </c>
      <c r="D7893" t="s">
        <v>26146</v>
      </c>
      <c r="E7893">
        <v>2</v>
      </c>
      <c r="F7893" t="s">
        <v>26147</v>
      </c>
      <c r="G7893" t="s">
        <v>24560</v>
      </c>
      <c r="H7893">
        <v>9002569</v>
      </c>
      <c r="I7893" t="s">
        <v>26148</v>
      </c>
    </row>
    <row r="7894" spans="1:9">
      <c r="A7894" t="str">
        <f>"0112014 "</f>
        <v xml:space="preserve">0112014 </v>
      </c>
      <c r="B7894" t="s">
        <v>24560</v>
      </c>
      <c r="C7894" t="s">
        <v>26149</v>
      </c>
      <c r="D7894" t="s">
        <v>26150</v>
      </c>
      <c r="E7894">
        <v>1</v>
      </c>
      <c r="F7894" t="s">
        <v>26151</v>
      </c>
      <c r="G7894" t="s">
        <v>24560</v>
      </c>
      <c r="H7894">
        <v>9003111</v>
      </c>
      <c r="I7894" t="s">
        <v>26152</v>
      </c>
    </row>
    <row r="7895" spans="1:9">
      <c r="A7895" t="str">
        <f>"0112018 "</f>
        <v xml:space="preserve">0112018 </v>
      </c>
      <c r="B7895" t="s">
        <v>24560</v>
      </c>
      <c r="C7895" t="s">
        <v>26153</v>
      </c>
      <c r="D7895" t="s">
        <v>26154</v>
      </c>
      <c r="E7895">
        <v>2</v>
      </c>
      <c r="F7895" t="s">
        <v>26155</v>
      </c>
      <c r="G7895" t="s">
        <v>24560</v>
      </c>
      <c r="H7895">
        <v>9003126</v>
      </c>
      <c r="I7895" t="s">
        <v>26156</v>
      </c>
    </row>
    <row r="7896" spans="1:9">
      <c r="A7896" t="str">
        <f>"0112480 "</f>
        <v xml:space="preserve">0112480 </v>
      </c>
      <c r="B7896" t="s">
        <v>24560</v>
      </c>
      <c r="C7896" t="s">
        <v>26157</v>
      </c>
      <c r="D7896" t="s">
        <v>26158</v>
      </c>
      <c r="E7896">
        <v>2</v>
      </c>
      <c r="F7896" t="s">
        <v>25652</v>
      </c>
      <c r="G7896" t="s">
        <v>24560</v>
      </c>
      <c r="H7896">
        <v>9005002</v>
      </c>
      <c r="I7896" t="s">
        <v>26159</v>
      </c>
    </row>
    <row r="7897" spans="1:9">
      <c r="A7897" t="str">
        <f>"0112487 "</f>
        <v xml:space="preserve">0112487 </v>
      </c>
      <c r="B7897" t="s">
        <v>24560</v>
      </c>
      <c r="C7897" t="s">
        <v>26160</v>
      </c>
      <c r="D7897" t="s">
        <v>26161</v>
      </c>
      <c r="E7897">
        <v>2</v>
      </c>
      <c r="F7897" t="s">
        <v>26162</v>
      </c>
      <c r="G7897" t="s">
        <v>24560</v>
      </c>
      <c r="H7897">
        <v>9005012</v>
      </c>
      <c r="I7897" t="s">
        <v>26163</v>
      </c>
    </row>
    <row r="7898" spans="1:9">
      <c r="A7898" t="str">
        <f>"0112488 "</f>
        <v xml:space="preserve">0112488 </v>
      </c>
      <c r="B7898" t="s">
        <v>24560</v>
      </c>
      <c r="C7898" t="s">
        <v>26164</v>
      </c>
      <c r="D7898" t="s">
        <v>26165</v>
      </c>
      <c r="E7898">
        <v>2</v>
      </c>
      <c r="F7898" t="s">
        <v>26166</v>
      </c>
      <c r="G7898" t="s">
        <v>24560</v>
      </c>
      <c r="H7898">
        <v>9005013</v>
      </c>
      <c r="I7898" t="s">
        <v>26167</v>
      </c>
    </row>
    <row r="7899" spans="1:9">
      <c r="A7899" t="str">
        <f>"0112489 "</f>
        <v xml:space="preserve">0112489 </v>
      </c>
      <c r="B7899" t="s">
        <v>24560</v>
      </c>
      <c r="C7899" t="s">
        <v>26168</v>
      </c>
      <c r="D7899" t="s">
        <v>26169</v>
      </c>
      <c r="E7899">
        <v>2</v>
      </c>
      <c r="F7899" t="s">
        <v>26170</v>
      </c>
      <c r="G7899" t="s">
        <v>24560</v>
      </c>
      <c r="H7899">
        <v>9005014</v>
      </c>
      <c r="I7899" t="s">
        <v>26171</v>
      </c>
    </row>
    <row r="7900" spans="1:9">
      <c r="A7900" t="str">
        <f>"0112491 "</f>
        <v xml:space="preserve">0112491 </v>
      </c>
      <c r="B7900" t="s">
        <v>24560</v>
      </c>
      <c r="C7900" t="s">
        <v>26172</v>
      </c>
      <c r="D7900" t="s">
        <v>26173</v>
      </c>
      <c r="E7900">
        <v>2</v>
      </c>
      <c r="F7900" s="3">
        <v>14062</v>
      </c>
      <c r="G7900" t="s">
        <v>24560</v>
      </c>
      <c r="H7900">
        <v>9005018</v>
      </c>
      <c r="I7900" t="s">
        <v>26174</v>
      </c>
    </row>
    <row r="7901" spans="1:9">
      <c r="A7901" t="str">
        <f>"0112516 "</f>
        <v xml:space="preserve">0112516 </v>
      </c>
      <c r="B7901" t="s">
        <v>24560</v>
      </c>
      <c r="C7901" t="s">
        <v>26175</v>
      </c>
      <c r="D7901" t="s">
        <v>26176</v>
      </c>
      <c r="E7901">
        <v>2</v>
      </c>
      <c r="F7901" t="s">
        <v>24897</v>
      </c>
      <c r="G7901" t="s">
        <v>24560</v>
      </c>
      <c r="H7901">
        <v>9005061</v>
      </c>
      <c r="I7901" t="s">
        <v>26177</v>
      </c>
    </row>
    <row r="7902" spans="1:9">
      <c r="A7902" t="str">
        <f>"0112536 "</f>
        <v xml:space="preserve">0112536 </v>
      </c>
      <c r="B7902" t="s">
        <v>24560</v>
      </c>
      <c r="C7902" t="s">
        <v>26178</v>
      </c>
      <c r="D7902" t="s">
        <v>26179</v>
      </c>
      <c r="E7902">
        <v>4</v>
      </c>
      <c r="F7902" t="s">
        <v>14956</v>
      </c>
      <c r="G7902" t="s">
        <v>24560</v>
      </c>
      <c r="H7902">
        <v>9005084</v>
      </c>
      <c r="I7902" t="s">
        <v>26180</v>
      </c>
    </row>
    <row r="7903" spans="1:9">
      <c r="A7903" t="str">
        <f>"0112540 "</f>
        <v xml:space="preserve">0112540 </v>
      </c>
      <c r="B7903" t="s">
        <v>24560</v>
      </c>
      <c r="C7903" t="s">
        <v>26181</v>
      </c>
      <c r="D7903" t="s">
        <v>26182</v>
      </c>
      <c r="E7903">
        <v>1</v>
      </c>
      <c r="F7903" t="s">
        <v>26183</v>
      </c>
      <c r="G7903" t="s">
        <v>24560</v>
      </c>
      <c r="H7903">
        <v>9005090</v>
      </c>
      <c r="I7903" t="s">
        <v>26184</v>
      </c>
    </row>
    <row r="7904" spans="1:9">
      <c r="A7904" t="str">
        <f>"0112682 "</f>
        <v xml:space="preserve">0112682 </v>
      </c>
      <c r="B7904" t="s">
        <v>24560</v>
      </c>
      <c r="C7904" t="s">
        <v>26185</v>
      </c>
      <c r="D7904" t="s">
        <v>26186</v>
      </c>
      <c r="E7904">
        <v>2</v>
      </c>
      <c r="F7904" t="s">
        <v>26187</v>
      </c>
      <c r="G7904" t="s">
        <v>24560</v>
      </c>
      <c r="H7904">
        <v>9005291</v>
      </c>
      <c r="I7904" t="s">
        <v>26188</v>
      </c>
    </row>
    <row r="7905" spans="1:9">
      <c r="A7905" t="str">
        <f>"0112698 "</f>
        <v xml:space="preserve">0112698 </v>
      </c>
      <c r="B7905" t="s">
        <v>24560</v>
      </c>
      <c r="C7905" t="s">
        <v>26189</v>
      </c>
      <c r="D7905" t="s">
        <v>26190</v>
      </c>
      <c r="E7905">
        <v>1</v>
      </c>
      <c r="F7905" t="s">
        <v>8398</v>
      </c>
      <c r="G7905" t="s">
        <v>24560</v>
      </c>
      <c r="H7905">
        <v>9005339</v>
      </c>
      <c r="I7905" t="s">
        <v>26191</v>
      </c>
    </row>
    <row r="7906" spans="1:9">
      <c r="A7906" t="str">
        <f>"0112700 "</f>
        <v xml:space="preserve">0112700 </v>
      </c>
      <c r="B7906" t="s">
        <v>24560</v>
      </c>
      <c r="C7906" t="s">
        <v>26192</v>
      </c>
      <c r="D7906" t="s">
        <v>26193</v>
      </c>
      <c r="E7906">
        <v>4</v>
      </c>
      <c r="F7906" t="s">
        <v>24714</v>
      </c>
      <c r="G7906" t="s">
        <v>24560</v>
      </c>
      <c r="H7906">
        <v>9005352</v>
      </c>
      <c r="I7906" t="s">
        <v>26194</v>
      </c>
    </row>
    <row r="7907" spans="1:9">
      <c r="A7907" t="str">
        <f>"0112747 "</f>
        <v xml:space="preserve">0112747 </v>
      </c>
      <c r="B7907" t="s">
        <v>24560</v>
      </c>
      <c r="C7907" t="s">
        <v>26195</v>
      </c>
      <c r="D7907" t="s">
        <v>26196</v>
      </c>
      <c r="E7907">
        <v>2</v>
      </c>
      <c r="F7907" t="s">
        <v>26197</v>
      </c>
      <c r="G7907" t="s">
        <v>24560</v>
      </c>
      <c r="H7907">
        <v>9005476</v>
      </c>
      <c r="I7907" t="s">
        <v>26198</v>
      </c>
    </row>
    <row r="7908" spans="1:9">
      <c r="A7908" t="str">
        <f>"0112748 "</f>
        <v xml:space="preserve">0112748 </v>
      </c>
      <c r="B7908" t="s">
        <v>24560</v>
      </c>
      <c r="C7908" t="s">
        <v>26199</v>
      </c>
      <c r="D7908" t="s">
        <v>26200</v>
      </c>
      <c r="E7908">
        <v>2</v>
      </c>
      <c r="F7908" t="s">
        <v>26201</v>
      </c>
      <c r="G7908" t="s">
        <v>24560</v>
      </c>
      <c r="H7908">
        <v>9005477</v>
      </c>
      <c r="I7908" t="s">
        <v>26202</v>
      </c>
    </row>
    <row r="7909" spans="1:9">
      <c r="A7909" t="str">
        <f>"0112764 "</f>
        <v xml:space="preserve">0112764 </v>
      </c>
      <c r="B7909" t="s">
        <v>24560</v>
      </c>
      <c r="C7909" t="s">
        <v>26203</v>
      </c>
      <c r="D7909" t="s">
        <v>26204</v>
      </c>
      <c r="E7909">
        <v>2</v>
      </c>
      <c r="F7909" t="s">
        <v>26205</v>
      </c>
      <c r="G7909" t="s">
        <v>24560</v>
      </c>
      <c r="H7909">
        <v>9005530</v>
      </c>
      <c r="I7909" t="s">
        <v>26206</v>
      </c>
    </row>
    <row r="7910" spans="1:9">
      <c r="A7910" t="str">
        <f>"0112769 "</f>
        <v xml:space="preserve">0112769 </v>
      </c>
      <c r="B7910" t="s">
        <v>24560</v>
      </c>
      <c r="C7910" t="s">
        <v>26207</v>
      </c>
      <c r="D7910" t="s">
        <v>26208</v>
      </c>
      <c r="E7910">
        <v>2</v>
      </c>
      <c r="F7910" t="s">
        <v>20343</v>
      </c>
      <c r="G7910" t="s">
        <v>24560</v>
      </c>
      <c r="H7910">
        <v>9005537</v>
      </c>
      <c r="I7910" t="s">
        <v>26209</v>
      </c>
    </row>
    <row r="7911" spans="1:9">
      <c r="A7911" t="str">
        <f>"0112796 "</f>
        <v xml:space="preserve">0112796 </v>
      </c>
      <c r="B7911" t="s">
        <v>24560</v>
      </c>
      <c r="C7911" t="s">
        <v>26210</v>
      </c>
      <c r="D7911" t="s">
        <v>26211</v>
      </c>
      <c r="E7911">
        <v>2</v>
      </c>
      <c r="F7911" t="s">
        <v>8868</v>
      </c>
      <c r="G7911" t="s">
        <v>24560</v>
      </c>
      <c r="H7911">
        <v>9005617</v>
      </c>
      <c r="I7911" t="s">
        <v>26212</v>
      </c>
    </row>
    <row r="7912" spans="1:9">
      <c r="A7912" t="str">
        <f>"0112797 "</f>
        <v xml:space="preserve">0112797 </v>
      </c>
      <c r="B7912" t="s">
        <v>24560</v>
      </c>
      <c r="C7912" t="s">
        <v>26213</v>
      </c>
      <c r="D7912" t="s">
        <v>26214</v>
      </c>
      <c r="E7912">
        <v>3</v>
      </c>
      <c r="F7912" t="s">
        <v>8868</v>
      </c>
      <c r="G7912" t="s">
        <v>24560</v>
      </c>
      <c r="H7912">
        <v>9005618</v>
      </c>
      <c r="I7912" t="s">
        <v>22052</v>
      </c>
    </row>
    <row r="7913" spans="1:9">
      <c r="A7913" t="str">
        <f>"0112919 "</f>
        <v xml:space="preserve">0112919 </v>
      </c>
      <c r="B7913" t="s">
        <v>24560</v>
      </c>
      <c r="C7913" t="s">
        <v>26215</v>
      </c>
      <c r="D7913" t="s">
        <v>26216</v>
      </c>
      <c r="E7913">
        <v>2</v>
      </c>
      <c r="F7913" t="s">
        <v>24622</v>
      </c>
      <c r="G7913" t="s">
        <v>24560</v>
      </c>
      <c r="H7913">
        <v>9006035</v>
      </c>
      <c r="I7913" t="s">
        <v>26217</v>
      </c>
    </row>
    <row r="7914" spans="1:9">
      <c r="A7914" t="str">
        <f>"0112929 "</f>
        <v xml:space="preserve">0112929 </v>
      </c>
      <c r="B7914" t="s">
        <v>24560</v>
      </c>
      <c r="C7914" t="s">
        <v>26218</v>
      </c>
      <c r="D7914" t="s">
        <v>26219</v>
      </c>
      <c r="E7914">
        <v>2</v>
      </c>
      <c r="F7914" t="s">
        <v>15053</v>
      </c>
      <c r="G7914" t="s">
        <v>24560</v>
      </c>
      <c r="H7914">
        <v>9006065</v>
      </c>
      <c r="I7914" t="s">
        <v>26220</v>
      </c>
    </row>
    <row r="7915" spans="1:9">
      <c r="A7915" t="str">
        <f>"0112930 "</f>
        <v xml:space="preserve">0112930 </v>
      </c>
      <c r="B7915" t="s">
        <v>24560</v>
      </c>
      <c r="C7915" t="s">
        <v>26221</v>
      </c>
      <c r="D7915" t="s">
        <v>26222</v>
      </c>
      <c r="E7915">
        <v>2</v>
      </c>
      <c r="F7915" t="s">
        <v>26052</v>
      </c>
      <c r="G7915" t="s">
        <v>24560</v>
      </c>
      <c r="H7915">
        <v>9006067</v>
      </c>
      <c r="I7915" t="s">
        <v>26223</v>
      </c>
    </row>
    <row r="7916" spans="1:9">
      <c r="A7916" t="str">
        <f>"0112936 "</f>
        <v xml:space="preserve">0112936 </v>
      </c>
      <c r="B7916" t="s">
        <v>24560</v>
      </c>
      <c r="C7916" t="s">
        <v>26224</v>
      </c>
      <c r="D7916" t="s">
        <v>26225</v>
      </c>
      <c r="E7916">
        <v>1</v>
      </c>
      <c r="F7916" t="s">
        <v>24683</v>
      </c>
      <c r="G7916" t="s">
        <v>24560</v>
      </c>
      <c r="H7916">
        <v>9006073</v>
      </c>
      <c r="I7916" t="s">
        <v>26226</v>
      </c>
    </row>
    <row r="7917" spans="1:9">
      <c r="A7917" t="str">
        <f>"0112941 "</f>
        <v xml:space="preserve">0112941 </v>
      </c>
      <c r="B7917" t="s">
        <v>24560</v>
      </c>
      <c r="C7917" t="s">
        <v>26227</v>
      </c>
      <c r="D7917" t="s">
        <v>26228</v>
      </c>
      <c r="E7917" t="s">
        <v>16</v>
      </c>
      <c r="F7917" t="s">
        <v>26229</v>
      </c>
      <c r="G7917" t="s">
        <v>24560</v>
      </c>
      <c r="H7917">
        <v>9006081</v>
      </c>
      <c r="I7917" t="s">
        <v>26230</v>
      </c>
    </row>
    <row r="7918" spans="1:9">
      <c r="A7918" t="str">
        <f>"0113129 "</f>
        <v xml:space="preserve">0113129 </v>
      </c>
      <c r="B7918" t="s">
        <v>24560</v>
      </c>
      <c r="C7918" t="s">
        <v>26231</v>
      </c>
      <c r="D7918" t="s">
        <v>26232</v>
      </c>
      <c r="E7918">
        <v>2</v>
      </c>
      <c r="F7918" t="s">
        <v>25824</v>
      </c>
      <c r="G7918" t="s">
        <v>24560</v>
      </c>
      <c r="H7918">
        <v>9006545</v>
      </c>
      <c r="I7918" t="s">
        <v>26233</v>
      </c>
    </row>
    <row r="7919" spans="1:9">
      <c r="A7919" t="str">
        <f>"0113187 "</f>
        <v xml:space="preserve">0113187 </v>
      </c>
      <c r="B7919" t="s">
        <v>24560</v>
      </c>
      <c r="C7919" t="s">
        <v>26234</v>
      </c>
      <c r="D7919" t="s">
        <v>26235</v>
      </c>
      <c r="E7919">
        <v>1</v>
      </c>
      <c r="F7919" t="s">
        <v>26236</v>
      </c>
      <c r="G7919" t="s">
        <v>24560</v>
      </c>
      <c r="H7919">
        <v>9006632</v>
      </c>
      <c r="I7919" t="s">
        <v>26237</v>
      </c>
    </row>
    <row r="7920" spans="1:9">
      <c r="A7920" t="str">
        <f>"0113188 "</f>
        <v xml:space="preserve">0113188 </v>
      </c>
      <c r="B7920" t="s">
        <v>24560</v>
      </c>
      <c r="C7920" t="s">
        <v>26238</v>
      </c>
      <c r="D7920" t="s">
        <v>26239</v>
      </c>
      <c r="E7920">
        <v>1</v>
      </c>
      <c r="F7920" t="s">
        <v>26236</v>
      </c>
      <c r="G7920" t="s">
        <v>24560</v>
      </c>
      <c r="H7920">
        <v>9006633</v>
      </c>
      <c r="I7920" t="s">
        <v>26240</v>
      </c>
    </row>
    <row r="7921" spans="1:9">
      <c r="A7921" t="str">
        <f>"0113216 "</f>
        <v xml:space="preserve">0113216 </v>
      </c>
      <c r="B7921" t="s">
        <v>24560</v>
      </c>
      <c r="C7921" t="s">
        <v>26241</v>
      </c>
      <c r="D7921" t="s">
        <v>26242</v>
      </c>
      <c r="E7921">
        <v>1</v>
      </c>
      <c r="F7921" t="s">
        <v>25773</v>
      </c>
      <c r="G7921" t="s">
        <v>24560</v>
      </c>
      <c r="H7921">
        <v>9006679</v>
      </c>
      <c r="I7921" t="s">
        <v>26243</v>
      </c>
    </row>
    <row r="7922" spans="1:9">
      <c r="A7922" t="str">
        <f>"0113237 "</f>
        <v xml:space="preserve">0113237 </v>
      </c>
      <c r="B7922" t="s">
        <v>24560</v>
      </c>
      <c r="C7922" t="s">
        <v>26244</v>
      </c>
      <c r="D7922" t="s">
        <v>26245</v>
      </c>
      <c r="E7922">
        <v>1</v>
      </c>
      <c r="F7922" t="s">
        <v>8483</v>
      </c>
      <c r="G7922" t="s">
        <v>24560</v>
      </c>
      <c r="H7922">
        <v>9006703</v>
      </c>
      <c r="I7922" t="s">
        <v>26246</v>
      </c>
    </row>
    <row r="7923" spans="1:9">
      <c r="A7923" t="str">
        <f>"0113247 "</f>
        <v xml:space="preserve">0113247 </v>
      </c>
      <c r="B7923" t="s">
        <v>24560</v>
      </c>
      <c r="C7923" t="s">
        <v>26247</v>
      </c>
      <c r="D7923" t="s">
        <v>26248</v>
      </c>
      <c r="E7923">
        <v>3</v>
      </c>
      <c r="F7923" t="s">
        <v>26249</v>
      </c>
      <c r="G7923" t="s">
        <v>24560</v>
      </c>
      <c r="H7923">
        <v>9006715</v>
      </c>
      <c r="I7923" t="s">
        <v>26250</v>
      </c>
    </row>
    <row r="7924" spans="1:9">
      <c r="A7924" t="str">
        <f>"0113255 "</f>
        <v xml:space="preserve">0113255 </v>
      </c>
      <c r="B7924" t="s">
        <v>24560</v>
      </c>
      <c r="C7924" t="s">
        <v>26251</v>
      </c>
      <c r="D7924" t="s">
        <v>26252</v>
      </c>
      <c r="E7924">
        <v>2</v>
      </c>
      <c r="F7924" t="s">
        <v>26253</v>
      </c>
      <c r="G7924" t="s">
        <v>24560</v>
      </c>
      <c r="H7924">
        <v>9006730</v>
      </c>
      <c r="I7924" t="s">
        <v>26254</v>
      </c>
    </row>
    <row r="7925" spans="1:9">
      <c r="A7925" t="str">
        <f>"0252016 "</f>
        <v xml:space="preserve">0252016 </v>
      </c>
      <c r="B7925" t="s">
        <v>26255</v>
      </c>
      <c r="C7925" t="s">
        <v>26256</v>
      </c>
      <c r="D7925" t="s">
        <v>26257</v>
      </c>
      <c r="E7925" t="s">
        <v>16</v>
      </c>
      <c r="F7925" t="s">
        <v>26258</v>
      </c>
      <c r="G7925" t="s">
        <v>19092</v>
      </c>
      <c r="H7925" t="s">
        <v>26256</v>
      </c>
    </row>
    <row r="7926" spans="1:9">
      <c r="A7926" t="str">
        <f>"0252014 "</f>
        <v xml:space="preserve">0252014 </v>
      </c>
      <c r="B7926" t="s">
        <v>26255</v>
      </c>
      <c r="C7926" t="s">
        <v>26259</v>
      </c>
      <c r="D7926" t="s">
        <v>26260</v>
      </c>
      <c r="E7926">
        <v>4</v>
      </c>
      <c r="F7926" t="s">
        <v>26261</v>
      </c>
      <c r="G7926" t="s">
        <v>19092</v>
      </c>
      <c r="H7926" t="s">
        <v>26259</v>
      </c>
    </row>
    <row r="7927" spans="1:9">
      <c r="A7927" t="str">
        <f>"0252017 "</f>
        <v xml:space="preserve">0252017 </v>
      </c>
      <c r="B7927" t="s">
        <v>26255</v>
      </c>
      <c r="C7927" t="s">
        <v>26262</v>
      </c>
      <c r="D7927" t="s">
        <v>26263</v>
      </c>
      <c r="E7927" t="s">
        <v>16</v>
      </c>
      <c r="F7927" t="s">
        <v>26264</v>
      </c>
      <c r="G7927" t="s">
        <v>19092</v>
      </c>
      <c r="H7927" t="s">
        <v>26262</v>
      </c>
    </row>
    <row r="7928" spans="1:9">
      <c r="A7928" t="str">
        <f>"0252015 "</f>
        <v xml:space="preserve">0252015 </v>
      </c>
      <c r="B7928" t="s">
        <v>26255</v>
      </c>
      <c r="C7928" t="s">
        <v>26265</v>
      </c>
      <c r="D7928" t="s">
        <v>26266</v>
      </c>
      <c r="E7928" t="s">
        <v>16</v>
      </c>
      <c r="F7928" t="s">
        <v>26267</v>
      </c>
      <c r="G7928" t="s">
        <v>19092</v>
      </c>
      <c r="H7928" t="s">
        <v>26265</v>
      </c>
    </row>
    <row r="7929" spans="1:9">
      <c r="A7929" t="str">
        <f>"0252018 "</f>
        <v xml:space="preserve">0252018 </v>
      </c>
      <c r="B7929" t="s">
        <v>26255</v>
      </c>
      <c r="C7929" t="s">
        <v>26268</v>
      </c>
      <c r="D7929" t="s">
        <v>26269</v>
      </c>
      <c r="E7929" t="s">
        <v>16</v>
      </c>
      <c r="F7929" t="s">
        <v>26270</v>
      </c>
      <c r="G7929" t="s">
        <v>1818</v>
      </c>
      <c r="H7929" t="s">
        <v>26268</v>
      </c>
    </row>
    <row r="7930" spans="1:9">
      <c r="A7930" t="str">
        <f>"0252019 "</f>
        <v xml:space="preserve">0252019 </v>
      </c>
      <c r="B7930" t="s">
        <v>26255</v>
      </c>
      <c r="C7930" t="s">
        <v>26271</v>
      </c>
      <c r="D7930" t="s">
        <v>26272</v>
      </c>
      <c r="E7930" t="s">
        <v>16</v>
      </c>
      <c r="F7930" t="s">
        <v>19574</v>
      </c>
      <c r="G7930" t="s">
        <v>1818</v>
      </c>
      <c r="H7930" t="s">
        <v>26271</v>
      </c>
    </row>
    <row r="7931" spans="1:9">
      <c r="A7931" t="str">
        <f>"0252020 "</f>
        <v xml:space="preserve">0252020 </v>
      </c>
      <c r="B7931" t="s">
        <v>26255</v>
      </c>
      <c r="C7931" t="s">
        <v>26273</v>
      </c>
      <c r="D7931" t="s">
        <v>26274</v>
      </c>
      <c r="E7931" t="s">
        <v>16</v>
      </c>
      <c r="F7931" t="s">
        <v>26275</v>
      </c>
      <c r="G7931" t="s">
        <v>1818</v>
      </c>
      <c r="H7931" t="s">
        <v>26273</v>
      </c>
    </row>
    <row r="7932" spans="1:9">
      <c r="A7932" t="str">
        <f>"0252021 "</f>
        <v xml:space="preserve">0252021 </v>
      </c>
      <c r="B7932" t="s">
        <v>26255</v>
      </c>
      <c r="C7932" t="s">
        <v>26276</v>
      </c>
      <c r="D7932" t="s">
        <v>26277</v>
      </c>
      <c r="E7932" t="s">
        <v>16</v>
      </c>
      <c r="F7932" t="s">
        <v>26278</v>
      </c>
      <c r="G7932" t="s">
        <v>1818</v>
      </c>
      <c r="H7932" t="s">
        <v>26276</v>
      </c>
    </row>
    <row r="7933" spans="1:9">
      <c r="A7933" t="str">
        <f>"0252022 "</f>
        <v xml:space="preserve">0252022 </v>
      </c>
      <c r="B7933" t="s">
        <v>26255</v>
      </c>
      <c r="C7933" t="s">
        <v>26279</v>
      </c>
      <c r="D7933" t="s">
        <v>26280</v>
      </c>
      <c r="E7933" t="s">
        <v>16</v>
      </c>
      <c r="F7933" t="s">
        <v>26281</v>
      </c>
      <c r="G7933" t="s">
        <v>1818</v>
      </c>
      <c r="H7933" t="s">
        <v>26279</v>
      </c>
    </row>
    <row r="7934" spans="1:9">
      <c r="A7934" t="str">
        <f>"0252023 "</f>
        <v xml:space="preserve">0252023 </v>
      </c>
      <c r="B7934" t="s">
        <v>26255</v>
      </c>
      <c r="C7934" t="s">
        <v>26282</v>
      </c>
      <c r="D7934" t="s">
        <v>26283</v>
      </c>
      <c r="E7934" t="s">
        <v>16</v>
      </c>
      <c r="F7934" t="s">
        <v>26284</v>
      </c>
      <c r="G7934" t="s">
        <v>1818</v>
      </c>
      <c r="H7934" t="s">
        <v>26282</v>
      </c>
    </row>
    <row r="7935" spans="1:9">
      <c r="A7935" t="str">
        <f>"0018551 "</f>
        <v xml:space="preserve">0018551 </v>
      </c>
      <c r="B7935" t="s">
        <v>26285</v>
      </c>
      <c r="C7935" t="str">
        <f>"0018551"</f>
        <v>0018551</v>
      </c>
      <c r="D7935" t="s">
        <v>26286</v>
      </c>
      <c r="E7935" t="s">
        <v>16</v>
      </c>
      <c r="F7935" t="s">
        <v>26287</v>
      </c>
      <c r="G7935" t="s">
        <v>26285</v>
      </c>
      <c r="H7935" t="str">
        <f>"0018551"</f>
        <v>0018551</v>
      </c>
    </row>
    <row r="7936" spans="1:9">
      <c r="A7936" t="str">
        <f>"0018903 "</f>
        <v xml:space="preserve">0018903 </v>
      </c>
      <c r="B7936" t="s">
        <v>26285</v>
      </c>
      <c r="C7936" t="str">
        <f>"0018903"</f>
        <v>0018903</v>
      </c>
      <c r="D7936" t="s">
        <v>26288</v>
      </c>
      <c r="E7936" t="s">
        <v>16</v>
      </c>
      <c r="F7936" t="s">
        <v>26289</v>
      </c>
      <c r="G7936" t="s">
        <v>26285</v>
      </c>
      <c r="H7936" t="str">
        <f>"0018903"</f>
        <v>0018903</v>
      </c>
    </row>
    <row r="7937" spans="1:8">
      <c r="A7937" t="str">
        <f>"0019077 "</f>
        <v xml:space="preserve">0019077 </v>
      </c>
      <c r="B7937" t="s">
        <v>26285</v>
      </c>
      <c r="C7937" t="str">
        <f>"0019077"</f>
        <v>0019077</v>
      </c>
      <c r="D7937" t="s">
        <v>26290</v>
      </c>
      <c r="E7937" t="s">
        <v>16</v>
      </c>
      <c r="F7937" t="s">
        <v>26291</v>
      </c>
      <c r="G7937" t="s">
        <v>26285</v>
      </c>
      <c r="H7937" t="str">
        <f>"0019077"</f>
        <v>0019077</v>
      </c>
    </row>
    <row r="7938" spans="1:8">
      <c r="A7938" t="str">
        <f>"0019122 "</f>
        <v xml:space="preserve">0019122 </v>
      </c>
      <c r="B7938" t="s">
        <v>26285</v>
      </c>
      <c r="C7938" t="str">
        <f>"0019122"</f>
        <v>0019122</v>
      </c>
      <c r="D7938" t="s">
        <v>26292</v>
      </c>
      <c r="E7938" t="s">
        <v>16</v>
      </c>
      <c r="F7938" t="s">
        <v>26293</v>
      </c>
      <c r="G7938" t="s">
        <v>26285</v>
      </c>
      <c r="H7938" t="str">
        <f>"0019122"</f>
        <v>0019122</v>
      </c>
    </row>
    <row r="7939" spans="1:8">
      <c r="A7939" t="str">
        <f>"0019124 "</f>
        <v xml:space="preserve">0019124 </v>
      </c>
      <c r="B7939" t="s">
        <v>26285</v>
      </c>
      <c r="C7939" t="str">
        <f>"0019124"</f>
        <v>0019124</v>
      </c>
      <c r="D7939" t="s">
        <v>26294</v>
      </c>
      <c r="E7939" t="s">
        <v>16</v>
      </c>
      <c r="F7939" t="s">
        <v>26295</v>
      </c>
      <c r="G7939" t="s">
        <v>26285</v>
      </c>
      <c r="H7939" t="str">
        <f>"0019124"</f>
        <v>0019124</v>
      </c>
    </row>
    <row r="7940" spans="1:8">
      <c r="A7940" t="str">
        <f>"0019156 "</f>
        <v xml:space="preserve">0019156 </v>
      </c>
      <c r="B7940" t="s">
        <v>26285</v>
      </c>
      <c r="C7940" t="str">
        <f>"0019156"</f>
        <v>0019156</v>
      </c>
      <c r="D7940" t="s">
        <v>26296</v>
      </c>
      <c r="E7940">
        <v>2</v>
      </c>
      <c r="F7940" t="s">
        <v>11975</v>
      </c>
      <c r="G7940" t="s">
        <v>26285</v>
      </c>
      <c r="H7940" t="str">
        <f>"0019156"</f>
        <v>0019156</v>
      </c>
    </row>
    <row r="7941" spans="1:8">
      <c r="A7941" t="str">
        <f>"0019157 "</f>
        <v xml:space="preserve">0019157 </v>
      </c>
      <c r="B7941" t="s">
        <v>26285</v>
      </c>
      <c r="C7941" t="str">
        <f>"0019157"</f>
        <v>0019157</v>
      </c>
      <c r="D7941" t="s">
        <v>26297</v>
      </c>
      <c r="E7941" t="s">
        <v>16</v>
      </c>
      <c r="F7941" t="s">
        <v>26291</v>
      </c>
      <c r="G7941" t="s">
        <v>26285</v>
      </c>
      <c r="H7941" t="str">
        <f>"0019157"</f>
        <v>0019157</v>
      </c>
    </row>
    <row r="7942" spans="1:8">
      <c r="A7942" t="str">
        <f>"0021137 "</f>
        <v xml:space="preserve">0021137 </v>
      </c>
      <c r="B7942" t="s">
        <v>26285</v>
      </c>
      <c r="C7942" t="str">
        <f>"0021137"</f>
        <v>0021137</v>
      </c>
      <c r="D7942" t="s">
        <v>26298</v>
      </c>
      <c r="E7942" t="s">
        <v>16</v>
      </c>
      <c r="F7942" t="s">
        <v>26289</v>
      </c>
      <c r="G7942" t="s">
        <v>26285</v>
      </c>
      <c r="H7942" t="str">
        <f>"0021137"</f>
        <v>0021137</v>
      </c>
    </row>
    <row r="7943" spans="1:8">
      <c r="A7943" t="str">
        <f>"0021138 "</f>
        <v xml:space="preserve">0021138 </v>
      </c>
      <c r="B7943" t="s">
        <v>26285</v>
      </c>
      <c r="C7943" t="str">
        <f>"0021138"</f>
        <v>0021138</v>
      </c>
      <c r="D7943" t="s">
        <v>26299</v>
      </c>
      <c r="E7943" t="s">
        <v>16</v>
      </c>
      <c r="F7943" t="s">
        <v>26287</v>
      </c>
      <c r="G7943" t="s">
        <v>26285</v>
      </c>
      <c r="H7943" t="str">
        <f>"0021138"</f>
        <v>0021138</v>
      </c>
    </row>
    <row r="7944" spans="1:8">
      <c r="A7944" t="str">
        <f>"0039081 "</f>
        <v xml:space="preserve">0039081 </v>
      </c>
      <c r="B7944" t="s">
        <v>26285</v>
      </c>
      <c r="C7944" t="str">
        <f>"0039081"</f>
        <v>0039081</v>
      </c>
      <c r="D7944" t="s">
        <v>26300</v>
      </c>
      <c r="E7944" t="s">
        <v>16</v>
      </c>
      <c r="F7944" t="s">
        <v>26301</v>
      </c>
      <c r="G7944" t="s">
        <v>26285</v>
      </c>
      <c r="H7944" t="str">
        <f>"0039081"</f>
        <v>0039081</v>
      </c>
    </row>
    <row r="7945" spans="1:8">
      <c r="A7945" t="str">
        <f>"0039130 "</f>
        <v xml:space="preserve">0039130 </v>
      </c>
      <c r="B7945" t="s">
        <v>26285</v>
      </c>
      <c r="C7945" t="str">
        <f>"0039130"</f>
        <v>0039130</v>
      </c>
      <c r="D7945" t="s">
        <v>26302</v>
      </c>
      <c r="E7945" t="s">
        <v>16</v>
      </c>
      <c r="F7945" t="s">
        <v>26303</v>
      </c>
      <c r="G7945" t="s">
        <v>26285</v>
      </c>
      <c r="H7945" t="str">
        <f>"0039130"</f>
        <v>0039130</v>
      </c>
    </row>
    <row r="7946" spans="1:8">
      <c r="A7946" t="str">
        <f>"0158697 "</f>
        <v xml:space="preserve">0158697 </v>
      </c>
      <c r="B7946" t="s">
        <v>26285</v>
      </c>
      <c r="C7946" t="str">
        <f>"0158697"</f>
        <v>0158697</v>
      </c>
      <c r="D7946" t="s">
        <v>26304</v>
      </c>
      <c r="E7946">
        <v>2</v>
      </c>
      <c r="F7946" t="s">
        <v>26305</v>
      </c>
      <c r="G7946" t="s">
        <v>26285</v>
      </c>
      <c r="H7946" t="str">
        <f>"0158697"</f>
        <v>0158697</v>
      </c>
    </row>
    <row r="7947" spans="1:8">
      <c r="A7947" t="str">
        <f>"0204292 "</f>
        <v xml:space="preserve">0204292 </v>
      </c>
      <c r="B7947" t="s">
        <v>26285</v>
      </c>
      <c r="C7947" t="str">
        <f>"0204292"</f>
        <v>0204292</v>
      </c>
      <c r="D7947" t="s">
        <v>26306</v>
      </c>
      <c r="E7947" t="s">
        <v>16</v>
      </c>
      <c r="F7947" t="s">
        <v>26307</v>
      </c>
      <c r="G7947" t="s">
        <v>26285</v>
      </c>
      <c r="H7947" t="str">
        <f>"0204292"</f>
        <v>0204292</v>
      </c>
    </row>
    <row r="7948" spans="1:8">
      <c r="A7948" t="str">
        <f>"0204293 "</f>
        <v xml:space="preserve">0204293 </v>
      </c>
      <c r="B7948" t="s">
        <v>26285</v>
      </c>
      <c r="C7948" t="str">
        <f>"0204293"</f>
        <v>0204293</v>
      </c>
      <c r="D7948" t="s">
        <v>26308</v>
      </c>
      <c r="E7948" t="s">
        <v>16</v>
      </c>
      <c r="F7948" t="s">
        <v>26309</v>
      </c>
      <c r="G7948" t="s">
        <v>26285</v>
      </c>
      <c r="H7948" t="str">
        <f>"0204293"</f>
        <v>0204293</v>
      </c>
    </row>
    <row r="7949" spans="1:8">
      <c r="A7949" t="str">
        <f>"0086563 "</f>
        <v xml:space="preserve">0086563 </v>
      </c>
      <c r="B7949" t="s">
        <v>26310</v>
      </c>
      <c r="C7949">
        <v>151261</v>
      </c>
      <c r="D7949" t="s">
        <v>26311</v>
      </c>
      <c r="E7949">
        <v>2</v>
      </c>
      <c r="F7949" t="s">
        <v>26312</v>
      </c>
      <c r="G7949" t="s">
        <v>26310</v>
      </c>
      <c r="H7949">
        <v>151261</v>
      </c>
    </row>
    <row r="7950" spans="1:8">
      <c r="A7950" t="str">
        <f>"0153345 "</f>
        <v xml:space="preserve">0153345 </v>
      </c>
      <c r="B7950" t="s">
        <v>26310</v>
      </c>
      <c r="C7950">
        <v>156812</v>
      </c>
      <c r="D7950" t="s">
        <v>26313</v>
      </c>
      <c r="E7950" t="s">
        <v>16</v>
      </c>
      <c r="F7950" t="s">
        <v>26314</v>
      </c>
      <c r="G7950" t="s">
        <v>26310</v>
      </c>
      <c r="H7950">
        <v>156812</v>
      </c>
    </row>
    <row r="7951" spans="1:8">
      <c r="A7951" t="str">
        <f>"0020985 "</f>
        <v xml:space="preserve">0020985 </v>
      </c>
      <c r="B7951" t="s">
        <v>26310</v>
      </c>
      <c r="C7951">
        <v>157103</v>
      </c>
      <c r="D7951" t="s">
        <v>26315</v>
      </c>
      <c r="E7951" t="s">
        <v>16</v>
      </c>
      <c r="F7951" t="s">
        <v>26316</v>
      </c>
      <c r="G7951" t="s">
        <v>26310</v>
      </c>
      <c r="H7951">
        <v>157103</v>
      </c>
    </row>
    <row r="7952" spans="1:8">
      <c r="A7952" t="str">
        <f>"0153344 "</f>
        <v xml:space="preserve">0153344 </v>
      </c>
      <c r="B7952" t="s">
        <v>26310</v>
      </c>
      <c r="C7952">
        <v>166245</v>
      </c>
      <c r="D7952" t="s">
        <v>26317</v>
      </c>
      <c r="E7952">
        <v>3</v>
      </c>
      <c r="F7952" t="s">
        <v>26318</v>
      </c>
      <c r="G7952" t="s">
        <v>26310</v>
      </c>
      <c r="H7952">
        <v>166245</v>
      </c>
    </row>
    <row r="7953" spans="1:9">
      <c r="A7953" t="str">
        <f>"0038947 "</f>
        <v xml:space="preserve">0038947 </v>
      </c>
      <c r="B7953" t="s">
        <v>26310</v>
      </c>
      <c r="C7953">
        <v>166252</v>
      </c>
      <c r="D7953" t="s">
        <v>26319</v>
      </c>
      <c r="E7953">
        <v>4</v>
      </c>
      <c r="F7953" t="s">
        <v>26320</v>
      </c>
      <c r="G7953" t="s">
        <v>26310</v>
      </c>
      <c r="H7953">
        <v>166252</v>
      </c>
    </row>
    <row r="7954" spans="1:9">
      <c r="A7954" t="str">
        <f>"0020983 "</f>
        <v xml:space="preserve">0020983 </v>
      </c>
      <c r="B7954" t="s">
        <v>26310</v>
      </c>
      <c r="C7954">
        <v>166254</v>
      </c>
      <c r="D7954" t="s">
        <v>26321</v>
      </c>
      <c r="E7954">
        <v>3</v>
      </c>
      <c r="F7954" t="s">
        <v>26322</v>
      </c>
      <c r="G7954" t="s">
        <v>26310</v>
      </c>
      <c r="H7954">
        <v>166254</v>
      </c>
    </row>
    <row r="7955" spans="1:9">
      <c r="A7955" t="str">
        <f>"0211854 "</f>
        <v xml:space="preserve">0211854 </v>
      </c>
      <c r="B7955" t="s">
        <v>26310</v>
      </c>
      <c r="C7955">
        <v>170323</v>
      </c>
      <c r="D7955" t="s">
        <v>26323</v>
      </c>
      <c r="E7955" t="s">
        <v>16</v>
      </c>
      <c r="F7955" t="s">
        <v>26324</v>
      </c>
      <c r="G7955" t="s">
        <v>26310</v>
      </c>
      <c r="H7955">
        <v>170323</v>
      </c>
    </row>
    <row r="7956" spans="1:9">
      <c r="A7956" t="str">
        <f>"0203905 "</f>
        <v xml:space="preserve">0203905 </v>
      </c>
      <c r="B7956" t="s">
        <v>26310</v>
      </c>
      <c r="C7956">
        <v>181711</v>
      </c>
      <c r="D7956" t="s">
        <v>26325</v>
      </c>
      <c r="E7956">
        <v>4</v>
      </c>
      <c r="F7956" t="s">
        <v>26326</v>
      </c>
      <c r="G7956" t="s">
        <v>26310</v>
      </c>
      <c r="H7956">
        <v>181711</v>
      </c>
    </row>
    <row r="7957" spans="1:9">
      <c r="A7957" t="str">
        <f>"0201904 "</f>
        <v xml:space="preserve">0201904 </v>
      </c>
      <c r="B7957" t="s">
        <v>26310</v>
      </c>
      <c r="C7957">
        <v>181712</v>
      </c>
      <c r="D7957" t="s">
        <v>26327</v>
      </c>
      <c r="E7957">
        <v>4</v>
      </c>
      <c r="F7957" t="s">
        <v>26328</v>
      </c>
      <c r="G7957" t="s">
        <v>26310</v>
      </c>
      <c r="H7957">
        <v>181712</v>
      </c>
    </row>
    <row r="7958" spans="1:9">
      <c r="A7958" t="str">
        <f>"0020991 "</f>
        <v xml:space="preserve">0020991 </v>
      </c>
      <c r="B7958" t="s">
        <v>26310</v>
      </c>
      <c r="C7958">
        <v>201524</v>
      </c>
      <c r="D7958" t="s">
        <v>26329</v>
      </c>
      <c r="E7958">
        <v>4</v>
      </c>
      <c r="F7958" t="s">
        <v>26330</v>
      </c>
      <c r="G7958" t="s">
        <v>26310</v>
      </c>
      <c r="H7958">
        <v>201524</v>
      </c>
    </row>
    <row r="7959" spans="1:9">
      <c r="A7959" t="str">
        <f>"0020992 "</f>
        <v xml:space="preserve">0020992 </v>
      </c>
      <c r="B7959" t="s">
        <v>26310</v>
      </c>
      <c r="C7959">
        <v>201534</v>
      </c>
      <c r="D7959" t="s">
        <v>26331</v>
      </c>
      <c r="E7959">
        <v>3</v>
      </c>
      <c r="F7959" t="s">
        <v>26332</v>
      </c>
      <c r="G7959" t="s">
        <v>26310</v>
      </c>
      <c r="H7959">
        <v>201534</v>
      </c>
    </row>
    <row r="7960" spans="1:9">
      <c r="A7960" t="str">
        <f>"0156907 "</f>
        <v xml:space="preserve">0156907 </v>
      </c>
      <c r="B7960" t="s">
        <v>26310</v>
      </c>
      <c r="C7960">
        <v>201535</v>
      </c>
      <c r="D7960" t="s">
        <v>26333</v>
      </c>
      <c r="E7960">
        <v>3</v>
      </c>
      <c r="F7960" t="s">
        <v>2855</v>
      </c>
      <c r="G7960" t="s">
        <v>26310</v>
      </c>
      <c r="H7960">
        <v>201535</v>
      </c>
    </row>
    <row r="7961" spans="1:9">
      <c r="A7961" t="str">
        <f>"0156908 "</f>
        <v xml:space="preserve">0156908 </v>
      </c>
      <c r="B7961" t="s">
        <v>26310</v>
      </c>
      <c r="C7961">
        <v>201536</v>
      </c>
      <c r="D7961" t="s">
        <v>26334</v>
      </c>
      <c r="E7961">
        <v>3</v>
      </c>
      <c r="F7961" t="s">
        <v>26335</v>
      </c>
      <c r="G7961" t="s">
        <v>26310</v>
      </c>
      <c r="H7961">
        <v>201536</v>
      </c>
    </row>
    <row r="7962" spans="1:9">
      <c r="A7962" t="str">
        <f>"0159280 "</f>
        <v xml:space="preserve">0159280 </v>
      </c>
      <c r="B7962" t="s">
        <v>26310</v>
      </c>
      <c r="C7962">
        <v>201537</v>
      </c>
      <c r="D7962" t="s">
        <v>26336</v>
      </c>
      <c r="E7962" t="s">
        <v>16</v>
      </c>
      <c r="F7962" t="s">
        <v>26337</v>
      </c>
      <c r="G7962" t="s">
        <v>26310</v>
      </c>
      <c r="H7962">
        <v>201537</v>
      </c>
    </row>
    <row r="7963" spans="1:9">
      <c r="A7963" t="str">
        <f>"0068246 "</f>
        <v xml:space="preserve">0068246 </v>
      </c>
      <c r="B7963" t="s">
        <v>26338</v>
      </c>
      <c r="C7963" t="s">
        <v>26339</v>
      </c>
      <c r="D7963" t="s">
        <v>26340</v>
      </c>
      <c r="E7963">
        <v>2</v>
      </c>
      <c r="F7963" t="s">
        <v>26341</v>
      </c>
      <c r="G7963" t="s">
        <v>26338</v>
      </c>
      <c r="H7963" t="s">
        <v>26339</v>
      </c>
      <c r="I7963" t="s">
        <v>26342</v>
      </c>
    </row>
    <row r="7964" spans="1:9">
      <c r="A7964" t="str">
        <f>"0068308 "</f>
        <v xml:space="preserve">0068308 </v>
      </c>
      <c r="B7964" t="s">
        <v>26338</v>
      </c>
      <c r="C7964" t="s">
        <v>26343</v>
      </c>
      <c r="D7964" t="s">
        <v>26344</v>
      </c>
      <c r="E7964">
        <v>1</v>
      </c>
      <c r="F7964" t="s">
        <v>8789</v>
      </c>
      <c r="G7964" t="s">
        <v>26338</v>
      </c>
      <c r="H7964" t="s">
        <v>26343</v>
      </c>
      <c r="I7964" t="s">
        <v>26345</v>
      </c>
    </row>
    <row r="7965" spans="1:9">
      <c r="A7965" t="str">
        <f>"0068650 "</f>
        <v xml:space="preserve">0068650 </v>
      </c>
      <c r="B7965" t="s">
        <v>26338</v>
      </c>
      <c r="C7965" t="s">
        <v>26346</v>
      </c>
      <c r="D7965" t="s">
        <v>26347</v>
      </c>
      <c r="E7965">
        <v>1</v>
      </c>
      <c r="F7965" t="s">
        <v>26348</v>
      </c>
      <c r="G7965" t="s">
        <v>26338</v>
      </c>
      <c r="H7965" t="s">
        <v>26346</v>
      </c>
      <c r="I7965" t="s">
        <v>26349</v>
      </c>
    </row>
    <row r="7966" spans="1:9">
      <c r="A7966" t="str">
        <f>"0069342 "</f>
        <v xml:space="preserve">0069342 </v>
      </c>
      <c r="B7966" t="s">
        <v>26338</v>
      </c>
      <c r="C7966" t="s">
        <v>26350</v>
      </c>
      <c r="D7966" t="s">
        <v>26351</v>
      </c>
      <c r="E7966">
        <v>1</v>
      </c>
      <c r="F7966" t="s">
        <v>25142</v>
      </c>
      <c r="G7966" t="s">
        <v>26338</v>
      </c>
      <c r="H7966" t="s">
        <v>26350</v>
      </c>
      <c r="I7966" t="s">
        <v>26352</v>
      </c>
    </row>
    <row r="7967" spans="1:9">
      <c r="A7967" t="str">
        <f>"0069365 "</f>
        <v xml:space="preserve">0069365 </v>
      </c>
      <c r="B7967" t="s">
        <v>26338</v>
      </c>
      <c r="C7967" t="s">
        <v>26353</v>
      </c>
      <c r="D7967" t="s">
        <v>26354</v>
      </c>
      <c r="E7967">
        <v>1</v>
      </c>
      <c r="F7967" t="s">
        <v>26166</v>
      </c>
      <c r="G7967" t="s">
        <v>26338</v>
      </c>
      <c r="H7967" t="s">
        <v>26353</v>
      </c>
      <c r="I7967" t="s">
        <v>17412</v>
      </c>
    </row>
    <row r="7968" spans="1:9">
      <c r="A7968" t="str">
        <f>"0069522 "</f>
        <v xml:space="preserve">0069522 </v>
      </c>
      <c r="B7968" t="s">
        <v>26338</v>
      </c>
      <c r="C7968" t="s">
        <v>26355</v>
      </c>
      <c r="D7968" t="s">
        <v>26356</v>
      </c>
      <c r="E7968">
        <v>1</v>
      </c>
      <c r="F7968" t="s">
        <v>26357</v>
      </c>
      <c r="G7968" t="s">
        <v>26338</v>
      </c>
      <c r="H7968" t="s">
        <v>26355</v>
      </c>
      <c r="I7968" t="s">
        <v>26358</v>
      </c>
    </row>
    <row r="7969" spans="1:9">
      <c r="A7969" t="str">
        <f>"0069524 "</f>
        <v xml:space="preserve">0069524 </v>
      </c>
      <c r="B7969" t="s">
        <v>26338</v>
      </c>
      <c r="C7969" t="s">
        <v>26359</v>
      </c>
      <c r="D7969" t="s">
        <v>26360</v>
      </c>
      <c r="E7969">
        <v>2</v>
      </c>
      <c r="F7969" t="s">
        <v>26261</v>
      </c>
      <c r="G7969" t="s">
        <v>26338</v>
      </c>
      <c r="H7969" t="s">
        <v>26359</v>
      </c>
      <c r="I7969" t="s">
        <v>26361</v>
      </c>
    </row>
    <row r="7970" spans="1:9">
      <c r="A7970" t="str">
        <f>"0070126 "</f>
        <v xml:space="preserve">0070126 </v>
      </c>
      <c r="B7970" t="s">
        <v>26338</v>
      </c>
      <c r="C7970" t="s">
        <v>26362</v>
      </c>
      <c r="D7970" t="s">
        <v>26363</v>
      </c>
      <c r="E7970">
        <v>2</v>
      </c>
      <c r="F7970" t="s">
        <v>26364</v>
      </c>
      <c r="G7970" t="s">
        <v>26338</v>
      </c>
      <c r="H7970" t="s">
        <v>26362</v>
      </c>
      <c r="I7970" t="s">
        <v>26365</v>
      </c>
    </row>
    <row r="7971" spans="1:9">
      <c r="A7971" t="str">
        <f>"0070231 "</f>
        <v xml:space="preserve">0070231 </v>
      </c>
      <c r="B7971" t="s">
        <v>26338</v>
      </c>
      <c r="C7971" t="s">
        <v>26366</v>
      </c>
      <c r="D7971" t="s">
        <v>26367</v>
      </c>
      <c r="E7971">
        <v>2</v>
      </c>
      <c r="F7971" t="s">
        <v>10098</v>
      </c>
      <c r="G7971" t="s">
        <v>26338</v>
      </c>
      <c r="H7971" t="s">
        <v>26366</v>
      </c>
      <c r="I7971" t="s">
        <v>26368</v>
      </c>
    </row>
    <row r="7972" spans="1:9">
      <c r="A7972" t="str">
        <f>"0070279 "</f>
        <v xml:space="preserve">0070279 </v>
      </c>
      <c r="B7972" t="s">
        <v>26338</v>
      </c>
      <c r="C7972" t="s">
        <v>26369</v>
      </c>
      <c r="D7972" t="s">
        <v>26370</v>
      </c>
      <c r="E7972">
        <v>2</v>
      </c>
      <c r="F7972" t="s">
        <v>26371</v>
      </c>
      <c r="G7972" t="s">
        <v>26338</v>
      </c>
      <c r="H7972" t="s">
        <v>26369</v>
      </c>
      <c r="I7972" t="s">
        <v>23840</v>
      </c>
    </row>
    <row r="7973" spans="1:9">
      <c r="A7973" t="str">
        <f>"0070293 "</f>
        <v xml:space="preserve">0070293 </v>
      </c>
      <c r="B7973" t="s">
        <v>26338</v>
      </c>
      <c r="C7973" t="s">
        <v>26372</v>
      </c>
      <c r="D7973" t="s">
        <v>26373</v>
      </c>
      <c r="E7973">
        <v>2</v>
      </c>
      <c r="F7973" t="s">
        <v>26374</v>
      </c>
      <c r="G7973" t="s">
        <v>26338</v>
      </c>
      <c r="H7973" t="s">
        <v>26372</v>
      </c>
      <c r="I7973" t="s">
        <v>26375</v>
      </c>
    </row>
    <row r="7974" spans="1:9">
      <c r="A7974" t="str">
        <f>"0070414 "</f>
        <v xml:space="preserve">0070414 </v>
      </c>
      <c r="B7974" t="s">
        <v>26338</v>
      </c>
      <c r="C7974" t="s">
        <v>26376</v>
      </c>
      <c r="D7974" t="s">
        <v>26377</v>
      </c>
      <c r="E7974">
        <v>2</v>
      </c>
      <c r="F7974" t="s">
        <v>26378</v>
      </c>
      <c r="G7974" t="s">
        <v>26338</v>
      </c>
      <c r="H7974" t="s">
        <v>26376</v>
      </c>
      <c r="I7974" t="s">
        <v>26379</v>
      </c>
    </row>
    <row r="7975" spans="1:9">
      <c r="A7975" t="str">
        <f>"0070462 "</f>
        <v xml:space="preserve">0070462 </v>
      </c>
      <c r="B7975" t="s">
        <v>26338</v>
      </c>
      <c r="C7975" t="s">
        <v>26380</v>
      </c>
      <c r="D7975" t="s">
        <v>26381</v>
      </c>
      <c r="E7975">
        <v>2</v>
      </c>
      <c r="F7975" t="s">
        <v>26382</v>
      </c>
      <c r="G7975" t="s">
        <v>26338</v>
      </c>
      <c r="H7975" t="s">
        <v>26380</v>
      </c>
      <c r="I7975" t="s">
        <v>26383</v>
      </c>
    </row>
    <row r="7976" spans="1:9">
      <c r="A7976" t="str">
        <f>"0070508 "</f>
        <v xml:space="preserve">0070508 </v>
      </c>
      <c r="B7976" t="s">
        <v>26338</v>
      </c>
      <c r="C7976" t="s">
        <v>26384</v>
      </c>
      <c r="D7976" t="s">
        <v>26385</v>
      </c>
      <c r="E7976">
        <v>2</v>
      </c>
      <c r="F7976" t="s">
        <v>23603</v>
      </c>
      <c r="G7976" t="s">
        <v>26338</v>
      </c>
      <c r="H7976" t="s">
        <v>26384</v>
      </c>
      <c r="I7976" t="s">
        <v>26386</v>
      </c>
    </row>
    <row r="7977" spans="1:9">
      <c r="A7977" t="str">
        <f>"0070512 "</f>
        <v xml:space="preserve">0070512 </v>
      </c>
      <c r="B7977" t="s">
        <v>26338</v>
      </c>
      <c r="C7977" t="s">
        <v>26387</v>
      </c>
      <c r="D7977" t="s">
        <v>26388</v>
      </c>
      <c r="E7977">
        <v>2</v>
      </c>
      <c r="F7977" t="s">
        <v>26389</v>
      </c>
      <c r="G7977" t="s">
        <v>26338</v>
      </c>
      <c r="H7977" t="s">
        <v>26387</v>
      </c>
      <c r="I7977" t="s">
        <v>23793</v>
      </c>
    </row>
    <row r="7978" spans="1:9">
      <c r="A7978" t="str">
        <f>"0070513 "</f>
        <v xml:space="preserve">0070513 </v>
      </c>
      <c r="B7978" t="s">
        <v>26338</v>
      </c>
      <c r="C7978" t="s">
        <v>26390</v>
      </c>
      <c r="D7978" t="s">
        <v>26391</v>
      </c>
      <c r="E7978">
        <v>2</v>
      </c>
      <c r="F7978" t="s">
        <v>26392</v>
      </c>
      <c r="G7978" t="s">
        <v>26338</v>
      </c>
      <c r="H7978" t="s">
        <v>26390</v>
      </c>
      <c r="I7978" t="s">
        <v>26393</v>
      </c>
    </row>
    <row r="7979" spans="1:9">
      <c r="A7979" t="str">
        <f>"0070535 "</f>
        <v xml:space="preserve">0070535 </v>
      </c>
      <c r="B7979" t="s">
        <v>26338</v>
      </c>
      <c r="C7979" t="s">
        <v>26394</v>
      </c>
      <c r="D7979" t="s">
        <v>26395</v>
      </c>
      <c r="E7979">
        <v>2</v>
      </c>
      <c r="F7979" t="s">
        <v>21381</v>
      </c>
      <c r="G7979" t="s">
        <v>26338</v>
      </c>
      <c r="H7979" t="s">
        <v>26394</v>
      </c>
      <c r="I7979" t="s">
        <v>26396</v>
      </c>
    </row>
    <row r="7980" spans="1:9">
      <c r="A7980" t="str">
        <f>"0070543 "</f>
        <v xml:space="preserve">0070543 </v>
      </c>
      <c r="B7980" t="s">
        <v>26338</v>
      </c>
      <c r="C7980" t="s">
        <v>26397</v>
      </c>
      <c r="D7980" t="s">
        <v>26398</v>
      </c>
      <c r="E7980">
        <v>2</v>
      </c>
      <c r="F7980" t="s">
        <v>24596</v>
      </c>
      <c r="G7980" t="s">
        <v>26338</v>
      </c>
      <c r="H7980" t="s">
        <v>26397</v>
      </c>
      <c r="I7980" t="s">
        <v>23803</v>
      </c>
    </row>
    <row r="7981" spans="1:9">
      <c r="A7981" t="str">
        <f>"0070552 "</f>
        <v xml:space="preserve">0070552 </v>
      </c>
      <c r="B7981" t="s">
        <v>26338</v>
      </c>
      <c r="C7981" t="s">
        <v>26399</v>
      </c>
      <c r="D7981" t="s">
        <v>26400</v>
      </c>
      <c r="E7981">
        <v>2</v>
      </c>
      <c r="F7981" t="s">
        <v>26401</v>
      </c>
      <c r="G7981" t="s">
        <v>26338</v>
      </c>
      <c r="H7981" t="s">
        <v>26399</v>
      </c>
      <c r="I7981" t="s">
        <v>26402</v>
      </c>
    </row>
    <row r="7982" spans="1:9">
      <c r="A7982" t="str">
        <f>"0070585 "</f>
        <v xml:space="preserve">0070585 </v>
      </c>
      <c r="B7982" t="s">
        <v>26338</v>
      </c>
      <c r="C7982" t="s">
        <v>26403</v>
      </c>
      <c r="D7982" t="s">
        <v>26404</v>
      </c>
      <c r="E7982">
        <v>2</v>
      </c>
      <c r="F7982" t="s">
        <v>26405</v>
      </c>
      <c r="G7982" t="s">
        <v>26338</v>
      </c>
      <c r="H7982" t="s">
        <v>26403</v>
      </c>
      <c r="I7982" t="s">
        <v>26406</v>
      </c>
    </row>
    <row r="7983" spans="1:9">
      <c r="A7983" t="str">
        <f>"0070596 "</f>
        <v xml:space="preserve">0070596 </v>
      </c>
      <c r="B7983" t="s">
        <v>26338</v>
      </c>
      <c r="C7983" t="s">
        <v>26407</v>
      </c>
      <c r="D7983" t="s">
        <v>26408</v>
      </c>
      <c r="E7983">
        <v>2</v>
      </c>
      <c r="F7983" t="s">
        <v>26409</v>
      </c>
      <c r="G7983" t="s">
        <v>26338</v>
      </c>
      <c r="H7983" t="s">
        <v>26407</v>
      </c>
      <c r="I7983" t="s">
        <v>26410</v>
      </c>
    </row>
    <row r="7984" spans="1:9">
      <c r="A7984" t="str">
        <f>"0070611 "</f>
        <v xml:space="preserve">0070611 </v>
      </c>
      <c r="B7984" t="s">
        <v>26338</v>
      </c>
      <c r="C7984" t="s">
        <v>26411</v>
      </c>
      <c r="D7984" t="s">
        <v>26412</v>
      </c>
      <c r="E7984">
        <v>4</v>
      </c>
      <c r="F7984" t="s">
        <v>23549</v>
      </c>
      <c r="G7984" t="s">
        <v>26338</v>
      </c>
      <c r="H7984" t="s">
        <v>26411</v>
      </c>
      <c r="I7984" t="s">
        <v>23815</v>
      </c>
    </row>
    <row r="7985" spans="1:9">
      <c r="A7985" t="str">
        <f>"0070612 "</f>
        <v xml:space="preserve">0070612 </v>
      </c>
      <c r="B7985" t="s">
        <v>26338</v>
      </c>
      <c r="C7985" t="s">
        <v>26413</v>
      </c>
      <c r="D7985" t="s">
        <v>26414</v>
      </c>
      <c r="E7985">
        <v>2</v>
      </c>
      <c r="F7985" t="s">
        <v>9656</v>
      </c>
      <c r="G7985" t="s">
        <v>26338</v>
      </c>
      <c r="H7985" t="s">
        <v>26413</v>
      </c>
      <c r="I7985" t="s">
        <v>26415</v>
      </c>
    </row>
    <row r="7986" spans="1:9">
      <c r="A7986" t="str">
        <f>"0070613 "</f>
        <v xml:space="preserve">0070613 </v>
      </c>
      <c r="B7986" t="s">
        <v>26338</v>
      </c>
      <c r="C7986" t="s">
        <v>26416</v>
      </c>
      <c r="D7986" t="s">
        <v>26417</v>
      </c>
      <c r="E7986">
        <v>2</v>
      </c>
      <c r="F7986" t="s">
        <v>26418</v>
      </c>
      <c r="G7986" t="s">
        <v>26338</v>
      </c>
      <c r="H7986" t="s">
        <v>26416</v>
      </c>
      <c r="I7986" t="s">
        <v>26419</v>
      </c>
    </row>
    <row r="7987" spans="1:9">
      <c r="A7987" t="str">
        <f>"0070618 "</f>
        <v xml:space="preserve">0070618 </v>
      </c>
      <c r="B7987" t="s">
        <v>26338</v>
      </c>
      <c r="C7987" t="s">
        <v>26420</v>
      </c>
      <c r="D7987" t="s">
        <v>26421</v>
      </c>
      <c r="E7987">
        <v>2</v>
      </c>
      <c r="F7987" t="s">
        <v>26422</v>
      </c>
      <c r="G7987" t="s">
        <v>26338</v>
      </c>
      <c r="H7987" t="s">
        <v>26420</v>
      </c>
      <c r="I7987" t="s">
        <v>26423</v>
      </c>
    </row>
    <row r="7988" spans="1:9">
      <c r="A7988" t="str">
        <f>"0070677 "</f>
        <v xml:space="preserve">0070677 </v>
      </c>
      <c r="B7988" t="s">
        <v>26338</v>
      </c>
      <c r="C7988" t="s">
        <v>26424</v>
      </c>
      <c r="D7988" t="s">
        <v>26425</v>
      </c>
      <c r="E7988">
        <v>2</v>
      </c>
      <c r="F7988" t="s">
        <v>26426</v>
      </c>
      <c r="G7988" t="s">
        <v>26338</v>
      </c>
      <c r="H7988" t="s">
        <v>26424</v>
      </c>
      <c r="I7988" t="s">
        <v>26427</v>
      </c>
    </row>
    <row r="7989" spans="1:9">
      <c r="A7989" t="str">
        <f>"0070685 "</f>
        <v xml:space="preserve">0070685 </v>
      </c>
      <c r="B7989" t="s">
        <v>26338</v>
      </c>
      <c r="C7989" t="s">
        <v>26428</v>
      </c>
      <c r="D7989" t="s">
        <v>26429</v>
      </c>
      <c r="E7989">
        <v>2</v>
      </c>
      <c r="F7989" t="s">
        <v>26430</v>
      </c>
      <c r="G7989" t="s">
        <v>26338</v>
      </c>
      <c r="H7989" t="s">
        <v>26428</v>
      </c>
      <c r="I7989" t="s">
        <v>26431</v>
      </c>
    </row>
    <row r="7990" spans="1:9">
      <c r="A7990" t="str">
        <f>"0070715 "</f>
        <v xml:space="preserve">0070715 </v>
      </c>
      <c r="B7990" t="s">
        <v>26338</v>
      </c>
      <c r="C7990" t="s">
        <v>26432</v>
      </c>
      <c r="D7990" t="s">
        <v>26433</v>
      </c>
      <c r="E7990">
        <v>2</v>
      </c>
      <c r="F7990" t="s">
        <v>26434</v>
      </c>
      <c r="G7990" t="s">
        <v>26338</v>
      </c>
      <c r="H7990" t="s">
        <v>26432</v>
      </c>
      <c r="I7990" t="s">
        <v>26435</v>
      </c>
    </row>
    <row r="7991" spans="1:9">
      <c r="A7991" t="str">
        <f>"0070718 "</f>
        <v xml:space="preserve">0070718 </v>
      </c>
      <c r="B7991" t="s">
        <v>26338</v>
      </c>
      <c r="C7991" t="s">
        <v>26436</v>
      </c>
      <c r="D7991" t="s">
        <v>26437</v>
      </c>
      <c r="E7991">
        <v>2</v>
      </c>
      <c r="F7991" t="s">
        <v>26438</v>
      </c>
      <c r="G7991" t="s">
        <v>26338</v>
      </c>
      <c r="H7991" t="s">
        <v>26436</v>
      </c>
      <c r="I7991" t="s">
        <v>26439</v>
      </c>
    </row>
    <row r="7992" spans="1:9">
      <c r="A7992" t="str">
        <f>"0070748 "</f>
        <v xml:space="preserve">0070748 </v>
      </c>
      <c r="B7992" t="s">
        <v>26338</v>
      </c>
      <c r="C7992" t="s">
        <v>26440</v>
      </c>
      <c r="D7992" t="s">
        <v>26441</v>
      </c>
      <c r="E7992">
        <v>2</v>
      </c>
      <c r="F7992" t="s">
        <v>26442</v>
      </c>
      <c r="G7992" t="s">
        <v>26338</v>
      </c>
      <c r="H7992" t="s">
        <v>26440</v>
      </c>
      <c r="I7992" t="s">
        <v>26443</v>
      </c>
    </row>
    <row r="7993" spans="1:9">
      <c r="A7993" t="str">
        <f>"0070772 "</f>
        <v xml:space="preserve">0070772 </v>
      </c>
      <c r="B7993" t="s">
        <v>26338</v>
      </c>
      <c r="C7993" t="s">
        <v>26444</v>
      </c>
      <c r="D7993" t="s">
        <v>26445</v>
      </c>
      <c r="E7993">
        <v>2</v>
      </c>
      <c r="F7993" t="s">
        <v>26446</v>
      </c>
      <c r="G7993" t="s">
        <v>26338</v>
      </c>
      <c r="H7993" t="s">
        <v>26444</v>
      </c>
      <c r="I7993" t="s">
        <v>23819</v>
      </c>
    </row>
    <row r="7994" spans="1:9">
      <c r="A7994" t="str">
        <f>"0070790 "</f>
        <v xml:space="preserve">0070790 </v>
      </c>
      <c r="B7994" t="s">
        <v>26338</v>
      </c>
      <c r="C7994" t="s">
        <v>26447</v>
      </c>
      <c r="D7994" t="s">
        <v>26448</v>
      </c>
      <c r="E7994">
        <v>2</v>
      </c>
      <c r="F7994" t="s">
        <v>9455</v>
      </c>
      <c r="G7994" t="s">
        <v>26338</v>
      </c>
      <c r="H7994" t="s">
        <v>26447</v>
      </c>
      <c r="I7994" t="s">
        <v>26449</v>
      </c>
    </row>
    <row r="7995" spans="1:9">
      <c r="A7995" t="str">
        <f>"0070829 "</f>
        <v xml:space="preserve">0070829 </v>
      </c>
      <c r="B7995" t="s">
        <v>26338</v>
      </c>
      <c r="C7995" t="s">
        <v>26450</v>
      </c>
      <c r="D7995" t="s">
        <v>26451</v>
      </c>
      <c r="E7995">
        <v>2</v>
      </c>
      <c r="F7995" t="s">
        <v>26452</v>
      </c>
      <c r="G7995" t="s">
        <v>26338</v>
      </c>
      <c r="H7995" t="s">
        <v>26450</v>
      </c>
      <c r="I7995" t="s">
        <v>26453</v>
      </c>
    </row>
    <row r="7996" spans="1:9">
      <c r="A7996" t="str">
        <f>"0070833 "</f>
        <v xml:space="preserve">0070833 </v>
      </c>
      <c r="B7996" t="s">
        <v>26338</v>
      </c>
      <c r="C7996" t="s">
        <v>26454</v>
      </c>
      <c r="D7996" t="s">
        <v>26455</v>
      </c>
      <c r="E7996">
        <v>2</v>
      </c>
      <c r="F7996" t="s">
        <v>26456</v>
      </c>
      <c r="G7996" t="s">
        <v>26338</v>
      </c>
      <c r="H7996" t="s">
        <v>26454</v>
      </c>
      <c r="I7996" t="s">
        <v>23833</v>
      </c>
    </row>
    <row r="7997" spans="1:9">
      <c r="A7997" t="str">
        <f>"0070840 "</f>
        <v xml:space="preserve">0070840 </v>
      </c>
      <c r="B7997" t="s">
        <v>26338</v>
      </c>
      <c r="C7997" t="s">
        <v>26457</v>
      </c>
      <c r="D7997" t="s">
        <v>26458</v>
      </c>
      <c r="E7997">
        <v>2</v>
      </c>
      <c r="F7997" t="s">
        <v>26459</v>
      </c>
      <c r="G7997" t="s">
        <v>26338</v>
      </c>
      <c r="H7997" t="s">
        <v>26457</v>
      </c>
      <c r="I7997" t="s">
        <v>26460</v>
      </c>
    </row>
    <row r="7998" spans="1:9">
      <c r="A7998" t="str">
        <f>"0070849 "</f>
        <v xml:space="preserve">0070849 </v>
      </c>
      <c r="B7998" t="s">
        <v>26338</v>
      </c>
      <c r="C7998" t="s">
        <v>26461</v>
      </c>
      <c r="D7998" t="s">
        <v>26462</v>
      </c>
      <c r="E7998">
        <v>2</v>
      </c>
      <c r="F7998" t="s">
        <v>26463</v>
      </c>
      <c r="G7998" t="s">
        <v>26338</v>
      </c>
      <c r="H7998" t="s">
        <v>26461</v>
      </c>
      <c r="I7998" t="s">
        <v>26464</v>
      </c>
    </row>
    <row r="7999" spans="1:9">
      <c r="A7999" t="str">
        <f>"0070856 "</f>
        <v xml:space="preserve">0070856 </v>
      </c>
      <c r="B7999" t="s">
        <v>26338</v>
      </c>
      <c r="C7999" t="s">
        <v>26465</v>
      </c>
      <c r="D7999" t="s">
        <v>26466</v>
      </c>
      <c r="E7999">
        <v>2</v>
      </c>
      <c r="F7999" t="s">
        <v>26467</v>
      </c>
      <c r="G7999" t="s">
        <v>26338</v>
      </c>
      <c r="H7999" t="s">
        <v>26465</v>
      </c>
      <c r="I7999" t="s">
        <v>26468</v>
      </c>
    </row>
    <row r="8000" spans="1:9">
      <c r="A8000" t="str">
        <f>"0070863 "</f>
        <v xml:space="preserve">0070863 </v>
      </c>
      <c r="B8000" t="s">
        <v>26338</v>
      </c>
      <c r="C8000" t="s">
        <v>26469</v>
      </c>
      <c r="D8000" t="s">
        <v>26470</v>
      </c>
      <c r="E8000">
        <v>4</v>
      </c>
      <c r="F8000" t="s">
        <v>26471</v>
      </c>
      <c r="G8000" t="s">
        <v>26338</v>
      </c>
      <c r="H8000" t="s">
        <v>26469</v>
      </c>
      <c r="I8000" t="s">
        <v>26472</v>
      </c>
    </row>
    <row r="8001" spans="1:9">
      <c r="A8001" t="str">
        <f>"0070866 "</f>
        <v xml:space="preserve">0070866 </v>
      </c>
      <c r="B8001" t="s">
        <v>26338</v>
      </c>
      <c r="C8001" t="s">
        <v>26473</v>
      </c>
      <c r="D8001" t="s">
        <v>26474</v>
      </c>
      <c r="E8001">
        <v>2</v>
      </c>
      <c r="F8001" t="s">
        <v>26475</v>
      </c>
      <c r="G8001" t="s">
        <v>26338</v>
      </c>
      <c r="H8001" t="s">
        <v>26473</v>
      </c>
      <c r="I8001" t="s">
        <v>26476</v>
      </c>
    </row>
    <row r="8002" spans="1:9">
      <c r="A8002" t="str">
        <f>"0070870 "</f>
        <v xml:space="preserve">0070870 </v>
      </c>
      <c r="B8002" t="s">
        <v>26338</v>
      </c>
      <c r="C8002" t="s">
        <v>26477</v>
      </c>
      <c r="D8002" t="s">
        <v>26478</v>
      </c>
      <c r="E8002">
        <v>4</v>
      </c>
      <c r="F8002" t="s">
        <v>26479</v>
      </c>
      <c r="G8002" t="s">
        <v>26338</v>
      </c>
      <c r="H8002" t="s">
        <v>26477</v>
      </c>
      <c r="I8002" t="s">
        <v>23822</v>
      </c>
    </row>
    <row r="8003" spans="1:9">
      <c r="A8003" t="str">
        <f>"0070878 "</f>
        <v xml:space="preserve">0070878 </v>
      </c>
      <c r="B8003" t="s">
        <v>26338</v>
      </c>
      <c r="C8003" t="s">
        <v>26480</v>
      </c>
      <c r="D8003" t="s">
        <v>26481</v>
      </c>
      <c r="E8003">
        <v>4</v>
      </c>
      <c r="F8003" t="s">
        <v>26482</v>
      </c>
      <c r="G8003" t="s">
        <v>26338</v>
      </c>
      <c r="H8003" t="s">
        <v>26480</v>
      </c>
      <c r="I8003" t="s">
        <v>26483</v>
      </c>
    </row>
    <row r="8004" spans="1:9">
      <c r="A8004" t="str">
        <f>"0070884 "</f>
        <v xml:space="preserve">0070884 </v>
      </c>
      <c r="B8004" t="s">
        <v>26338</v>
      </c>
      <c r="C8004" t="s">
        <v>26484</v>
      </c>
      <c r="D8004" t="s">
        <v>26485</v>
      </c>
      <c r="E8004">
        <v>2</v>
      </c>
      <c r="F8004" t="s">
        <v>26486</v>
      </c>
      <c r="G8004" t="s">
        <v>26338</v>
      </c>
      <c r="H8004" t="s">
        <v>26484</v>
      </c>
      <c r="I8004" t="s">
        <v>26487</v>
      </c>
    </row>
    <row r="8005" spans="1:9">
      <c r="A8005" t="str">
        <f>"0070908 "</f>
        <v xml:space="preserve">0070908 </v>
      </c>
      <c r="B8005" t="s">
        <v>26338</v>
      </c>
      <c r="C8005" t="s">
        <v>26488</v>
      </c>
      <c r="D8005" t="s">
        <v>26489</v>
      </c>
      <c r="E8005">
        <v>4</v>
      </c>
      <c r="F8005" t="s">
        <v>26490</v>
      </c>
      <c r="G8005" t="s">
        <v>26338</v>
      </c>
      <c r="H8005" t="s">
        <v>26488</v>
      </c>
      <c r="I8005" t="s">
        <v>26491</v>
      </c>
    </row>
    <row r="8006" spans="1:9">
      <c r="A8006" t="str">
        <f>"0070914 "</f>
        <v xml:space="preserve">0070914 </v>
      </c>
      <c r="B8006" t="s">
        <v>26338</v>
      </c>
      <c r="C8006" t="s">
        <v>26492</v>
      </c>
      <c r="D8006" t="s">
        <v>26493</v>
      </c>
      <c r="E8006">
        <v>2</v>
      </c>
      <c r="F8006" t="s">
        <v>26494</v>
      </c>
      <c r="G8006" t="s">
        <v>26338</v>
      </c>
      <c r="H8006" t="s">
        <v>26492</v>
      </c>
      <c r="I8006" t="s">
        <v>26495</v>
      </c>
    </row>
    <row r="8007" spans="1:9">
      <c r="A8007" t="str">
        <f>"0070915 "</f>
        <v xml:space="preserve">0070915 </v>
      </c>
      <c r="B8007" t="s">
        <v>26338</v>
      </c>
      <c r="C8007" t="s">
        <v>26496</v>
      </c>
      <c r="D8007" t="s">
        <v>26497</v>
      </c>
      <c r="E8007">
        <v>2</v>
      </c>
      <c r="F8007" t="s">
        <v>26498</v>
      </c>
      <c r="G8007" t="s">
        <v>26338</v>
      </c>
      <c r="H8007" t="s">
        <v>26496</v>
      </c>
      <c r="I8007" t="s">
        <v>26499</v>
      </c>
    </row>
    <row r="8008" spans="1:9">
      <c r="A8008" t="str">
        <f>"0070917 "</f>
        <v xml:space="preserve">0070917 </v>
      </c>
      <c r="B8008" t="s">
        <v>26338</v>
      </c>
      <c r="C8008" t="s">
        <v>26500</v>
      </c>
      <c r="D8008" t="s">
        <v>26501</v>
      </c>
      <c r="E8008">
        <v>2</v>
      </c>
      <c r="F8008" t="s">
        <v>26502</v>
      </c>
      <c r="G8008" t="s">
        <v>26338</v>
      </c>
      <c r="H8008" t="s">
        <v>26500</v>
      </c>
      <c r="I8008" t="s">
        <v>26503</v>
      </c>
    </row>
    <row r="8009" spans="1:9">
      <c r="A8009" t="str">
        <f>"0070918 "</f>
        <v xml:space="preserve">0070918 </v>
      </c>
      <c r="B8009" t="s">
        <v>26338</v>
      </c>
      <c r="C8009" t="s">
        <v>26504</v>
      </c>
      <c r="D8009" t="s">
        <v>26505</v>
      </c>
      <c r="E8009">
        <v>2</v>
      </c>
      <c r="F8009" t="s">
        <v>26506</v>
      </c>
      <c r="G8009" t="s">
        <v>26338</v>
      </c>
      <c r="H8009" t="s">
        <v>26504</v>
      </c>
      <c r="I8009" t="s">
        <v>26507</v>
      </c>
    </row>
    <row r="8010" spans="1:9">
      <c r="A8010" t="str">
        <f>"0070919 "</f>
        <v xml:space="preserve">0070919 </v>
      </c>
      <c r="B8010" t="s">
        <v>26338</v>
      </c>
      <c r="C8010" t="s">
        <v>26508</v>
      </c>
      <c r="D8010" t="s">
        <v>26509</v>
      </c>
      <c r="E8010">
        <v>2</v>
      </c>
      <c r="F8010" t="s">
        <v>26510</v>
      </c>
      <c r="G8010" t="s">
        <v>26338</v>
      </c>
      <c r="H8010" t="s">
        <v>26508</v>
      </c>
      <c r="I8010" t="s">
        <v>26511</v>
      </c>
    </row>
    <row r="8011" spans="1:9">
      <c r="A8011" t="str">
        <f>"0070922 "</f>
        <v xml:space="preserve">0070922 </v>
      </c>
      <c r="B8011" t="s">
        <v>26338</v>
      </c>
      <c r="C8011" t="s">
        <v>26512</v>
      </c>
      <c r="D8011" t="s">
        <v>26513</v>
      </c>
      <c r="E8011">
        <v>2</v>
      </c>
      <c r="F8011" t="s">
        <v>26514</v>
      </c>
      <c r="G8011" t="s">
        <v>26338</v>
      </c>
      <c r="H8011" t="s">
        <v>26512</v>
      </c>
      <c r="I8011" t="s">
        <v>26515</v>
      </c>
    </row>
    <row r="8012" spans="1:9">
      <c r="A8012" t="str">
        <f>"0070927 "</f>
        <v xml:space="preserve">0070927 </v>
      </c>
      <c r="B8012" t="s">
        <v>26338</v>
      </c>
      <c r="C8012" t="s">
        <v>26516</v>
      </c>
      <c r="D8012" t="s">
        <v>26517</v>
      </c>
      <c r="E8012">
        <v>2</v>
      </c>
      <c r="F8012" t="s">
        <v>26518</v>
      </c>
      <c r="G8012" t="s">
        <v>26338</v>
      </c>
      <c r="H8012" t="s">
        <v>26516</v>
      </c>
      <c r="I8012" t="s">
        <v>26519</v>
      </c>
    </row>
    <row r="8013" spans="1:9">
      <c r="A8013" t="str">
        <f>"0070928 "</f>
        <v xml:space="preserve">0070928 </v>
      </c>
      <c r="B8013" t="s">
        <v>26338</v>
      </c>
      <c r="C8013" t="s">
        <v>26520</v>
      </c>
      <c r="D8013" t="s">
        <v>26521</v>
      </c>
      <c r="E8013">
        <v>2</v>
      </c>
      <c r="F8013" t="s">
        <v>26522</v>
      </c>
      <c r="G8013" t="s">
        <v>26338</v>
      </c>
      <c r="H8013" t="s">
        <v>26520</v>
      </c>
      <c r="I8013" t="s">
        <v>26523</v>
      </c>
    </row>
    <row r="8014" spans="1:9">
      <c r="A8014" t="str">
        <f>"0070932 "</f>
        <v xml:space="preserve">0070932 </v>
      </c>
      <c r="B8014" t="s">
        <v>26338</v>
      </c>
      <c r="C8014" t="s">
        <v>26524</v>
      </c>
      <c r="D8014" t="s">
        <v>26525</v>
      </c>
      <c r="E8014">
        <v>2</v>
      </c>
      <c r="F8014" t="s">
        <v>26526</v>
      </c>
      <c r="G8014" t="s">
        <v>26338</v>
      </c>
      <c r="H8014" t="s">
        <v>26524</v>
      </c>
      <c r="I8014" t="s">
        <v>26527</v>
      </c>
    </row>
    <row r="8015" spans="1:9">
      <c r="A8015" t="str">
        <f>"0070937 "</f>
        <v xml:space="preserve">0070937 </v>
      </c>
      <c r="B8015" t="s">
        <v>26338</v>
      </c>
      <c r="C8015" t="s">
        <v>26528</v>
      </c>
      <c r="D8015" t="s">
        <v>26529</v>
      </c>
      <c r="E8015">
        <v>2</v>
      </c>
      <c r="F8015" t="s">
        <v>26530</v>
      </c>
      <c r="G8015" t="s">
        <v>26338</v>
      </c>
      <c r="H8015" t="s">
        <v>26528</v>
      </c>
      <c r="I8015" t="s">
        <v>26531</v>
      </c>
    </row>
    <row r="8016" spans="1:9">
      <c r="A8016" t="str">
        <f>"0070938 "</f>
        <v xml:space="preserve">0070938 </v>
      </c>
      <c r="B8016" t="s">
        <v>26338</v>
      </c>
      <c r="C8016" t="s">
        <v>26532</v>
      </c>
      <c r="D8016" t="s">
        <v>26533</v>
      </c>
      <c r="E8016">
        <v>2</v>
      </c>
      <c r="F8016" t="s">
        <v>26534</v>
      </c>
      <c r="G8016" t="s">
        <v>26338</v>
      </c>
      <c r="H8016" t="s">
        <v>26532</v>
      </c>
      <c r="I8016" t="s">
        <v>26535</v>
      </c>
    </row>
    <row r="8017" spans="1:9">
      <c r="A8017" t="str">
        <f>"0070939 "</f>
        <v xml:space="preserve">0070939 </v>
      </c>
      <c r="B8017" t="s">
        <v>26338</v>
      </c>
      <c r="C8017" t="s">
        <v>26536</v>
      </c>
      <c r="D8017" t="s">
        <v>26537</v>
      </c>
      <c r="E8017">
        <v>2</v>
      </c>
      <c r="F8017" t="s">
        <v>26538</v>
      </c>
      <c r="G8017" t="s">
        <v>26338</v>
      </c>
      <c r="H8017" t="s">
        <v>26536</v>
      </c>
      <c r="I8017" t="s">
        <v>26539</v>
      </c>
    </row>
    <row r="8018" spans="1:9">
      <c r="A8018" t="str">
        <f>"0070962 "</f>
        <v xml:space="preserve">0070962 </v>
      </c>
      <c r="B8018" t="s">
        <v>26338</v>
      </c>
      <c r="C8018" t="s">
        <v>26540</v>
      </c>
      <c r="D8018" t="s">
        <v>26541</v>
      </c>
      <c r="E8018">
        <v>2</v>
      </c>
      <c r="F8018" t="s">
        <v>26542</v>
      </c>
      <c r="G8018" t="s">
        <v>26338</v>
      </c>
      <c r="H8018" t="s">
        <v>26540</v>
      </c>
      <c r="I8018" t="s">
        <v>26543</v>
      </c>
    </row>
    <row r="8019" spans="1:9">
      <c r="A8019" t="str">
        <f>"0070967 "</f>
        <v xml:space="preserve">0070967 </v>
      </c>
      <c r="B8019" t="s">
        <v>26338</v>
      </c>
      <c r="C8019" t="s">
        <v>26544</v>
      </c>
      <c r="D8019" t="s">
        <v>26545</v>
      </c>
      <c r="E8019">
        <v>2</v>
      </c>
      <c r="F8019" t="s">
        <v>26546</v>
      </c>
      <c r="G8019" t="s">
        <v>26338</v>
      </c>
      <c r="H8019" t="s">
        <v>26544</v>
      </c>
      <c r="I8019" t="s">
        <v>26547</v>
      </c>
    </row>
    <row r="8020" spans="1:9">
      <c r="A8020" t="str">
        <f>"0070970 "</f>
        <v xml:space="preserve">0070970 </v>
      </c>
      <c r="B8020" t="s">
        <v>26338</v>
      </c>
      <c r="C8020" t="s">
        <v>26548</v>
      </c>
      <c r="D8020" t="s">
        <v>26549</v>
      </c>
      <c r="E8020">
        <v>2</v>
      </c>
      <c r="F8020" t="s">
        <v>26550</v>
      </c>
      <c r="G8020" t="s">
        <v>26338</v>
      </c>
      <c r="H8020" t="s">
        <v>26548</v>
      </c>
      <c r="I8020" t="s">
        <v>26551</v>
      </c>
    </row>
    <row r="8021" spans="1:9">
      <c r="A8021" t="str">
        <f>"0070971 "</f>
        <v xml:space="preserve">0070971 </v>
      </c>
      <c r="B8021" t="s">
        <v>26338</v>
      </c>
      <c r="C8021" t="s">
        <v>26552</v>
      </c>
      <c r="D8021" t="s">
        <v>26553</v>
      </c>
      <c r="E8021">
        <v>2</v>
      </c>
      <c r="F8021" t="s">
        <v>26554</v>
      </c>
      <c r="G8021" t="s">
        <v>26338</v>
      </c>
      <c r="H8021" t="s">
        <v>26552</v>
      </c>
      <c r="I8021" t="s">
        <v>26555</v>
      </c>
    </row>
    <row r="8022" spans="1:9">
      <c r="A8022" t="str">
        <f>"0070998 "</f>
        <v xml:space="preserve">0070998 </v>
      </c>
      <c r="B8022" t="s">
        <v>26338</v>
      </c>
      <c r="C8022" t="s">
        <v>26556</v>
      </c>
      <c r="D8022" t="s">
        <v>26557</v>
      </c>
      <c r="E8022">
        <v>2</v>
      </c>
      <c r="F8022" t="s">
        <v>26558</v>
      </c>
      <c r="G8022" t="s">
        <v>26338</v>
      </c>
      <c r="H8022" t="s">
        <v>26556</v>
      </c>
      <c r="I8022" t="s">
        <v>26559</v>
      </c>
    </row>
    <row r="8023" spans="1:9">
      <c r="A8023" t="str">
        <f>"0071003 "</f>
        <v xml:space="preserve">0071003 </v>
      </c>
      <c r="B8023" t="s">
        <v>26338</v>
      </c>
      <c r="C8023" t="s">
        <v>26560</v>
      </c>
      <c r="D8023" t="s">
        <v>26561</v>
      </c>
      <c r="E8023">
        <v>2</v>
      </c>
      <c r="F8023" t="s">
        <v>26562</v>
      </c>
      <c r="G8023" t="s">
        <v>26338</v>
      </c>
      <c r="H8023" t="s">
        <v>26560</v>
      </c>
      <c r="I8023" t="s">
        <v>26563</v>
      </c>
    </row>
    <row r="8024" spans="1:9">
      <c r="A8024" t="str">
        <f>"0071004 "</f>
        <v xml:space="preserve">0071004 </v>
      </c>
      <c r="B8024" t="s">
        <v>26338</v>
      </c>
      <c r="C8024" t="s">
        <v>26564</v>
      </c>
      <c r="D8024" t="s">
        <v>26565</v>
      </c>
      <c r="E8024">
        <v>2</v>
      </c>
      <c r="F8024" t="s">
        <v>26566</v>
      </c>
      <c r="G8024" t="s">
        <v>26338</v>
      </c>
      <c r="H8024" t="s">
        <v>26564</v>
      </c>
      <c r="I8024" t="s">
        <v>26567</v>
      </c>
    </row>
    <row r="8025" spans="1:9">
      <c r="A8025" t="str">
        <f>"0071014 "</f>
        <v xml:space="preserve">0071014 </v>
      </c>
      <c r="B8025" t="s">
        <v>26338</v>
      </c>
      <c r="C8025" t="s">
        <v>26568</v>
      </c>
      <c r="D8025" t="s">
        <v>26569</v>
      </c>
      <c r="E8025">
        <v>4</v>
      </c>
      <c r="F8025" t="s">
        <v>26570</v>
      </c>
      <c r="G8025" t="s">
        <v>26338</v>
      </c>
      <c r="H8025" t="s">
        <v>26568</v>
      </c>
      <c r="I8025" t="s">
        <v>26571</v>
      </c>
    </row>
    <row r="8026" spans="1:9">
      <c r="A8026" t="str">
        <f>"0071015 "</f>
        <v xml:space="preserve">0071015 </v>
      </c>
      <c r="B8026" t="s">
        <v>26338</v>
      </c>
      <c r="C8026" t="s">
        <v>26572</v>
      </c>
      <c r="D8026" t="s">
        <v>26573</v>
      </c>
      <c r="E8026">
        <v>2</v>
      </c>
      <c r="F8026" t="s">
        <v>26574</v>
      </c>
      <c r="G8026" t="s">
        <v>26338</v>
      </c>
      <c r="H8026" t="s">
        <v>26572</v>
      </c>
      <c r="I8026" t="s">
        <v>26575</v>
      </c>
    </row>
    <row r="8027" spans="1:9">
      <c r="A8027" t="str">
        <f>"0071056 "</f>
        <v xml:space="preserve">0071056 </v>
      </c>
      <c r="B8027" t="s">
        <v>26338</v>
      </c>
      <c r="C8027" t="s">
        <v>26576</v>
      </c>
      <c r="D8027" t="s">
        <v>26577</v>
      </c>
      <c r="E8027">
        <v>2</v>
      </c>
      <c r="F8027" t="s">
        <v>26578</v>
      </c>
      <c r="G8027" t="s">
        <v>26338</v>
      </c>
      <c r="H8027" t="s">
        <v>26576</v>
      </c>
      <c r="I8027" t="s">
        <v>26579</v>
      </c>
    </row>
    <row r="8028" spans="1:9">
      <c r="A8028" t="str">
        <f>"0071080 "</f>
        <v xml:space="preserve">0071080 </v>
      </c>
      <c r="B8028" t="s">
        <v>26338</v>
      </c>
      <c r="C8028" t="s">
        <v>26580</v>
      </c>
      <c r="D8028" t="s">
        <v>26581</v>
      </c>
      <c r="E8028">
        <v>1</v>
      </c>
      <c r="F8028" t="s">
        <v>26582</v>
      </c>
      <c r="G8028" t="s">
        <v>26338</v>
      </c>
      <c r="H8028" t="s">
        <v>26580</v>
      </c>
      <c r="I8028" t="s">
        <v>26583</v>
      </c>
    </row>
    <row r="8029" spans="1:9">
      <c r="A8029" t="str">
        <f>"0071081 "</f>
        <v xml:space="preserve">0071081 </v>
      </c>
      <c r="B8029" t="s">
        <v>26338</v>
      </c>
      <c r="C8029" t="s">
        <v>26584</v>
      </c>
      <c r="D8029" t="s">
        <v>26585</v>
      </c>
      <c r="E8029">
        <v>2</v>
      </c>
      <c r="F8029" t="s">
        <v>26586</v>
      </c>
      <c r="G8029" t="s">
        <v>26338</v>
      </c>
      <c r="H8029" t="s">
        <v>26584</v>
      </c>
      <c r="I8029" t="s">
        <v>26587</v>
      </c>
    </row>
    <row r="8030" spans="1:9">
      <c r="A8030" t="str">
        <f>"0071082 "</f>
        <v xml:space="preserve">0071082 </v>
      </c>
      <c r="B8030" t="s">
        <v>26338</v>
      </c>
      <c r="C8030" t="s">
        <v>26588</v>
      </c>
      <c r="D8030" t="s">
        <v>26589</v>
      </c>
      <c r="E8030">
        <v>2</v>
      </c>
      <c r="F8030" t="s">
        <v>26586</v>
      </c>
      <c r="G8030" t="s">
        <v>26338</v>
      </c>
      <c r="H8030" t="s">
        <v>26588</v>
      </c>
      <c r="I8030" t="s">
        <v>26590</v>
      </c>
    </row>
    <row r="8031" spans="1:9">
      <c r="A8031" t="str">
        <f>"0071104 "</f>
        <v xml:space="preserve">0071104 </v>
      </c>
      <c r="B8031" t="s">
        <v>26338</v>
      </c>
      <c r="C8031" t="s">
        <v>26591</v>
      </c>
      <c r="D8031" t="s">
        <v>26592</v>
      </c>
      <c r="E8031">
        <v>2</v>
      </c>
      <c r="F8031" t="s">
        <v>26593</v>
      </c>
      <c r="G8031" t="s">
        <v>26338</v>
      </c>
      <c r="H8031" t="s">
        <v>26591</v>
      </c>
      <c r="I8031" t="s">
        <v>26594</v>
      </c>
    </row>
    <row r="8032" spans="1:9">
      <c r="A8032" t="str">
        <f>"0071114 "</f>
        <v xml:space="preserve">0071114 </v>
      </c>
      <c r="B8032" t="s">
        <v>26338</v>
      </c>
      <c r="C8032" t="s">
        <v>26595</v>
      </c>
      <c r="D8032" t="s">
        <v>26596</v>
      </c>
      <c r="E8032">
        <v>2</v>
      </c>
      <c r="F8032" t="s">
        <v>26597</v>
      </c>
      <c r="G8032" t="s">
        <v>26338</v>
      </c>
      <c r="H8032" t="s">
        <v>26595</v>
      </c>
      <c r="I8032" t="s">
        <v>26598</v>
      </c>
    </row>
    <row r="8033" spans="1:9">
      <c r="A8033" t="str">
        <f>"0071124 "</f>
        <v xml:space="preserve">0071124 </v>
      </c>
      <c r="B8033" t="s">
        <v>26338</v>
      </c>
      <c r="C8033" t="s">
        <v>26599</v>
      </c>
      <c r="D8033" t="s">
        <v>26600</v>
      </c>
      <c r="E8033">
        <v>2</v>
      </c>
      <c r="F8033" t="s">
        <v>26601</v>
      </c>
      <c r="G8033" t="s">
        <v>26338</v>
      </c>
      <c r="H8033" t="s">
        <v>26599</v>
      </c>
      <c r="I8033" t="s">
        <v>26602</v>
      </c>
    </row>
    <row r="8034" spans="1:9">
      <c r="A8034" t="str">
        <f>"0071125 "</f>
        <v xml:space="preserve">0071125 </v>
      </c>
      <c r="B8034" t="s">
        <v>26338</v>
      </c>
      <c r="C8034" t="s">
        <v>26603</v>
      </c>
      <c r="D8034" t="s">
        <v>26604</v>
      </c>
      <c r="E8034">
        <v>2</v>
      </c>
      <c r="F8034" t="s">
        <v>26605</v>
      </c>
      <c r="G8034" t="s">
        <v>26338</v>
      </c>
      <c r="H8034" t="s">
        <v>26603</v>
      </c>
      <c r="I8034" t="s">
        <v>26606</v>
      </c>
    </row>
    <row r="8035" spans="1:9">
      <c r="A8035" t="str">
        <f>"0071134 "</f>
        <v xml:space="preserve">0071134 </v>
      </c>
      <c r="B8035" t="s">
        <v>26338</v>
      </c>
      <c r="C8035" t="s">
        <v>26607</v>
      </c>
      <c r="D8035" t="s">
        <v>26608</v>
      </c>
      <c r="E8035">
        <v>2</v>
      </c>
      <c r="F8035" t="s">
        <v>26609</v>
      </c>
      <c r="G8035" t="s">
        <v>26338</v>
      </c>
      <c r="H8035" t="s">
        <v>26607</v>
      </c>
      <c r="I8035" t="s">
        <v>26610</v>
      </c>
    </row>
    <row r="8036" spans="1:9">
      <c r="A8036" t="str">
        <f>"0071147 "</f>
        <v xml:space="preserve">0071147 </v>
      </c>
      <c r="B8036" t="s">
        <v>26338</v>
      </c>
      <c r="C8036" t="s">
        <v>26611</v>
      </c>
      <c r="D8036" t="s">
        <v>26612</v>
      </c>
      <c r="E8036">
        <v>2</v>
      </c>
      <c r="F8036" t="s">
        <v>26613</v>
      </c>
      <c r="G8036" t="s">
        <v>26338</v>
      </c>
      <c r="H8036" t="s">
        <v>26611</v>
      </c>
      <c r="I8036" t="s">
        <v>26614</v>
      </c>
    </row>
    <row r="8037" spans="1:9">
      <c r="A8037" t="str">
        <f>"0071205 "</f>
        <v xml:space="preserve">0071205 </v>
      </c>
      <c r="B8037" t="s">
        <v>26338</v>
      </c>
      <c r="C8037" t="s">
        <v>26615</v>
      </c>
      <c r="D8037" t="s">
        <v>26616</v>
      </c>
      <c r="E8037">
        <v>4</v>
      </c>
      <c r="F8037" t="s">
        <v>26617</v>
      </c>
      <c r="G8037" t="s">
        <v>26338</v>
      </c>
      <c r="H8037" t="s">
        <v>26615</v>
      </c>
      <c r="I8037" t="s">
        <v>26618</v>
      </c>
    </row>
    <row r="8038" spans="1:9">
      <c r="A8038" t="str">
        <f>"0071209 "</f>
        <v xml:space="preserve">0071209 </v>
      </c>
      <c r="B8038" t="s">
        <v>26338</v>
      </c>
      <c r="C8038" t="s">
        <v>26619</v>
      </c>
      <c r="D8038" t="s">
        <v>26620</v>
      </c>
      <c r="E8038">
        <v>4</v>
      </c>
      <c r="F8038" t="s">
        <v>9776</v>
      </c>
      <c r="G8038" t="s">
        <v>26338</v>
      </c>
      <c r="H8038" t="s">
        <v>26619</v>
      </c>
      <c r="I8038" t="s">
        <v>26621</v>
      </c>
    </row>
    <row r="8039" spans="1:9">
      <c r="A8039" t="str">
        <f>"0071211 "</f>
        <v xml:space="preserve">0071211 </v>
      </c>
      <c r="B8039" t="s">
        <v>26338</v>
      </c>
      <c r="C8039" t="s">
        <v>26622</v>
      </c>
      <c r="D8039" t="s">
        <v>26623</v>
      </c>
      <c r="E8039">
        <v>4</v>
      </c>
      <c r="F8039" t="s">
        <v>26624</v>
      </c>
      <c r="G8039" t="s">
        <v>26338</v>
      </c>
      <c r="H8039" t="s">
        <v>26622</v>
      </c>
      <c r="I8039" t="s">
        <v>26625</v>
      </c>
    </row>
    <row r="8040" spans="1:9">
      <c r="A8040" t="str">
        <f>"0071223 "</f>
        <v xml:space="preserve">0071223 </v>
      </c>
      <c r="B8040" t="s">
        <v>26338</v>
      </c>
      <c r="C8040" t="s">
        <v>26626</v>
      </c>
      <c r="D8040" t="s">
        <v>26627</v>
      </c>
      <c r="E8040">
        <v>2</v>
      </c>
      <c r="F8040" t="s">
        <v>26628</v>
      </c>
      <c r="G8040" t="s">
        <v>26338</v>
      </c>
      <c r="H8040" t="s">
        <v>26626</v>
      </c>
      <c r="I8040" t="s">
        <v>26629</v>
      </c>
    </row>
    <row r="8041" spans="1:9">
      <c r="A8041" t="str">
        <f>"0071288 "</f>
        <v xml:space="preserve">0071288 </v>
      </c>
      <c r="B8041" t="s">
        <v>26338</v>
      </c>
      <c r="C8041" t="s">
        <v>26630</v>
      </c>
      <c r="D8041" t="s">
        <v>26631</v>
      </c>
      <c r="E8041">
        <v>4</v>
      </c>
      <c r="F8041" t="s">
        <v>26632</v>
      </c>
      <c r="G8041" t="s">
        <v>26338</v>
      </c>
      <c r="H8041" t="s">
        <v>26630</v>
      </c>
      <c r="I8041" t="s">
        <v>26633</v>
      </c>
    </row>
    <row r="8042" spans="1:9">
      <c r="A8042" t="str">
        <f>"0071296 "</f>
        <v xml:space="preserve">0071296 </v>
      </c>
      <c r="B8042" t="s">
        <v>26338</v>
      </c>
      <c r="C8042" t="s">
        <v>26634</v>
      </c>
      <c r="D8042" t="s">
        <v>26635</v>
      </c>
      <c r="E8042">
        <v>4</v>
      </c>
      <c r="F8042" t="s">
        <v>26636</v>
      </c>
      <c r="G8042" t="s">
        <v>26338</v>
      </c>
      <c r="H8042" t="s">
        <v>26634</v>
      </c>
      <c r="I8042" t="s">
        <v>26637</v>
      </c>
    </row>
    <row r="8043" spans="1:9">
      <c r="A8043" t="str">
        <f>"0071298 "</f>
        <v xml:space="preserve">0071298 </v>
      </c>
      <c r="B8043" t="s">
        <v>26338</v>
      </c>
      <c r="C8043" t="s">
        <v>26638</v>
      </c>
      <c r="D8043" t="s">
        <v>26639</v>
      </c>
      <c r="E8043">
        <v>2</v>
      </c>
      <c r="F8043" t="s">
        <v>26640</v>
      </c>
      <c r="G8043" t="s">
        <v>26338</v>
      </c>
      <c r="H8043" t="s">
        <v>26638</v>
      </c>
      <c r="I8043" t="s">
        <v>26641</v>
      </c>
    </row>
    <row r="8044" spans="1:9">
      <c r="A8044" t="str">
        <f>"0157633 "</f>
        <v xml:space="preserve">0157633 </v>
      </c>
      <c r="B8044" t="s">
        <v>26338</v>
      </c>
      <c r="C8044" t="s">
        <v>26642</v>
      </c>
      <c r="D8044" t="s">
        <v>26643</v>
      </c>
      <c r="E8044">
        <v>2</v>
      </c>
      <c r="F8044" t="s">
        <v>26644</v>
      </c>
      <c r="G8044" t="s">
        <v>26338</v>
      </c>
      <c r="H8044" t="s">
        <v>26642</v>
      </c>
      <c r="I8044" t="s">
        <v>26645</v>
      </c>
    </row>
    <row r="8045" spans="1:9">
      <c r="A8045" t="str">
        <f>"0157640 "</f>
        <v xml:space="preserve">0157640 </v>
      </c>
      <c r="B8045" t="s">
        <v>26338</v>
      </c>
      <c r="C8045" t="s">
        <v>26646</v>
      </c>
      <c r="D8045" t="s">
        <v>26647</v>
      </c>
      <c r="E8045">
        <v>4</v>
      </c>
      <c r="F8045" t="s">
        <v>26648</v>
      </c>
      <c r="G8045" t="s">
        <v>26338</v>
      </c>
      <c r="H8045" t="s">
        <v>26646</v>
      </c>
      <c r="I8045" t="s">
        <v>26649</v>
      </c>
    </row>
    <row r="8046" spans="1:9">
      <c r="A8046" t="str">
        <f>"0158821 "</f>
        <v xml:space="preserve">0158821 </v>
      </c>
      <c r="B8046" t="s">
        <v>26338</v>
      </c>
      <c r="C8046" t="s">
        <v>26650</v>
      </c>
      <c r="D8046" t="s">
        <v>26651</v>
      </c>
      <c r="E8046">
        <v>2</v>
      </c>
      <c r="F8046" t="s">
        <v>26652</v>
      </c>
      <c r="G8046" t="s">
        <v>26338</v>
      </c>
      <c r="H8046" t="s">
        <v>26650</v>
      </c>
      <c r="I8046" t="s">
        <v>26653</v>
      </c>
    </row>
    <row r="8047" spans="1:9">
      <c r="A8047" t="str">
        <f>"0158847 "</f>
        <v xml:space="preserve">0158847 </v>
      </c>
      <c r="B8047" t="s">
        <v>26338</v>
      </c>
      <c r="C8047" t="s">
        <v>26654</v>
      </c>
      <c r="D8047" t="s">
        <v>26655</v>
      </c>
      <c r="E8047">
        <v>2</v>
      </c>
      <c r="F8047" t="s">
        <v>26656</v>
      </c>
      <c r="G8047" t="s">
        <v>26338</v>
      </c>
      <c r="H8047" t="s">
        <v>26654</v>
      </c>
      <c r="I8047" t="s">
        <v>26657</v>
      </c>
    </row>
    <row r="8048" spans="1:9">
      <c r="A8048" t="str">
        <f>"0071316 "</f>
        <v xml:space="preserve">0071316 </v>
      </c>
      <c r="B8048" t="s">
        <v>26338</v>
      </c>
      <c r="C8048" t="s">
        <v>26658</v>
      </c>
      <c r="D8048" t="s">
        <v>26659</v>
      </c>
      <c r="E8048">
        <v>4</v>
      </c>
      <c r="F8048" t="s">
        <v>26660</v>
      </c>
      <c r="G8048" t="s">
        <v>26338</v>
      </c>
      <c r="H8048" t="s">
        <v>26658</v>
      </c>
      <c r="I8048" t="s">
        <v>26661</v>
      </c>
    </row>
    <row r="8049" spans="1:9">
      <c r="A8049" t="str">
        <f>"0071331 "</f>
        <v xml:space="preserve">0071331 </v>
      </c>
      <c r="B8049" t="s">
        <v>26338</v>
      </c>
      <c r="C8049" t="s">
        <v>26662</v>
      </c>
      <c r="D8049" t="s">
        <v>26663</v>
      </c>
      <c r="E8049">
        <v>4</v>
      </c>
      <c r="F8049" t="s">
        <v>26664</v>
      </c>
      <c r="G8049" t="s">
        <v>26338</v>
      </c>
      <c r="H8049" t="s">
        <v>26662</v>
      </c>
      <c r="I8049" t="s">
        <v>26665</v>
      </c>
    </row>
    <row r="8050" spans="1:9">
      <c r="A8050" t="str">
        <f>"0071335 "</f>
        <v xml:space="preserve">0071335 </v>
      </c>
      <c r="B8050" t="s">
        <v>26338</v>
      </c>
      <c r="C8050" t="s">
        <v>26666</v>
      </c>
      <c r="D8050" t="s">
        <v>26667</v>
      </c>
      <c r="E8050">
        <v>2</v>
      </c>
      <c r="F8050" t="s">
        <v>26668</v>
      </c>
      <c r="G8050" t="s">
        <v>26338</v>
      </c>
      <c r="H8050" t="s">
        <v>26666</v>
      </c>
      <c r="I8050" t="s">
        <v>26669</v>
      </c>
    </row>
    <row r="8051" spans="1:9">
      <c r="A8051" t="str">
        <f>"0072625 "</f>
        <v xml:space="preserve">0072625 </v>
      </c>
      <c r="B8051" t="s">
        <v>26338</v>
      </c>
      <c r="C8051" t="s">
        <v>26670</v>
      </c>
      <c r="D8051" t="s">
        <v>26671</v>
      </c>
      <c r="E8051">
        <v>1</v>
      </c>
      <c r="F8051" t="s">
        <v>26672</v>
      </c>
      <c r="G8051" t="s">
        <v>26338</v>
      </c>
      <c r="H8051" t="s">
        <v>26670</v>
      </c>
      <c r="I8051" t="s">
        <v>23572</v>
      </c>
    </row>
    <row r="8052" spans="1:9">
      <c r="A8052" t="str">
        <f>"0072669 "</f>
        <v xml:space="preserve">0072669 </v>
      </c>
      <c r="B8052" t="s">
        <v>26338</v>
      </c>
      <c r="C8052" t="s">
        <v>26673</v>
      </c>
      <c r="D8052" t="s">
        <v>26674</v>
      </c>
      <c r="E8052">
        <v>4</v>
      </c>
      <c r="F8052" t="s">
        <v>26675</v>
      </c>
      <c r="G8052" t="s">
        <v>26338</v>
      </c>
      <c r="H8052" t="s">
        <v>26673</v>
      </c>
      <c r="I8052" t="s">
        <v>23562</v>
      </c>
    </row>
    <row r="8053" spans="1:9">
      <c r="A8053" t="str">
        <f>"0072695 "</f>
        <v xml:space="preserve">0072695 </v>
      </c>
      <c r="B8053" t="s">
        <v>26338</v>
      </c>
      <c r="C8053" t="s">
        <v>26676</v>
      </c>
      <c r="D8053" t="s">
        <v>26677</v>
      </c>
      <c r="E8053">
        <v>1</v>
      </c>
      <c r="F8053" t="s">
        <v>26678</v>
      </c>
      <c r="G8053" t="s">
        <v>26338</v>
      </c>
      <c r="H8053" t="s">
        <v>26676</v>
      </c>
      <c r="I8053" t="s">
        <v>23550</v>
      </c>
    </row>
    <row r="8054" spans="1:9">
      <c r="A8054" t="str">
        <f>"0072721 "</f>
        <v xml:space="preserve">0072721 </v>
      </c>
      <c r="B8054" t="s">
        <v>26338</v>
      </c>
      <c r="C8054" t="s">
        <v>26679</v>
      </c>
      <c r="D8054" t="s">
        <v>26680</v>
      </c>
      <c r="E8054">
        <v>2</v>
      </c>
      <c r="F8054" t="s">
        <v>26681</v>
      </c>
      <c r="G8054" t="s">
        <v>26338</v>
      </c>
      <c r="H8054" t="s">
        <v>26679</v>
      </c>
      <c r="I8054" t="s">
        <v>26682</v>
      </c>
    </row>
    <row r="8055" spans="1:9">
      <c r="A8055" t="str">
        <f>"0072725 "</f>
        <v xml:space="preserve">0072725 </v>
      </c>
      <c r="B8055" t="s">
        <v>26338</v>
      </c>
      <c r="C8055" t="s">
        <v>26683</v>
      </c>
      <c r="D8055" t="s">
        <v>26684</v>
      </c>
      <c r="E8055">
        <v>2</v>
      </c>
      <c r="F8055" t="s">
        <v>26685</v>
      </c>
      <c r="G8055" t="s">
        <v>26338</v>
      </c>
      <c r="H8055" t="s">
        <v>26683</v>
      </c>
      <c r="I8055" t="s">
        <v>26686</v>
      </c>
    </row>
    <row r="8056" spans="1:9">
      <c r="A8056" t="str">
        <f>"0072755 "</f>
        <v xml:space="preserve">0072755 </v>
      </c>
      <c r="B8056" t="s">
        <v>26338</v>
      </c>
      <c r="C8056" t="s">
        <v>26687</v>
      </c>
      <c r="D8056" t="s">
        <v>26688</v>
      </c>
      <c r="E8056">
        <v>2</v>
      </c>
      <c r="F8056" t="s">
        <v>26689</v>
      </c>
      <c r="G8056" t="s">
        <v>26338</v>
      </c>
      <c r="H8056" t="s">
        <v>26687</v>
      </c>
      <c r="I8056" t="s">
        <v>23545</v>
      </c>
    </row>
    <row r="8057" spans="1:9">
      <c r="A8057" t="str">
        <f>"0072760 "</f>
        <v xml:space="preserve">0072760 </v>
      </c>
      <c r="B8057" t="s">
        <v>26338</v>
      </c>
      <c r="C8057" t="s">
        <v>26690</v>
      </c>
      <c r="D8057" t="s">
        <v>26691</v>
      </c>
      <c r="E8057">
        <v>2</v>
      </c>
      <c r="F8057" t="s">
        <v>26692</v>
      </c>
      <c r="G8057" t="s">
        <v>26338</v>
      </c>
      <c r="H8057" t="s">
        <v>26690</v>
      </c>
      <c r="I8057" t="s">
        <v>26693</v>
      </c>
    </row>
    <row r="8058" spans="1:9">
      <c r="A8058" t="str">
        <f>"0072765 "</f>
        <v xml:space="preserve">0072765 </v>
      </c>
      <c r="B8058" t="s">
        <v>26338</v>
      </c>
      <c r="C8058" t="s">
        <v>26694</v>
      </c>
      <c r="D8058" t="s">
        <v>26695</v>
      </c>
      <c r="E8058">
        <v>2</v>
      </c>
      <c r="F8058" t="s">
        <v>23635</v>
      </c>
      <c r="G8058" t="s">
        <v>26338</v>
      </c>
      <c r="H8058" t="s">
        <v>26694</v>
      </c>
      <c r="I8058" t="s">
        <v>26696</v>
      </c>
    </row>
    <row r="8059" spans="1:9">
      <c r="A8059" t="str">
        <f>"0072772 "</f>
        <v xml:space="preserve">0072772 </v>
      </c>
      <c r="B8059" t="s">
        <v>26338</v>
      </c>
      <c r="C8059" t="s">
        <v>26697</v>
      </c>
      <c r="D8059" t="s">
        <v>26698</v>
      </c>
      <c r="E8059" t="s">
        <v>16</v>
      </c>
      <c r="F8059" t="s">
        <v>26699</v>
      </c>
      <c r="G8059" t="s">
        <v>26338</v>
      </c>
      <c r="H8059" t="s">
        <v>26697</v>
      </c>
      <c r="I8059" t="s">
        <v>23528</v>
      </c>
    </row>
    <row r="8060" spans="1:9">
      <c r="A8060" t="str">
        <f>"0072792 "</f>
        <v xml:space="preserve">0072792 </v>
      </c>
      <c r="B8060" t="s">
        <v>26338</v>
      </c>
      <c r="C8060" t="s">
        <v>26700</v>
      </c>
      <c r="D8060" t="s">
        <v>26701</v>
      </c>
      <c r="E8060">
        <v>1</v>
      </c>
      <c r="F8060" t="s">
        <v>26702</v>
      </c>
      <c r="G8060" t="s">
        <v>26338</v>
      </c>
      <c r="H8060" t="s">
        <v>26700</v>
      </c>
      <c r="I8060" t="s">
        <v>26703</v>
      </c>
    </row>
    <row r="8061" spans="1:9">
      <c r="A8061" t="str">
        <f>"0072809 "</f>
        <v xml:space="preserve">0072809 </v>
      </c>
      <c r="B8061" t="s">
        <v>26338</v>
      </c>
      <c r="C8061" t="s">
        <v>26704</v>
      </c>
      <c r="D8061" t="s">
        <v>26705</v>
      </c>
      <c r="E8061">
        <v>2</v>
      </c>
      <c r="F8061" t="s">
        <v>26706</v>
      </c>
      <c r="G8061" t="s">
        <v>26338</v>
      </c>
      <c r="H8061" t="s">
        <v>26704</v>
      </c>
      <c r="I8061" t="s">
        <v>26707</v>
      </c>
    </row>
    <row r="8062" spans="1:9">
      <c r="A8062" t="str">
        <f>"0072811 "</f>
        <v xml:space="preserve">0072811 </v>
      </c>
      <c r="B8062" t="s">
        <v>26338</v>
      </c>
      <c r="C8062" t="s">
        <v>26708</v>
      </c>
      <c r="D8062" t="s">
        <v>26709</v>
      </c>
      <c r="E8062">
        <v>2</v>
      </c>
      <c r="F8062" t="s">
        <v>26710</v>
      </c>
      <c r="G8062" t="s">
        <v>26338</v>
      </c>
      <c r="H8062" t="s">
        <v>26708</v>
      </c>
      <c r="I8062" t="s">
        <v>23560</v>
      </c>
    </row>
    <row r="8063" spans="1:9">
      <c r="A8063" t="str">
        <f>"0072825 "</f>
        <v xml:space="preserve">0072825 </v>
      </c>
      <c r="B8063" t="s">
        <v>26338</v>
      </c>
      <c r="C8063" t="s">
        <v>26711</v>
      </c>
      <c r="D8063" t="s">
        <v>26712</v>
      </c>
      <c r="E8063">
        <v>1</v>
      </c>
      <c r="F8063" t="s">
        <v>26713</v>
      </c>
      <c r="G8063" t="s">
        <v>26338</v>
      </c>
      <c r="H8063" t="s">
        <v>26711</v>
      </c>
      <c r="I8063" t="s">
        <v>23555</v>
      </c>
    </row>
    <row r="8064" spans="1:9">
      <c r="A8064" t="str">
        <f>"0072849 "</f>
        <v xml:space="preserve">0072849 </v>
      </c>
      <c r="B8064" t="s">
        <v>26338</v>
      </c>
      <c r="C8064" t="s">
        <v>26714</v>
      </c>
      <c r="D8064" t="s">
        <v>26715</v>
      </c>
      <c r="E8064">
        <v>1</v>
      </c>
      <c r="F8064" t="s">
        <v>26716</v>
      </c>
      <c r="G8064" t="s">
        <v>26338</v>
      </c>
      <c r="H8064" t="s">
        <v>26714</v>
      </c>
      <c r="I8064" t="s">
        <v>26717</v>
      </c>
    </row>
    <row r="8065" spans="1:9">
      <c r="A8065" t="str">
        <f>"0072854 "</f>
        <v xml:space="preserve">0072854 </v>
      </c>
      <c r="B8065" t="s">
        <v>26338</v>
      </c>
      <c r="C8065" t="s">
        <v>26718</v>
      </c>
      <c r="D8065" t="s">
        <v>26719</v>
      </c>
      <c r="E8065">
        <v>2</v>
      </c>
      <c r="F8065" t="s">
        <v>26720</v>
      </c>
      <c r="G8065" t="s">
        <v>26338</v>
      </c>
      <c r="H8065" t="s">
        <v>26718</v>
      </c>
      <c r="I8065" t="s">
        <v>26721</v>
      </c>
    </row>
    <row r="8066" spans="1:9">
      <c r="A8066" t="str">
        <f>"0072873 "</f>
        <v xml:space="preserve">0072873 </v>
      </c>
      <c r="B8066" t="s">
        <v>26338</v>
      </c>
      <c r="C8066" t="s">
        <v>26722</v>
      </c>
      <c r="D8066" t="s">
        <v>26723</v>
      </c>
      <c r="E8066">
        <v>1</v>
      </c>
      <c r="F8066" t="s">
        <v>26724</v>
      </c>
      <c r="G8066" t="s">
        <v>26338</v>
      </c>
      <c r="H8066" t="s">
        <v>26722</v>
      </c>
      <c r="I8066" t="s">
        <v>26725</v>
      </c>
    </row>
    <row r="8067" spans="1:9">
      <c r="A8067" t="str">
        <f>"0072893 "</f>
        <v xml:space="preserve">0072893 </v>
      </c>
      <c r="B8067" t="s">
        <v>26338</v>
      </c>
      <c r="C8067" t="s">
        <v>26726</v>
      </c>
      <c r="D8067" t="s">
        <v>26727</v>
      </c>
      <c r="E8067">
        <v>2</v>
      </c>
      <c r="F8067" t="s">
        <v>26702</v>
      </c>
      <c r="G8067" t="s">
        <v>26338</v>
      </c>
      <c r="H8067" t="s">
        <v>26726</v>
      </c>
      <c r="I8067" t="s">
        <v>26728</v>
      </c>
    </row>
    <row r="8068" spans="1:9">
      <c r="A8068" t="str">
        <f>"0072907 "</f>
        <v xml:space="preserve">0072907 </v>
      </c>
      <c r="B8068" t="s">
        <v>26338</v>
      </c>
      <c r="C8068" t="s">
        <v>26729</v>
      </c>
      <c r="D8068" t="s">
        <v>26730</v>
      </c>
      <c r="E8068">
        <v>1</v>
      </c>
      <c r="F8068" t="s">
        <v>26724</v>
      </c>
      <c r="G8068" t="s">
        <v>26338</v>
      </c>
      <c r="H8068" t="s">
        <v>26729</v>
      </c>
      <c r="I8068" t="s">
        <v>26731</v>
      </c>
    </row>
    <row r="8069" spans="1:9">
      <c r="A8069" t="str">
        <f>"0072912 "</f>
        <v xml:space="preserve">0072912 </v>
      </c>
      <c r="B8069" t="s">
        <v>26338</v>
      </c>
      <c r="C8069" t="s">
        <v>26732</v>
      </c>
      <c r="D8069" t="s">
        <v>26733</v>
      </c>
      <c r="E8069">
        <v>3</v>
      </c>
      <c r="F8069" t="s">
        <v>26734</v>
      </c>
      <c r="G8069" t="s">
        <v>26338</v>
      </c>
      <c r="H8069" t="s">
        <v>26732</v>
      </c>
      <c r="I8069" t="s">
        <v>26735</v>
      </c>
    </row>
    <row r="8070" spans="1:9">
      <c r="A8070" t="str">
        <f>"0072944 "</f>
        <v xml:space="preserve">0072944 </v>
      </c>
      <c r="B8070" t="s">
        <v>26338</v>
      </c>
      <c r="C8070" t="s">
        <v>26736</v>
      </c>
      <c r="D8070" t="s">
        <v>26737</v>
      </c>
      <c r="E8070">
        <v>2</v>
      </c>
      <c r="F8070" t="s">
        <v>26738</v>
      </c>
      <c r="G8070" t="s">
        <v>26338</v>
      </c>
      <c r="H8070" t="s">
        <v>26736</v>
      </c>
      <c r="I8070" t="s">
        <v>23591</v>
      </c>
    </row>
    <row r="8071" spans="1:9">
      <c r="A8071" t="str">
        <f>"0072945 "</f>
        <v xml:space="preserve">0072945 </v>
      </c>
      <c r="B8071" t="s">
        <v>26338</v>
      </c>
      <c r="C8071" t="s">
        <v>26739</v>
      </c>
      <c r="D8071" t="s">
        <v>26740</v>
      </c>
      <c r="E8071">
        <v>2</v>
      </c>
      <c r="F8071" t="s">
        <v>26741</v>
      </c>
      <c r="G8071" t="s">
        <v>26338</v>
      </c>
      <c r="H8071" t="s">
        <v>26739</v>
      </c>
      <c r="I8071" t="s">
        <v>26742</v>
      </c>
    </row>
    <row r="8072" spans="1:9">
      <c r="A8072" t="str">
        <f>"0072946 "</f>
        <v xml:space="preserve">0072946 </v>
      </c>
      <c r="B8072" t="s">
        <v>26338</v>
      </c>
      <c r="C8072" t="s">
        <v>26743</v>
      </c>
      <c r="D8072" t="s">
        <v>26744</v>
      </c>
      <c r="E8072">
        <v>2</v>
      </c>
      <c r="F8072" t="s">
        <v>26745</v>
      </c>
      <c r="G8072" t="s">
        <v>26338</v>
      </c>
      <c r="H8072" t="s">
        <v>26743</v>
      </c>
      <c r="I8072" t="s">
        <v>26746</v>
      </c>
    </row>
    <row r="8073" spans="1:9">
      <c r="A8073" t="str">
        <f>"0072973 "</f>
        <v xml:space="preserve">0072973 </v>
      </c>
      <c r="B8073" t="s">
        <v>26338</v>
      </c>
      <c r="C8073" t="s">
        <v>26747</v>
      </c>
      <c r="D8073" t="s">
        <v>26748</v>
      </c>
      <c r="E8073">
        <v>2</v>
      </c>
      <c r="F8073" t="s">
        <v>26749</v>
      </c>
      <c r="G8073" t="s">
        <v>26338</v>
      </c>
      <c r="H8073" t="s">
        <v>26747</v>
      </c>
      <c r="I8073" t="s">
        <v>23600</v>
      </c>
    </row>
    <row r="8074" spans="1:9">
      <c r="A8074" t="str">
        <f>"0072977 "</f>
        <v xml:space="preserve">0072977 </v>
      </c>
      <c r="B8074" t="s">
        <v>26338</v>
      </c>
      <c r="C8074" t="s">
        <v>26750</v>
      </c>
      <c r="D8074" t="s">
        <v>26751</v>
      </c>
      <c r="E8074">
        <v>3</v>
      </c>
      <c r="F8074" t="s">
        <v>26752</v>
      </c>
      <c r="G8074" t="s">
        <v>26338</v>
      </c>
      <c r="H8074" t="s">
        <v>26750</v>
      </c>
      <c r="I8074" t="s">
        <v>23611</v>
      </c>
    </row>
    <row r="8075" spans="1:9">
      <c r="A8075" t="str">
        <f>"0072981 "</f>
        <v xml:space="preserve">0072981 </v>
      </c>
      <c r="B8075" t="s">
        <v>26338</v>
      </c>
      <c r="C8075" t="s">
        <v>26753</v>
      </c>
      <c r="D8075" t="s">
        <v>26754</v>
      </c>
      <c r="E8075">
        <v>2</v>
      </c>
      <c r="F8075" t="s">
        <v>26755</v>
      </c>
      <c r="G8075" t="s">
        <v>26338</v>
      </c>
      <c r="H8075" t="s">
        <v>26753</v>
      </c>
      <c r="I8075" t="s">
        <v>16472</v>
      </c>
    </row>
    <row r="8076" spans="1:9">
      <c r="A8076" t="str">
        <f>"0072983 "</f>
        <v xml:space="preserve">0072983 </v>
      </c>
      <c r="B8076" t="s">
        <v>26338</v>
      </c>
      <c r="C8076" t="s">
        <v>26756</v>
      </c>
      <c r="D8076" t="s">
        <v>26757</v>
      </c>
      <c r="E8076">
        <v>1</v>
      </c>
      <c r="F8076" t="s">
        <v>26758</v>
      </c>
      <c r="G8076" t="s">
        <v>26338</v>
      </c>
      <c r="H8076" t="s">
        <v>26756</v>
      </c>
      <c r="I8076" t="s">
        <v>23590</v>
      </c>
    </row>
    <row r="8077" spans="1:9">
      <c r="A8077" t="str">
        <f>"0072989 "</f>
        <v xml:space="preserve">0072989 </v>
      </c>
      <c r="B8077" t="s">
        <v>26338</v>
      </c>
      <c r="C8077" t="s">
        <v>26759</v>
      </c>
      <c r="D8077" t="s">
        <v>26760</v>
      </c>
      <c r="E8077">
        <v>2</v>
      </c>
      <c r="F8077" t="s">
        <v>26761</v>
      </c>
      <c r="G8077" t="s">
        <v>26338</v>
      </c>
      <c r="H8077" t="s">
        <v>26759</v>
      </c>
      <c r="I8077" t="s">
        <v>26762</v>
      </c>
    </row>
    <row r="8078" spans="1:9">
      <c r="A8078" t="str">
        <f>"0073008 "</f>
        <v xml:space="preserve">0073008 </v>
      </c>
      <c r="B8078" t="s">
        <v>26338</v>
      </c>
      <c r="C8078" t="s">
        <v>26763</v>
      </c>
      <c r="D8078" t="s">
        <v>26764</v>
      </c>
      <c r="E8078">
        <v>5</v>
      </c>
      <c r="F8078" t="s">
        <v>26724</v>
      </c>
      <c r="G8078" t="s">
        <v>26338</v>
      </c>
      <c r="H8078" t="s">
        <v>26763</v>
      </c>
      <c r="I8078" t="s">
        <v>23629</v>
      </c>
    </row>
    <row r="8079" spans="1:9">
      <c r="A8079" t="str">
        <f>"0073023 "</f>
        <v xml:space="preserve">0073023 </v>
      </c>
      <c r="B8079" t="s">
        <v>26338</v>
      </c>
      <c r="C8079" t="s">
        <v>26765</v>
      </c>
      <c r="D8079" t="s">
        <v>26766</v>
      </c>
      <c r="E8079">
        <v>1</v>
      </c>
      <c r="F8079" t="s">
        <v>26767</v>
      </c>
      <c r="G8079" t="s">
        <v>26338</v>
      </c>
      <c r="H8079" t="s">
        <v>26765</v>
      </c>
      <c r="I8079" t="s">
        <v>26768</v>
      </c>
    </row>
    <row r="8080" spans="1:9">
      <c r="A8080" t="str">
        <f>"0073024 "</f>
        <v xml:space="preserve">0073024 </v>
      </c>
      <c r="B8080" t="s">
        <v>26338</v>
      </c>
      <c r="C8080" t="s">
        <v>26769</v>
      </c>
      <c r="D8080" t="s">
        <v>26770</v>
      </c>
      <c r="E8080">
        <v>2</v>
      </c>
      <c r="F8080" t="s">
        <v>26771</v>
      </c>
      <c r="G8080" t="s">
        <v>26338</v>
      </c>
      <c r="H8080" t="s">
        <v>26769</v>
      </c>
      <c r="I8080" t="s">
        <v>26768</v>
      </c>
    </row>
    <row r="8081" spans="1:9">
      <c r="A8081" t="str">
        <f>"0073033 "</f>
        <v xml:space="preserve">0073033 </v>
      </c>
      <c r="B8081" t="s">
        <v>26338</v>
      </c>
      <c r="C8081" t="s">
        <v>26772</v>
      </c>
      <c r="D8081" t="s">
        <v>26773</v>
      </c>
      <c r="E8081">
        <v>1</v>
      </c>
      <c r="F8081" t="s">
        <v>26774</v>
      </c>
      <c r="G8081" t="s">
        <v>26338</v>
      </c>
      <c r="H8081" t="s">
        <v>26772</v>
      </c>
      <c r="I8081" t="s">
        <v>26775</v>
      </c>
    </row>
    <row r="8082" spans="1:9">
      <c r="A8082" t="str">
        <f>"0073042 "</f>
        <v xml:space="preserve">0073042 </v>
      </c>
      <c r="B8082" t="s">
        <v>26338</v>
      </c>
      <c r="C8082" t="s">
        <v>26776</v>
      </c>
      <c r="D8082" t="s">
        <v>26777</v>
      </c>
      <c r="E8082">
        <v>2</v>
      </c>
      <c r="F8082" t="s">
        <v>26778</v>
      </c>
      <c r="G8082" t="s">
        <v>26338</v>
      </c>
      <c r="H8082" t="s">
        <v>26776</v>
      </c>
      <c r="I8082" t="s">
        <v>23578</v>
      </c>
    </row>
    <row r="8083" spans="1:9">
      <c r="A8083" t="str">
        <f>"0073043 "</f>
        <v xml:space="preserve">0073043 </v>
      </c>
      <c r="B8083" t="s">
        <v>26338</v>
      </c>
      <c r="C8083" t="s">
        <v>26779</v>
      </c>
      <c r="D8083" t="s">
        <v>26780</v>
      </c>
      <c r="E8083">
        <v>2</v>
      </c>
      <c r="F8083" t="s">
        <v>26781</v>
      </c>
      <c r="G8083" t="s">
        <v>26338</v>
      </c>
      <c r="H8083" t="s">
        <v>26779</v>
      </c>
      <c r="I8083" t="s">
        <v>26782</v>
      </c>
    </row>
    <row r="8084" spans="1:9">
      <c r="A8084" t="str">
        <f>"0073063 "</f>
        <v xml:space="preserve">0073063 </v>
      </c>
      <c r="B8084" t="s">
        <v>26338</v>
      </c>
      <c r="C8084" t="s">
        <v>26783</v>
      </c>
      <c r="D8084" t="s">
        <v>26784</v>
      </c>
      <c r="E8084">
        <v>2</v>
      </c>
      <c r="F8084" t="s">
        <v>26785</v>
      </c>
      <c r="G8084" t="s">
        <v>26338</v>
      </c>
      <c r="H8084" t="s">
        <v>26783</v>
      </c>
      <c r="I8084" t="s">
        <v>26786</v>
      </c>
    </row>
    <row r="8085" spans="1:9">
      <c r="A8085" t="str">
        <f>"0073064 "</f>
        <v xml:space="preserve">0073064 </v>
      </c>
      <c r="B8085" t="s">
        <v>26338</v>
      </c>
      <c r="C8085" t="s">
        <v>26787</v>
      </c>
      <c r="D8085" t="s">
        <v>26788</v>
      </c>
      <c r="E8085">
        <v>3</v>
      </c>
      <c r="F8085" t="s">
        <v>26789</v>
      </c>
      <c r="G8085" t="s">
        <v>26338</v>
      </c>
      <c r="H8085" t="s">
        <v>26787</v>
      </c>
      <c r="I8085" t="s">
        <v>26790</v>
      </c>
    </row>
    <row r="8086" spans="1:9">
      <c r="A8086" t="str">
        <f>"0073073 "</f>
        <v xml:space="preserve">0073073 </v>
      </c>
      <c r="B8086" t="s">
        <v>26338</v>
      </c>
      <c r="C8086" t="s">
        <v>26791</v>
      </c>
      <c r="D8086" t="s">
        <v>26792</v>
      </c>
      <c r="E8086">
        <v>1</v>
      </c>
      <c r="F8086" t="s">
        <v>26793</v>
      </c>
      <c r="G8086" t="s">
        <v>26338</v>
      </c>
      <c r="H8086" t="s">
        <v>26791</v>
      </c>
      <c r="I8086" t="s">
        <v>26794</v>
      </c>
    </row>
    <row r="8087" spans="1:9">
      <c r="A8087" t="str">
        <f>"0073075 "</f>
        <v xml:space="preserve">0073075 </v>
      </c>
      <c r="B8087" t="s">
        <v>26338</v>
      </c>
      <c r="C8087" t="s">
        <v>26795</v>
      </c>
      <c r="D8087" t="s">
        <v>26796</v>
      </c>
      <c r="E8087">
        <v>2</v>
      </c>
      <c r="F8087" t="s">
        <v>26797</v>
      </c>
      <c r="G8087" t="s">
        <v>26338</v>
      </c>
      <c r="H8087" t="s">
        <v>26795</v>
      </c>
      <c r="I8087" t="s">
        <v>23604</v>
      </c>
    </row>
    <row r="8088" spans="1:9">
      <c r="A8088" t="str">
        <f>"0073080 "</f>
        <v xml:space="preserve">0073080 </v>
      </c>
      <c r="B8088" t="s">
        <v>26338</v>
      </c>
      <c r="C8088" t="s">
        <v>26798</v>
      </c>
      <c r="D8088" t="s">
        <v>26799</v>
      </c>
      <c r="E8088">
        <v>2</v>
      </c>
      <c r="F8088" t="s">
        <v>26800</v>
      </c>
      <c r="G8088" t="s">
        <v>26338</v>
      </c>
      <c r="H8088" t="s">
        <v>26798</v>
      </c>
      <c r="I8088" t="s">
        <v>26801</v>
      </c>
    </row>
    <row r="8089" spans="1:9">
      <c r="A8089" t="str">
        <f>"0073091 "</f>
        <v xml:space="preserve">0073091 </v>
      </c>
      <c r="B8089" t="s">
        <v>26338</v>
      </c>
      <c r="C8089" t="s">
        <v>26802</v>
      </c>
      <c r="D8089" t="s">
        <v>26803</v>
      </c>
      <c r="E8089">
        <v>1</v>
      </c>
      <c r="F8089" t="s">
        <v>26804</v>
      </c>
      <c r="G8089" t="s">
        <v>26338</v>
      </c>
      <c r="H8089" t="s">
        <v>26802</v>
      </c>
      <c r="I8089" t="s">
        <v>26805</v>
      </c>
    </row>
    <row r="8090" spans="1:9">
      <c r="A8090" t="str">
        <f>"0073093 "</f>
        <v xml:space="preserve">0073093 </v>
      </c>
      <c r="B8090" t="s">
        <v>26338</v>
      </c>
      <c r="C8090" t="s">
        <v>26806</v>
      </c>
      <c r="D8090" t="s">
        <v>26807</v>
      </c>
      <c r="E8090">
        <v>1</v>
      </c>
      <c r="F8090" t="s">
        <v>26808</v>
      </c>
      <c r="G8090" t="s">
        <v>26338</v>
      </c>
      <c r="H8090" t="s">
        <v>26806</v>
      </c>
      <c r="I8090" t="s">
        <v>26809</v>
      </c>
    </row>
    <row r="8091" spans="1:9">
      <c r="A8091" t="str">
        <f>"0073096 "</f>
        <v xml:space="preserve">0073096 </v>
      </c>
      <c r="B8091" t="s">
        <v>26338</v>
      </c>
      <c r="C8091" t="s">
        <v>26810</v>
      </c>
      <c r="D8091" t="s">
        <v>26811</v>
      </c>
      <c r="E8091">
        <v>2</v>
      </c>
      <c r="F8091" t="s">
        <v>26800</v>
      </c>
      <c r="G8091" t="s">
        <v>26338</v>
      </c>
      <c r="H8091" t="s">
        <v>26810</v>
      </c>
      <c r="I8091" t="s">
        <v>23652</v>
      </c>
    </row>
    <row r="8092" spans="1:9">
      <c r="A8092" t="str">
        <f>"0073103 "</f>
        <v xml:space="preserve">0073103 </v>
      </c>
      <c r="B8092" t="s">
        <v>26338</v>
      </c>
      <c r="C8092" t="s">
        <v>26812</v>
      </c>
      <c r="D8092" t="s">
        <v>26813</v>
      </c>
      <c r="E8092">
        <v>1</v>
      </c>
      <c r="F8092" t="s">
        <v>26814</v>
      </c>
      <c r="G8092" t="s">
        <v>26338</v>
      </c>
      <c r="H8092" t="s">
        <v>26812</v>
      </c>
      <c r="I8092" t="s">
        <v>23675</v>
      </c>
    </row>
    <row r="8093" spans="1:9">
      <c r="A8093" t="str">
        <f>"0073107 "</f>
        <v xml:space="preserve">0073107 </v>
      </c>
      <c r="B8093" t="s">
        <v>26338</v>
      </c>
      <c r="C8093" t="s">
        <v>26815</v>
      </c>
      <c r="D8093" t="s">
        <v>26816</v>
      </c>
      <c r="E8093">
        <v>1</v>
      </c>
      <c r="F8093" t="s">
        <v>26724</v>
      </c>
      <c r="G8093" t="s">
        <v>26338</v>
      </c>
      <c r="H8093" t="s">
        <v>26815</v>
      </c>
      <c r="I8093" t="s">
        <v>26817</v>
      </c>
    </row>
    <row r="8094" spans="1:9">
      <c r="A8094" t="str">
        <f>"0073109 "</f>
        <v xml:space="preserve">0073109 </v>
      </c>
      <c r="B8094" t="s">
        <v>26338</v>
      </c>
      <c r="C8094" t="s">
        <v>26818</v>
      </c>
      <c r="D8094" t="s">
        <v>26819</v>
      </c>
      <c r="E8094">
        <v>2</v>
      </c>
      <c r="F8094" t="s">
        <v>26778</v>
      </c>
      <c r="G8094" t="s">
        <v>26338</v>
      </c>
      <c r="H8094" t="s">
        <v>26818</v>
      </c>
      <c r="I8094" t="s">
        <v>23592</v>
      </c>
    </row>
    <row r="8095" spans="1:9">
      <c r="A8095" t="str">
        <f>"0073113 "</f>
        <v xml:space="preserve">0073113 </v>
      </c>
      <c r="B8095" t="s">
        <v>26338</v>
      </c>
      <c r="C8095" t="s">
        <v>26820</v>
      </c>
      <c r="D8095" t="s">
        <v>26821</v>
      </c>
      <c r="E8095">
        <v>2</v>
      </c>
      <c r="F8095" t="s">
        <v>26822</v>
      </c>
      <c r="G8095" t="s">
        <v>26338</v>
      </c>
      <c r="H8095" t="s">
        <v>26820</v>
      </c>
      <c r="I8095" t="s">
        <v>23694</v>
      </c>
    </row>
    <row r="8096" spans="1:9">
      <c r="A8096" t="str">
        <f>"0073120 "</f>
        <v xml:space="preserve">0073120 </v>
      </c>
      <c r="B8096" t="s">
        <v>26338</v>
      </c>
      <c r="C8096" t="s">
        <v>26823</v>
      </c>
      <c r="D8096" t="s">
        <v>26824</v>
      </c>
      <c r="E8096">
        <v>1</v>
      </c>
      <c r="F8096" t="s">
        <v>26825</v>
      </c>
      <c r="G8096" t="s">
        <v>26338</v>
      </c>
      <c r="H8096" t="s">
        <v>26823</v>
      </c>
      <c r="I8096" t="s">
        <v>23690</v>
      </c>
    </row>
    <row r="8097" spans="1:9">
      <c r="A8097" t="str">
        <f>"0073121 "</f>
        <v xml:space="preserve">0073121 </v>
      </c>
      <c r="B8097" t="s">
        <v>26338</v>
      </c>
      <c r="C8097" t="s">
        <v>26826</v>
      </c>
      <c r="D8097" t="s">
        <v>26827</v>
      </c>
      <c r="E8097">
        <v>1</v>
      </c>
      <c r="F8097" t="s">
        <v>26828</v>
      </c>
      <c r="G8097" t="s">
        <v>26338</v>
      </c>
      <c r="H8097" t="s">
        <v>26826</v>
      </c>
      <c r="I8097" t="s">
        <v>23686</v>
      </c>
    </row>
    <row r="8098" spans="1:9">
      <c r="A8098" t="str">
        <f>"0073126 "</f>
        <v xml:space="preserve">0073126 </v>
      </c>
      <c r="B8098" t="s">
        <v>26338</v>
      </c>
      <c r="C8098" t="s">
        <v>26829</v>
      </c>
      <c r="D8098" t="s">
        <v>26830</v>
      </c>
      <c r="E8098">
        <v>1</v>
      </c>
      <c r="F8098" t="s">
        <v>20125</v>
      </c>
      <c r="G8098" t="s">
        <v>26338</v>
      </c>
      <c r="H8098" t="s">
        <v>26829</v>
      </c>
      <c r="I8098" t="s">
        <v>23675</v>
      </c>
    </row>
    <row r="8099" spans="1:9">
      <c r="A8099" t="str">
        <f>"0073150 "</f>
        <v xml:space="preserve">0073150 </v>
      </c>
      <c r="B8099" t="s">
        <v>26338</v>
      </c>
      <c r="C8099" t="s">
        <v>26831</v>
      </c>
      <c r="D8099" t="s">
        <v>26832</v>
      </c>
      <c r="E8099">
        <v>1</v>
      </c>
      <c r="F8099" t="s">
        <v>26833</v>
      </c>
      <c r="G8099" t="s">
        <v>26338</v>
      </c>
      <c r="H8099" t="s">
        <v>26831</v>
      </c>
      <c r="I8099" t="s">
        <v>23730</v>
      </c>
    </row>
    <row r="8100" spans="1:9">
      <c r="A8100" t="str">
        <f>"0073161 "</f>
        <v xml:space="preserve">0073161 </v>
      </c>
      <c r="B8100" t="s">
        <v>26338</v>
      </c>
      <c r="C8100" t="s">
        <v>26834</v>
      </c>
      <c r="D8100" t="s">
        <v>26835</v>
      </c>
      <c r="E8100">
        <v>1</v>
      </c>
      <c r="F8100" t="s">
        <v>26836</v>
      </c>
      <c r="G8100" t="s">
        <v>26338</v>
      </c>
      <c r="H8100" t="s">
        <v>26834</v>
      </c>
      <c r="I8100" t="s">
        <v>26837</v>
      </c>
    </row>
    <row r="8101" spans="1:9">
      <c r="A8101" t="str">
        <f>"0073185 "</f>
        <v xml:space="preserve">0073185 </v>
      </c>
      <c r="B8101" t="s">
        <v>26338</v>
      </c>
      <c r="C8101" t="s">
        <v>26838</v>
      </c>
      <c r="D8101" t="s">
        <v>26839</v>
      </c>
      <c r="E8101">
        <v>1</v>
      </c>
      <c r="F8101" t="s">
        <v>26840</v>
      </c>
      <c r="G8101" t="s">
        <v>26338</v>
      </c>
      <c r="H8101" t="s">
        <v>26838</v>
      </c>
      <c r="I8101" t="s">
        <v>26841</v>
      </c>
    </row>
    <row r="8102" spans="1:9">
      <c r="A8102" t="str">
        <f>"0073188 "</f>
        <v xml:space="preserve">0073188 </v>
      </c>
      <c r="B8102" t="s">
        <v>26338</v>
      </c>
      <c r="C8102" t="s">
        <v>26842</v>
      </c>
      <c r="D8102" t="s">
        <v>26843</v>
      </c>
      <c r="E8102">
        <v>2</v>
      </c>
      <c r="F8102" t="s">
        <v>26844</v>
      </c>
      <c r="G8102" t="s">
        <v>26338</v>
      </c>
      <c r="H8102" t="s">
        <v>26842</v>
      </c>
      <c r="I8102" t="s">
        <v>26845</v>
      </c>
    </row>
    <row r="8103" spans="1:9">
      <c r="A8103" t="str">
        <f>"0073190 "</f>
        <v xml:space="preserve">0073190 </v>
      </c>
      <c r="B8103" t="s">
        <v>26338</v>
      </c>
      <c r="C8103" t="s">
        <v>26846</v>
      </c>
      <c r="D8103" t="s">
        <v>26847</v>
      </c>
      <c r="E8103">
        <v>1</v>
      </c>
      <c r="F8103" t="s">
        <v>26848</v>
      </c>
      <c r="G8103" t="s">
        <v>26338</v>
      </c>
      <c r="H8103" t="s">
        <v>26846</v>
      </c>
      <c r="I8103" t="s">
        <v>26849</v>
      </c>
    </row>
    <row r="8104" spans="1:9">
      <c r="A8104" t="str">
        <f>"0073195 "</f>
        <v xml:space="preserve">0073195 </v>
      </c>
      <c r="B8104" t="s">
        <v>26338</v>
      </c>
      <c r="C8104" t="s">
        <v>26850</v>
      </c>
      <c r="D8104" t="s">
        <v>26851</v>
      </c>
      <c r="E8104">
        <v>1</v>
      </c>
      <c r="F8104" t="s">
        <v>26852</v>
      </c>
      <c r="G8104" t="s">
        <v>26338</v>
      </c>
      <c r="H8104" t="s">
        <v>26850</v>
      </c>
      <c r="I8104" t="s">
        <v>26853</v>
      </c>
    </row>
    <row r="8105" spans="1:9">
      <c r="A8105" t="str">
        <f>"0073232 "</f>
        <v xml:space="preserve">0073232 </v>
      </c>
      <c r="B8105" t="s">
        <v>26338</v>
      </c>
      <c r="C8105" t="s">
        <v>26854</v>
      </c>
      <c r="D8105" t="s">
        <v>26855</v>
      </c>
      <c r="E8105">
        <v>3</v>
      </c>
      <c r="F8105" t="s">
        <v>26856</v>
      </c>
      <c r="G8105" t="s">
        <v>26338</v>
      </c>
      <c r="H8105" t="s">
        <v>26854</v>
      </c>
      <c r="I8105" t="s">
        <v>26857</v>
      </c>
    </row>
    <row r="8106" spans="1:9">
      <c r="A8106" t="str">
        <f>"0073260 "</f>
        <v xml:space="preserve">0073260 </v>
      </c>
      <c r="B8106" t="s">
        <v>26338</v>
      </c>
      <c r="C8106" t="s">
        <v>26858</v>
      </c>
      <c r="D8106" t="s">
        <v>26859</v>
      </c>
      <c r="E8106">
        <v>1</v>
      </c>
      <c r="F8106" t="s">
        <v>26745</v>
      </c>
      <c r="G8106" t="s">
        <v>26338</v>
      </c>
      <c r="H8106" t="s">
        <v>26858</v>
      </c>
      <c r="I8106" t="s">
        <v>26860</v>
      </c>
    </row>
    <row r="8107" spans="1:9">
      <c r="A8107" t="str">
        <f>"0073262 "</f>
        <v xml:space="preserve">0073262 </v>
      </c>
      <c r="B8107" t="s">
        <v>26338</v>
      </c>
      <c r="C8107" t="s">
        <v>26861</v>
      </c>
      <c r="D8107" t="s">
        <v>26862</v>
      </c>
      <c r="E8107">
        <v>1</v>
      </c>
      <c r="F8107" t="s">
        <v>26863</v>
      </c>
      <c r="G8107" t="s">
        <v>26338</v>
      </c>
      <c r="H8107" t="s">
        <v>26861</v>
      </c>
      <c r="I8107" t="s">
        <v>26864</v>
      </c>
    </row>
    <row r="8108" spans="1:9">
      <c r="A8108" t="str">
        <f>"0073285 "</f>
        <v xml:space="preserve">0073285 </v>
      </c>
      <c r="B8108" t="s">
        <v>26338</v>
      </c>
      <c r="C8108" t="s">
        <v>26865</v>
      </c>
      <c r="D8108" t="s">
        <v>26866</v>
      </c>
      <c r="E8108">
        <v>2</v>
      </c>
      <c r="F8108" t="s">
        <v>26867</v>
      </c>
      <c r="G8108" t="s">
        <v>26338</v>
      </c>
      <c r="H8108" t="s">
        <v>26865</v>
      </c>
      <c r="I8108" t="s">
        <v>23765</v>
      </c>
    </row>
    <row r="8109" spans="1:9">
      <c r="A8109" t="str">
        <f>"0073311 "</f>
        <v xml:space="preserve">0073311 </v>
      </c>
      <c r="B8109" t="s">
        <v>26338</v>
      </c>
      <c r="C8109" t="s">
        <v>26868</v>
      </c>
      <c r="D8109" t="s">
        <v>26869</v>
      </c>
      <c r="E8109">
        <v>2</v>
      </c>
      <c r="F8109" t="s">
        <v>26734</v>
      </c>
      <c r="G8109" t="s">
        <v>26338</v>
      </c>
      <c r="H8109" t="s">
        <v>26868</v>
      </c>
      <c r="I8109" t="s">
        <v>26870</v>
      </c>
    </row>
    <row r="8110" spans="1:9">
      <c r="A8110" t="str">
        <f>"0073317 "</f>
        <v xml:space="preserve">0073317 </v>
      </c>
      <c r="B8110" t="s">
        <v>26338</v>
      </c>
      <c r="C8110" t="s">
        <v>26871</v>
      </c>
      <c r="D8110" t="s">
        <v>26872</v>
      </c>
      <c r="E8110">
        <v>1</v>
      </c>
      <c r="F8110" t="s">
        <v>26800</v>
      </c>
      <c r="G8110" t="s">
        <v>26338</v>
      </c>
      <c r="H8110" t="s">
        <v>26871</v>
      </c>
      <c r="I8110" t="s">
        <v>26873</v>
      </c>
    </row>
    <row r="8111" spans="1:9">
      <c r="A8111" t="str">
        <f>"0157555 "</f>
        <v xml:space="preserve">0157555 </v>
      </c>
      <c r="B8111" t="s">
        <v>26338</v>
      </c>
      <c r="C8111" t="s">
        <v>26874</v>
      </c>
      <c r="D8111" t="s">
        <v>26875</v>
      </c>
      <c r="E8111">
        <v>1</v>
      </c>
      <c r="F8111" t="s">
        <v>26876</v>
      </c>
      <c r="G8111" t="s">
        <v>26338</v>
      </c>
      <c r="H8111" t="s">
        <v>26874</v>
      </c>
      <c r="I8111" t="s">
        <v>26877</v>
      </c>
    </row>
    <row r="8112" spans="1:9">
      <c r="A8112" t="str">
        <f>"0073348 "</f>
        <v xml:space="preserve">0073348 </v>
      </c>
      <c r="B8112" t="s">
        <v>26338</v>
      </c>
      <c r="C8112" t="s">
        <v>26878</v>
      </c>
      <c r="D8112" t="s">
        <v>26879</v>
      </c>
      <c r="E8112">
        <v>2</v>
      </c>
      <c r="F8112" t="s">
        <v>9102</v>
      </c>
      <c r="G8112" t="s">
        <v>26338</v>
      </c>
      <c r="H8112" t="s">
        <v>26878</v>
      </c>
      <c r="I8112" t="s">
        <v>26880</v>
      </c>
    </row>
    <row r="8113" spans="1:9">
      <c r="A8113" t="str">
        <f>"0073365 "</f>
        <v xml:space="preserve">0073365 </v>
      </c>
      <c r="B8113" t="s">
        <v>26338</v>
      </c>
      <c r="C8113" t="s">
        <v>26881</v>
      </c>
      <c r="D8113" t="s">
        <v>26882</v>
      </c>
      <c r="E8113">
        <v>2</v>
      </c>
      <c r="F8113" t="s">
        <v>26883</v>
      </c>
      <c r="G8113" t="s">
        <v>26338</v>
      </c>
      <c r="H8113" t="s">
        <v>26881</v>
      </c>
      <c r="I8113" t="s">
        <v>26884</v>
      </c>
    </row>
    <row r="8114" spans="1:9">
      <c r="A8114" t="str">
        <f>"0073381 "</f>
        <v xml:space="preserve">0073381 </v>
      </c>
      <c r="B8114" t="s">
        <v>26338</v>
      </c>
      <c r="C8114" t="s">
        <v>26885</v>
      </c>
      <c r="D8114" t="s">
        <v>26886</v>
      </c>
      <c r="E8114">
        <v>2</v>
      </c>
      <c r="F8114" t="s">
        <v>26887</v>
      </c>
      <c r="G8114" t="s">
        <v>26338</v>
      </c>
      <c r="H8114" t="s">
        <v>26885</v>
      </c>
      <c r="I8114" t="s">
        <v>26888</v>
      </c>
    </row>
    <row r="8115" spans="1:9">
      <c r="A8115" t="str">
        <f>"0073442 "</f>
        <v xml:space="preserve">0073442 </v>
      </c>
      <c r="B8115" t="s">
        <v>26338</v>
      </c>
      <c r="C8115" t="s">
        <v>26889</v>
      </c>
      <c r="D8115" t="s">
        <v>26890</v>
      </c>
      <c r="E8115">
        <v>1</v>
      </c>
      <c r="F8115" t="s">
        <v>9503</v>
      </c>
      <c r="G8115" t="s">
        <v>26338</v>
      </c>
      <c r="H8115" t="s">
        <v>26889</v>
      </c>
      <c r="I8115" t="s">
        <v>26891</v>
      </c>
    </row>
    <row r="8116" spans="1:9">
      <c r="A8116" t="str">
        <f>"0073453 "</f>
        <v xml:space="preserve">0073453 </v>
      </c>
      <c r="B8116" t="s">
        <v>26338</v>
      </c>
      <c r="C8116" t="s">
        <v>26892</v>
      </c>
      <c r="D8116" t="s">
        <v>26893</v>
      </c>
      <c r="E8116">
        <v>2</v>
      </c>
      <c r="F8116" t="s">
        <v>26894</v>
      </c>
      <c r="G8116" t="s">
        <v>26338</v>
      </c>
      <c r="H8116" t="s">
        <v>26892</v>
      </c>
      <c r="I8116" t="s">
        <v>26895</v>
      </c>
    </row>
    <row r="8117" spans="1:9">
      <c r="A8117" t="str">
        <f>"0073460 "</f>
        <v xml:space="preserve">0073460 </v>
      </c>
      <c r="B8117" t="s">
        <v>26338</v>
      </c>
      <c r="C8117" t="s">
        <v>26896</v>
      </c>
      <c r="D8117" t="s">
        <v>26897</v>
      </c>
      <c r="E8117">
        <v>2</v>
      </c>
      <c r="F8117" t="s">
        <v>26716</v>
      </c>
      <c r="G8117" t="s">
        <v>26338</v>
      </c>
      <c r="H8117" t="s">
        <v>26896</v>
      </c>
      <c r="I8117" t="s">
        <v>23562</v>
      </c>
    </row>
    <row r="8118" spans="1:9">
      <c r="A8118" t="str">
        <f>"0073484 "</f>
        <v xml:space="preserve">0073484 </v>
      </c>
      <c r="B8118" t="s">
        <v>26338</v>
      </c>
      <c r="C8118" t="s">
        <v>26898</v>
      </c>
      <c r="D8118" t="s">
        <v>26899</v>
      </c>
      <c r="E8118">
        <v>2</v>
      </c>
      <c r="F8118" t="s">
        <v>26900</v>
      </c>
      <c r="G8118" t="s">
        <v>26338</v>
      </c>
      <c r="H8118" t="s">
        <v>26898</v>
      </c>
      <c r="I8118" t="s">
        <v>26901</v>
      </c>
    </row>
    <row r="8119" spans="1:9">
      <c r="A8119" t="str">
        <f>"0073497 "</f>
        <v xml:space="preserve">0073497 </v>
      </c>
      <c r="B8119" t="s">
        <v>26338</v>
      </c>
      <c r="C8119" t="s">
        <v>26902</v>
      </c>
      <c r="D8119" t="s">
        <v>26903</v>
      </c>
      <c r="E8119">
        <v>2</v>
      </c>
      <c r="F8119" t="s">
        <v>26734</v>
      </c>
      <c r="G8119" t="s">
        <v>26338</v>
      </c>
      <c r="H8119" t="s">
        <v>26902</v>
      </c>
      <c r="I8119" t="s">
        <v>23572</v>
      </c>
    </row>
    <row r="8120" spans="1:9">
      <c r="A8120" t="str">
        <f>"0073500 "</f>
        <v xml:space="preserve">0073500 </v>
      </c>
      <c r="B8120" t="s">
        <v>26338</v>
      </c>
      <c r="C8120" t="s">
        <v>26904</v>
      </c>
      <c r="D8120" t="s">
        <v>26905</v>
      </c>
      <c r="E8120">
        <v>1</v>
      </c>
      <c r="F8120" t="s">
        <v>26906</v>
      </c>
      <c r="G8120" t="s">
        <v>26338</v>
      </c>
      <c r="H8120" t="s">
        <v>26904</v>
      </c>
      <c r="I8120" t="s">
        <v>26907</v>
      </c>
    </row>
    <row r="8121" spans="1:9">
      <c r="A8121" t="str">
        <f>"0073504 "</f>
        <v xml:space="preserve">0073504 </v>
      </c>
      <c r="B8121" t="s">
        <v>26338</v>
      </c>
      <c r="C8121" t="s">
        <v>26908</v>
      </c>
      <c r="D8121" t="s">
        <v>26909</v>
      </c>
      <c r="E8121">
        <v>3</v>
      </c>
      <c r="F8121" t="s">
        <v>26910</v>
      </c>
      <c r="G8121" t="s">
        <v>26338</v>
      </c>
      <c r="H8121" t="s">
        <v>26908</v>
      </c>
      <c r="I8121" t="s">
        <v>26911</v>
      </c>
    </row>
    <row r="8122" spans="1:9">
      <c r="A8122" t="str">
        <f>"0073564 "</f>
        <v xml:space="preserve">0073564 </v>
      </c>
      <c r="B8122" t="s">
        <v>26338</v>
      </c>
      <c r="C8122" t="s">
        <v>26912</v>
      </c>
      <c r="D8122" t="s">
        <v>26913</v>
      </c>
      <c r="E8122">
        <v>1</v>
      </c>
      <c r="F8122" t="s">
        <v>26745</v>
      </c>
      <c r="G8122" t="s">
        <v>26338</v>
      </c>
      <c r="H8122" t="s">
        <v>26912</v>
      </c>
      <c r="I8122" t="s">
        <v>26914</v>
      </c>
    </row>
    <row r="8123" spans="1:9">
      <c r="A8123" t="str">
        <f>"0073584 "</f>
        <v xml:space="preserve">0073584 </v>
      </c>
      <c r="B8123" t="s">
        <v>26338</v>
      </c>
      <c r="C8123" t="s">
        <v>26915</v>
      </c>
      <c r="D8123" t="s">
        <v>26916</v>
      </c>
      <c r="E8123">
        <v>2</v>
      </c>
      <c r="F8123" t="s">
        <v>26917</v>
      </c>
      <c r="G8123" t="s">
        <v>26338</v>
      </c>
      <c r="H8123" t="s">
        <v>26915</v>
      </c>
      <c r="I8123" t="s">
        <v>26918</v>
      </c>
    </row>
    <row r="8124" spans="1:9">
      <c r="A8124" t="str">
        <f>"0073586 "</f>
        <v xml:space="preserve">0073586 </v>
      </c>
      <c r="B8124" t="s">
        <v>26338</v>
      </c>
      <c r="C8124" t="s">
        <v>26919</v>
      </c>
      <c r="D8124" t="s">
        <v>26920</v>
      </c>
      <c r="E8124">
        <v>4</v>
      </c>
      <c r="F8124" t="s">
        <v>26921</v>
      </c>
      <c r="G8124" t="s">
        <v>26338</v>
      </c>
      <c r="H8124" t="s">
        <v>26919</v>
      </c>
      <c r="I8124" t="s">
        <v>23596</v>
      </c>
    </row>
    <row r="8125" spans="1:9">
      <c r="A8125" t="str">
        <f>"0073595 "</f>
        <v xml:space="preserve">0073595 </v>
      </c>
      <c r="B8125" t="s">
        <v>26338</v>
      </c>
      <c r="C8125" t="s">
        <v>26922</v>
      </c>
      <c r="D8125" t="s">
        <v>26923</v>
      </c>
      <c r="E8125">
        <v>1</v>
      </c>
      <c r="F8125" t="s">
        <v>26910</v>
      </c>
      <c r="G8125" t="s">
        <v>26338</v>
      </c>
      <c r="H8125" t="s">
        <v>26922</v>
      </c>
      <c r="I8125" t="s">
        <v>26924</v>
      </c>
    </row>
    <row r="8126" spans="1:9">
      <c r="A8126" t="str">
        <f>"0073602 "</f>
        <v xml:space="preserve">0073602 </v>
      </c>
      <c r="B8126" t="s">
        <v>26338</v>
      </c>
      <c r="C8126" t="s">
        <v>26925</v>
      </c>
      <c r="D8126" t="s">
        <v>26926</v>
      </c>
      <c r="E8126">
        <v>2</v>
      </c>
      <c r="F8126" t="s">
        <v>26927</v>
      </c>
      <c r="G8126" t="s">
        <v>26338</v>
      </c>
      <c r="H8126" t="s">
        <v>26925</v>
      </c>
      <c r="I8126" t="s">
        <v>26928</v>
      </c>
    </row>
    <row r="8127" spans="1:9">
      <c r="A8127" t="str">
        <f>"0073605 "</f>
        <v xml:space="preserve">0073605 </v>
      </c>
      <c r="B8127" t="s">
        <v>26338</v>
      </c>
      <c r="C8127" t="s">
        <v>26929</v>
      </c>
      <c r="D8127" t="s">
        <v>26930</v>
      </c>
      <c r="E8127">
        <v>2</v>
      </c>
      <c r="F8127" t="s">
        <v>26931</v>
      </c>
      <c r="G8127" t="s">
        <v>26338</v>
      </c>
      <c r="H8127" t="s">
        <v>26929</v>
      </c>
      <c r="I8127" t="s">
        <v>26932</v>
      </c>
    </row>
    <row r="8128" spans="1:9">
      <c r="A8128" t="str">
        <f>"0073618 "</f>
        <v xml:space="preserve">0073618 </v>
      </c>
      <c r="B8128" t="s">
        <v>26338</v>
      </c>
      <c r="C8128" t="s">
        <v>26933</v>
      </c>
      <c r="D8128" t="s">
        <v>26934</v>
      </c>
      <c r="E8128">
        <v>2</v>
      </c>
      <c r="F8128" t="s">
        <v>26935</v>
      </c>
      <c r="G8128" t="s">
        <v>26338</v>
      </c>
      <c r="H8128" t="s">
        <v>26933</v>
      </c>
      <c r="I8128" t="s">
        <v>23598</v>
      </c>
    </row>
    <row r="8129" spans="1:9">
      <c r="A8129" t="str">
        <f>"0073621 "</f>
        <v xml:space="preserve">0073621 </v>
      </c>
      <c r="B8129" t="s">
        <v>26338</v>
      </c>
      <c r="C8129" t="s">
        <v>26936</v>
      </c>
      <c r="D8129" t="s">
        <v>26937</v>
      </c>
      <c r="E8129">
        <v>2</v>
      </c>
      <c r="F8129" t="s">
        <v>26938</v>
      </c>
      <c r="G8129" t="s">
        <v>26338</v>
      </c>
      <c r="H8129" t="s">
        <v>26936</v>
      </c>
      <c r="I8129" t="s">
        <v>26939</v>
      </c>
    </row>
    <row r="8130" spans="1:9">
      <c r="A8130" t="str">
        <f>"0073626 "</f>
        <v xml:space="preserve">0073626 </v>
      </c>
      <c r="B8130" t="s">
        <v>26338</v>
      </c>
      <c r="C8130" t="s">
        <v>26940</v>
      </c>
      <c r="D8130" t="s">
        <v>26941</v>
      </c>
      <c r="E8130">
        <v>2</v>
      </c>
      <c r="F8130" t="s">
        <v>26942</v>
      </c>
      <c r="G8130" t="s">
        <v>26338</v>
      </c>
      <c r="H8130" t="s">
        <v>26940</v>
      </c>
      <c r="I8130" t="s">
        <v>26943</v>
      </c>
    </row>
    <row r="8131" spans="1:9">
      <c r="A8131" t="str">
        <f>"0073647 "</f>
        <v xml:space="preserve">0073647 </v>
      </c>
      <c r="B8131" t="s">
        <v>26338</v>
      </c>
      <c r="C8131" t="s">
        <v>26944</v>
      </c>
      <c r="D8131" t="s">
        <v>26945</v>
      </c>
      <c r="E8131">
        <v>1</v>
      </c>
      <c r="F8131" t="s">
        <v>26946</v>
      </c>
      <c r="G8131" t="s">
        <v>26338</v>
      </c>
      <c r="H8131" t="s">
        <v>26944</v>
      </c>
      <c r="I8131" t="s">
        <v>26947</v>
      </c>
    </row>
    <row r="8132" spans="1:9">
      <c r="A8132" t="str">
        <f>"0073649 "</f>
        <v xml:space="preserve">0073649 </v>
      </c>
      <c r="B8132" t="s">
        <v>26338</v>
      </c>
      <c r="C8132" t="s">
        <v>26948</v>
      </c>
      <c r="D8132" t="s">
        <v>26949</v>
      </c>
      <c r="E8132">
        <v>2</v>
      </c>
      <c r="F8132" t="s">
        <v>21476</v>
      </c>
      <c r="G8132" t="s">
        <v>26338</v>
      </c>
      <c r="H8132" t="s">
        <v>26948</v>
      </c>
      <c r="I8132" t="s">
        <v>26950</v>
      </c>
    </row>
    <row r="8133" spans="1:9">
      <c r="A8133" t="str">
        <f>"0073671 "</f>
        <v xml:space="preserve">0073671 </v>
      </c>
      <c r="B8133" t="s">
        <v>26338</v>
      </c>
      <c r="C8133" t="s">
        <v>26951</v>
      </c>
      <c r="D8133" t="s">
        <v>26952</v>
      </c>
      <c r="E8133">
        <v>1</v>
      </c>
      <c r="F8133" t="s">
        <v>26953</v>
      </c>
      <c r="G8133" t="s">
        <v>26338</v>
      </c>
      <c r="H8133" t="s">
        <v>26951</v>
      </c>
      <c r="I8133" t="s">
        <v>26954</v>
      </c>
    </row>
    <row r="8134" spans="1:9">
      <c r="A8134" t="str">
        <f>"0073676 "</f>
        <v xml:space="preserve">0073676 </v>
      </c>
      <c r="B8134" t="s">
        <v>26338</v>
      </c>
      <c r="C8134" t="s">
        <v>26955</v>
      </c>
      <c r="D8134" t="s">
        <v>26956</v>
      </c>
      <c r="E8134">
        <v>1</v>
      </c>
      <c r="F8134" t="s">
        <v>26957</v>
      </c>
      <c r="G8134" t="s">
        <v>26338</v>
      </c>
      <c r="H8134" t="s">
        <v>26955</v>
      </c>
      <c r="I8134" t="s">
        <v>26958</v>
      </c>
    </row>
    <row r="8135" spans="1:9">
      <c r="A8135" t="str">
        <f>"0073677 "</f>
        <v xml:space="preserve">0073677 </v>
      </c>
      <c r="B8135" t="s">
        <v>26338</v>
      </c>
      <c r="C8135" t="s">
        <v>26959</v>
      </c>
      <c r="D8135" t="s">
        <v>26960</v>
      </c>
      <c r="E8135">
        <v>2</v>
      </c>
      <c r="F8135" t="s">
        <v>26961</v>
      </c>
      <c r="G8135" t="s">
        <v>26338</v>
      </c>
      <c r="H8135" t="s">
        <v>26959</v>
      </c>
      <c r="I8135" t="s">
        <v>26962</v>
      </c>
    </row>
    <row r="8136" spans="1:9">
      <c r="A8136" t="str">
        <f>"0073679 "</f>
        <v xml:space="preserve">0073679 </v>
      </c>
      <c r="B8136" t="s">
        <v>26338</v>
      </c>
      <c r="C8136" t="s">
        <v>26963</v>
      </c>
      <c r="D8136" t="s">
        <v>26964</v>
      </c>
      <c r="E8136">
        <v>1</v>
      </c>
      <c r="F8136" t="s">
        <v>26745</v>
      </c>
      <c r="G8136" t="s">
        <v>26338</v>
      </c>
      <c r="H8136" t="s">
        <v>26963</v>
      </c>
      <c r="I8136" t="s">
        <v>26965</v>
      </c>
    </row>
    <row r="8137" spans="1:9">
      <c r="A8137" t="str">
        <f>"0073681 "</f>
        <v xml:space="preserve">0073681 </v>
      </c>
      <c r="B8137" t="s">
        <v>26338</v>
      </c>
      <c r="C8137" t="s">
        <v>26966</v>
      </c>
      <c r="D8137" t="s">
        <v>26967</v>
      </c>
      <c r="E8137">
        <v>1</v>
      </c>
      <c r="F8137" t="s">
        <v>26968</v>
      </c>
      <c r="G8137" t="s">
        <v>26338</v>
      </c>
      <c r="H8137" t="s">
        <v>26966</v>
      </c>
      <c r="I8137" t="s">
        <v>23663</v>
      </c>
    </row>
    <row r="8138" spans="1:9">
      <c r="A8138" t="str">
        <f>"0073684 "</f>
        <v xml:space="preserve">0073684 </v>
      </c>
      <c r="B8138" t="s">
        <v>26338</v>
      </c>
      <c r="C8138" t="s">
        <v>26969</v>
      </c>
      <c r="D8138" t="s">
        <v>26970</v>
      </c>
      <c r="E8138">
        <v>1</v>
      </c>
      <c r="F8138" t="s">
        <v>26971</v>
      </c>
      <c r="G8138" t="s">
        <v>26338</v>
      </c>
      <c r="H8138" t="s">
        <v>26969</v>
      </c>
      <c r="I8138" t="s">
        <v>23671</v>
      </c>
    </row>
    <row r="8139" spans="1:9">
      <c r="A8139" t="str">
        <f>"0073691 "</f>
        <v xml:space="preserve">0073691 </v>
      </c>
      <c r="B8139" t="s">
        <v>26338</v>
      </c>
      <c r="C8139" t="s">
        <v>26972</v>
      </c>
      <c r="D8139" t="s">
        <v>26973</v>
      </c>
      <c r="E8139">
        <v>2</v>
      </c>
      <c r="F8139" t="s">
        <v>26745</v>
      </c>
      <c r="G8139" t="s">
        <v>26338</v>
      </c>
      <c r="H8139" t="s">
        <v>26972</v>
      </c>
      <c r="I8139" t="s">
        <v>23682</v>
      </c>
    </row>
    <row r="8140" spans="1:9">
      <c r="A8140" t="str">
        <f>"0073700 "</f>
        <v xml:space="preserve">0073700 </v>
      </c>
      <c r="B8140" t="s">
        <v>26338</v>
      </c>
      <c r="C8140" t="s">
        <v>26974</v>
      </c>
      <c r="D8140" t="s">
        <v>26975</v>
      </c>
      <c r="E8140">
        <v>2</v>
      </c>
      <c r="F8140" t="s">
        <v>26946</v>
      </c>
      <c r="G8140" t="s">
        <v>26338</v>
      </c>
      <c r="H8140" t="s">
        <v>26974</v>
      </c>
      <c r="I8140" t="s">
        <v>26976</v>
      </c>
    </row>
    <row r="8141" spans="1:9">
      <c r="A8141" t="str">
        <f>"0073701 "</f>
        <v xml:space="preserve">0073701 </v>
      </c>
      <c r="B8141" t="s">
        <v>26338</v>
      </c>
      <c r="C8141" t="s">
        <v>26977</v>
      </c>
      <c r="D8141" t="s">
        <v>26978</v>
      </c>
      <c r="E8141">
        <v>1</v>
      </c>
      <c r="F8141" t="s">
        <v>26979</v>
      </c>
      <c r="G8141" t="s">
        <v>26338</v>
      </c>
      <c r="H8141" t="s">
        <v>26977</v>
      </c>
      <c r="I8141" t="s">
        <v>23719</v>
      </c>
    </row>
    <row r="8142" spans="1:9">
      <c r="A8142" t="str">
        <f>"0073702 "</f>
        <v xml:space="preserve">0073702 </v>
      </c>
      <c r="B8142" t="s">
        <v>26338</v>
      </c>
      <c r="C8142" t="s">
        <v>26980</v>
      </c>
      <c r="D8142" t="s">
        <v>26981</v>
      </c>
      <c r="E8142">
        <v>2</v>
      </c>
      <c r="F8142" t="s">
        <v>26856</v>
      </c>
      <c r="G8142" t="s">
        <v>26338</v>
      </c>
      <c r="H8142" t="s">
        <v>26980</v>
      </c>
      <c r="I8142" t="s">
        <v>23722</v>
      </c>
    </row>
    <row r="8143" spans="1:9">
      <c r="A8143" t="str">
        <f>"0073707 "</f>
        <v xml:space="preserve">0073707 </v>
      </c>
      <c r="B8143" t="s">
        <v>26338</v>
      </c>
      <c r="C8143" t="s">
        <v>26982</v>
      </c>
      <c r="D8143" t="s">
        <v>26983</v>
      </c>
      <c r="E8143">
        <v>1</v>
      </c>
      <c r="F8143" t="s">
        <v>26702</v>
      </c>
      <c r="G8143" t="s">
        <v>26338</v>
      </c>
      <c r="H8143" t="s">
        <v>26982</v>
      </c>
      <c r="I8143" t="s">
        <v>26984</v>
      </c>
    </row>
    <row r="8144" spans="1:9">
      <c r="A8144" t="str">
        <f>"0073717 "</f>
        <v xml:space="preserve">0073717 </v>
      </c>
      <c r="B8144" t="s">
        <v>26338</v>
      </c>
      <c r="C8144" t="s">
        <v>26985</v>
      </c>
      <c r="D8144" t="s">
        <v>26986</v>
      </c>
      <c r="E8144">
        <v>2</v>
      </c>
      <c r="F8144" t="s">
        <v>26800</v>
      </c>
      <c r="G8144" t="s">
        <v>26338</v>
      </c>
      <c r="H8144" t="s">
        <v>26985</v>
      </c>
      <c r="I8144" t="s">
        <v>26987</v>
      </c>
    </row>
    <row r="8145" spans="1:9">
      <c r="A8145" t="str">
        <f>"0073722 "</f>
        <v xml:space="preserve">0073722 </v>
      </c>
      <c r="B8145" t="s">
        <v>26338</v>
      </c>
      <c r="C8145" t="s">
        <v>26988</v>
      </c>
      <c r="D8145" t="s">
        <v>26989</v>
      </c>
      <c r="E8145">
        <v>1</v>
      </c>
      <c r="F8145" t="s">
        <v>26724</v>
      </c>
      <c r="G8145" t="s">
        <v>26338</v>
      </c>
      <c r="H8145" t="s">
        <v>26988</v>
      </c>
      <c r="I8145" t="s">
        <v>23737</v>
      </c>
    </row>
    <row r="8146" spans="1:9">
      <c r="A8146" t="str">
        <f>"0073725 "</f>
        <v xml:space="preserve">0073725 </v>
      </c>
      <c r="B8146" t="s">
        <v>26338</v>
      </c>
      <c r="C8146" t="s">
        <v>26990</v>
      </c>
      <c r="D8146" t="s">
        <v>26991</v>
      </c>
      <c r="E8146">
        <v>4</v>
      </c>
      <c r="F8146" t="s">
        <v>26992</v>
      </c>
      <c r="G8146" t="s">
        <v>26338</v>
      </c>
      <c r="H8146" t="s">
        <v>26990</v>
      </c>
      <c r="I8146" t="s">
        <v>26993</v>
      </c>
    </row>
    <row r="8147" spans="1:9">
      <c r="A8147" t="str">
        <f>"0073726 "</f>
        <v xml:space="preserve">0073726 </v>
      </c>
      <c r="B8147" t="s">
        <v>26338</v>
      </c>
      <c r="C8147" t="s">
        <v>26994</v>
      </c>
      <c r="D8147" t="s">
        <v>26995</v>
      </c>
      <c r="E8147">
        <v>1</v>
      </c>
      <c r="F8147" t="s">
        <v>26724</v>
      </c>
      <c r="G8147" t="s">
        <v>26338</v>
      </c>
      <c r="H8147" t="s">
        <v>26994</v>
      </c>
      <c r="I8147" t="s">
        <v>26996</v>
      </c>
    </row>
    <row r="8148" spans="1:9">
      <c r="A8148" t="str">
        <f>"0073735 "</f>
        <v xml:space="preserve">0073735 </v>
      </c>
      <c r="B8148" t="s">
        <v>26338</v>
      </c>
      <c r="C8148" t="s">
        <v>26997</v>
      </c>
      <c r="D8148" t="s">
        <v>26998</v>
      </c>
      <c r="E8148">
        <v>2</v>
      </c>
      <c r="F8148" t="s">
        <v>26999</v>
      </c>
      <c r="G8148" t="s">
        <v>26338</v>
      </c>
      <c r="H8148" t="s">
        <v>26997</v>
      </c>
      <c r="I8148" t="s">
        <v>27000</v>
      </c>
    </row>
    <row r="8149" spans="1:9">
      <c r="A8149" t="str">
        <f>"0073738 "</f>
        <v xml:space="preserve">0073738 </v>
      </c>
      <c r="B8149" t="s">
        <v>26338</v>
      </c>
      <c r="C8149" t="s">
        <v>27001</v>
      </c>
      <c r="D8149" t="s">
        <v>27002</v>
      </c>
      <c r="E8149">
        <v>2</v>
      </c>
      <c r="F8149" t="s">
        <v>27003</v>
      </c>
      <c r="G8149" t="s">
        <v>26338</v>
      </c>
      <c r="H8149" t="s">
        <v>27001</v>
      </c>
      <c r="I8149" t="s">
        <v>27004</v>
      </c>
    </row>
    <row r="8150" spans="1:9">
      <c r="A8150" t="str">
        <f>"0073746 "</f>
        <v xml:space="preserve">0073746 </v>
      </c>
      <c r="B8150" t="s">
        <v>26338</v>
      </c>
      <c r="C8150" t="s">
        <v>27005</v>
      </c>
      <c r="D8150" t="s">
        <v>27006</v>
      </c>
      <c r="E8150">
        <v>2</v>
      </c>
      <c r="F8150" t="s">
        <v>27007</v>
      </c>
      <c r="G8150" t="s">
        <v>26338</v>
      </c>
      <c r="H8150" t="s">
        <v>27005</v>
      </c>
      <c r="I8150" t="s">
        <v>27008</v>
      </c>
    </row>
    <row r="8151" spans="1:9">
      <c r="A8151" t="str">
        <f>"0073749 "</f>
        <v xml:space="preserve">0073749 </v>
      </c>
      <c r="B8151" t="s">
        <v>26338</v>
      </c>
      <c r="C8151" t="s">
        <v>27009</v>
      </c>
      <c r="D8151" t="s">
        <v>27010</v>
      </c>
      <c r="E8151">
        <v>2</v>
      </c>
      <c r="F8151" t="s">
        <v>27011</v>
      </c>
      <c r="G8151" t="s">
        <v>26338</v>
      </c>
      <c r="H8151" t="s">
        <v>27009</v>
      </c>
      <c r="I8151" t="s">
        <v>27012</v>
      </c>
    </row>
    <row r="8152" spans="1:9">
      <c r="A8152" t="str">
        <f>"0094740 "</f>
        <v xml:space="preserve">0094740 </v>
      </c>
      <c r="B8152" t="s">
        <v>26338</v>
      </c>
      <c r="C8152" t="s">
        <v>27013</v>
      </c>
      <c r="D8152" t="s">
        <v>27014</v>
      </c>
      <c r="E8152">
        <v>2</v>
      </c>
      <c r="F8152" t="s">
        <v>27015</v>
      </c>
      <c r="G8152" t="s">
        <v>26338</v>
      </c>
      <c r="H8152" t="s">
        <v>27013</v>
      </c>
      <c r="I8152" t="s">
        <v>27016</v>
      </c>
    </row>
    <row r="8153" spans="1:9">
      <c r="A8153" t="str">
        <f>"0157857 "</f>
        <v xml:space="preserve">0157857 </v>
      </c>
      <c r="B8153" t="s">
        <v>26338</v>
      </c>
      <c r="C8153" t="s">
        <v>27017</v>
      </c>
      <c r="D8153" t="s">
        <v>27018</v>
      </c>
      <c r="E8153">
        <v>1</v>
      </c>
      <c r="F8153" t="s">
        <v>26702</v>
      </c>
      <c r="G8153" t="s">
        <v>26338</v>
      </c>
      <c r="H8153" t="s">
        <v>27017</v>
      </c>
      <c r="I8153" t="s">
        <v>27019</v>
      </c>
    </row>
    <row r="8154" spans="1:9">
      <c r="A8154" t="str">
        <f>"0073812 "</f>
        <v xml:space="preserve">0073812 </v>
      </c>
      <c r="B8154" t="s">
        <v>26338</v>
      </c>
      <c r="C8154" t="s">
        <v>27020</v>
      </c>
      <c r="D8154" t="s">
        <v>27021</v>
      </c>
      <c r="E8154">
        <v>3</v>
      </c>
      <c r="F8154" t="s">
        <v>15522</v>
      </c>
      <c r="G8154" t="s">
        <v>26338</v>
      </c>
      <c r="H8154" t="s">
        <v>27020</v>
      </c>
      <c r="I8154" t="s">
        <v>27022</v>
      </c>
    </row>
    <row r="8155" spans="1:9">
      <c r="A8155" t="str">
        <f>"0073871 "</f>
        <v xml:space="preserve">0073871 </v>
      </c>
      <c r="B8155" t="s">
        <v>26338</v>
      </c>
      <c r="C8155" t="s">
        <v>27023</v>
      </c>
      <c r="D8155" t="s">
        <v>27024</v>
      </c>
      <c r="E8155">
        <v>2</v>
      </c>
      <c r="F8155" t="s">
        <v>27025</v>
      </c>
      <c r="G8155" t="s">
        <v>26338</v>
      </c>
      <c r="H8155" t="s">
        <v>27023</v>
      </c>
      <c r="I8155" t="s">
        <v>27026</v>
      </c>
    </row>
    <row r="8156" spans="1:9">
      <c r="A8156" t="str">
        <f>"0073874 "</f>
        <v xml:space="preserve">0073874 </v>
      </c>
      <c r="B8156" t="s">
        <v>26338</v>
      </c>
      <c r="C8156" t="s">
        <v>27027</v>
      </c>
      <c r="D8156" t="s">
        <v>27028</v>
      </c>
      <c r="E8156">
        <v>2</v>
      </c>
      <c r="F8156" t="s">
        <v>27029</v>
      </c>
      <c r="G8156" t="s">
        <v>26338</v>
      </c>
      <c r="H8156" t="s">
        <v>27027</v>
      </c>
      <c r="I8156" t="s">
        <v>27030</v>
      </c>
    </row>
    <row r="8157" spans="1:9">
      <c r="A8157" t="str">
        <f>"0131658 "</f>
        <v xml:space="preserve">0131658 </v>
      </c>
      <c r="B8157" t="s">
        <v>26338</v>
      </c>
      <c r="C8157" t="s">
        <v>27031</v>
      </c>
      <c r="D8157" t="s">
        <v>27032</v>
      </c>
      <c r="E8157" t="s">
        <v>16</v>
      </c>
      <c r="F8157" t="s">
        <v>27033</v>
      </c>
      <c r="G8157" t="s">
        <v>26338</v>
      </c>
      <c r="H8157" t="s">
        <v>27031</v>
      </c>
      <c r="I8157" t="s">
        <v>27034</v>
      </c>
    </row>
    <row r="8158" spans="1:9">
      <c r="A8158" t="str">
        <f>"0074049 "</f>
        <v xml:space="preserve">0074049 </v>
      </c>
      <c r="B8158" t="s">
        <v>26338</v>
      </c>
      <c r="C8158" t="s">
        <v>27035</v>
      </c>
      <c r="D8158" t="s">
        <v>27036</v>
      </c>
      <c r="E8158">
        <v>1</v>
      </c>
      <c r="F8158" t="s">
        <v>27037</v>
      </c>
      <c r="G8158" t="s">
        <v>26338</v>
      </c>
      <c r="H8158" t="s">
        <v>27035</v>
      </c>
      <c r="I8158" t="s">
        <v>27038</v>
      </c>
    </row>
    <row r="8159" spans="1:9">
      <c r="A8159" t="str">
        <f>"0074053 "</f>
        <v xml:space="preserve">0074053 </v>
      </c>
      <c r="B8159" t="s">
        <v>26338</v>
      </c>
      <c r="C8159" t="s">
        <v>27039</v>
      </c>
      <c r="D8159" t="s">
        <v>27040</v>
      </c>
      <c r="E8159">
        <v>1</v>
      </c>
      <c r="F8159" t="s">
        <v>27041</v>
      </c>
      <c r="G8159" t="s">
        <v>26338</v>
      </c>
      <c r="H8159" t="s">
        <v>27039</v>
      </c>
      <c r="I8159" t="s">
        <v>27042</v>
      </c>
    </row>
    <row r="8160" spans="1:9">
      <c r="A8160" t="str">
        <f>"0074055 "</f>
        <v xml:space="preserve">0074055 </v>
      </c>
      <c r="B8160" t="s">
        <v>26338</v>
      </c>
      <c r="C8160" t="s">
        <v>27043</v>
      </c>
      <c r="D8160" t="s">
        <v>27044</v>
      </c>
      <c r="E8160">
        <v>1</v>
      </c>
      <c r="F8160" t="s">
        <v>27037</v>
      </c>
      <c r="G8160" t="s">
        <v>26338</v>
      </c>
      <c r="H8160" t="s">
        <v>27043</v>
      </c>
      <c r="I8160" t="s">
        <v>27045</v>
      </c>
    </row>
    <row r="8161" spans="1:9">
      <c r="A8161" t="str">
        <f>"0074232 "</f>
        <v xml:space="preserve">0074232 </v>
      </c>
      <c r="B8161" t="s">
        <v>26338</v>
      </c>
      <c r="C8161" t="s">
        <v>27046</v>
      </c>
      <c r="D8161" t="s">
        <v>27047</v>
      </c>
      <c r="E8161">
        <v>2</v>
      </c>
      <c r="F8161" t="s">
        <v>27048</v>
      </c>
      <c r="G8161" t="s">
        <v>26338</v>
      </c>
      <c r="H8161" t="s">
        <v>27046</v>
      </c>
      <c r="I8161" t="s">
        <v>27049</v>
      </c>
    </row>
    <row r="8162" spans="1:9">
      <c r="A8162" t="str">
        <f>"0074233 "</f>
        <v xml:space="preserve">0074233 </v>
      </c>
      <c r="B8162" t="s">
        <v>26338</v>
      </c>
      <c r="C8162" t="s">
        <v>27050</v>
      </c>
      <c r="D8162" t="s">
        <v>27051</v>
      </c>
      <c r="E8162">
        <v>2</v>
      </c>
      <c r="F8162" t="s">
        <v>27052</v>
      </c>
      <c r="G8162" t="s">
        <v>26338</v>
      </c>
      <c r="H8162" t="s">
        <v>27050</v>
      </c>
      <c r="I8162" t="s">
        <v>27053</v>
      </c>
    </row>
    <row r="8163" spans="1:9">
      <c r="A8163" t="str">
        <f>"0074241 "</f>
        <v xml:space="preserve">0074241 </v>
      </c>
      <c r="B8163" t="s">
        <v>26338</v>
      </c>
      <c r="C8163" t="s">
        <v>27054</v>
      </c>
      <c r="D8163" t="s">
        <v>27055</v>
      </c>
      <c r="E8163">
        <v>2</v>
      </c>
      <c r="F8163" t="s">
        <v>27056</v>
      </c>
      <c r="G8163" t="s">
        <v>26338</v>
      </c>
      <c r="H8163" t="s">
        <v>27054</v>
      </c>
      <c r="I8163" t="s">
        <v>27057</v>
      </c>
    </row>
    <row r="8164" spans="1:9">
      <c r="A8164" t="str">
        <f>"0074248 "</f>
        <v xml:space="preserve">0074248 </v>
      </c>
      <c r="B8164" t="s">
        <v>26338</v>
      </c>
      <c r="C8164" t="s">
        <v>27058</v>
      </c>
      <c r="D8164" t="s">
        <v>27059</v>
      </c>
      <c r="E8164">
        <v>2</v>
      </c>
      <c r="F8164" t="s">
        <v>27060</v>
      </c>
      <c r="G8164" t="s">
        <v>26338</v>
      </c>
      <c r="H8164" t="s">
        <v>27058</v>
      </c>
      <c r="I8164" t="s">
        <v>27061</v>
      </c>
    </row>
    <row r="8165" spans="1:9">
      <c r="A8165" t="str">
        <f>"0074249 "</f>
        <v xml:space="preserve">0074249 </v>
      </c>
      <c r="B8165" t="s">
        <v>26338</v>
      </c>
      <c r="C8165" t="s">
        <v>27062</v>
      </c>
      <c r="D8165" t="s">
        <v>27063</v>
      </c>
      <c r="E8165">
        <v>2</v>
      </c>
      <c r="F8165" t="s">
        <v>25598</v>
      </c>
      <c r="G8165" t="s">
        <v>26338</v>
      </c>
      <c r="H8165" t="s">
        <v>27062</v>
      </c>
      <c r="I8165" t="s">
        <v>27061</v>
      </c>
    </row>
    <row r="8166" spans="1:9">
      <c r="A8166" t="str">
        <f>"0094804 "</f>
        <v xml:space="preserve">0094804 </v>
      </c>
      <c r="B8166" t="s">
        <v>26338</v>
      </c>
      <c r="C8166" t="s">
        <v>27064</v>
      </c>
      <c r="D8166" t="s">
        <v>27065</v>
      </c>
      <c r="E8166">
        <v>3</v>
      </c>
      <c r="F8166" t="s">
        <v>27066</v>
      </c>
      <c r="G8166" t="s">
        <v>26338</v>
      </c>
      <c r="H8166" t="s">
        <v>27064</v>
      </c>
      <c r="I8166" t="s">
        <v>27067</v>
      </c>
    </row>
    <row r="8167" spans="1:9">
      <c r="A8167" t="str">
        <f>"0094805 "</f>
        <v xml:space="preserve">0094805 </v>
      </c>
      <c r="B8167" t="s">
        <v>26338</v>
      </c>
      <c r="C8167" t="s">
        <v>27068</v>
      </c>
      <c r="D8167" t="s">
        <v>27069</v>
      </c>
      <c r="E8167">
        <v>1</v>
      </c>
      <c r="F8167" t="s">
        <v>27066</v>
      </c>
      <c r="G8167" t="s">
        <v>26338</v>
      </c>
      <c r="H8167" t="s">
        <v>27068</v>
      </c>
      <c r="I8167" t="s">
        <v>27070</v>
      </c>
    </row>
    <row r="8168" spans="1:9">
      <c r="A8168" t="str">
        <f>"0094806 "</f>
        <v xml:space="preserve">0094806 </v>
      </c>
      <c r="B8168" t="s">
        <v>26338</v>
      </c>
      <c r="C8168" t="s">
        <v>27071</v>
      </c>
      <c r="D8168" t="s">
        <v>27072</v>
      </c>
      <c r="E8168">
        <v>2</v>
      </c>
      <c r="F8168" t="s">
        <v>27066</v>
      </c>
      <c r="G8168" t="s">
        <v>26338</v>
      </c>
      <c r="H8168" t="s">
        <v>27071</v>
      </c>
      <c r="I8168" t="s">
        <v>27073</v>
      </c>
    </row>
    <row r="8169" spans="1:9">
      <c r="A8169" t="str">
        <f>"0094807 "</f>
        <v xml:space="preserve">0094807 </v>
      </c>
      <c r="B8169" t="s">
        <v>26338</v>
      </c>
      <c r="C8169" t="s">
        <v>27074</v>
      </c>
      <c r="D8169" t="s">
        <v>27075</v>
      </c>
      <c r="E8169">
        <v>2</v>
      </c>
      <c r="F8169" t="s">
        <v>27076</v>
      </c>
      <c r="G8169" t="s">
        <v>26338</v>
      </c>
      <c r="H8169" t="s">
        <v>27074</v>
      </c>
      <c r="I8169" t="s">
        <v>27077</v>
      </c>
    </row>
    <row r="8170" spans="1:9">
      <c r="A8170" t="str">
        <f>"0074500 "</f>
        <v xml:space="preserve">0074500 </v>
      </c>
      <c r="B8170" t="s">
        <v>26338</v>
      </c>
      <c r="C8170" t="s">
        <v>27078</v>
      </c>
      <c r="D8170" t="s">
        <v>27079</v>
      </c>
      <c r="E8170">
        <v>2</v>
      </c>
      <c r="F8170" t="s">
        <v>27080</v>
      </c>
      <c r="G8170" t="s">
        <v>26338</v>
      </c>
      <c r="H8170" t="s">
        <v>27078</v>
      </c>
      <c r="I8170" t="s">
        <v>27081</v>
      </c>
    </row>
    <row r="8171" spans="1:9">
      <c r="A8171" t="str">
        <f>"0074558 "</f>
        <v xml:space="preserve">0074558 </v>
      </c>
      <c r="B8171" t="s">
        <v>26338</v>
      </c>
      <c r="C8171" t="s">
        <v>27082</v>
      </c>
      <c r="D8171" t="s">
        <v>27083</v>
      </c>
      <c r="E8171">
        <v>2</v>
      </c>
      <c r="F8171" t="s">
        <v>27084</v>
      </c>
      <c r="G8171" t="s">
        <v>26338</v>
      </c>
      <c r="H8171" t="s">
        <v>27082</v>
      </c>
      <c r="I8171" t="s">
        <v>27085</v>
      </c>
    </row>
    <row r="8172" spans="1:9">
      <c r="A8172" t="str">
        <f>"0074569 "</f>
        <v xml:space="preserve">0074569 </v>
      </c>
      <c r="B8172" t="s">
        <v>26338</v>
      </c>
      <c r="C8172" t="s">
        <v>27086</v>
      </c>
      <c r="D8172" t="s">
        <v>27087</v>
      </c>
      <c r="E8172">
        <v>2</v>
      </c>
      <c r="F8172" t="s">
        <v>27088</v>
      </c>
      <c r="G8172" t="s">
        <v>26338</v>
      </c>
      <c r="H8172" t="s">
        <v>27086</v>
      </c>
      <c r="I8172" t="s">
        <v>27089</v>
      </c>
    </row>
    <row r="8173" spans="1:9">
      <c r="A8173" t="str">
        <f>"0074594 "</f>
        <v xml:space="preserve">0074594 </v>
      </c>
      <c r="B8173" t="s">
        <v>26338</v>
      </c>
      <c r="C8173" t="s">
        <v>27090</v>
      </c>
      <c r="D8173" t="s">
        <v>27091</v>
      </c>
      <c r="E8173">
        <v>2</v>
      </c>
      <c r="F8173" t="s">
        <v>27092</v>
      </c>
      <c r="G8173" t="s">
        <v>26338</v>
      </c>
      <c r="H8173" t="s">
        <v>27090</v>
      </c>
      <c r="I8173" t="s">
        <v>27093</v>
      </c>
    </row>
    <row r="8174" spans="1:9">
      <c r="A8174" t="str">
        <f>"0074758 "</f>
        <v xml:space="preserve">0074758 </v>
      </c>
      <c r="B8174" t="s">
        <v>26338</v>
      </c>
      <c r="C8174" t="s">
        <v>27094</v>
      </c>
      <c r="D8174" t="s">
        <v>27095</v>
      </c>
      <c r="E8174">
        <v>2</v>
      </c>
      <c r="F8174" t="s">
        <v>27096</v>
      </c>
      <c r="G8174" t="s">
        <v>26338</v>
      </c>
      <c r="H8174" t="s">
        <v>27094</v>
      </c>
      <c r="I8174" t="s">
        <v>27097</v>
      </c>
    </row>
    <row r="8175" spans="1:9">
      <c r="A8175" t="str">
        <f>"0074762 "</f>
        <v xml:space="preserve">0074762 </v>
      </c>
      <c r="B8175" t="s">
        <v>26338</v>
      </c>
      <c r="C8175" t="s">
        <v>27098</v>
      </c>
      <c r="D8175" t="s">
        <v>27099</v>
      </c>
      <c r="E8175">
        <v>1</v>
      </c>
      <c r="F8175" t="s">
        <v>27100</v>
      </c>
      <c r="G8175" t="s">
        <v>26338</v>
      </c>
      <c r="H8175" t="s">
        <v>27098</v>
      </c>
      <c r="I8175" t="s">
        <v>27101</v>
      </c>
    </row>
    <row r="8176" spans="1:9">
      <c r="A8176" t="str">
        <f>"0074804 "</f>
        <v xml:space="preserve">0074804 </v>
      </c>
      <c r="B8176" t="s">
        <v>26338</v>
      </c>
      <c r="C8176" t="s">
        <v>27102</v>
      </c>
      <c r="D8176" t="s">
        <v>27103</v>
      </c>
      <c r="E8176">
        <v>1</v>
      </c>
      <c r="F8176" t="s">
        <v>27104</v>
      </c>
      <c r="G8176" t="s">
        <v>26338</v>
      </c>
      <c r="H8176" t="s">
        <v>27102</v>
      </c>
      <c r="I8176" t="s">
        <v>27105</v>
      </c>
    </row>
    <row r="8177" spans="1:9">
      <c r="A8177" t="str">
        <f>"0074815 "</f>
        <v xml:space="preserve">0074815 </v>
      </c>
      <c r="B8177" t="s">
        <v>26338</v>
      </c>
      <c r="C8177" t="s">
        <v>27106</v>
      </c>
      <c r="D8177" t="s">
        <v>27107</v>
      </c>
      <c r="E8177">
        <v>1</v>
      </c>
      <c r="F8177" t="s">
        <v>21557</v>
      </c>
      <c r="G8177" t="s">
        <v>26338</v>
      </c>
      <c r="H8177" t="s">
        <v>27106</v>
      </c>
      <c r="I8177" t="s">
        <v>27108</v>
      </c>
    </row>
    <row r="8178" spans="1:9">
      <c r="A8178" t="str">
        <f>"0075068 "</f>
        <v xml:space="preserve">0075068 </v>
      </c>
      <c r="B8178" t="s">
        <v>26338</v>
      </c>
      <c r="C8178" t="s">
        <v>27109</v>
      </c>
      <c r="D8178" t="s">
        <v>27110</v>
      </c>
      <c r="E8178">
        <v>1</v>
      </c>
      <c r="F8178" t="s">
        <v>20792</v>
      </c>
      <c r="G8178" t="s">
        <v>26338</v>
      </c>
      <c r="H8178" t="s">
        <v>27109</v>
      </c>
      <c r="I8178" t="s">
        <v>27111</v>
      </c>
    </row>
    <row r="8179" spans="1:9">
      <c r="A8179" t="str">
        <f>"0075075 "</f>
        <v xml:space="preserve">0075075 </v>
      </c>
      <c r="B8179" t="s">
        <v>26338</v>
      </c>
      <c r="C8179" t="s">
        <v>27112</v>
      </c>
      <c r="D8179" t="s">
        <v>27113</v>
      </c>
      <c r="E8179">
        <v>2</v>
      </c>
      <c r="F8179" t="s">
        <v>27114</v>
      </c>
      <c r="G8179" t="s">
        <v>26338</v>
      </c>
      <c r="H8179" t="s">
        <v>27112</v>
      </c>
      <c r="I8179" t="s">
        <v>27115</v>
      </c>
    </row>
    <row r="8180" spans="1:9">
      <c r="A8180" t="str">
        <f>"0075081 "</f>
        <v xml:space="preserve">0075081 </v>
      </c>
      <c r="B8180" t="s">
        <v>26338</v>
      </c>
      <c r="C8180" t="s">
        <v>27116</v>
      </c>
      <c r="D8180" t="s">
        <v>27117</v>
      </c>
      <c r="E8180">
        <v>2</v>
      </c>
      <c r="F8180" t="s">
        <v>24752</v>
      </c>
      <c r="G8180" t="s">
        <v>26338</v>
      </c>
      <c r="H8180" t="s">
        <v>27116</v>
      </c>
      <c r="I8180" t="s">
        <v>27118</v>
      </c>
    </row>
    <row r="8181" spans="1:9">
      <c r="A8181" t="str">
        <f>"0075082 "</f>
        <v xml:space="preserve">0075082 </v>
      </c>
      <c r="B8181" t="s">
        <v>26338</v>
      </c>
      <c r="C8181" t="s">
        <v>27119</v>
      </c>
      <c r="D8181" t="s">
        <v>27120</v>
      </c>
      <c r="E8181">
        <v>4</v>
      </c>
      <c r="F8181" t="s">
        <v>27121</v>
      </c>
      <c r="G8181" t="s">
        <v>26338</v>
      </c>
      <c r="H8181" t="s">
        <v>27119</v>
      </c>
      <c r="I8181" t="s">
        <v>27122</v>
      </c>
    </row>
    <row r="8182" spans="1:9">
      <c r="A8182" t="str">
        <f>"0075085 "</f>
        <v xml:space="preserve">0075085 </v>
      </c>
      <c r="B8182" t="s">
        <v>26338</v>
      </c>
      <c r="C8182" t="s">
        <v>27123</v>
      </c>
      <c r="D8182" t="s">
        <v>27124</v>
      </c>
      <c r="E8182">
        <v>3</v>
      </c>
      <c r="F8182" t="s">
        <v>27125</v>
      </c>
      <c r="G8182" t="s">
        <v>26338</v>
      </c>
      <c r="H8182" t="s">
        <v>27123</v>
      </c>
      <c r="I8182" t="s">
        <v>27126</v>
      </c>
    </row>
    <row r="8183" spans="1:9">
      <c r="A8183" t="str">
        <f>"0075105 "</f>
        <v xml:space="preserve">0075105 </v>
      </c>
      <c r="B8183" t="s">
        <v>26338</v>
      </c>
      <c r="C8183" t="s">
        <v>27127</v>
      </c>
      <c r="D8183" t="s">
        <v>27128</v>
      </c>
      <c r="E8183">
        <v>3</v>
      </c>
      <c r="F8183" t="s">
        <v>20359</v>
      </c>
      <c r="G8183" t="s">
        <v>26338</v>
      </c>
      <c r="H8183" t="s">
        <v>27127</v>
      </c>
      <c r="I8183" t="s">
        <v>27129</v>
      </c>
    </row>
    <row r="8184" spans="1:9">
      <c r="A8184" t="str">
        <f>"0075113 "</f>
        <v xml:space="preserve">0075113 </v>
      </c>
      <c r="B8184" t="s">
        <v>26338</v>
      </c>
      <c r="C8184" t="s">
        <v>27130</v>
      </c>
      <c r="D8184" t="s">
        <v>27131</v>
      </c>
      <c r="E8184">
        <v>1</v>
      </c>
      <c r="F8184" t="s">
        <v>23614</v>
      </c>
      <c r="G8184" t="s">
        <v>26338</v>
      </c>
      <c r="H8184" t="s">
        <v>27130</v>
      </c>
      <c r="I8184" t="s">
        <v>27132</v>
      </c>
    </row>
    <row r="8185" spans="1:9">
      <c r="A8185" t="str">
        <f>"0075132 "</f>
        <v xml:space="preserve">0075132 </v>
      </c>
      <c r="B8185" t="s">
        <v>26338</v>
      </c>
      <c r="C8185" t="s">
        <v>27133</v>
      </c>
      <c r="D8185" t="s">
        <v>27134</v>
      </c>
      <c r="E8185">
        <v>1</v>
      </c>
      <c r="F8185" t="s">
        <v>26418</v>
      </c>
      <c r="G8185" t="s">
        <v>26338</v>
      </c>
      <c r="H8185" t="s">
        <v>27133</v>
      </c>
      <c r="I8185" t="s">
        <v>15560</v>
      </c>
    </row>
    <row r="8186" spans="1:9">
      <c r="A8186" t="str">
        <f>"0075142 "</f>
        <v xml:space="preserve">0075142 </v>
      </c>
      <c r="B8186" t="s">
        <v>26338</v>
      </c>
      <c r="C8186" t="s">
        <v>27135</v>
      </c>
      <c r="D8186" t="s">
        <v>27136</v>
      </c>
      <c r="E8186">
        <v>2</v>
      </c>
      <c r="F8186" t="s">
        <v>8729</v>
      </c>
      <c r="G8186" t="s">
        <v>26338</v>
      </c>
      <c r="H8186" t="s">
        <v>27135</v>
      </c>
      <c r="I8186" t="s">
        <v>14881</v>
      </c>
    </row>
    <row r="8187" spans="1:9">
      <c r="A8187" t="str">
        <f>"0075165 "</f>
        <v xml:space="preserve">0075165 </v>
      </c>
      <c r="B8187" t="s">
        <v>26338</v>
      </c>
      <c r="C8187" t="s">
        <v>27137</v>
      </c>
      <c r="D8187" t="s">
        <v>27138</v>
      </c>
      <c r="E8187">
        <v>4</v>
      </c>
      <c r="F8187" t="s">
        <v>27139</v>
      </c>
      <c r="G8187" t="s">
        <v>26338</v>
      </c>
      <c r="H8187" t="s">
        <v>27137</v>
      </c>
      <c r="I8187" t="s">
        <v>27140</v>
      </c>
    </row>
    <row r="8188" spans="1:9">
      <c r="A8188" t="str">
        <f>"0075196 "</f>
        <v xml:space="preserve">0075196 </v>
      </c>
      <c r="B8188" t="s">
        <v>26338</v>
      </c>
      <c r="C8188" t="s">
        <v>27141</v>
      </c>
      <c r="D8188" t="s">
        <v>27142</v>
      </c>
      <c r="E8188">
        <v>2</v>
      </c>
      <c r="F8188" t="s">
        <v>27143</v>
      </c>
      <c r="G8188" t="s">
        <v>26338</v>
      </c>
      <c r="H8188" t="s">
        <v>27141</v>
      </c>
      <c r="I8188" t="s">
        <v>27144</v>
      </c>
    </row>
    <row r="8189" spans="1:9">
      <c r="A8189" t="str">
        <f>"0075197 "</f>
        <v xml:space="preserve">0075197 </v>
      </c>
      <c r="B8189" t="s">
        <v>26338</v>
      </c>
      <c r="C8189" t="s">
        <v>27145</v>
      </c>
      <c r="D8189" t="s">
        <v>27146</v>
      </c>
      <c r="E8189">
        <v>1</v>
      </c>
      <c r="F8189" t="s">
        <v>23519</v>
      </c>
      <c r="G8189" t="s">
        <v>26338</v>
      </c>
      <c r="H8189" t="s">
        <v>27145</v>
      </c>
      <c r="I8189" t="s">
        <v>27147</v>
      </c>
    </row>
    <row r="8190" spans="1:9">
      <c r="A8190" t="str">
        <f>"0075209 "</f>
        <v xml:space="preserve">0075209 </v>
      </c>
      <c r="B8190" t="s">
        <v>26338</v>
      </c>
      <c r="C8190" t="s">
        <v>27148</v>
      </c>
      <c r="D8190" t="s">
        <v>27149</v>
      </c>
      <c r="E8190">
        <v>1</v>
      </c>
      <c r="F8190" t="s">
        <v>27150</v>
      </c>
      <c r="G8190" t="s">
        <v>26338</v>
      </c>
      <c r="H8190" t="s">
        <v>27148</v>
      </c>
      <c r="I8190" t="s">
        <v>27151</v>
      </c>
    </row>
    <row r="8191" spans="1:9">
      <c r="A8191" t="str">
        <f>"0075215 "</f>
        <v xml:space="preserve">0075215 </v>
      </c>
      <c r="B8191" t="s">
        <v>26338</v>
      </c>
      <c r="C8191" t="s">
        <v>27152</v>
      </c>
      <c r="D8191" t="s">
        <v>27153</v>
      </c>
      <c r="E8191">
        <v>3</v>
      </c>
      <c r="F8191" t="s">
        <v>20299</v>
      </c>
      <c r="G8191" t="s">
        <v>26338</v>
      </c>
      <c r="H8191" t="s">
        <v>27152</v>
      </c>
      <c r="I8191" t="s">
        <v>27154</v>
      </c>
    </row>
    <row r="8192" spans="1:9">
      <c r="A8192" t="str">
        <f>"0075222 "</f>
        <v xml:space="preserve">0075222 </v>
      </c>
      <c r="B8192" t="s">
        <v>26338</v>
      </c>
      <c r="C8192" t="s">
        <v>27155</v>
      </c>
      <c r="D8192" t="s">
        <v>27156</v>
      </c>
      <c r="E8192">
        <v>2</v>
      </c>
      <c r="F8192" t="s">
        <v>20480</v>
      </c>
      <c r="G8192" t="s">
        <v>26338</v>
      </c>
      <c r="H8192" t="s">
        <v>27155</v>
      </c>
      <c r="I8192" t="s">
        <v>27157</v>
      </c>
    </row>
    <row r="8193" spans="1:9">
      <c r="A8193" t="str">
        <f>"0075234 "</f>
        <v xml:space="preserve">0075234 </v>
      </c>
      <c r="B8193" t="s">
        <v>26338</v>
      </c>
      <c r="C8193" t="s">
        <v>27158</v>
      </c>
      <c r="D8193" t="s">
        <v>27159</v>
      </c>
      <c r="E8193">
        <v>2</v>
      </c>
      <c r="F8193" t="s">
        <v>27160</v>
      </c>
      <c r="G8193" t="s">
        <v>26338</v>
      </c>
      <c r="H8193" t="s">
        <v>27158</v>
      </c>
      <c r="I8193" t="s">
        <v>27161</v>
      </c>
    </row>
    <row r="8194" spans="1:9">
      <c r="A8194" t="str">
        <f>"0075238 "</f>
        <v xml:space="preserve">0075238 </v>
      </c>
      <c r="B8194" t="s">
        <v>26338</v>
      </c>
      <c r="C8194" t="s">
        <v>27162</v>
      </c>
      <c r="D8194" t="s">
        <v>27163</v>
      </c>
      <c r="E8194">
        <v>1</v>
      </c>
      <c r="F8194" t="s">
        <v>27164</v>
      </c>
      <c r="G8194" t="s">
        <v>26338</v>
      </c>
      <c r="H8194" t="s">
        <v>27162</v>
      </c>
      <c r="I8194" t="s">
        <v>27165</v>
      </c>
    </row>
    <row r="8195" spans="1:9">
      <c r="A8195" t="str">
        <f>"0152774 "</f>
        <v xml:space="preserve">0152774 </v>
      </c>
      <c r="B8195" t="s">
        <v>26338</v>
      </c>
      <c r="C8195" t="s">
        <v>27166</v>
      </c>
      <c r="D8195" t="s">
        <v>27167</v>
      </c>
      <c r="E8195">
        <v>4</v>
      </c>
      <c r="F8195" t="s">
        <v>14043</v>
      </c>
      <c r="G8195" t="s">
        <v>26338</v>
      </c>
      <c r="H8195" t="s">
        <v>27166</v>
      </c>
      <c r="I8195" t="s">
        <v>27168</v>
      </c>
    </row>
    <row r="8196" spans="1:9">
      <c r="A8196" t="str">
        <f>"0152775 "</f>
        <v xml:space="preserve">0152775 </v>
      </c>
      <c r="B8196" t="s">
        <v>26338</v>
      </c>
      <c r="C8196" t="s">
        <v>27169</v>
      </c>
      <c r="D8196" t="s">
        <v>27170</v>
      </c>
      <c r="E8196">
        <v>2</v>
      </c>
      <c r="F8196" t="s">
        <v>15530</v>
      </c>
      <c r="G8196" t="s">
        <v>26338</v>
      </c>
      <c r="H8196" t="s">
        <v>27169</v>
      </c>
      <c r="I8196" t="s">
        <v>27171</v>
      </c>
    </row>
    <row r="8197" spans="1:9">
      <c r="A8197" t="str">
        <f>"0152776 "</f>
        <v xml:space="preserve">0152776 </v>
      </c>
      <c r="B8197" t="s">
        <v>26338</v>
      </c>
      <c r="C8197" t="s">
        <v>27172</v>
      </c>
      <c r="D8197" t="s">
        <v>27173</v>
      </c>
      <c r="E8197">
        <v>1</v>
      </c>
      <c r="F8197" t="s">
        <v>3703</v>
      </c>
      <c r="G8197" t="s">
        <v>26338</v>
      </c>
      <c r="H8197" t="s">
        <v>27172</v>
      </c>
      <c r="I8197" t="s">
        <v>27174</v>
      </c>
    </row>
    <row r="8198" spans="1:9">
      <c r="A8198" t="str">
        <f>"0152777 "</f>
        <v xml:space="preserve">0152777 </v>
      </c>
      <c r="B8198" t="s">
        <v>26338</v>
      </c>
      <c r="C8198" t="s">
        <v>27175</v>
      </c>
      <c r="D8198" t="s">
        <v>27176</v>
      </c>
      <c r="E8198">
        <v>1</v>
      </c>
      <c r="F8198" t="s">
        <v>15277</v>
      </c>
      <c r="G8198" t="s">
        <v>26338</v>
      </c>
      <c r="H8198" t="s">
        <v>27175</v>
      </c>
      <c r="I8198" t="s">
        <v>27177</v>
      </c>
    </row>
    <row r="8199" spans="1:9">
      <c r="A8199" t="str">
        <f>"0075257 "</f>
        <v xml:space="preserve">0075257 </v>
      </c>
      <c r="B8199" t="s">
        <v>26338</v>
      </c>
      <c r="C8199" t="s">
        <v>27178</v>
      </c>
      <c r="D8199" t="s">
        <v>27179</v>
      </c>
      <c r="E8199">
        <v>4</v>
      </c>
      <c r="F8199" t="s">
        <v>27180</v>
      </c>
      <c r="G8199" t="s">
        <v>26338</v>
      </c>
      <c r="H8199" t="s">
        <v>27178</v>
      </c>
      <c r="I8199" t="s">
        <v>27181</v>
      </c>
    </row>
    <row r="8200" spans="1:9">
      <c r="A8200" t="str">
        <f>"0075258 "</f>
        <v xml:space="preserve">0075258 </v>
      </c>
      <c r="B8200" t="s">
        <v>26338</v>
      </c>
      <c r="C8200" t="s">
        <v>27182</v>
      </c>
      <c r="D8200" t="s">
        <v>27183</v>
      </c>
      <c r="E8200">
        <v>4</v>
      </c>
      <c r="F8200" t="s">
        <v>27184</v>
      </c>
      <c r="G8200" t="s">
        <v>26338</v>
      </c>
      <c r="H8200" t="s">
        <v>27182</v>
      </c>
      <c r="I8200" t="s">
        <v>27185</v>
      </c>
    </row>
    <row r="8201" spans="1:9">
      <c r="A8201" t="str">
        <f>"0075259 "</f>
        <v xml:space="preserve">0075259 </v>
      </c>
      <c r="B8201" t="s">
        <v>26338</v>
      </c>
      <c r="C8201" t="s">
        <v>27186</v>
      </c>
      <c r="D8201" t="s">
        <v>27187</v>
      </c>
      <c r="E8201">
        <v>2</v>
      </c>
      <c r="F8201" t="s">
        <v>27188</v>
      </c>
      <c r="G8201" t="s">
        <v>26338</v>
      </c>
      <c r="H8201" t="s">
        <v>27186</v>
      </c>
      <c r="I8201" t="s">
        <v>27189</v>
      </c>
    </row>
    <row r="8202" spans="1:9">
      <c r="A8202" t="str">
        <f>"0075260 "</f>
        <v xml:space="preserve">0075260 </v>
      </c>
      <c r="B8202" t="s">
        <v>26338</v>
      </c>
      <c r="C8202" t="s">
        <v>27190</v>
      </c>
      <c r="D8202" t="s">
        <v>27191</v>
      </c>
      <c r="E8202">
        <v>2</v>
      </c>
      <c r="F8202" t="s">
        <v>15221</v>
      </c>
      <c r="G8202" t="s">
        <v>26338</v>
      </c>
      <c r="H8202" t="s">
        <v>27190</v>
      </c>
      <c r="I8202" t="s">
        <v>27192</v>
      </c>
    </row>
    <row r="8203" spans="1:9">
      <c r="A8203" t="str">
        <f>"0075267 "</f>
        <v xml:space="preserve">0075267 </v>
      </c>
      <c r="B8203" t="s">
        <v>26338</v>
      </c>
      <c r="C8203" t="s">
        <v>27193</v>
      </c>
      <c r="D8203" t="s">
        <v>27194</v>
      </c>
      <c r="E8203">
        <v>4</v>
      </c>
      <c r="F8203" t="s">
        <v>27195</v>
      </c>
      <c r="G8203" t="s">
        <v>26338</v>
      </c>
      <c r="H8203" t="s">
        <v>27193</v>
      </c>
      <c r="I8203" t="s">
        <v>14856</v>
      </c>
    </row>
    <row r="8204" spans="1:9">
      <c r="A8204" t="str">
        <f>"0075279 "</f>
        <v xml:space="preserve">0075279 </v>
      </c>
      <c r="B8204" t="s">
        <v>26338</v>
      </c>
      <c r="C8204" t="s">
        <v>27196</v>
      </c>
      <c r="D8204" t="s">
        <v>27197</v>
      </c>
      <c r="E8204">
        <v>1</v>
      </c>
      <c r="F8204" t="s">
        <v>27198</v>
      </c>
      <c r="G8204" t="s">
        <v>26338</v>
      </c>
      <c r="H8204" t="s">
        <v>27196</v>
      </c>
      <c r="I8204" t="s">
        <v>15018</v>
      </c>
    </row>
    <row r="8205" spans="1:9">
      <c r="A8205" t="str">
        <f>"0075283 "</f>
        <v xml:space="preserve">0075283 </v>
      </c>
      <c r="B8205" t="s">
        <v>26338</v>
      </c>
      <c r="C8205" t="s">
        <v>27199</v>
      </c>
      <c r="D8205" t="s">
        <v>27200</v>
      </c>
      <c r="E8205">
        <v>2</v>
      </c>
      <c r="F8205" t="s">
        <v>27201</v>
      </c>
      <c r="G8205" t="s">
        <v>26338</v>
      </c>
      <c r="H8205" t="s">
        <v>27199</v>
      </c>
      <c r="I8205" t="s">
        <v>27202</v>
      </c>
    </row>
    <row r="8206" spans="1:9">
      <c r="A8206" t="str">
        <f>"0075293 "</f>
        <v xml:space="preserve">0075293 </v>
      </c>
      <c r="B8206" t="s">
        <v>26338</v>
      </c>
      <c r="C8206" t="s">
        <v>27203</v>
      </c>
      <c r="D8206" t="s">
        <v>27204</v>
      </c>
      <c r="E8206">
        <v>4</v>
      </c>
      <c r="F8206" t="s">
        <v>15058</v>
      </c>
      <c r="G8206" t="s">
        <v>26338</v>
      </c>
      <c r="H8206" t="s">
        <v>27203</v>
      </c>
      <c r="I8206" t="s">
        <v>27205</v>
      </c>
    </row>
    <row r="8207" spans="1:9">
      <c r="A8207" t="str">
        <f>"0075295 "</f>
        <v xml:space="preserve">0075295 </v>
      </c>
      <c r="B8207" t="s">
        <v>26338</v>
      </c>
      <c r="C8207" t="s">
        <v>27206</v>
      </c>
      <c r="D8207" t="s">
        <v>27207</v>
      </c>
      <c r="E8207">
        <v>4</v>
      </c>
      <c r="F8207" t="s">
        <v>27208</v>
      </c>
      <c r="G8207" t="s">
        <v>26338</v>
      </c>
      <c r="H8207" t="s">
        <v>27206</v>
      </c>
      <c r="I8207" t="s">
        <v>27209</v>
      </c>
    </row>
    <row r="8208" spans="1:9">
      <c r="A8208" t="str">
        <f>"0075306 "</f>
        <v xml:space="preserve">0075306 </v>
      </c>
      <c r="B8208" t="s">
        <v>26338</v>
      </c>
      <c r="C8208" t="s">
        <v>27210</v>
      </c>
      <c r="D8208" t="s">
        <v>27211</v>
      </c>
      <c r="E8208">
        <v>2</v>
      </c>
      <c r="F8208" t="s">
        <v>26917</v>
      </c>
      <c r="G8208" t="s">
        <v>26338</v>
      </c>
      <c r="H8208" t="s">
        <v>27210</v>
      </c>
      <c r="I8208" t="s">
        <v>27212</v>
      </c>
    </row>
    <row r="8209" spans="1:9">
      <c r="A8209" t="str">
        <f>"0075307 "</f>
        <v xml:space="preserve">0075307 </v>
      </c>
      <c r="B8209" t="s">
        <v>26338</v>
      </c>
      <c r="C8209" t="s">
        <v>27213</v>
      </c>
      <c r="D8209" t="s">
        <v>27214</v>
      </c>
      <c r="E8209">
        <v>1</v>
      </c>
      <c r="F8209" t="s">
        <v>21557</v>
      </c>
      <c r="G8209" t="s">
        <v>26338</v>
      </c>
      <c r="H8209" t="s">
        <v>27213</v>
      </c>
      <c r="I8209" t="s">
        <v>15079</v>
      </c>
    </row>
    <row r="8210" spans="1:9">
      <c r="A8210" t="str">
        <f>"0075311 "</f>
        <v xml:space="preserve">0075311 </v>
      </c>
      <c r="B8210" t="s">
        <v>26338</v>
      </c>
      <c r="C8210" t="s">
        <v>27215</v>
      </c>
      <c r="D8210" t="s">
        <v>27216</v>
      </c>
      <c r="E8210">
        <v>4</v>
      </c>
      <c r="F8210" t="s">
        <v>27217</v>
      </c>
      <c r="G8210" t="s">
        <v>26338</v>
      </c>
      <c r="H8210" t="s">
        <v>27215</v>
      </c>
      <c r="I8210" t="s">
        <v>15269</v>
      </c>
    </row>
    <row r="8211" spans="1:9">
      <c r="A8211" t="str">
        <f>"0075312 "</f>
        <v xml:space="preserve">0075312 </v>
      </c>
      <c r="B8211" t="s">
        <v>26338</v>
      </c>
      <c r="C8211" t="s">
        <v>27218</v>
      </c>
      <c r="D8211" t="s">
        <v>27219</v>
      </c>
      <c r="E8211">
        <v>3</v>
      </c>
      <c r="F8211" t="s">
        <v>27220</v>
      </c>
      <c r="G8211" t="s">
        <v>26338</v>
      </c>
      <c r="H8211" t="s">
        <v>27218</v>
      </c>
      <c r="I8211" t="s">
        <v>27221</v>
      </c>
    </row>
    <row r="8212" spans="1:9">
      <c r="A8212" t="str">
        <f>"0075313 "</f>
        <v xml:space="preserve">0075313 </v>
      </c>
      <c r="B8212" t="s">
        <v>26338</v>
      </c>
      <c r="C8212" t="s">
        <v>27222</v>
      </c>
      <c r="D8212" t="s">
        <v>27223</v>
      </c>
      <c r="E8212">
        <v>2</v>
      </c>
      <c r="F8212" t="s">
        <v>25187</v>
      </c>
      <c r="G8212" t="s">
        <v>26338</v>
      </c>
      <c r="H8212" t="s">
        <v>27222</v>
      </c>
      <c r="I8212" t="s">
        <v>27224</v>
      </c>
    </row>
    <row r="8213" spans="1:9">
      <c r="A8213" t="str">
        <f>"0075315 "</f>
        <v xml:space="preserve">0075315 </v>
      </c>
      <c r="B8213" t="s">
        <v>26338</v>
      </c>
      <c r="C8213" t="s">
        <v>27225</v>
      </c>
      <c r="D8213" t="s">
        <v>27226</v>
      </c>
      <c r="E8213">
        <v>2</v>
      </c>
      <c r="F8213" t="s">
        <v>27227</v>
      </c>
      <c r="G8213" t="s">
        <v>26338</v>
      </c>
      <c r="H8213" t="s">
        <v>27225</v>
      </c>
      <c r="I8213" t="s">
        <v>27228</v>
      </c>
    </row>
    <row r="8214" spans="1:9">
      <c r="A8214" t="str">
        <f>"0075384 "</f>
        <v xml:space="preserve">0075384 </v>
      </c>
      <c r="B8214" t="s">
        <v>26338</v>
      </c>
      <c r="C8214" t="s">
        <v>27229</v>
      </c>
      <c r="D8214" t="s">
        <v>27230</v>
      </c>
      <c r="E8214">
        <v>4</v>
      </c>
      <c r="F8214" t="s">
        <v>27201</v>
      </c>
      <c r="G8214" t="s">
        <v>26338</v>
      </c>
      <c r="H8214" t="s">
        <v>27229</v>
      </c>
      <c r="I8214" t="s">
        <v>27231</v>
      </c>
    </row>
    <row r="8215" spans="1:9">
      <c r="A8215" t="str">
        <f>"0152778 "</f>
        <v xml:space="preserve">0152778 </v>
      </c>
      <c r="B8215" t="s">
        <v>26338</v>
      </c>
      <c r="C8215" t="s">
        <v>27232</v>
      </c>
      <c r="D8215" t="s">
        <v>27233</v>
      </c>
      <c r="E8215" t="s">
        <v>16</v>
      </c>
      <c r="F8215" t="s">
        <v>27234</v>
      </c>
      <c r="G8215" t="s">
        <v>26338</v>
      </c>
      <c r="H8215" t="s">
        <v>27232</v>
      </c>
      <c r="I8215" t="s">
        <v>27235</v>
      </c>
    </row>
    <row r="8216" spans="1:9">
      <c r="A8216" t="str">
        <f>"0239139 "</f>
        <v xml:space="preserve">0239139 </v>
      </c>
      <c r="B8216" t="s">
        <v>26338</v>
      </c>
      <c r="C8216" t="s">
        <v>27236</v>
      </c>
      <c r="D8216" t="s">
        <v>27237</v>
      </c>
      <c r="E8216">
        <v>2</v>
      </c>
      <c r="F8216" t="s">
        <v>8864</v>
      </c>
      <c r="G8216" t="s">
        <v>26338</v>
      </c>
      <c r="H8216" t="s">
        <v>27236</v>
      </c>
      <c r="I8216" t="s">
        <v>25697</v>
      </c>
    </row>
    <row r="8217" spans="1:9">
      <c r="A8217" t="str">
        <f>"0075387 "</f>
        <v xml:space="preserve">0075387 </v>
      </c>
      <c r="B8217" t="s">
        <v>26338</v>
      </c>
      <c r="C8217" t="s">
        <v>27238</v>
      </c>
      <c r="D8217" t="s">
        <v>27239</v>
      </c>
      <c r="E8217">
        <v>2</v>
      </c>
      <c r="F8217" t="s">
        <v>27240</v>
      </c>
      <c r="G8217" t="s">
        <v>26338</v>
      </c>
      <c r="H8217" t="s">
        <v>27238</v>
      </c>
      <c r="I8217" t="s">
        <v>14698</v>
      </c>
    </row>
    <row r="8218" spans="1:9">
      <c r="A8218" t="str">
        <f>"0075403 "</f>
        <v xml:space="preserve">0075403 </v>
      </c>
      <c r="B8218" t="s">
        <v>26338</v>
      </c>
      <c r="C8218" t="s">
        <v>27241</v>
      </c>
      <c r="D8218" t="s">
        <v>27242</v>
      </c>
      <c r="E8218">
        <v>3</v>
      </c>
      <c r="F8218" t="s">
        <v>14554</v>
      </c>
      <c r="G8218" t="s">
        <v>26338</v>
      </c>
      <c r="H8218" t="s">
        <v>27241</v>
      </c>
      <c r="I8218" t="s">
        <v>27243</v>
      </c>
    </row>
    <row r="8219" spans="1:9">
      <c r="A8219" t="str">
        <f>"0075414 "</f>
        <v xml:space="preserve">0075414 </v>
      </c>
      <c r="B8219" t="s">
        <v>26338</v>
      </c>
      <c r="C8219" t="s">
        <v>27244</v>
      </c>
      <c r="D8219" t="s">
        <v>27245</v>
      </c>
      <c r="E8219">
        <v>4</v>
      </c>
      <c r="F8219" t="s">
        <v>9790</v>
      </c>
      <c r="G8219" t="s">
        <v>26338</v>
      </c>
      <c r="H8219" t="s">
        <v>27244</v>
      </c>
      <c r="I8219" t="s">
        <v>27246</v>
      </c>
    </row>
    <row r="8220" spans="1:9">
      <c r="A8220" t="str">
        <f>"0075415 "</f>
        <v xml:space="preserve">0075415 </v>
      </c>
      <c r="B8220" t="s">
        <v>26338</v>
      </c>
      <c r="C8220" t="s">
        <v>27247</v>
      </c>
      <c r="D8220" t="s">
        <v>27248</v>
      </c>
      <c r="E8220">
        <v>2</v>
      </c>
      <c r="F8220" t="s">
        <v>27249</v>
      </c>
      <c r="G8220" t="s">
        <v>26338</v>
      </c>
      <c r="H8220" t="s">
        <v>27247</v>
      </c>
      <c r="I8220" t="s">
        <v>27250</v>
      </c>
    </row>
    <row r="8221" spans="1:9">
      <c r="A8221" t="str">
        <f>"0075418 "</f>
        <v xml:space="preserve">0075418 </v>
      </c>
      <c r="B8221" t="s">
        <v>26338</v>
      </c>
      <c r="C8221" t="s">
        <v>27251</v>
      </c>
      <c r="D8221" t="s">
        <v>27252</v>
      </c>
      <c r="E8221">
        <v>2</v>
      </c>
      <c r="F8221" t="s">
        <v>27253</v>
      </c>
      <c r="G8221" t="s">
        <v>26338</v>
      </c>
      <c r="H8221" t="s">
        <v>27251</v>
      </c>
      <c r="I8221" t="s">
        <v>27254</v>
      </c>
    </row>
    <row r="8222" spans="1:9">
      <c r="A8222" t="str">
        <f>"0075425 "</f>
        <v xml:space="preserve">0075425 </v>
      </c>
      <c r="B8222" t="s">
        <v>26338</v>
      </c>
      <c r="C8222" t="s">
        <v>27255</v>
      </c>
      <c r="D8222" t="s">
        <v>27256</v>
      </c>
      <c r="E8222">
        <v>3</v>
      </c>
      <c r="F8222" t="s">
        <v>23561</v>
      </c>
      <c r="G8222" t="s">
        <v>26338</v>
      </c>
      <c r="H8222" t="s">
        <v>27255</v>
      </c>
      <c r="I8222" t="s">
        <v>27257</v>
      </c>
    </row>
    <row r="8223" spans="1:9">
      <c r="A8223" t="str">
        <f>"0075428 "</f>
        <v xml:space="preserve">0075428 </v>
      </c>
      <c r="B8223" t="s">
        <v>26338</v>
      </c>
      <c r="C8223" t="s">
        <v>27258</v>
      </c>
      <c r="D8223" t="s">
        <v>27259</v>
      </c>
      <c r="E8223">
        <v>2</v>
      </c>
      <c r="F8223" t="s">
        <v>24501</v>
      </c>
      <c r="G8223" t="s">
        <v>26338</v>
      </c>
      <c r="H8223" t="s">
        <v>27258</v>
      </c>
      <c r="I8223" t="s">
        <v>27260</v>
      </c>
    </row>
    <row r="8224" spans="1:9">
      <c r="A8224" t="str">
        <f>"0075434 "</f>
        <v xml:space="preserve">0075434 </v>
      </c>
      <c r="B8224" t="s">
        <v>26338</v>
      </c>
      <c r="C8224" t="s">
        <v>27261</v>
      </c>
      <c r="D8224" t="s">
        <v>27262</v>
      </c>
      <c r="E8224">
        <v>2</v>
      </c>
      <c r="F8224" t="s">
        <v>27263</v>
      </c>
      <c r="G8224" t="s">
        <v>26338</v>
      </c>
      <c r="H8224" t="s">
        <v>27261</v>
      </c>
      <c r="I8224" t="s">
        <v>27264</v>
      </c>
    </row>
    <row r="8225" spans="1:9">
      <c r="A8225" t="str">
        <f>"0075435 "</f>
        <v xml:space="preserve">0075435 </v>
      </c>
      <c r="B8225" t="s">
        <v>26338</v>
      </c>
      <c r="C8225" t="s">
        <v>27265</v>
      </c>
      <c r="D8225" t="s">
        <v>27266</v>
      </c>
      <c r="E8225">
        <v>2</v>
      </c>
      <c r="F8225" t="s">
        <v>20534</v>
      </c>
      <c r="G8225" t="s">
        <v>26338</v>
      </c>
      <c r="H8225" t="s">
        <v>27265</v>
      </c>
      <c r="I8225" t="s">
        <v>27267</v>
      </c>
    </row>
    <row r="8226" spans="1:9">
      <c r="A8226" t="str">
        <f>"0075436 "</f>
        <v xml:space="preserve">0075436 </v>
      </c>
      <c r="B8226" t="s">
        <v>26338</v>
      </c>
      <c r="C8226" t="s">
        <v>27268</v>
      </c>
      <c r="D8226" t="s">
        <v>27269</v>
      </c>
      <c r="E8226">
        <v>3</v>
      </c>
      <c r="F8226" t="s">
        <v>27270</v>
      </c>
      <c r="G8226" t="s">
        <v>26338</v>
      </c>
      <c r="H8226" t="s">
        <v>27268</v>
      </c>
      <c r="I8226" t="s">
        <v>27271</v>
      </c>
    </row>
    <row r="8227" spans="1:9">
      <c r="A8227" t="str">
        <f>"0075442 "</f>
        <v xml:space="preserve">0075442 </v>
      </c>
      <c r="B8227" t="s">
        <v>26338</v>
      </c>
      <c r="C8227" t="s">
        <v>27272</v>
      </c>
      <c r="D8227" t="s">
        <v>27273</v>
      </c>
      <c r="E8227">
        <v>2</v>
      </c>
      <c r="F8227" t="s">
        <v>27274</v>
      </c>
      <c r="G8227" t="s">
        <v>26338</v>
      </c>
      <c r="H8227" t="s">
        <v>27272</v>
      </c>
      <c r="I8227" t="s">
        <v>27275</v>
      </c>
    </row>
    <row r="8228" spans="1:9">
      <c r="A8228" t="str">
        <f>"0075445 "</f>
        <v xml:space="preserve">0075445 </v>
      </c>
      <c r="B8228" t="s">
        <v>26338</v>
      </c>
      <c r="C8228" t="s">
        <v>27276</v>
      </c>
      <c r="D8228" t="s">
        <v>27277</v>
      </c>
      <c r="E8228">
        <v>2</v>
      </c>
      <c r="F8228" t="s">
        <v>27278</v>
      </c>
      <c r="G8228" t="s">
        <v>26338</v>
      </c>
      <c r="H8228" t="s">
        <v>27276</v>
      </c>
      <c r="I8228" t="s">
        <v>27279</v>
      </c>
    </row>
    <row r="8229" spans="1:9">
      <c r="A8229" t="str">
        <f>"0075453 "</f>
        <v xml:space="preserve">0075453 </v>
      </c>
      <c r="B8229" t="s">
        <v>26338</v>
      </c>
      <c r="C8229" t="s">
        <v>27280</v>
      </c>
      <c r="D8229" t="s">
        <v>27281</v>
      </c>
      <c r="E8229">
        <v>4</v>
      </c>
      <c r="F8229" t="s">
        <v>27282</v>
      </c>
      <c r="G8229" t="s">
        <v>26338</v>
      </c>
      <c r="H8229" t="s">
        <v>27280</v>
      </c>
      <c r="I8229" t="s">
        <v>27283</v>
      </c>
    </row>
    <row r="8230" spans="1:9">
      <c r="A8230" t="str">
        <f>"0075467 "</f>
        <v xml:space="preserve">0075467 </v>
      </c>
      <c r="B8230" t="s">
        <v>26338</v>
      </c>
      <c r="C8230" t="s">
        <v>27284</v>
      </c>
      <c r="D8230" t="s">
        <v>27285</v>
      </c>
      <c r="E8230">
        <v>4</v>
      </c>
      <c r="F8230" t="s">
        <v>15729</v>
      </c>
      <c r="G8230" t="s">
        <v>26338</v>
      </c>
      <c r="H8230" t="s">
        <v>27284</v>
      </c>
      <c r="I8230" t="s">
        <v>14432</v>
      </c>
    </row>
    <row r="8231" spans="1:9">
      <c r="A8231" t="str">
        <f>"0075470 "</f>
        <v xml:space="preserve">0075470 </v>
      </c>
      <c r="B8231" t="s">
        <v>26338</v>
      </c>
      <c r="C8231" t="s">
        <v>27286</v>
      </c>
      <c r="D8231" t="s">
        <v>27287</v>
      </c>
      <c r="E8231">
        <v>2</v>
      </c>
      <c r="F8231" t="s">
        <v>27288</v>
      </c>
      <c r="G8231" t="s">
        <v>26338</v>
      </c>
      <c r="H8231" t="s">
        <v>27286</v>
      </c>
      <c r="I8231" t="s">
        <v>27289</v>
      </c>
    </row>
    <row r="8232" spans="1:9">
      <c r="A8232" t="str">
        <f>"0075482 "</f>
        <v xml:space="preserve">0075482 </v>
      </c>
      <c r="B8232" t="s">
        <v>26338</v>
      </c>
      <c r="C8232" t="s">
        <v>27290</v>
      </c>
      <c r="D8232" t="s">
        <v>27291</v>
      </c>
      <c r="E8232">
        <v>4</v>
      </c>
      <c r="F8232" t="s">
        <v>27292</v>
      </c>
      <c r="G8232" t="s">
        <v>26338</v>
      </c>
      <c r="H8232" t="s">
        <v>27290</v>
      </c>
      <c r="I8232" t="s">
        <v>14417</v>
      </c>
    </row>
    <row r="8233" spans="1:9">
      <c r="A8233" t="str">
        <f>"0075490 "</f>
        <v xml:space="preserve">0075490 </v>
      </c>
      <c r="B8233" t="s">
        <v>26338</v>
      </c>
      <c r="C8233" t="s">
        <v>27293</v>
      </c>
      <c r="D8233" t="s">
        <v>27294</v>
      </c>
      <c r="E8233">
        <v>4</v>
      </c>
      <c r="F8233" t="s">
        <v>9622</v>
      </c>
      <c r="G8233" t="s">
        <v>26338</v>
      </c>
      <c r="H8233" t="s">
        <v>27293</v>
      </c>
      <c r="I8233" t="s">
        <v>27295</v>
      </c>
    </row>
    <row r="8234" spans="1:9">
      <c r="A8234" t="str">
        <f>"0075492 "</f>
        <v xml:space="preserve">0075492 </v>
      </c>
      <c r="B8234" t="s">
        <v>26338</v>
      </c>
      <c r="C8234" t="s">
        <v>27296</v>
      </c>
      <c r="D8234" t="s">
        <v>27297</v>
      </c>
      <c r="E8234">
        <v>4</v>
      </c>
      <c r="F8234" t="s">
        <v>27298</v>
      </c>
      <c r="G8234" t="s">
        <v>26338</v>
      </c>
      <c r="H8234" t="s">
        <v>27296</v>
      </c>
      <c r="I8234" t="s">
        <v>27299</v>
      </c>
    </row>
    <row r="8235" spans="1:9">
      <c r="A8235" t="str">
        <f>"0075505 "</f>
        <v xml:space="preserve">0075505 </v>
      </c>
      <c r="B8235" t="s">
        <v>26338</v>
      </c>
      <c r="C8235" t="s">
        <v>27300</v>
      </c>
      <c r="D8235" t="s">
        <v>27301</v>
      </c>
      <c r="E8235">
        <v>2</v>
      </c>
      <c r="F8235" t="s">
        <v>27240</v>
      </c>
      <c r="G8235" t="s">
        <v>26338</v>
      </c>
      <c r="H8235" t="s">
        <v>27300</v>
      </c>
      <c r="I8235" t="s">
        <v>14694</v>
      </c>
    </row>
    <row r="8236" spans="1:9">
      <c r="A8236" t="str">
        <f>"0075528 "</f>
        <v xml:space="preserve">0075528 </v>
      </c>
      <c r="B8236" t="s">
        <v>26338</v>
      </c>
      <c r="C8236" t="s">
        <v>27302</v>
      </c>
      <c r="D8236" t="s">
        <v>27303</v>
      </c>
      <c r="E8236">
        <v>2</v>
      </c>
      <c r="F8236" t="s">
        <v>27304</v>
      </c>
      <c r="G8236" t="s">
        <v>26338</v>
      </c>
      <c r="H8236" t="s">
        <v>27302</v>
      </c>
      <c r="I8236" t="s">
        <v>14647</v>
      </c>
    </row>
    <row r="8237" spans="1:9">
      <c r="A8237" t="str">
        <f>"0152780 "</f>
        <v xml:space="preserve">0152780 </v>
      </c>
      <c r="B8237" t="s">
        <v>26338</v>
      </c>
      <c r="C8237" t="s">
        <v>27305</v>
      </c>
      <c r="D8237" t="s">
        <v>27306</v>
      </c>
      <c r="E8237">
        <v>2</v>
      </c>
      <c r="F8237" t="s">
        <v>14459</v>
      </c>
      <c r="G8237" t="s">
        <v>26338</v>
      </c>
      <c r="H8237" t="s">
        <v>27305</v>
      </c>
      <c r="I8237" t="s">
        <v>27307</v>
      </c>
    </row>
    <row r="8238" spans="1:9">
      <c r="A8238" t="str">
        <f>"0075537 "</f>
        <v xml:space="preserve">0075537 </v>
      </c>
      <c r="B8238" t="s">
        <v>26338</v>
      </c>
      <c r="C8238" t="s">
        <v>27308</v>
      </c>
      <c r="D8238" t="s">
        <v>27309</v>
      </c>
      <c r="E8238">
        <v>4</v>
      </c>
      <c r="F8238" t="s">
        <v>21219</v>
      </c>
      <c r="G8238" t="s">
        <v>26338</v>
      </c>
      <c r="H8238" t="s">
        <v>27308</v>
      </c>
      <c r="I8238" t="s">
        <v>15537</v>
      </c>
    </row>
    <row r="8239" spans="1:9">
      <c r="A8239" t="str">
        <f>"0075538 "</f>
        <v xml:space="preserve">0075538 </v>
      </c>
      <c r="B8239" t="s">
        <v>26338</v>
      </c>
      <c r="C8239" t="s">
        <v>27310</v>
      </c>
      <c r="D8239" t="s">
        <v>27311</v>
      </c>
      <c r="E8239">
        <v>2</v>
      </c>
      <c r="F8239" t="s">
        <v>20183</v>
      </c>
      <c r="G8239" t="s">
        <v>26338</v>
      </c>
      <c r="H8239" t="s">
        <v>27310</v>
      </c>
      <c r="I8239" t="s">
        <v>27312</v>
      </c>
    </row>
    <row r="8240" spans="1:9">
      <c r="A8240" t="str">
        <f>"0075539 "</f>
        <v xml:space="preserve">0075539 </v>
      </c>
      <c r="B8240" t="s">
        <v>26338</v>
      </c>
      <c r="C8240" t="s">
        <v>27313</v>
      </c>
      <c r="D8240" t="s">
        <v>27314</v>
      </c>
      <c r="E8240">
        <v>2</v>
      </c>
      <c r="F8240" t="s">
        <v>25624</v>
      </c>
      <c r="G8240" t="s">
        <v>26338</v>
      </c>
      <c r="H8240" t="s">
        <v>27313</v>
      </c>
      <c r="I8240" t="s">
        <v>27315</v>
      </c>
    </row>
    <row r="8241" spans="1:9">
      <c r="A8241" t="str">
        <f>"0075541 "</f>
        <v xml:space="preserve">0075541 </v>
      </c>
      <c r="B8241" t="s">
        <v>26338</v>
      </c>
      <c r="C8241" t="s">
        <v>27316</v>
      </c>
      <c r="D8241" t="s">
        <v>27317</v>
      </c>
      <c r="E8241">
        <v>4</v>
      </c>
      <c r="F8241" t="s">
        <v>27318</v>
      </c>
      <c r="G8241" t="s">
        <v>26338</v>
      </c>
      <c r="H8241" t="s">
        <v>27316</v>
      </c>
      <c r="I8241" t="s">
        <v>27319</v>
      </c>
    </row>
    <row r="8242" spans="1:9">
      <c r="A8242" t="str">
        <f>"0075543 "</f>
        <v xml:space="preserve">0075543 </v>
      </c>
      <c r="B8242" t="s">
        <v>26338</v>
      </c>
      <c r="C8242" t="s">
        <v>27320</v>
      </c>
      <c r="D8242" t="s">
        <v>27321</v>
      </c>
      <c r="E8242">
        <v>4</v>
      </c>
      <c r="F8242" t="s">
        <v>27322</v>
      </c>
      <c r="G8242" t="s">
        <v>26338</v>
      </c>
      <c r="H8242" t="s">
        <v>27320</v>
      </c>
      <c r="I8242" t="s">
        <v>14895</v>
      </c>
    </row>
    <row r="8243" spans="1:9">
      <c r="A8243" t="str">
        <f>"0075547 "</f>
        <v xml:space="preserve">0075547 </v>
      </c>
      <c r="B8243" t="s">
        <v>26338</v>
      </c>
      <c r="C8243" t="s">
        <v>27323</v>
      </c>
      <c r="D8243" t="s">
        <v>27324</v>
      </c>
      <c r="E8243">
        <v>3</v>
      </c>
      <c r="F8243" t="s">
        <v>15011</v>
      </c>
      <c r="G8243" t="s">
        <v>26338</v>
      </c>
      <c r="H8243" t="s">
        <v>27323</v>
      </c>
      <c r="I8243" t="s">
        <v>27325</v>
      </c>
    </row>
    <row r="8244" spans="1:9">
      <c r="A8244" t="str">
        <f>"0075548 "</f>
        <v xml:space="preserve">0075548 </v>
      </c>
      <c r="B8244" t="s">
        <v>26338</v>
      </c>
      <c r="C8244" t="s">
        <v>27326</v>
      </c>
      <c r="D8244" t="s">
        <v>27327</v>
      </c>
      <c r="E8244">
        <v>2</v>
      </c>
      <c r="F8244" t="s">
        <v>27328</v>
      </c>
      <c r="G8244" t="s">
        <v>26338</v>
      </c>
      <c r="H8244" t="s">
        <v>27326</v>
      </c>
      <c r="I8244" t="s">
        <v>14611</v>
      </c>
    </row>
    <row r="8245" spans="1:9">
      <c r="A8245" t="str">
        <f>"0075552 "</f>
        <v xml:space="preserve">0075552 </v>
      </c>
      <c r="B8245" t="s">
        <v>26338</v>
      </c>
      <c r="C8245" t="s">
        <v>27329</v>
      </c>
      <c r="D8245" t="s">
        <v>27330</v>
      </c>
      <c r="E8245">
        <v>2</v>
      </c>
      <c r="F8245" t="s">
        <v>27331</v>
      </c>
      <c r="G8245" t="s">
        <v>26338</v>
      </c>
      <c r="H8245" t="s">
        <v>27329</v>
      </c>
      <c r="I8245" t="s">
        <v>27332</v>
      </c>
    </row>
    <row r="8246" spans="1:9">
      <c r="A8246" t="str">
        <f>"0075553 "</f>
        <v xml:space="preserve">0075553 </v>
      </c>
      <c r="B8246" t="s">
        <v>26338</v>
      </c>
      <c r="C8246" t="s">
        <v>27333</v>
      </c>
      <c r="D8246" t="s">
        <v>27334</v>
      </c>
      <c r="E8246">
        <v>1</v>
      </c>
      <c r="F8246" t="s">
        <v>27335</v>
      </c>
      <c r="G8246" t="s">
        <v>26338</v>
      </c>
      <c r="H8246" t="s">
        <v>27333</v>
      </c>
      <c r="I8246" t="s">
        <v>15045</v>
      </c>
    </row>
    <row r="8247" spans="1:9">
      <c r="A8247" t="str">
        <f>"0075555 "</f>
        <v xml:space="preserve">0075555 </v>
      </c>
      <c r="B8247" t="s">
        <v>26338</v>
      </c>
      <c r="C8247" t="s">
        <v>27336</v>
      </c>
      <c r="D8247" t="s">
        <v>27337</v>
      </c>
      <c r="E8247" t="s">
        <v>16</v>
      </c>
      <c r="F8247" t="s">
        <v>27338</v>
      </c>
      <c r="G8247" t="s">
        <v>26338</v>
      </c>
      <c r="H8247" t="s">
        <v>27336</v>
      </c>
      <c r="I8247" t="s">
        <v>27339</v>
      </c>
    </row>
    <row r="8248" spans="1:9">
      <c r="A8248" t="str">
        <f>"0075556 "</f>
        <v xml:space="preserve">0075556 </v>
      </c>
      <c r="B8248" t="s">
        <v>26338</v>
      </c>
      <c r="C8248" t="s">
        <v>27340</v>
      </c>
      <c r="D8248" t="s">
        <v>27341</v>
      </c>
      <c r="E8248">
        <v>2</v>
      </c>
      <c r="F8248" t="s">
        <v>27342</v>
      </c>
      <c r="G8248" t="s">
        <v>26338</v>
      </c>
      <c r="H8248" t="s">
        <v>27340</v>
      </c>
      <c r="I8248" t="s">
        <v>27343</v>
      </c>
    </row>
    <row r="8249" spans="1:9">
      <c r="A8249" t="str">
        <f>"0075559 "</f>
        <v xml:space="preserve">0075559 </v>
      </c>
      <c r="B8249" t="s">
        <v>26338</v>
      </c>
      <c r="C8249" t="s">
        <v>27344</v>
      </c>
      <c r="D8249" t="s">
        <v>27345</v>
      </c>
      <c r="E8249" t="s">
        <v>16</v>
      </c>
      <c r="F8249" t="s">
        <v>23814</v>
      </c>
      <c r="G8249" t="s">
        <v>26338</v>
      </c>
      <c r="H8249" t="s">
        <v>27344</v>
      </c>
      <c r="I8249" t="s">
        <v>27346</v>
      </c>
    </row>
    <row r="8250" spans="1:9">
      <c r="A8250" t="str">
        <f>"0075560 "</f>
        <v xml:space="preserve">0075560 </v>
      </c>
      <c r="B8250" t="s">
        <v>26338</v>
      </c>
      <c r="C8250" t="s">
        <v>27347</v>
      </c>
      <c r="D8250" t="s">
        <v>27348</v>
      </c>
      <c r="E8250">
        <v>3</v>
      </c>
      <c r="F8250" t="s">
        <v>15743</v>
      </c>
      <c r="G8250" t="s">
        <v>26338</v>
      </c>
      <c r="H8250" t="s">
        <v>27347</v>
      </c>
      <c r="I8250" t="s">
        <v>27349</v>
      </c>
    </row>
    <row r="8251" spans="1:9">
      <c r="A8251" t="str">
        <f>"0075562 "</f>
        <v xml:space="preserve">0075562 </v>
      </c>
      <c r="B8251" t="s">
        <v>26338</v>
      </c>
      <c r="C8251" t="s">
        <v>27350</v>
      </c>
      <c r="D8251" t="s">
        <v>27351</v>
      </c>
      <c r="E8251">
        <v>4</v>
      </c>
      <c r="F8251" t="s">
        <v>10108</v>
      </c>
      <c r="G8251" t="s">
        <v>26338</v>
      </c>
      <c r="H8251" t="s">
        <v>27350</v>
      </c>
      <c r="I8251" t="s">
        <v>27352</v>
      </c>
    </row>
    <row r="8252" spans="1:9">
      <c r="A8252" t="str">
        <f>"0075563 "</f>
        <v xml:space="preserve">0075563 </v>
      </c>
      <c r="B8252" t="s">
        <v>26338</v>
      </c>
      <c r="C8252" t="s">
        <v>27353</v>
      </c>
      <c r="D8252" t="s">
        <v>27354</v>
      </c>
      <c r="E8252">
        <v>4</v>
      </c>
      <c r="F8252" t="s">
        <v>27355</v>
      </c>
      <c r="G8252" t="s">
        <v>26338</v>
      </c>
      <c r="H8252" t="s">
        <v>27353</v>
      </c>
      <c r="I8252" t="s">
        <v>27356</v>
      </c>
    </row>
    <row r="8253" spans="1:9">
      <c r="A8253" t="str">
        <f>"0075567 "</f>
        <v xml:space="preserve">0075567 </v>
      </c>
      <c r="B8253" t="s">
        <v>26338</v>
      </c>
      <c r="C8253" t="s">
        <v>27357</v>
      </c>
      <c r="D8253" t="s">
        <v>27358</v>
      </c>
      <c r="E8253">
        <v>3</v>
      </c>
      <c r="F8253" t="s">
        <v>27359</v>
      </c>
      <c r="G8253" t="s">
        <v>26338</v>
      </c>
      <c r="H8253" t="s">
        <v>27357</v>
      </c>
      <c r="I8253" t="s">
        <v>27360</v>
      </c>
    </row>
    <row r="8254" spans="1:9">
      <c r="A8254" t="str">
        <f>"0075570 "</f>
        <v xml:space="preserve">0075570 </v>
      </c>
      <c r="B8254" t="s">
        <v>26338</v>
      </c>
      <c r="C8254" t="s">
        <v>27361</v>
      </c>
      <c r="D8254" t="s">
        <v>27362</v>
      </c>
      <c r="E8254">
        <v>2</v>
      </c>
      <c r="F8254" t="s">
        <v>27363</v>
      </c>
      <c r="G8254" t="s">
        <v>26338</v>
      </c>
      <c r="H8254" t="s">
        <v>27361</v>
      </c>
      <c r="I8254" t="s">
        <v>27364</v>
      </c>
    </row>
    <row r="8255" spans="1:9">
      <c r="A8255" t="str">
        <f>"0075578 "</f>
        <v xml:space="preserve">0075578 </v>
      </c>
      <c r="B8255" t="s">
        <v>26338</v>
      </c>
      <c r="C8255" t="s">
        <v>27365</v>
      </c>
      <c r="D8255" t="s">
        <v>27366</v>
      </c>
      <c r="E8255">
        <v>2</v>
      </c>
      <c r="F8255" t="s">
        <v>27367</v>
      </c>
      <c r="G8255" t="s">
        <v>26338</v>
      </c>
      <c r="H8255" t="s">
        <v>27365</v>
      </c>
      <c r="I8255" t="s">
        <v>27368</v>
      </c>
    </row>
    <row r="8256" spans="1:9">
      <c r="A8256" t="str">
        <f>"0075582 "</f>
        <v xml:space="preserve">0075582 </v>
      </c>
      <c r="B8256" t="s">
        <v>26338</v>
      </c>
      <c r="C8256" t="s">
        <v>27369</v>
      </c>
      <c r="D8256" t="s">
        <v>27370</v>
      </c>
      <c r="E8256">
        <v>2</v>
      </c>
      <c r="F8256" t="s">
        <v>27371</v>
      </c>
      <c r="G8256" t="s">
        <v>26338</v>
      </c>
      <c r="H8256" t="s">
        <v>27369</v>
      </c>
      <c r="I8256" t="s">
        <v>14999</v>
      </c>
    </row>
    <row r="8257" spans="1:9">
      <c r="A8257" t="str">
        <f>"0075583 "</f>
        <v xml:space="preserve">0075583 </v>
      </c>
      <c r="B8257" t="s">
        <v>26338</v>
      </c>
      <c r="C8257" t="s">
        <v>27372</v>
      </c>
      <c r="D8257" t="s">
        <v>27373</v>
      </c>
      <c r="E8257">
        <v>4</v>
      </c>
      <c r="F8257" t="s">
        <v>27371</v>
      </c>
      <c r="G8257" t="s">
        <v>26338</v>
      </c>
      <c r="H8257" t="s">
        <v>27372</v>
      </c>
      <c r="I8257" t="s">
        <v>15003</v>
      </c>
    </row>
    <row r="8258" spans="1:9">
      <c r="A8258" t="str">
        <f>"0075587 "</f>
        <v xml:space="preserve">0075587 </v>
      </c>
      <c r="B8258" t="s">
        <v>26338</v>
      </c>
      <c r="C8258" t="s">
        <v>27374</v>
      </c>
      <c r="D8258" t="s">
        <v>27375</v>
      </c>
      <c r="E8258">
        <v>4</v>
      </c>
      <c r="F8258" t="s">
        <v>27234</v>
      </c>
      <c r="G8258" t="s">
        <v>26338</v>
      </c>
      <c r="H8258" t="s">
        <v>27374</v>
      </c>
      <c r="I8258" t="s">
        <v>27376</v>
      </c>
    </row>
    <row r="8259" spans="1:9">
      <c r="A8259" t="str">
        <f>"0075589 "</f>
        <v xml:space="preserve">0075589 </v>
      </c>
      <c r="B8259" t="s">
        <v>26338</v>
      </c>
      <c r="C8259" t="s">
        <v>27377</v>
      </c>
      <c r="D8259" t="s">
        <v>27378</v>
      </c>
      <c r="E8259">
        <v>4</v>
      </c>
      <c r="F8259" t="s">
        <v>16008</v>
      </c>
      <c r="G8259" t="s">
        <v>26338</v>
      </c>
      <c r="H8259" t="s">
        <v>27377</v>
      </c>
      <c r="I8259" t="s">
        <v>15232</v>
      </c>
    </row>
    <row r="8260" spans="1:9">
      <c r="A8260" t="str">
        <f>"0075592 "</f>
        <v xml:space="preserve">0075592 </v>
      </c>
      <c r="B8260" t="s">
        <v>26338</v>
      </c>
      <c r="C8260" t="s">
        <v>27379</v>
      </c>
      <c r="D8260" t="s">
        <v>27380</v>
      </c>
      <c r="E8260">
        <v>4</v>
      </c>
      <c r="F8260" t="s">
        <v>27381</v>
      </c>
      <c r="G8260" t="s">
        <v>26338</v>
      </c>
      <c r="H8260" t="s">
        <v>27379</v>
      </c>
      <c r="I8260" t="s">
        <v>27382</v>
      </c>
    </row>
    <row r="8261" spans="1:9">
      <c r="A8261" t="str">
        <f>"0075596 "</f>
        <v xml:space="preserve">0075596 </v>
      </c>
      <c r="B8261" t="s">
        <v>26338</v>
      </c>
      <c r="C8261" t="s">
        <v>27383</v>
      </c>
      <c r="D8261" t="s">
        <v>27384</v>
      </c>
      <c r="E8261">
        <v>3</v>
      </c>
      <c r="F8261" t="s">
        <v>27385</v>
      </c>
      <c r="G8261" t="s">
        <v>26338</v>
      </c>
      <c r="H8261" t="s">
        <v>27383</v>
      </c>
      <c r="I8261" t="s">
        <v>27386</v>
      </c>
    </row>
    <row r="8262" spans="1:9">
      <c r="A8262" t="str">
        <f>"0075597 "</f>
        <v xml:space="preserve">0075597 </v>
      </c>
      <c r="B8262" t="s">
        <v>26338</v>
      </c>
      <c r="C8262" t="s">
        <v>27387</v>
      </c>
      <c r="D8262" t="s">
        <v>27388</v>
      </c>
      <c r="E8262">
        <v>4</v>
      </c>
      <c r="F8262" t="s">
        <v>27389</v>
      </c>
      <c r="G8262" t="s">
        <v>26338</v>
      </c>
      <c r="H8262" t="s">
        <v>27387</v>
      </c>
      <c r="I8262" t="s">
        <v>27390</v>
      </c>
    </row>
    <row r="8263" spans="1:9">
      <c r="A8263" t="str">
        <f>"0075598 "</f>
        <v xml:space="preserve">0075598 </v>
      </c>
      <c r="B8263" t="s">
        <v>26338</v>
      </c>
      <c r="C8263" t="s">
        <v>27391</v>
      </c>
      <c r="D8263" t="s">
        <v>27392</v>
      </c>
      <c r="E8263">
        <v>4</v>
      </c>
      <c r="F8263" t="s">
        <v>27393</v>
      </c>
      <c r="G8263" t="s">
        <v>26338</v>
      </c>
      <c r="H8263" t="s">
        <v>27391</v>
      </c>
      <c r="I8263" t="s">
        <v>27394</v>
      </c>
    </row>
    <row r="8264" spans="1:9">
      <c r="A8264" t="str">
        <f>"0075604 "</f>
        <v xml:space="preserve">0075604 </v>
      </c>
      <c r="B8264" t="s">
        <v>26338</v>
      </c>
      <c r="C8264" t="s">
        <v>27395</v>
      </c>
      <c r="D8264" t="s">
        <v>27396</v>
      </c>
      <c r="E8264">
        <v>5</v>
      </c>
      <c r="F8264" t="s">
        <v>27397</v>
      </c>
      <c r="G8264" t="s">
        <v>26338</v>
      </c>
      <c r="H8264" t="s">
        <v>27395</v>
      </c>
      <c r="I8264" t="s">
        <v>27398</v>
      </c>
    </row>
    <row r="8265" spans="1:9">
      <c r="A8265" t="str">
        <f>"0075608 "</f>
        <v xml:space="preserve">0075608 </v>
      </c>
      <c r="B8265" t="s">
        <v>26338</v>
      </c>
      <c r="C8265" t="s">
        <v>27399</v>
      </c>
      <c r="D8265" t="s">
        <v>27400</v>
      </c>
      <c r="E8265">
        <v>4</v>
      </c>
      <c r="F8265" t="s">
        <v>20299</v>
      </c>
      <c r="G8265" t="s">
        <v>26338</v>
      </c>
      <c r="H8265" t="s">
        <v>27399</v>
      </c>
      <c r="I8265" t="s">
        <v>27401</v>
      </c>
    </row>
    <row r="8266" spans="1:9">
      <c r="A8266" t="str">
        <f>"0075620 "</f>
        <v xml:space="preserve">0075620 </v>
      </c>
      <c r="B8266" t="s">
        <v>26338</v>
      </c>
      <c r="C8266" t="s">
        <v>27402</v>
      </c>
      <c r="D8266" t="s">
        <v>27403</v>
      </c>
      <c r="E8266">
        <v>2</v>
      </c>
      <c r="F8266" t="s">
        <v>14760</v>
      </c>
      <c r="G8266" t="s">
        <v>26338</v>
      </c>
      <c r="H8266" t="s">
        <v>27402</v>
      </c>
      <c r="I8266" t="s">
        <v>15560</v>
      </c>
    </row>
    <row r="8267" spans="1:9">
      <c r="A8267" t="str">
        <f>"0075628 "</f>
        <v xml:space="preserve">0075628 </v>
      </c>
      <c r="B8267" t="s">
        <v>26338</v>
      </c>
      <c r="C8267" t="s">
        <v>27404</v>
      </c>
      <c r="D8267" t="s">
        <v>27405</v>
      </c>
      <c r="E8267">
        <v>4</v>
      </c>
      <c r="F8267" t="s">
        <v>27406</v>
      </c>
      <c r="G8267" t="s">
        <v>26338</v>
      </c>
      <c r="H8267" t="s">
        <v>27404</v>
      </c>
      <c r="I8267" t="s">
        <v>15514</v>
      </c>
    </row>
    <row r="8268" spans="1:9">
      <c r="A8268" t="str">
        <f>"0075629 "</f>
        <v xml:space="preserve">0075629 </v>
      </c>
      <c r="B8268" t="s">
        <v>26338</v>
      </c>
      <c r="C8268" t="s">
        <v>27407</v>
      </c>
      <c r="D8268" t="s">
        <v>27408</v>
      </c>
      <c r="E8268">
        <v>2</v>
      </c>
      <c r="F8268" t="s">
        <v>27359</v>
      </c>
      <c r="G8268" t="s">
        <v>26338</v>
      </c>
      <c r="H8268" t="s">
        <v>27407</v>
      </c>
      <c r="I8268" t="s">
        <v>27409</v>
      </c>
    </row>
    <row r="8269" spans="1:9">
      <c r="A8269" t="str">
        <f>"0075631 "</f>
        <v xml:space="preserve">0075631 </v>
      </c>
      <c r="B8269" t="s">
        <v>26338</v>
      </c>
      <c r="C8269" t="s">
        <v>27410</v>
      </c>
      <c r="D8269" t="s">
        <v>27411</v>
      </c>
      <c r="E8269">
        <v>4</v>
      </c>
      <c r="F8269" t="s">
        <v>27298</v>
      </c>
      <c r="G8269" t="s">
        <v>26338</v>
      </c>
      <c r="H8269" t="s">
        <v>27410</v>
      </c>
      <c r="I8269" t="s">
        <v>27412</v>
      </c>
    </row>
    <row r="8270" spans="1:9">
      <c r="A8270" t="str">
        <f>"0075632 "</f>
        <v xml:space="preserve">0075632 </v>
      </c>
      <c r="B8270" t="s">
        <v>26338</v>
      </c>
      <c r="C8270" t="s">
        <v>27413</v>
      </c>
      <c r="D8270" t="s">
        <v>27414</v>
      </c>
      <c r="E8270">
        <v>1</v>
      </c>
      <c r="F8270" t="s">
        <v>26887</v>
      </c>
      <c r="G8270" t="s">
        <v>26338</v>
      </c>
      <c r="H8270" t="s">
        <v>27413</v>
      </c>
      <c r="I8270" t="s">
        <v>27415</v>
      </c>
    </row>
    <row r="8271" spans="1:9">
      <c r="A8271" t="str">
        <f>"0075636 "</f>
        <v xml:space="preserve">0075636 </v>
      </c>
      <c r="B8271" t="s">
        <v>26338</v>
      </c>
      <c r="C8271" t="s">
        <v>27416</v>
      </c>
      <c r="D8271" t="s">
        <v>27417</v>
      </c>
      <c r="E8271">
        <v>1</v>
      </c>
      <c r="F8271" t="s">
        <v>9411</v>
      </c>
      <c r="G8271" t="s">
        <v>26338</v>
      </c>
      <c r="H8271" t="s">
        <v>27416</v>
      </c>
      <c r="I8271" t="s">
        <v>27418</v>
      </c>
    </row>
    <row r="8272" spans="1:9">
      <c r="A8272" t="str">
        <f>"0075648 "</f>
        <v xml:space="preserve">0075648 </v>
      </c>
      <c r="B8272" t="s">
        <v>26338</v>
      </c>
      <c r="C8272" t="s">
        <v>27419</v>
      </c>
      <c r="D8272" t="s">
        <v>27420</v>
      </c>
      <c r="E8272">
        <v>2</v>
      </c>
      <c r="F8272" t="s">
        <v>20359</v>
      </c>
      <c r="G8272" t="s">
        <v>26338</v>
      </c>
      <c r="H8272" t="s">
        <v>27419</v>
      </c>
      <c r="I8272" t="s">
        <v>27421</v>
      </c>
    </row>
    <row r="8273" spans="1:9">
      <c r="A8273" t="str">
        <f>"0075655 "</f>
        <v xml:space="preserve">0075655 </v>
      </c>
      <c r="B8273" t="s">
        <v>26338</v>
      </c>
      <c r="C8273" t="s">
        <v>27422</v>
      </c>
      <c r="D8273" t="s">
        <v>27423</v>
      </c>
      <c r="E8273">
        <v>4</v>
      </c>
      <c r="F8273" t="s">
        <v>27424</v>
      </c>
      <c r="G8273" t="s">
        <v>26338</v>
      </c>
      <c r="H8273" t="s">
        <v>27422</v>
      </c>
      <c r="I8273" t="s">
        <v>27425</v>
      </c>
    </row>
    <row r="8274" spans="1:9">
      <c r="A8274" t="str">
        <f>"0075661 "</f>
        <v xml:space="preserve">0075661 </v>
      </c>
      <c r="B8274" t="s">
        <v>26338</v>
      </c>
      <c r="C8274" t="s">
        <v>27426</v>
      </c>
      <c r="D8274" t="s">
        <v>27427</v>
      </c>
      <c r="E8274">
        <v>2</v>
      </c>
      <c r="F8274" t="s">
        <v>25100</v>
      </c>
      <c r="G8274" t="s">
        <v>26338</v>
      </c>
      <c r="H8274" t="s">
        <v>27426</v>
      </c>
      <c r="I8274" t="s">
        <v>27428</v>
      </c>
    </row>
    <row r="8275" spans="1:9">
      <c r="A8275" t="str">
        <f>"0075667 "</f>
        <v xml:space="preserve">0075667 </v>
      </c>
      <c r="B8275" t="s">
        <v>26338</v>
      </c>
      <c r="C8275" t="s">
        <v>27429</v>
      </c>
      <c r="D8275" t="s">
        <v>27430</v>
      </c>
      <c r="E8275">
        <v>2</v>
      </c>
      <c r="F8275" t="s">
        <v>15863</v>
      </c>
      <c r="G8275" t="s">
        <v>26338</v>
      </c>
      <c r="H8275" t="s">
        <v>27429</v>
      </c>
      <c r="I8275" t="s">
        <v>27431</v>
      </c>
    </row>
    <row r="8276" spans="1:9">
      <c r="A8276" t="str">
        <f>"0075670 "</f>
        <v xml:space="preserve">0075670 </v>
      </c>
      <c r="B8276" t="s">
        <v>26338</v>
      </c>
      <c r="C8276" t="s">
        <v>27432</v>
      </c>
      <c r="D8276" t="s">
        <v>27433</v>
      </c>
      <c r="E8276">
        <v>4</v>
      </c>
      <c r="F8276" t="s">
        <v>6174</v>
      </c>
      <c r="G8276" t="s">
        <v>26338</v>
      </c>
      <c r="H8276" t="s">
        <v>27432</v>
      </c>
      <c r="I8276" t="s">
        <v>27434</v>
      </c>
    </row>
    <row r="8277" spans="1:9">
      <c r="A8277" t="str">
        <f>"0075672 "</f>
        <v xml:space="preserve">0075672 </v>
      </c>
      <c r="B8277" t="s">
        <v>26338</v>
      </c>
      <c r="C8277" t="s">
        <v>27435</v>
      </c>
      <c r="D8277" t="s">
        <v>27436</v>
      </c>
      <c r="E8277">
        <v>4</v>
      </c>
      <c r="F8277" t="s">
        <v>17505</v>
      </c>
      <c r="G8277" t="s">
        <v>26338</v>
      </c>
      <c r="H8277" t="s">
        <v>27435</v>
      </c>
      <c r="I8277" t="s">
        <v>27437</v>
      </c>
    </row>
    <row r="8278" spans="1:9">
      <c r="A8278" t="str">
        <f>"0075680 "</f>
        <v xml:space="preserve">0075680 </v>
      </c>
      <c r="B8278" t="s">
        <v>26338</v>
      </c>
      <c r="C8278" t="s">
        <v>27438</v>
      </c>
      <c r="D8278" t="s">
        <v>27439</v>
      </c>
      <c r="E8278">
        <v>1</v>
      </c>
      <c r="F8278" t="s">
        <v>27440</v>
      </c>
      <c r="G8278" t="s">
        <v>26338</v>
      </c>
      <c r="H8278" t="s">
        <v>27438</v>
      </c>
      <c r="I8278" t="s">
        <v>27441</v>
      </c>
    </row>
    <row r="8279" spans="1:9">
      <c r="A8279" t="str">
        <f>"0075681 "</f>
        <v xml:space="preserve">0075681 </v>
      </c>
      <c r="B8279" t="s">
        <v>26338</v>
      </c>
      <c r="C8279" t="s">
        <v>27442</v>
      </c>
      <c r="D8279" t="s">
        <v>27443</v>
      </c>
      <c r="E8279">
        <v>3</v>
      </c>
      <c r="F8279" t="s">
        <v>27444</v>
      </c>
      <c r="G8279" t="s">
        <v>26338</v>
      </c>
      <c r="H8279" t="s">
        <v>27442</v>
      </c>
      <c r="I8279" t="s">
        <v>27445</v>
      </c>
    </row>
    <row r="8280" spans="1:9">
      <c r="A8280" t="str">
        <f>"0075682 "</f>
        <v xml:space="preserve">0075682 </v>
      </c>
      <c r="B8280" t="s">
        <v>26338</v>
      </c>
      <c r="C8280" t="s">
        <v>27446</v>
      </c>
      <c r="D8280" t="s">
        <v>27447</v>
      </c>
      <c r="E8280">
        <v>2</v>
      </c>
      <c r="F8280" t="s">
        <v>4930</v>
      </c>
      <c r="G8280" t="s">
        <v>26338</v>
      </c>
      <c r="H8280" t="s">
        <v>27446</v>
      </c>
      <c r="I8280" t="s">
        <v>27448</v>
      </c>
    </row>
    <row r="8281" spans="1:9">
      <c r="A8281" t="str">
        <f>"0075694 "</f>
        <v xml:space="preserve">0075694 </v>
      </c>
      <c r="B8281" t="s">
        <v>26338</v>
      </c>
      <c r="C8281" t="s">
        <v>27449</v>
      </c>
      <c r="D8281" t="s">
        <v>27450</v>
      </c>
      <c r="E8281">
        <v>4</v>
      </c>
      <c r="F8281" t="s">
        <v>8689</v>
      </c>
      <c r="G8281" t="s">
        <v>26338</v>
      </c>
      <c r="H8281" t="s">
        <v>27449</v>
      </c>
      <c r="I8281" t="s">
        <v>27451</v>
      </c>
    </row>
    <row r="8282" spans="1:9">
      <c r="A8282" t="str">
        <f>"0075701 "</f>
        <v xml:space="preserve">0075701 </v>
      </c>
      <c r="B8282" t="s">
        <v>26338</v>
      </c>
      <c r="C8282" t="s">
        <v>27452</v>
      </c>
      <c r="D8282" t="s">
        <v>27453</v>
      </c>
      <c r="E8282">
        <v>4</v>
      </c>
      <c r="F8282" t="s">
        <v>27454</v>
      </c>
      <c r="G8282" t="s">
        <v>26338</v>
      </c>
      <c r="H8282" t="s">
        <v>27452</v>
      </c>
      <c r="I8282" t="s">
        <v>27455</v>
      </c>
    </row>
    <row r="8283" spans="1:9">
      <c r="A8283" t="str">
        <f>"0075704 "</f>
        <v xml:space="preserve">0075704 </v>
      </c>
      <c r="B8283" t="s">
        <v>26338</v>
      </c>
      <c r="C8283" t="s">
        <v>27456</v>
      </c>
      <c r="D8283" t="s">
        <v>27457</v>
      </c>
      <c r="E8283">
        <v>4</v>
      </c>
      <c r="F8283" t="s">
        <v>27458</v>
      </c>
      <c r="G8283" t="s">
        <v>26338</v>
      </c>
      <c r="H8283" t="s">
        <v>27456</v>
      </c>
      <c r="I8283" t="s">
        <v>27459</v>
      </c>
    </row>
    <row r="8284" spans="1:9">
      <c r="A8284" t="str">
        <f>"0075707 "</f>
        <v xml:space="preserve">0075707 </v>
      </c>
      <c r="B8284" t="s">
        <v>26338</v>
      </c>
      <c r="C8284" t="s">
        <v>27460</v>
      </c>
      <c r="D8284" t="s">
        <v>27461</v>
      </c>
      <c r="E8284">
        <v>3</v>
      </c>
      <c r="F8284" t="s">
        <v>27462</v>
      </c>
      <c r="G8284" t="s">
        <v>26338</v>
      </c>
      <c r="H8284" t="s">
        <v>27460</v>
      </c>
      <c r="I8284" t="s">
        <v>27463</v>
      </c>
    </row>
    <row r="8285" spans="1:9">
      <c r="A8285" t="str">
        <f>"0075708 "</f>
        <v xml:space="preserve">0075708 </v>
      </c>
      <c r="B8285" t="s">
        <v>26338</v>
      </c>
      <c r="C8285" t="s">
        <v>27464</v>
      </c>
      <c r="D8285" t="s">
        <v>27465</v>
      </c>
      <c r="E8285">
        <v>4</v>
      </c>
      <c r="F8285" t="s">
        <v>20782</v>
      </c>
      <c r="G8285" t="s">
        <v>26338</v>
      </c>
      <c r="H8285" t="s">
        <v>27464</v>
      </c>
      <c r="I8285" t="s">
        <v>27466</v>
      </c>
    </row>
    <row r="8286" spans="1:9">
      <c r="A8286" t="str">
        <f>"0075714 "</f>
        <v xml:space="preserve">0075714 </v>
      </c>
      <c r="B8286" t="s">
        <v>26338</v>
      </c>
      <c r="C8286" t="s">
        <v>27467</v>
      </c>
      <c r="D8286" t="s">
        <v>27468</v>
      </c>
      <c r="E8286">
        <v>2</v>
      </c>
      <c r="F8286" t="s">
        <v>27469</v>
      </c>
      <c r="G8286" t="s">
        <v>26338</v>
      </c>
      <c r="H8286" t="s">
        <v>27467</v>
      </c>
      <c r="I8286" t="s">
        <v>27470</v>
      </c>
    </row>
    <row r="8287" spans="1:9">
      <c r="A8287" t="str">
        <f>"0075721 "</f>
        <v xml:space="preserve">0075721 </v>
      </c>
      <c r="B8287" t="s">
        <v>26338</v>
      </c>
      <c r="C8287" t="s">
        <v>27471</v>
      </c>
      <c r="D8287" t="s">
        <v>27472</v>
      </c>
      <c r="E8287">
        <v>1</v>
      </c>
      <c r="F8287" t="s">
        <v>27473</v>
      </c>
      <c r="G8287" t="s">
        <v>26338</v>
      </c>
      <c r="H8287" t="s">
        <v>27471</v>
      </c>
      <c r="I8287" t="s">
        <v>27474</v>
      </c>
    </row>
    <row r="8288" spans="1:9">
      <c r="A8288" t="str">
        <f>"0075723 "</f>
        <v xml:space="preserve">0075723 </v>
      </c>
      <c r="B8288" t="s">
        <v>26338</v>
      </c>
      <c r="C8288" t="s">
        <v>27475</v>
      </c>
      <c r="D8288" t="s">
        <v>27476</v>
      </c>
      <c r="E8288">
        <v>4</v>
      </c>
      <c r="F8288" t="s">
        <v>27477</v>
      </c>
      <c r="G8288" t="s">
        <v>26338</v>
      </c>
      <c r="H8288" t="s">
        <v>27475</v>
      </c>
      <c r="I8288" t="s">
        <v>27478</v>
      </c>
    </row>
    <row r="8289" spans="1:9">
      <c r="A8289" t="str">
        <f>"0075727 "</f>
        <v xml:space="preserve">0075727 </v>
      </c>
      <c r="B8289" t="s">
        <v>26338</v>
      </c>
      <c r="C8289" t="s">
        <v>27479</v>
      </c>
      <c r="D8289" t="s">
        <v>27480</v>
      </c>
      <c r="E8289">
        <v>2</v>
      </c>
      <c r="F8289" t="s">
        <v>27481</v>
      </c>
      <c r="G8289" t="s">
        <v>26338</v>
      </c>
      <c r="H8289" t="s">
        <v>27479</v>
      </c>
      <c r="I8289" t="s">
        <v>27482</v>
      </c>
    </row>
    <row r="8290" spans="1:9">
      <c r="A8290" t="str">
        <f>"0075728 "</f>
        <v xml:space="preserve">0075728 </v>
      </c>
      <c r="B8290" t="s">
        <v>26338</v>
      </c>
      <c r="C8290" t="s">
        <v>27483</v>
      </c>
      <c r="D8290" t="s">
        <v>27484</v>
      </c>
      <c r="E8290">
        <v>4</v>
      </c>
      <c r="F8290" t="s">
        <v>27485</v>
      </c>
      <c r="G8290" t="s">
        <v>26338</v>
      </c>
      <c r="H8290" t="s">
        <v>27483</v>
      </c>
      <c r="I8290" t="s">
        <v>14652</v>
      </c>
    </row>
    <row r="8291" spans="1:9">
      <c r="A8291" t="str">
        <f>"0075743 "</f>
        <v xml:space="preserve">0075743 </v>
      </c>
      <c r="B8291" t="s">
        <v>26338</v>
      </c>
      <c r="C8291" t="s">
        <v>27486</v>
      </c>
      <c r="D8291" t="s">
        <v>27487</v>
      </c>
      <c r="E8291">
        <v>2</v>
      </c>
      <c r="F8291" t="s">
        <v>8789</v>
      </c>
      <c r="G8291" t="s">
        <v>26338</v>
      </c>
      <c r="H8291" t="s">
        <v>27486</v>
      </c>
      <c r="I8291" t="s">
        <v>27488</v>
      </c>
    </row>
    <row r="8292" spans="1:9">
      <c r="A8292" t="str">
        <f>"0075749 "</f>
        <v xml:space="preserve">0075749 </v>
      </c>
      <c r="B8292" t="s">
        <v>26338</v>
      </c>
      <c r="C8292" t="s">
        <v>27489</v>
      </c>
      <c r="D8292" t="s">
        <v>27490</v>
      </c>
      <c r="E8292">
        <v>4</v>
      </c>
      <c r="F8292" t="s">
        <v>3703</v>
      </c>
      <c r="G8292" t="s">
        <v>26338</v>
      </c>
      <c r="H8292" t="s">
        <v>27489</v>
      </c>
      <c r="I8292" t="s">
        <v>27491</v>
      </c>
    </row>
    <row r="8293" spans="1:9">
      <c r="A8293" t="str">
        <f>"0075751 "</f>
        <v xml:space="preserve">0075751 </v>
      </c>
      <c r="B8293" t="s">
        <v>26338</v>
      </c>
      <c r="C8293" t="s">
        <v>27492</v>
      </c>
      <c r="D8293" t="s">
        <v>27493</v>
      </c>
      <c r="E8293">
        <v>4</v>
      </c>
      <c r="F8293" t="s">
        <v>8999</v>
      </c>
      <c r="G8293" t="s">
        <v>26338</v>
      </c>
      <c r="H8293" t="s">
        <v>27492</v>
      </c>
      <c r="I8293" t="s">
        <v>27494</v>
      </c>
    </row>
    <row r="8294" spans="1:9">
      <c r="A8294" t="str">
        <f>"0075752 "</f>
        <v xml:space="preserve">0075752 </v>
      </c>
      <c r="B8294" t="s">
        <v>26338</v>
      </c>
      <c r="C8294" t="s">
        <v>27495</v>
      </c>
      <c r="D8294" t="s">
        <v>27496</v>
      </c>
      <c r="E8294">
        <v>4</v>
      </c>
      <c r="F8294" t="s">
        <v>15112</v>
      </c>
      <c r="G8294" t="s">
        <v>26338</v>
      </c>
      <c r="H8294" t="s">
        <v>27495</v>
      </c>
      <c r="I8294" t="s">
        <v>27494</v>
      </c>
    </row>
    <row r="8295" spans="1:9">
      <c r="A8295" t="str">
        <f>"0075754 "</f>
        <v xml:space="preserve">0075754 </v>
      </c>
      <c r="B8295" t="s">
        <v>26338</v>
      </c>
      <c r="C8295" t="s">
        <v>27497</v>
      </c>
      <c r="D8295" t="s">
        <v>27498</v>
      </c>
      <c r="E8295">
        <v>4</v>
      </c>
      <c r="F8295" t="s">
        <v>9882</v>
      </c>
      <c r="G8295" t="s">
        <v>26338</v>
      </c>
      <c r="H8295" t="s">
        <v>27497</v>
      </c>
      <c r="I8295" t="s">
        <v>27499</v>
      </c>
    </row>
    <row r="8296" spans="1:9">
      <c r="A8296" t="str">
        <f>"0075773 "</f>
        <v xml:space="preserve">0075773 </v>
      </c>
      <c r="B8296" t="s">
        <v>26338</v>
      </c>
      <c r="C8296" t="s">
        <v>27500</v>
      </c>
      <c r="D8296" t="s">
        <v>27501</v>
      </c>
      <c r="E8296">
        <v>2</v>
      </c>
      <c r="F8296" t="s">
        <v>27502</v>
      </c>
      <c r="G8296" t="s">
        <v>26338</v>
      </c>
      <c r="H8296" t="s">
        <v>27500</v>
      </c>
      <c r="I8296" t="s">
        <v>27503</v>
      </c>
    </row>
    <row r="8297" spans="1:9">
      <c r="A8297" t="str">
        <f>"0075774 "</f>
        <v xml:space="preserve">0075774 </v>
      </c>
      <c r="B8297" t="s">
        <v>26338</v>
      </c>
      <c r="C8297" t="s">
        <v>27504</v>
      </c>
      <c r="D8297" t="s">
        <v>27505</v>
      </c>
      <c r="E8297">
        <v>2</v>
      </c>
      <c r="F8297" t="s">
        <v>19965</v>
      </c>
      <c r="G8297" t="s">
        <v>26338</v>
      </c>
      <c r="H8297" t="s">
        <v>27504</v>
      </c>
      <c r="I8297" t="s">
        <v>27503</v>
      </c>
    </row>
    <row r="8298" spans="1:9">
      <c r="A8298" t="str">
        <f>"0075775 "</f>
        <v xml:space="preserve">0075775 </v>
      </c>
      <c r="B8298" t="s">
        <v>26338</v>
      </c>
      <c r="C8298" t="s">
        <v>27506</v>
      </c>
      <c r="D8298" t="s">
        <v>27507</v>
      </c>
      <c r="E8298">
        <v>2</v>
      </c>
      <c r="F8298" t="s">
        <v>15107</v>
      </c>
      <c r="G8298" t="s">
        <v>26338</v>
      </c>
      <c r="H8298" t="s">
        <v>27506</v>
      </c>
      <c r="I8298" t="s">
        <v>27508</v>
      </c>
    </row>
    <row r="8299" spans="1:9">
      <c r="A8299" t="str">
        <f>"0075777 "</f>
        <v xml:space="preserve">0075777 </v>
      </c>
      <c r="B8299" t="s">
        <v>26338</v>
      </c>
      <c r="C8299" t="s">
        <v>27509</v>
      </c>
      <c r="D8299" t="s">
        <v>27510</v>
      </c>
      <c r="E8299">
        <v>2</v>
      </c>
      <c r="F8299" t="s">
        <v>24960</v>
      </c>
      <c r="G8299" t="s">
        <v>26338</v>
      </c>
      <c r="H8299" t="s">
        <v>27509</v>
      </c>
      <c r="I8299" t="s">
        <v>27511</v>
      </c>
    </row>
    <row r="8300" spans="1:9">
      <c r="A8300" t="str">
        <f>"0075782 "</f>
        <v xml:space="preserve">0075782 </v>
      </c>
      <c r="B8300" t="s">
        <v>26338</v>
      </c>
      <c r="C8300" t="s">
        <v>27512</v>
      </c>
      <c r="D8300" t="s">
        <v>27513</v>
      </c>
      <c r="E8300">
        <v>4</v>
      </c>
      <c r="F8300" t="s">
        <v>27514</v>
      </c>
      <c r="G8300" t="s">
        <v>26338</v>
      </c>
      <c r="H8300" t="s">
        <v>27512</v>
      </c>
      <c r="I8300" t="s">
        <v>27515</v>
      </c>
    </row>
    <row r="8301" spans="1:9">
      <c r="A8301" t="str">
        <f>"0075787 "</f>
        <v xml:space="preserve">0075787 </v>
      </c>
      <c r="B8301" t="s">
        <v>26338</v>
      </c>
      <c r="C8301" t="s">
        <v>27516</v>
      </c>
      <c r="D8301" t="s">
        <v>27517</v>
      </c>
      <c r="E8301">
        <v>4</v>
      </c>
      <c r="F8301" t="s">
        <v>31</v>
      </c>
      <c r="G8301" t="s">
        <v>26338</v>
      </c>
      <c r="H8301" t="s">
        <v>27516</v>
      </c>
      <c r="I8301" t="s">
        <v>27518</v>
      </c>
    </row>
    <row r="8302" spans="1:9">
      <c r="A8302" t="str">
        <f>"0075788 "</f>
        <v xml:space="preserve">0075788 </v>
      </c>
      <c r="B8302" t="s">
        <v>26338</v>
      </c>
      <c r="C8302" t="s">
        <v>27519</v>
      </c>
      <c r="D8302" t="s">
        <v>27520</v>
      </c>
      <c r="E8302">
        <v>4</v>
      </c>
      <c r="F8302" t="s">
        <v>17505</v>
      </c>
      <c r="G8302" t="s">
        <v>26338</v>
      </c>
      <c r="H8302" t="s">
        <v>27519</v>
      </c>
      <c r="I8302" t="s">
        <v>27521</v>
      </c>
    </row>
    <row r="8303" spans="1:9">
      <c r="A8303" t="str">
        <f>"0075789 "</f>
        <v xml:space="preserve">0075789 </v>
      </c>
      <c r="B8303" t="s">
        <v>26338</v>
      </c>
      <c r="C8303" t="s">
        <v>27522</v>
      </c>
      <c r="D8303" t="s">
        <v>27523</v>
      </c>
      <c r="E8303">
        <v>3</v>
      </c>
      <c r="F8303" t="s">
        <v>27524</v>
      </c>
      <c r="G8303" t="s">
        <v>26338</v>
      </c>
      <c r="H8303" t="s">
        <v>27522</v>
      </c>
      <c r="I8303" t="s">
        <v>27525</v>
      </c>
    </row>
    <row r="8304" spans="1:9">
      <c r="A8304" t="str">
        <f>"0075790 "</f>
        <v xml:space="preserve">0075790 </v>
      </c>
      <c r="B8304" t="s">
        <v>26338</v>
      </c>
      <c r="C8304" t="s">
        <v>27526</v>
      </c>
      <c r="D8304" t="s">
        <v>27527</v>
      </c>
      <c r="E8304">
        <v>3</v>
      </c>
      <c r="F8304" t="s">
        <v>27528</v>
      </c>
      <c r="G8304" t="s">
        <v>26338</v>
      </c>
      <c r="H8304" t="s">
        <v>27526</v>
      </c>
      <c r="I8304" t="s">
        <v>27525</v>
      </c>
    </row>
    <row r="8305" spans="1:9">
      <c r="A8305" t="str">
        <f>"0075803 "</f>
        <v xml:space="preserve">0075803 </v>
      </c>
      <c r="B8305" t="s">
        <v>26338</v>
      </c>
      <c r="C8305" t="s">
        <v>27529</v>
      </c>
      <c r="D8305" t="s">
        <v>27530</v>
      </c>
      <c r="E8305">
        <v>2</v>
      </c>
      <c r="F8305" t="s">
        <v>8374</v>
      </c>
      <c r="G8305" t="s">
        <v>26338</v>
      </c>
      <c r="H8305" t="s">
        <v>27529</v>
      </c>
      <c r="I8305" t="s">
        <v>27531</v>
      </c>
    </row>
    <row r="8306" spans="1:9">
      <c r="A8306" t="str">
        <f>"0075804 "</f>
        <v xml:space="preserve">0075804 </v>
      </c>
      <c r="B8306" t="s">
        <v>26338</v>
      </c>
      <c r="C8306" t="s">
        <v>27532</v>
      </c>
      <c r="D8306" t="s">
        <v>27533</v>
      </c>
      <c r="E8306">
        <v>2</v>
      </c>
      <c r="F8306" t="s">
        <v>27534</v>
      </c>
      <c r="G8306" t="s">
        <v>26338</v>
      </c>
      <c r="H8306" t="s">
        <v>27532</v>
      </c>
      <c r="I8306" t="s">
        <v>27535</v>
      </c>
    </row>
    <row r="8307" spans="1:9">
      <c r="A8307" t="str">
        <f>"0075825 "</f>
        <v xml:space="preserve">0075825 </v>
      </c>
      <c r="B8307" t="s">
        <v>26338</v>
      </c>
      <c r="C8307" t="s">
        <v>27536</v>
      </c>
      <c r="D8307" t="s">
        <v>27537</v>
      </c>
      <c r="E8307">
        <v>2</v>
      </c>
      <c r="F8307" t="s">
        <v>27528</v>
      </c>
      <c r="G8307" t="s">
        <v>26338</v>
      </c>
      <c r="H8307" t="s">
        <v>27536</v>
      </c>
      <c r="I8307" t="s">
        <v>27538</v>
      </c>
    </row>
    <row r="8308" spans="1:9">
      <c r="A8308" t="str">
        <f>"0075830 "</f>
        <v xml:space="preserve">0075830 </v>
      </c>
      <c r="B8308" t="s">
        <v>26338</v>
      </c>
      <c r="C8308" t="s">
        <v>27539</v>
      </c>
      <c r="D8308" t="s">
        <v>27540</v>
      </c>
      <c r="E8308">
        <v>2</v>
      </c>
      <c r="F8308" t="s">
        <v>27541</v>
      </c>
      <c r="G8308" t="s">
        <v>26338</v>
      </c>
      <c r="H8308" t="s">
        <v>27539</v>
      </c>
      <c r="I8308" t="s">
        <v>27542</v>
      </c>
    </row>
    <row r="8309" spans="1:9">
      <c r="A8309" t="str">
        <f>"0075832 "</f>
        <v xml:space="preserve">0075832 </v>
      </c>
      <c r="B8309" t="s">
        <v>26338</v>
      </c>
      <c r="C8309" t="s">
        <v>27543</v>
      </c>
      <c r="D8309" t="s">
        <v>27544</v>
      </c>
      <c r="E8309">
        <v>4</v>
      </c>
      <c r="F8309" t="s">
        <v>27545</v>
      </c>
      <c r="G8309" t="s">
        <v>26338</v>
      </c>
      <c r="H8309" t="s">
        <v>27543</v>
      </c>
      <c r="I8309" t="s">
        <v>27546</v>
      </c>
    </row>
    <row r="8310" spans="1:9">
      <c r="A8310" t="str">
        <f>"0075833 "</f>
        <v xml:space="preserve">0075833 </v>
      </c>
      <c r="B8310" t="s">
        <v>26338</v>
      </c>
      <c r="C8310" t="s">
        <v>27547</v>
      </c>
      <c r="D8310" t="s">
        <v>27548</v>
      </c>
      <c r="E8310">
        <v>1</v>
      </c>
      <c r="F8310" t="s">
        <v>27528</v>
      </c>
      <c r="G8310" t="s">
        <v>26338</v>
      </c>
      <c r="H8310" t="s">
        <v>27547</v>
      </c>
      <c r="I8310" t="s">
        <v>27549</v>
      </c>
    </row>
    <row r="8311" spans="1:9">
      <c r="A8311" t="str">
        <f>"0075844 "</f>
        <v xml:space="preserve">0075844 </v>
      </c>
      <c r="B8311" t="s">
        <v>26338</v>
      </c>
      <c r="C8311" t="s">
        <v>27550</v>
      </c>
      <c r="D8311" t="s">
        <v>27551</v>
      </c>
      <c r="E8311">
        <v>4</v>
      </c>
      <c r="F8311" t="s">
        <v>9790</v>
      </c>
      <c r="G8311" t="s">
        <v>26338</v>
      </c>
      <c r="H8311" t="s">
        <v>27550</v>
      </c>
      <c r="I8311" t="s">
        <v>27552</v>
      </c>
    </row>
    <row r="8312" spans="1:9">
      <c r="A8312" t="str">
        <f>"0075847 "</f>
        <v xml:space="preserve">0075847 </v>
      </c>
      <c r="B8312" t="s">
        <v>26338</v>
      </c>
      <c r="C8312" t="s">
        <v>27553</v>
      </c>
      <c r="D8312" t="s">
        <v>27554</v>
      </c>
      <c r="E8312">
        <v>4</v>
      </c>
      <c r="F8312" t="s">
        <v>27555</v>
      </c>
      <c r="G8312" t="s">
        <v>26338</v>
      </c>
      <c r="H8312" t="s">
        <v>27553</v>
      </c>
      <c r="I8312" t="s">
        <v>27556</v>
      </c>
    </row>
    <row r="8313" spans="1:9">
      <c r="A8313" t="str">
        <f>"0075849 "</f>
        <v xml:space="preserve">0075849 </v>
      </c>
      <c r="B8313" t="s">
        <v>26338</v>
      </c>
      <c r="C8313" t="s">
        <v>27557</v>
      </c>
      <c r="D8313" t="s">
        <v>27558</v>
      </c>
      <c r="E8313">
        <v>2</v>
      </c>
      <c r="F8313" t="s">
        <v>15174</v>
      </c>
      <c r="G8313" t="s">
        <v>26338</v>
      </c>
      <c r="H8313" t="s">
        <v>27557</v>
      </c>
      <c r="I8313" t="s">
        <v>27559</v>
      </c>
    </row>
    <row r="8314" spans="1:9">
      <c r="A8314" t="str">
        <f>"0075853 "</f>
        <v xml:space="preserve">0075853 </v>
      </c>
      <c r="B8314" t="s">
        <v>26338</v>
      </c>
      <c r="C8314" t="s">
        <v>27560</v>
      </c>
      <c r="D8314" t="s">
        <v>27561</v>
      </c>
      <c r="E8314">
        <v>2</v>
      </c>
      <c r="F8314" t="s">
        <v>24572</v>
      </c>
      <c r="G8314" t="s">
        <v>26338</v>
      </c>
      <c r="H8314" t="s">
        <v>27560</v>
      </c>
      <c r="I8314" t="s">
        <v>27562</v>
      </c>
    </row>
    <row r="8315" spans="1:9">
      <c r="A8315" t="str">
        <f>"0075854 "</f>
        <v xml:space="preserve">0075854 </v>
      </c>
      <c r="B8315" t="s">
        <v>26338</v>
      </c>
      <c r="C8315" t="s">
        <v>27563</v>
      </c>
      <c r="D8315" t="s">
        <v>27564</v>
      </c>
      <c r="E8315">
        <v>4</v>
      </c>
      <c r="F8315" t="s">
        <v>27565</v>
      </c>
      <c r="G8315" t="s">
        <v>26338</v>
      </c>
      <c r="H8315" t="s">
        <v>27563</v>
      </c>
      <c r="I8315" t="s">
        <v>27566</v>
      </c>
    </row>
    <row r="8316" spans="1:9">
      <c r="A8316" t="str">
        <f>"0075858 "</f>
        <v xml:space="preserve">0075858 </v>
      </c>
      <c r="B8316" t="s">
        <v>26338</v>
      </c>
      <c r="C8316" t="s">
        <v>27567</v>
      </c>
      <c r="D8316" t="s">
        <v>27568</v>
      </c>
      <c r="E8316">
        <v>2</v>
      </c>
      <c r="F8316" t="s">
        <v>24893</v>
      </c>
      <c r="G8316" t="s">
        <v>26338</v>
      </c>
      <c r="H8316" t="s">
        <v>27567</v>
      </c>
      <c r="I8316" t="s">
        <v>27569</v>
      </c>
    </row>
    <row r="8317" spans="1:9">
      <c r="A8317" t="str">
        <f>"0075862 "</f>
        <v xml:space="preserve">0075862 </v>
      </c>
      <c r="B8317" t="s">
        <v>26338</v>
      </c>
      <c r="C8317" t="s">
        <v>27570</v>
      </c>
      <c r="D8317" t="s">
        <v>27571</v>
      </c>
      <c r="E8317">
        <v>4</v>
      </c>
      <c r="F8317" t="s">
        <v>27572</v>
      </c>
      <c r="G8317" t="s">
        <v>26338</v>
      </c>
      <c r="H8317" t="s">
        <v>27570</v>
      </c>
      <c r="I8317" t="s">
        <v>27573</v>
      </c>
    </row>
    <row r="8318" spans="1:9">
      <c r="A8318" t="str">
        <f>"0075863 "</f>
        <v xml:space="preserve">0075863 </v>
      </c>
      <c r="B8318" t="s">
        <v>26338</v>
      </c>
      <c r="C8318" t="s">
        <v>27574</v>
      </c>
      <c r="D8318" t="s">
        <v>27575</v>
      </c>
      <c r="E8318">
        <v>4</v>
      </c>
      <c r="F8318" t="s">
        <v>27572</v>
      </c>
      <c r="G8318" t="s">
        <v>26338</v>
      </c>
      <c r="H8318" t="s">
        <v>27574</v>
      </c>
      <c r="I8318" t="s">
        <v>27573</v>
      </c>
    </row>
    <row r="8319" spans="1:9">
      <c r="A8319" t="str">
        <f>"0075868 "</f>
        <v xml:space="preserve">0075868 </v>
      </c>
      <c r="B8319" t="s">
        <v>26338</v>
      </c>
      <c r="C8319" t="s">
        <v>27576</v>
      </c>
      <c r="D8319" t="s">
        <v>27577</v>
      </c>
      <c r="E8319">
        <v>2</v>
      </c>
      <c r="F8319" t="s">
        <v>24995</v>
      </c>
      <c r="G8319" t="s">
        <v>26338</v>
      </c>
      <c r="H8319" t="s">
        <v>27576</v>
      </c>
      <c r="I8319" t="s">
        <v>27578</v>
      </c>
    </row>
    <row r="8320" spans="1:9">
      <c r="A8320" t="str">
        <f>"0075879 "</f>
        <v xml:space="preserve">0075879 </v>
      </c>
      <c r="B8320" t="s">
        <v>26338</v>
      </c>
      <c r="C8320" t="s">
        <v>27579</v>
      </c>
      <c r="D8320" t="s">
        <v>27580</v>
      </c>
      <c r="E8320">
        <v>1</v>
      </c>
      <c r="F8320" t="s">
        <v>27581</v>
      </c>
      <c r="G8320" t="s">
        <v>26338</v>
      </c>
      <c r="H8320" t="s">
        <v>27579</v>
      </c>
      <c r="I8320" t="s">
        <v>27582</v>
      </c>
    </row>
    <row r="8321" spans="1:9">
      <c r="A8321" t="str">
        <f>"0075880 "</f>
        <v xml:space="preserve">0075880 </v>
      </c>
      <c r="B8321" t="s">
        <v>26338</v>
      </c>
      <c r="C8321" t="s">
        <v>27583</v>
      </c>
      <c r="D8321" t="s">
        <v>27584</v>
      </c>
      <c r="E8321">
        <v>4</v>
      </c>
      <c r="F8321" t="s">
        <v>27585</v>
      </c>
      <c r="G8321" t="s">
        <v>26338</v>
      </c>
      <c r="H8321" t="s">
        <v>27583</v>
      </c>
      <c r="I8321" t="s">
        <v>27586</v>
      </c>
    </row>
    <row r="8322" spans="1:9">
      <c r="A8322" t="str">
        <f>"0075881 "</f>
        <v xml:space="preserve">0075881 </v>
      </c>
      <c r="B8322" t="s">
        <v>26338</v>
      </c>
      <c r="C8322" t="s">
        <v>27587</v>
      </c>
      <c r="D8322" t="s">
        <v>27588</v>
      </c>
      <c r="E8322" t="s">
        <v>16</v>
      </c>
      <c r="F8322" t="s">
        <v>27589</v>
      </c>
      <c r="G8322" t="s">
        <v>26338</v>
      </c>
      <c r="H8322" t="s">
        <v>27587</v>
      </c>
      <c r="I8322" t="s">
        <v>27586</v>
      </c>
    </row>
    <row r="8323" spans="1:9">
      <c r="A8323" t="str">
        <f>"0075896 "</f>
        <v xml:space="preserve">0075896 </v>
      </c>
      <c r="B8323" t="s">
        <v>26338</v>
      </c>
      <c r="C8323" t="s">
        <v>27590</v>
      </c>
      <c r="D8323" t="s">
        <v>27591</v>
      </c>
      <c r="E8323">
        <v>4</v>
      </c>
      <c r="F8323" t="s">
        <v>24572</v>
      </c>
      <c r="G8323" t="s">
        <v>26338</v>
      </c>
      <c r="H8323" t="s">
        <v>27590</v>
      </c>
      <c r="I8323" t="s">
        <v>27592</v>
      </c>
    </row>
    <row r="8324" spans="1:9">
      <c r="A8324" t="str">
        <f>"0075897 "</f>
        <v xml:space="preserve">0075897 </v>
      </c>
      <c r="B8324" t="s">
        <v>26338</v>
      </c>
      <c r="C8324" t="s">
        <v>27593</v>
      </c>
      <c r="D8324" t="s">
        <v>27594</v>
      </c>
      <c r="E8324">
        <v>2</v>
      </c>
      <c r="F8324" t="s">
        <v>19992</v>
      </c>
      <c r="G8324" t="s">
        <v>26338</v>
      </c>
      <c r="H8324" t="s">
        <v>27593</v>
      </c>
      <c r="I8324" t="s">
        <v>27595</v>
      </c>
    </row>
    <row r="8325" spans="1:9">
      <c r="A8325" t="str">
        <f>"0075900 "</f>
        <v xml:space="preserve">0075900 </v>
      </c>
      <c r="B8325" t="s">
        <v>26338</v>
      </c>
      <c r="C8325" t="s">
        <v>27596</v>
      </c>
      <c r="D8325" t="s">
        <v>27597</v>
      </c>
      <c r="E8325">
        <v>1</v>
      </c>
      <c r="F8325" t="s">
        <v>27598</v>
      </c>
      <c r="G8325" t="s">
        <v>26338</v>
      </c>
      <c r="H8325" t="s">
        <v>27596</v>
      </c>
      <c r="I8325" t="s">
        <v>27599</v>
      </c>
    </row>
    <row r="8326" spans="1:9">
      <c r="A8326" t="str">
        <f>"0075901 "</f>
        <v xml:space="preserve">0075901 </v>
      </c>
      <c r="B8326" t="s">
        <v>26338</v>
      </c>
      <c r="C8326" t="s">
        <v>27600</v>
      </c>
      <c r="D8326" t="s">
        <v>27601</v>
      </c>
      <c r="E8326">
        <v>2</v>
      </c>
      <c r="F8326" t="s">
        <v>27598</v>
      </c>
      <c r="G8326" t="s">
        <v>26338</v>
      </c>
      <c r="H8326" t="s">
        <v>27600</v>
      </c>
      <c r="I8326" t="s">
        <v>27602</v>
      </c>
    </row>
    <row r="8327" spans="1:9">
      <c r="A8327" t="str">
        <f>"0075902 "</f>
        <v xml:space="preserve">0075902 </v>
      </c>
      <c r="B8327" t="s">
        <v>26338</v>
      </c>
      <c r="C8327" t="s">
        <v>27603</v>
      </c>
      <c r="D8327" t="s">
        <v>27604</v>
      </c>
      <c r="E8327">
        <v>2</v>
      </c>
      <c r="F8327" t="s">
        <v>27585</v>
      </c>
      <c r="G8327" t="s">
        <v>26338</v>
      </c>
      <c r="H8327" t="s">
        <v>27603</v>
      </c>
      <c r="I8327" t="s">
        <v>27605</v>
      </c>
    </row>
    <row r="8328" spans="1:9">
      <c r="A8328" t="str">
        <f>"0075906 "</f>
        <v xml:space="preserve">0075906 </v>
      </c>
      <c r="B8328" t="s">
        <v>26338</v>
      </c>
      <c r="C8328" t="s">
        <v>27606</v>
      </c>
      <c r="D8328" t="s">
        <v>27607</v>
      </c>
      <c r="E8328">
        <v>4</v>
      </c>
      <c r="F8328" t="s">
        <v>15852</v>
      </c>
      <c r="G8328" t="s">
        <v>26338</v>
      </c>
      <c r="H8328" t="s">
        <v>27606</v>
      </c>
      <c r="I8328" t="s">
        <v>27608</v>
      </c>
    </row>
    <row r="8329" spans="1:9">
      <c r="A8329" t="str">
        <f>"0075908 "</f>
        <v xml:space="preserve">0075908 </v>
      </c>
      <c r="B8329" t="s">
        <v>26338</v>
      </c>
      <c r="C8329" t="s">
        <v>27609</v>
      </c>
      <c r="D8329" t="s">
        <v>27610</v>
      </c>
      <c r="E8329">
        <v>2</v>
      </c>
      <c r="F8329" t="s">
        <v>27440</v>
      </c>
      <c r="G8329" t="s">
        <v>26338</v>
      </c>
      <c r="H8329" t="s">
        <v>27609</v>
      </c>
      <c r="I8329" t="s">
        <v>27611</v>
      </c>
    </row>
    <row r="8330" spans="1:9">
      <c r="A8330" t="str">
        <f>"0075910 "</f>
        <v xml:space="preserve">0075910 </v>
      </c>
      <c r="B8330" t="s">
        <v>26338</v>
      </c>
      <c r="C8330" t="s">
        <v>27612</v>
      </c>
      <c r="D8330" t="s">
        <v>27613</v>
      </c>
      <c r="E8330">
        <v>3</v>
      </c>
      <c r="F8330" t="s">
        <v>25503</v>
      </c>
      <c r="G8330" t="s">
        <v>26338</v>
      </c>
      <c r="H8330" t="s">
        <v>27612</v>
      </c>
      <c r="I8330" t="s">
        <v>27614</v>
      </c>
    </row>
    <row r="8331" spans="1:9">
      <c r="A8331" t="str">
        <f>"0075916 "</f>
        <v xml:space="preserve">0075916 </v>
      </c>
      <c r="B8331" t="s">
        <v>26338</v>
      </c>
      <c r="C8331" t="s">
        <v>27615</v>
      </c>
      <c r="D8331" t="s">
        <v>27616</v>
      </c>
      <c r="E8331">
        <v>4</v>
      </c>
      <c r="F8331" t="s">
        <v>15021</v>
      </c>
      <c r="G8331" t="s">
        <v>26338</v>
      </c>
      <c r="H8331" t="s">
        <v>27615</v>
      </c>
      <c r="I8331" t="s">
        <v>27617</v>
      </c>
    </row>
    <row r="8332" spans="1:9">
      <c r="A8332" t="str">
        <f>"0075917 "</f>
        <v xml:space="preserve">0075917 </v>
      </c>
      <c r="B8332" t="s">
        <v>26338</v>
      </c>
      <c r="C8332" t="s">
        <v>27618</v>
      </c>
      <c r="D8332" t="s">
        <v>27619</v>
      </c>
      <c r="E8332">
        <v>2</v>
      </c>
      <c r="F8332" t="s">
        <v>4953</v>
      </c>
      <c r="G8332" t="s">
        <v>26338</v>
      </c>
      <c r="H8332" t="s">
        <v>27618</v>
      </c>
      <c r="I8332" t="s">
        <v>15376</v>
      </c>
    </row>
    <row r="8333" spans="1:9">
      <c r="A8333" t="str">
        <f>"0075925 "</f>
        <v xml:space="preserve">0075925 </v>
      </c>
      <c r="B8333" t="s">
        <v>26338</v>
      </c>
      <c r="C8333" t="s">
        <v>27620</v>
      </c>
      <c r="D8333" t="s">
        <v>27621</v>
      </c>
      <c r="E8333">
        <v>2</v>
      </c>
      <c r="F8333" t="s">
        <v>27622</v>
      </c>
      <c r="G8333" t="s">
        <v>26338</v>
      </c>
      <c r="H8333" t="s">
        <v>27620</v>
      </c>
      <c r="I8333" t="s">
        <v>15740</v>
      </c>
    </row>
    <row r="8334" spans="1:9">
      <c r="A8334" t="str">
        <f>"0075928 "</f>
        <v xml:space="preserve">0075928 </v>
      </c>
      <c r="B8334" t="s">
        <v>26338</v>
      </c>
      <c r="C8334" t="s">
        <v>27623</v>
      </c>
      <c r="D8334" t="s">
        <v>27624</v>
      </c>
      <c r="E8334">
        <v>4</v>
      </c>
      <c r="F8334" t="s">
        <v>27625</v>
      </c>
      <c r="G8334" t="s">
        <v>26338</v>
      </c>
      <c r="H8334" t="s">
        <v>27623</v>
      </c>
      <c r="I8334" t="s">
        <v>27626</v>
      </c>
    </row>
    <row r="8335" spans="1:9">
      <c r="A8335" t="str">
        <f>"0075929 "</f>
        <v xml:space="preserve">0075929 </v>
      </c>
      <c r="B8335" t="s">
        <v>26338</v>
      </c>
      <c r="C8335" t="s">
        <v>27627</v>
      </c>
      <c r="D8335" t="s">
        <v>27628</v>
      </c>
      <c r="E8335" t="s">
        <v>16</v>
      </c>
      <c r="F8335" t="s">
        <v>27477</v>
      </c>
      <c r="G8335" t="s">
        <v>26338</v>
      </c>
      <c r="H8335" t="s">
        <v>27627</v>
      </c>
      <c r="I8335" t="s">
        <v>27629</v>
      </c>
    </row>
    <row r="8336" spans="1:9">
      <c r="A8336" t="str">
        <f>"0075930 "</f>
        <v xml:space="preserve">0075930 </v>
      </c>
      <c r="B8336" t="s">
        <v>26338</v>
      </c>
      <c r="C8336" t="s">
        <v>27630</v>
      </c>
      <c r="D8336" t="s">
        <v>27631</v>
      </c>
      <c r="E8336">
        <v>3</v>
      </c>
      <c r="F8336" t="s">
        <v>27632</v>
      </c>
      <c r="G8336" t="s">
        <v>26338</v>
      </c>
      <c r="H8336" t="s">
        <v>27630</v>
      </c>
      <c r="I8336" t="s">
        <v>27633</v>
      </c>
    </row>
    <row r="8337" spans="1:9">
      <c r="A8337" t="str">
        <f>"0075931 "</f>
        <v xml:space="preserve">0075931 </v>
      </c>
      <c r="B8337" t="s">
        <v>26338</v>
      </c>
      <c r="C8337" t="s">
        <v>27634</v>
      </c>
      <c r="D8337" t="s">
        <v>27635</v>
      </c>
      <c r="E8337">
        <v>4</v>
      </c>
      <c r="F8337" t="s">
        <v>20753</v>
      </c>
      <c r="G8337" t="s">
        <v>26338</v>
      </c>
      <c r="H8337" t="s">
        <v>27634</v>
      </c>
      <c r="I8337" t="s">
        <v>27633</v>
      </c>
    </row>
    <row r="8338" spans="1:9">
      <c r="A8338" t="str">
        <f>"0075932 "</f>
        <v xml:space="preserve">0075932 </v>
      </c>
      <c r="B8338" t="s">
        <v>26338</v>
      </c>
      <c r="C8338" t="s">
        <v>27636</v>
      </c>
      <c r="D8338" t="s">
        <v>27637</v>
      </c>
      <c r="E8338">
        <v>4</v>
      </c>
      <c r="F8338" t="s">
        <v>27638</v>
      </c>
      <c r="G8338" t="s">
        <v>26338</v>
      </c>
      <c r="H8338" t="s">
        <v>27636</v>
      </c>
      <c r="I8338" t="s">
        <v>27639</v>
      </c>
    </row>
    <row r="8339" spans="1:9">
      <c r="A8339" t="str">
        <f>"0075933 "</f>
        <v xml:space="preserve">0075933 </v>
      </c>
      <c r="B8339" t="s">
        <v>26338</v>
      </c>
      <c r="C8339" t="s">
        <v>27640</v>
      </c>
      <c r="D8339" t="s">
        <v>27641</v>
      </c>
      <c r="E8339">
        <v>4</v>
      </c>
      <c r="F8339" t="s">
        <v>27638</v>
      </c>
      <c r="G8339" t="s">
        <v>26338</v>
      </c>
      <c r="H8339" t="s">
        <v>27640</v>
      </c>
      <c r="I8339" t="s">
        <v>27642</v>
      </c>
    </row>
    <row r="8340" spans="1:9">
      <c r="A8340" t="str">
        <f>"0075934 "</f>
        <v xml:space="preserve">0075934 </v>
      </c>
      <c r="B8340" t="s">
        <v>26338</v>
      </c>
      <c r="C8340" t="s">
        <v>27643</v>
      </c>
      <c r="D8340" t="s">
        <v>27644</v>
      </c>
      <c r="E8340" t="s">
        <v>16</v>
      </c>
      <c r="F8340" t="s">
        <v>20190</v>
      </c>
      <c r="G8340" t="s">
        <v>26338</v>
      </c>
      <c r="H8340" t="s">
        <v>27643</v>
      </c>
      <c r="I8340" t="s">
        <v>27645</v>
      </c>
    </row>
    <row r="8341" spans="1:9">
      <c r="A8341" t="str">
        <f>"0075938 "</f>
        <v xml:space="preserve">0075938 </v>
      </c>
      <c r="B8341" t="s">
        <v>26338</v>
      </c>
      <c r="C8341" t="s">
        <v>27646</v>
      </c>
      <c r="D8341" t="s">
        <v>27647</v>
      </c>
      <c r="E8341">
        <v>3</v>
      </c>
      <c r="F8341" t="s">
        <v>27648</v>
      </c>
      <c r="G8341" t="s">
        <v>26338</v>
      </c>
      <c r="H8341" t="s">
        <v>27646</v>
      </c>
      <c r="I8341" t="s">
        <v>27649</v>
      </c>
    </row>
    <row r="8342" spans="1:9">
      <c r="A8342" t="str">
        <f>"0075939 "</f>
        <v xml:space="preserve">0075939 </v>
      </c>
      <c r="B8342" t="s">
        <v>26338</v>
      </c>
      <c r="C8342" t="s">
        <v>27650</v>
      </c>
      <c r="D8342" t="s">
        <v>27651</v>
      </c>
      <c r="E8342">
        <v>2</v>
      </c>
      <c r="F8342" t="s">
        <v>27648</v>
      </c>
      <c r="G8342" t="s">
        <v>26338</v>
      </c>
      <c r="H8342" t="s">
        <v>27650</v>
      </c>
      <c r="I8342" t="s">
        <v>27652</v>
      </c>
    </row>
    <row r="8343" spans="1:9">
      <c r="A8343" t="str">
        <f>"0075946 "</f>
        <v xml:space="preserve">0075946 </v>
      </c>
      <c r="B8343" t="s">
        <v>26338</v>
      </c>
      <c r="C8343" t="s">
        <v>27653</v>
      </c>
      <c r="D8343" t="s">
        <v>27654</v>
      </c>
      <c r="E8343">
        <v>2</v>
      </c>
      <c r="F8343" t="s">
        <v>20782</v>
      </c>
      <c r="G8343" t="s">
        <v>26338</v>
      </c>
      <c r="H8343" t="s">
        <v>27653</v>
      </c>
      <c r="I8343" t="s">
        <v>27655</v>
      </c>
    </row>
    <row r="8344" spans="1:9">
      <c r="A8344" t="str">
        <f>"0075951 "</f>
        <v xml:space="preserve">0075951 </v>
      </c>
      <c r="B8344" t="s">
        <v>26338</v>
      </c>
      <c r="C8344" t="s">
        <v>27656</v>
      </c>
      <c r="D8344" t="s">
        <v>27657</v>
      </c>
      <c r="E8344">
        <v>2</v>
      </c>
      <c r="F8344" t="s">
        <v>27658</v>
      </c>
      <c r="G8344" t="s">
        <v>26338</v>
      </c>
      <c r="H8344" t="s">
        <v>27656</v>
      </c>
      <c r="I8344" t="s">
        <v>27659</v>
      </c>
    </row>
    <row r="8345" spans="1:9">
      <c r="A8345" t="str">
        <f>"0075962 "</f>
        <v xml:space="preserve">0075962 </v>
      </c>
      <c r="B8345" t="s">
        <v>26338</v>
      </c>
      <c r="C8345" t="s">
        <v>27660</v>
      </c>
      <c r="D8345" t="s">
        <v>27661</v>
      </c>
      <c r="E8345">
        <v>2</v>
      </c>
      <c r="F8345" t="s">
        <v>27662</v>
      </c>
      <c r="G8345" t="s">
        <v>26338</v>
      </c>
      <c r="H8345" t="s">
        <v>27660</v>
      </c>
      <c r="I8345" t="s">
        <v>27663</v>
      </c>
    </row>
    <row r="8346" spans="1:9">
      <c r="A8346" t="str">
        <f>"0075963 "</f>
        <v xml:space="preserve">0075963 </v>
      </c>
      <c r="B8346" t="s">
        <v>26338</v>
      </c>
      <c r="C8346" t="s">
        <v>27664</v>
      </c>
      <c r="D8346" t="s">
        <v>27665</v>
      </c>
      <c r="E8346">
        <v>4</v>
      </c>
      <c r="F8346" t="s">
        <v>27666</v>
      </c>
      <c r="G8346" t="s">
        <v>26338</v>
      </c>
      <c r="H8346" t="s">
        <v>27664</v>
      </c>
      <c r="I8346" t="s">
        <v>27667</v>
      </c>
    </row>
    <row r="8347" spans="1:9">
      <c r="A8347" t="str">
        <f>"0075967 "</f>
        <v xml:space="preserve">0075967 </v>
      </c>
      <c r="B8347" t="s">
        <v>26338</v>
      </c>
      <c r="C8347" t="s">
        <v>27668</v>
      </c>
      <c r="D8347" t="s">
        <v>27669</v>
      </c>
      <c r="E8347">
        <v>4</v>
      </c>
      <c r="F8347" t="s">
        <v>24995</v>
      </c>
      <c r="G8347" t="s">
        <v>26338</v>
      </c>
      <c r="H8347" t="s">
        <v>27668</v>
      </c>
      <c r="I8347" t="s">
        <v>15089</v>
      </c>
    </row>
    <row r="8348" spans="1:9">
      <c r="A8348" t="str">
        <f>"0075968 "</f>
        <v xml:space="preserve">0075968 </v>
      </c>
      <c r="B8348" t="s">
        <v>26338</v>
      </c>
      <c r="C8348" t="s">
        <v>27670</v>
      </c>
      <c r="D8348" t="s">
        <v>27671</v>
      </c>
      <c r="E8348">
        <v>2</v>
      </c>
      <c r="F8348" t="s">
        <v>24995</v>
      </c>
      <c r="G8348" t="s">
        <v>26338</v>
      </c>
      <c r="H8348" t="s">
        <v>27670</v>
      </c>
      <c r="I8348" t="s">
        <v>27672</v>
      </c>
    </row>
    <row r="8349" spans="1:9">
      <c r="A8349" t="str">
        <f>"0075975 "</f>
        <v xml:space="preserve">0075975 </v>
      </c>
      <c r="B8349" t="s">
        <v>26338</v>
      </c>
      <c r="C8349" t="s">
        <v>27673</v>
      </c>
      <c r="D8349" t="s">
        <v>27674</v>
      </c>
      <c r="E8349">
        <v>2</v>
      </c>
      <c r="F8349" t="s">
        <v>27675</v>
      </c>
      <c r="G8349" t="s">
        <v>26338</v>
      </c>
      <c r="H8349" t="s">
        <v>27673</v>
      </c>
      <c r="I8349" t="s">
        <v>27676</v>
      </c>
    </row>
    <row r="8350" spans="1:9">
      <c r="A8350" t="str">
        <f>"0075979 "</f>
        <v xml:space="preserve">0075979 </v>
      </c>
      <c r="B8350" t="s">
        <v>26338</v>
      </c>
      <c r="C8350" t="s">
        <v>27677</v>
      </c>
      <c r="D8350" t="s">
        <v>27678</v>
      </c>
      <c r="E8350">
        <v>4</v>
      </c>
      <c r="F8350" t="s">
        <v>8151</v>
      </c>
      <c r="G8350" t="s">
        <v>26338</v>
      </c>
      <c r="H8350" t="s">
        <v>27677</v>
      </c>
      <c r="I8350" t="s">
        <v>27679</v>
      </c>
    </row>
    <row r="8351" spans="1:9">
      <c r="A8351" t="str">
        <f>"0079587 "</f>
        <v xml:space="preserve">0079587 </v>
      </c>
      <c r="B8351" t="s">
        <v>26338</v>
      </c>
      <c r="C8351" t="s">
        <v>27680</v>
      </c>
      <c r="D8351" t="s">
        <v>27681</v>
      </c>
      <c r="E8351">
        <v>1</v>
      </c>
      <c r="F8351" t="s">
        <v>27682</v>
      </c>
      <c r="G8351" t="s">
        <v>26338</v>
      </c>
      <c r="H8351" t="s">
        <v>27680</v>
      </c>
      <c r="I8351" t="s">
        <v>27683</v>
      </c>
    </row>
    <row r="8352" spans="1:9">
      <c r="A8352" t="str">
        <f>"0079590 "</f>
        <v xml:space="preserve">0079590 </v>
      </c>
      <c r="B8352" t="s">
        <v>26338</v>
      </c>
      <c r="C8352" t="s">
        <v>27684</v>
      </c>
      <c r="D8352" t="s">
        <v>27685</v>
      </c>
      <c r="E8352">
        <v>1</v>
      </c>
      <c r="F8352" t="s">
        <v>27686</v>
      </c>
      <c r="G8352" t="s">
        <v>26338</v>
      </c>
      <c r="H8352" t="s">
        <v>27684</v>
      </c>
      <c r="I8352" t="s">
        <v>27687</v>
      </c>
    </row>
    <row r="8353" spans="1:9">
      <c r="A8353" t="str">
        <f>"0079620 "</f>
        <v xml:space="preserve">0079620 </v>
      </c>
      <c r="B8353" t="s">
        <v>26338</v>
      </c>
      <c r="C8353" t="s">
        <v>27688</v>
      </c>
      <c r="D8353" t="s">
        <v>27689</v>
      </c>
      <c r="E8353">
        <v>2</v>
      </c>
      <c r="F8353" t="s">
        <v>27690</v>
      </c>
      <c r="G8353" t="s">
        <v>26338</v>
      </c>
      <c r="H8353" t="s">
        <v>27688</v>
      </c>
      <c r="I8353" t="s">
        <v>27691</v>
      </c>
    </row>
    <row r="8354" spans="1:9">
      <c r="A8354" t="str">
        <f>"0079639 "</f>
        <v xml:space="preserve">0079639 </v>
      </c>
      <c r="B8354" t="s">
        <v>26338</v>
      </c>
      <c r="C8354" t="s">
        <v>27692</v>
      </c>
      <c r="D8354" t="s">
        <v>27693</v>
      </c>
      <c r="E8354">
        <v>2</v>
      </c>
      <c r="F8354" t="s">
        <v>27694</v>
      </c>
      <c r="G8354" t="s">
        <v>26338</v>
      </c>
      <c r="H8354" t="s">
        <v>27692</v>
      </c>
      <c r="I8354" t="s">
        <v>27695</v>
      </c>
    </row>
    <row r="8355" spans="1:9">
      <c r="A8355" t="str">
        <f>"0079640 "</f>
        <v xml:space="preserve">0079640 </v>
      </c>
      <c r="B8355" t="s">
        <v>26338</v>
      </c>
      <c r="C8355" t="s">
        <v>27696</v>
      </c>
      <c r="D8355" t="s">
        <v>27697</v>
      </c>
      <c r="E8355">
        <v>2</v>
      </c>
      <c r="F8355" t="s">
        <v>27694</v>
      </c>
      <c r="G8355" t="s">
        <v>26338</v>
      </c>
      <c r="H8355" t="s">
        <v>27696</v>
      </c>
      <c r="I8355" t="s">
        <v>27698</v>
      </c>
    </row>
    <row r="8356" spans="1:9">
      <c r="A8356" t="str">
        <f>"0079672 "</f>
        <v xml:space="preserve">0079672 </v>
      </c>
      <c r="B8356" t="s">
        <v>26338</v>
      </c>
      <c r="C8356" t="s">
        <v>27699</v>
      </c>
      <c r="D8356" t="s">
        <v>27700</v>
      </c>
      <c r="E8356">
        <v>2</v>
      </c>
      <c r="F8356" t="s">
        <v>27701</v>
      </c>
      <c r="G8356" t="s">
        <v>26338</v>
      </c>
      <c r="H8356" t="s">
        <v>27699</v>
      </c>
      <c r="I8356" t="s">
        <v>27702</v>
      </c>
    </row>
    <row r="8357" spans="1:9">
      <c r="A8357" t="str">
        <f>"0079673 "</f>
        <v xml:space="preserve">0079673 </v>
      </c>
      <c r="B8357" t="s">
        <v>26338</v>
      </c>
      <c r="C8357" t="s">
        <v>27703</v>
      </c>
      <c r="D8357" t="s">
        <v>27704</v>
      </c>
      <c r="E8357">
        <v>2</v>
      </c>
      <c r="F8357" t="s">
        <v>27705</v>
      </c>
      <c r="G8357" t="s">
        <v>26338</v>
      </c>
      <c r="H8357" t="s">
        <v>27703</v>
      </c>
      <c r="I8357" t="s">
        <v>27706</v>
      </c>
    </row>
    <row r="8358" spans="1:9">
      <c r="A8358" t="str">
        <f>"0079674 "</f>
        <v xml:space="preserve">0079674 </v>
      </c>
      <c r="B8358" t="s">
        <v>26338</v>
      </c>
      <c r="C8358" t="s">
        <v>27707</v>
      </c>
      <c r="D8358" t="s">
        <v>27708</v>
      </c>
      <c r="E8358">
        <v>2</v>
      </c>
      <c r="F8358" t="s">
        <v>27705</v>
      </c>
      <c r="G8358" t="s">
        <v>26338</v>
      </c>
      <c r="H8358" t="s">
        <v>27707</v>
      </c>
      <c r="I8358" t="s">
        <v>27709</v>
      </c>
    </row>
    <row r="8359" spans="1:9">
      <c r="A8359" t="str">
        <f>"0079701 "</f>
        <v xml:space="preserve">0079701 </v>
      </c>
      <c r="B8359" t="s">
        <v>26338</v>
      </c>
      <c r="C8359" t="s">
        <v>27710</v>
      </c>
      <c r="D8359" t="s">
        <v>27711</v>
      </c>
      <c r="E8359">
        <v>1</v>
      </c>
      <c r="F8359" t="s">
        <v>27712</v>
      </c>
      <c r="G8359" t="s">
        <v>26338</v>
      </c>
      <c r="H8359" t="s">
        <v>27710</v>
      </c>
      <c r="I8359" t="s">
        <v>27713</v>
      </c>
    </row>
    <row r="8360" spans="1:9">
      <c r="A8360" t="str">
        <f>"0079747 "</f>
        <v xml:space="preserve">0079747 </v>
      </c>
      <c r="B8360" t="s">
        <v>26338</v>
      </c>
      <c r="C8360" t="s">
        <v>27714</v>
      </c>
      <c r="D8360" t="s">
        <v>27715</v>
      </c>
      <c r="E8360">
        <v>1</v>
      </c>
      <c r="F8360" t="s">
        <v>26992</v>
      </c>
      <c r="G8360" t="s">
        <v>26338</v>
      </c>
      <c r="H8360" t="s">
        <v>27714</v>
      </c>
      <c r="I8360" t="s">
        <v>27716</v>
      </c>
    </row>
    <row r="8361" spans="1:9">
      <c r="A8361" t="str">
        <f>"0079748 "</f>
        <v xml:space="preserve">0079748 </v>
      </c>
      <c r="B8361" t="s">
        <v>26338</v>
      </c>
      <c r="C8361" t="s">
        <v>27717</v>
      </c>
      <c r="D8361" t="s">
        <v>27718</v>
      </c>
      <c r="E8361">
        <v>2</v>
      </c>
      <c r="F8361" t="s">
        <v>26992</v>
      </c>
      <c r="G8361" t="s">
        <v>26338</v>
      </c>
      <c r="H8361" t="s">
        <v>27717</v>
      </c>
      <c r="I8361" t="s">
        <v>27719</v>
      </c>
    </row>
    <row r="8362" spans="1:9">
      <c r="A8362" t="str">
        <f>"0079769 "</f>
        <v xml:space="preserve">0079769 </v>
      </c>
      <c r="B8362" t="s">
        <v>26338</v>
      </c>
      <c r="C8362" t="s">
        <v>27720</v>
      </c>
      <c r="D8362" t="s">
        <v>27721</v>
      </c>
      <c r="E8362">
        <v>1</v>
      </c>
      <c r="F8362" t="s">
        <v>26514</v>
      </c>
      <c r="G8362" t="s">
        <v>26338</v>
      </c>
      <c r="H8362" t="s">
        <v>27720</v>
      </c>
      <c r="I8362" t="s">
        <v>27722</v>
      </c>
    </row>
    <row r="8363" spans="1:9">
      <c r="A8363" t="str">
        <f>"0079794 "</f>
        <v xml:space="preserve">0079794 </v>
      </c>
      <c r="B8363" t="s">
        <v>26338</v>
      </c>
      <c r="C8363" t="s">
        <v>27723</v>
      </c>
      <c r="D8363" t="s">
        <v>27724</v>
      </c>
      <c r="E8363">
        <v>2</v>
      </c>
      <c r="F8363" t="s">
        <v>27725</v>
      </c>
      <c r="G8363" t="s">
        <v>26338</v>
      </c>
      <c r="H8363" t="s">
        <v>27723</v>
      </c>
      <c r="I8363" t="s">
        <v>27726</v>
      </c>
    </row>
    <row r="8364" spans="1:9">
      <c r="A8364" t="str">
        <f>"0079832 "</f>
        <v xml:space="preserve">0079832 </v>
      </c>
      <c r="B8364" t="s">
        <v>26338</v>
      </c>
      <c r="C8364" t="s">
        <v>27727</v>
      </c>
      <c r="D8364" t="s">
        <v>27728</v>
      </c>
      <c r="E8364">
        <v>2</v>
      </c>
      <c r="F8364" t="s">
        <v>27729</v>
      </c>
      <c r="G8364" t="s">
        <v>26338</v>
      </c>
      <c r="H8364" t="s">
        <v>27727</v>
      </c>
      <c r="I8364" t="s">
        <v>27730</v>
      </c>
    </row>
    <row r="8365" spans="1:9">
      <c r="A8365" t="str">
        <f>"0079876 "</f>
        <v xml:space="preserve">0079876 </v>
      </c>
      <c r="B8365" t="s">
        <v>26338</v>
      </c>
      <c r="C8365" t="s">
        <v>27731</v>
      </c>
      <c r="D8365" t="s">
        <v>27732</v>
      </c>
      <c r="E8365">
        <v>2</v>
      </c>
      <c r="F8365" t="s">
        <v>27733</v>
      </c>
      <c r="G8365" t="s">
        <v>26338</v>
      </c>
      <c r="H8365" t="s">
        <v>27731</v>
      </c>
      <c r="I8365" t="s">
        <v>27734</v>
      </c>
    </row>
    <row r="8366" spans="1:9">
      <c r="A8366" t="str">
        <f>"0079877 "</f>
        <v xml:space="preserve">0079877 </v>
      </c>
      <c r="B8366" t="s">
        <v>26338</v>
      </c>
      <c r="C8366" t="s">
        <v>27735</v>
      </c>
      <c r="D8366" t="s">
        <v>27736</v>
      </c>
      <c r="E8366">
        <v>1</v>
      </c>
      <c r="F8366" t="s">
        <v>27733</v>
      </c>
      <c r="G8366" t="s">
        <v>26338</v>
      </c>
      <c r="H8366" t="s">
        <v>27735</v>
      </c>
      <c r="I8366" t="s">
        <v>27737</v>
      </c>
    </row>
    <row r="8367" spans="1:9">
      <c r="A8367" t="str">
        <f>"0079878 "</f>
        <v xml:space="preserve">0079878 </v>
      </c>
      <c r="B8367" t="s">
        <v>26338</v>
      </c>
      <c r="C8367" t="s">
        <v>27738</v>
      </c>
      <c r="D8367" t="s">
        <v>27739</v>
      </c>
      <c r="E8367">
        <v>2</v>
      </c>
      <c r="F8367" t="s">
        <v>27740</v>
      </c>
      <c r="G8367" t="s">
        <v>26338</v>
      </c>
      <c r="H8367" t="s">
        <v>27738</v>
      </c>
      <c r="I8367" t="s">
        <v>27741</v>
      </c>
    </row>
    <row r="8368" spans="1:9">
      <c r="A8368" t="str">
        <f>"0079914 "</f>
        <v xml:space="preserve">0079914 </v>
      </c>
      <c r="B8368" t="s">
        <v>26338</v>
      </c>
      <c r="C8368" t="s">
        <v>27742</v>
      </c>
      <c r="D8368" t="s">
        <v>27743</v>
      </c>
      <c r="E8368">
        <v>2</v>
      </c>
      <c r="F8368" t="s">
        <v>27744</v>
      </c>
      <c r="G8368" t="s">
        <v>26338</v>
      </c>
      <c r="H8368" t="s">
        <v>27742</v>
      </c>
      <c r="I8368" t="s">
        <v>27745</v>
      </c>
    </row>
    <row r="8369" spans="1:9">
      <c r="A8369" t="str">
        <f>"0079915 "</f>
        <v xml:space="preserve">0079915 </v>
      </c>
      <c r="B8369" t="s">
        <v>26338</v>
      </c>
      <c r="C8369" t="s">
        <v>27746</v>
      </c>
      <c r="D8369" t="s">
        <v>27747</v>
      </c>
      <c r="E8369">
        <v>2</v>
      </c>
      <c r="F8369" t="s">
        <v>27744</v>
      </c>
      <c r="G8369" t="s">
        <v>26338</v>
      </c>
      <c r="H8369" t="s">
        <v>27746</v>
      </c>
      <c r="I8369" t="s">
        <v>27748</v>
      </c>
    </row>
    <row r="8370" spans="1:9">
      <c r="A8370" t="str">
        <f>"0079917 "</f>
        <v xml:space="preserve">0079917 </v>
      </c>
      <c r="B8370" t="s">
        <v>26338</v>
      </c>
      <c r="C8370" t="s">
        <v>27749</v>
      </c>
      <c r="D8370" t="s">
        <v>27750</v>
      </c>
      <c r="E8370">
        <v>1</v>
      </c>
      <c r="F8370" t="s">
        <v>27751</v>
      </c>
      <c r="G8370" t="s">
        <v>26338</v>
      </c>
      <c r="H8370" t="s">
        <v>27749</v>
      </c>
      <c r="I8370" t="s">
        <v>27752</v>
      </c>
    </row>
    <row r="8371" spans="1:9">
      <c r="A8371" t="str">
        <f>"0079997 "</f>
        <v xml:space="preserve">0079997 </v>
      </c>
      <c r="B8371" t="s">
        <v>26338</v>
      </c>
      <c r="C8371" t="s">
        <v>27753</v>
      </c>
      <c r="D8371" t="s">
        <v>27754</v>
      </c>
      <c r="E8371">
        <v>2</v>
      </c>
      <c r="F8371" t="s">
        <v>27755</v>
      </c>
      <c r="G8371" t="s">
        <v>26338</v>
      </c>
      <c r="H8371" t="s">
        <v>27753</v>
      </c>
      <c r="I8371" t="s">
        <v>27756</v>
      </c>
    </row>
    <row r="8372" spans="1:9">
      <c r="A8372" t="str">
        <f>"0080142 "</f>
        <v xml:space="preserve">0080142 </v>
      </c>
      <c r="B8372" t="s">
        <v>26338</v>
      </c>
      <c r="C8372" t="s">
        <v>27757</v>
      </c>
      <c r="D8372" t="s">
        <v>27758</v>
      </c>
      <c r="E8372">
        <v>1</v>
      </c>
      <c r="F8372" t="s">
        <v>26482</v>
      </c>
      <c r="G8372" t="s">
        <v>26338</v>
      </c>
      <c r="H8372" t="s">
        <v>27757</v>
      </c>
      <c r="I8372" t="s">
        <v>27759</v>
      </c>
    </row>
    <row r="8373" spans="1:9">
      <c r="A8373" t="str">
        <f>"0080178 "</f>
        <v xml:space="preserve">0080178 </v>
      </c>
      <c r="B8373" t="s">
        <v>26338</v>
      </c>
      <c r="C8373" t="s">
        <v>27760</v>
      </c>
      <c r="D8373" t="s">
        <v>27761</v>
      </c>
      <c r="E8373">
        <v>2</v>
      </c>
      <c r="F8373" t="s">
        <v>27762</v>
      </c>
      <c r="G8373" t="s">
        <v>26338</v>
      </c>
      <c r="H8373" t="s">
        <v>27760</v>
      </c>
      <c r="I8373" t="s">
        <v>27763</v>
      </c>
    </row>
    <row r="8374" spans="1:9">
      <c r="A8374" t="str">
        <f>"0080179 "</f>
        <v xml:space="preserve">0080179 </v>
      </c>
      <c r="B8374" t="s">
        <v>26338</v>
      </c>
      <c r="C8374" t="s">
        <v>27764</v>
      </c>
      <c r="D8374" t="s">
        <v>27765</v>
      </c>
      <c r="E8374">
        <v>2</v>
      </c>
      <c r="F8374" t="s">
        <v>27766</v>
      </c>
      <c r="G8374" t="s">
        <v>26338</v>
      </c>
      <c r="H8374" t="s">
        <v>27764</v>
      </c>
      <c r="I8374" t="s">
        <v>27767</v>
      </c>
    </row>
    <row r="8375" spans="1:9">
      <c r="A8375" t="str">
        <f>"0080191 "</f>
        <v xml:space="preserve">0080191 </v>
      </c>
      <c r="B8375" t="s">
        <v>26338</v>
      </c>
      <c r="C8375" t="s">
        <v>27768</v>
      </c>
      <c r="D8375" t="s">
        <v>27769</v>
      </c>
      <c r="E8375">
        <v>2</v>
      </c>
      <c r="F8375" t="s">
        <v>27770</v>
      </c>
      <c r="G8375" t="s">
        <v>26338</v>
      </c>
      <c r="H8375" t="s">
        <v>27768</v>
      </c>
      <c r="I8375" t="s">
        <v>27771</v>
      </c>
    </row>
    <row r="8376" spans="1:9">
      <c r="A8376" t="str">
        <f>"0080207 "</f>
        <v xml:space="preserve">0080207 </v>
      </c>
      <c r="B8376" t="s">
        <v>26338</v>
      </c>
      <c r="C8376" t="s">
        <v>27772</v>
      </c>
      <c r="D8376" t="s">
        <v>27773</v>
      </c>
      <c r="E8376">
        <v>2</v>
      </c>
      <c r="F8376" t="s">
        <v>27774</v>
      </c>
      <c r="G8376" t="s">
        <v>26338</v>
      </c>
      <c r="H8376" t="s">
        <v>27772</v>
      </c>
      <c r="I8376" t="s">
        <v>27775</v>
      </c>
    </row>
    <row r="8377" spans="1:9">
      <c r="A8377" t="str">
        <f>"0080208 "</f>
        <v xml:space="preserve">0080208 </v>
      </c>
      <c r="B8377" t="s">
        <v>26338</v>
      </c>
      <c r="C8377" t="s">
        <v>27776</v>
      </c>
      <c r="D8377" t="s">
        <v>27777</v>
      </c>
      <c r="E8377">
        <v>2</v>
      </c>
      <c r="F8377" t="s">
        <v>27774</v>
      </c>
      <c r="G8377" t="s">
        <v>26338</v>
      </c>
      <c r="H8377" t="s">
        <v>27776</v>
      </c>
      <c r="I8377" t="s">
        <v>27778</v>
      </c>
    </row>
    <row r="8378" spans="1:9">
      <c r="A8378" t="str">
        <f>"0080277 "</f>
        <v xml:space="preserve">0080277 </v>
      </c>
      <c r="B8378" t="s">
        <v>26338</v>
      </c>
      <c r="C8378" t="s">
        <v>27779</v>
      </c>
      <c r="D8378" t="s">
        <v>27780</v>
      </c>
      <c r="E8378">
        <v>1</v>
      </c>
      <c r="F8378" t="s">
        <v>27781</v>
      </c>
      <c r="G8378" t="s">
        <v>26338</v>
      </c>
      <c r="H8378" t="s">
        <v>27779</v>
      </c>
      <c r="I8378" t="s">
        <v>27782</v>
      </c>
    </row>
    <row r="8379" spans="1:9">
      <c r="A8379" t="str">
        <f>"0080285 "</f>
        <v xml:space="preserve">0080285 </v>
      </c>
      <c r="B8379" t="s">
        <v>26338</v>
      </c>
      <c r="C8379" t="s">
        <v>27783</v>
      </c>
      <c r="D8379" t="s">
        <v>27784</v>
      </c>
      <c r="E8379">
        <v>4</v>
      </c>
      <c r="F8379" t="s">
        <v>15026</v>
      </c>
      <c r="G8379" t="s">
        <v>26338</v>
      </c>
      <c r="H8379" t="s">
        <v>27783</v>
      </c>
      <c r="I8379" t="s">
        <v>27785</v>
      </c>
    </row>
    <row r="8380" spans="1:9">
      <c r="A8380" t="str">
        <f>"0080286 "</f>
        <v xml:space="preserve">0080286 </v>
      </c>
      <c r="B8380" t="s">
        <v>26338</v>
      </c>
      <c r="C8380" t="s">
        <v>27786</v>
      </c>
      <c r="D8380" t="s">
        <v>27787</v>
      </c>
      <c r="E8380">
        <v>4</v>
      </c>
      <c r="F8380" t="s">
        <v>15026</v>
      </c>
      <c r="G8380" t="s">
        <v>26338</v>
      </c>
      <c r="H8380" t="s">
        <v>27786</v>
      </c>
      <c r="I8380" t="s">
        <v>27788</v>
      </c>
    </row>
    <row r="8381" spans="1:9">
      <c r="A8381" t="str">
        <f>"0080299 "</f>
        <v xml:space="preserve">0080299 </v>
      </c>
      <c r="B8381" t="s">
        <v>26338</v>
      </c>
      <c r="C8381" t="s">
        <v>27789</v>
      </c>
      <c r="D8381" t="s">
        <v>27790</v>
      </c>
      <c r="E8381">
        <v>2</v>
      </c>
      <c r="F8381" t="s">
        <v>8789</v>
      </c>
      <c r="G8381" t="s">
        <v>26338</v>
      </c>
      <c r="H8381" t="s">
        <v>27789</v>
      </c>
      <c r="I8381" t="s">
        <v>27791</v>
      </c>
    </row>
    <row r="8382" spans="1:9">
      <c r="A8382" t="str">
        <f>"0080300 "</f>
        <v xml:space="preserve">0080300 </v>
      </c>
      <c r="B8382" t="s">
        <v>26338</v>
      </c>
      <c r="C8382" t="s">
        <v>27792</v>
      </c>
      <c r="D8382" t="s">
        <v>27793</v>
      </c>
      <c r="E8382">
        <v>2</v>
      </c>
      <c r="F8382" t="s">
        <v>8789</v>
      </c>
      <c r="G8382" t="s">
        <v>26338</v>
      </c>
      <c r="H8382" t="s">
        <v>27792</v>
      </c>
      <c r="I8382" t="s">
        <v>27794</v>
      </c>
    </row>
    <row r="8383" spans="1:9">
      <c r="A8383" t="str">
        <f>"0080301 "</f>
        <v xml:space="preserve">0080301 </v>
      </c>
      <c r="B8383" t="s">
        <v>26338</v>
      </c>
      <c r="C8383" t="s">
        <v>27795</v>
      </c>
      <c r="D8383" t="s">
        <v>27796</v>
      </c>
      <c r="E8383">
        <v>4</v>
      </c>
      <c r="F8383" t="s">
        <v>27797</v>
      </c>
      <c r="G8383" t="s">
        <v>26338</v>
      </c>
      <c r="H8383" t="s">
        <v>27795</v>
      </c>
      <c r="I8383" t="s">
        <v>27798</v>
      </c>
    </row>
    <row r="8384" spans="1:9">
      <c r="A8384" t="str">
        <f>"0080302 "</f>
        <v xml:space="preserve">0080302 </v>
      </c>
      <c r="B8384" t="s">
        <v>26338</v>
      </c>
      <c r="C8384" t="s">
        <v>27799</v>
      </c>
      <c r="D8384" t="s">
        <v>27800</v>
      </c>
      <c r="E8384">
        <v>2</v>
      </c>
      <c r="F8384" t="s">
        <v>27801</v>
      </c>
      <c r="G8384" t="s">
        <v>26338</v>
      </c>
      <c r="H8384" t="s">
        <v>27799</v>
      </c>
      <c r="I8384" t="s">
        <v>27802</v>
      </c>
    </row>
    <row r="8385" spans="1:9">
      <c r="A8385" t="str">
        <f>"0080311 "</f>
        <v xml:space="preserve">0080311 </v>
      </c>
      <c r="B8385" t="s">
        <v>26338</v>
      </c>
      <c r="C8385" t="s">
        <v>27803</v>
      </c>
      <c r="D8385" t="s">
        <v>27804</v>
      </c>
      <c r="E8385">
        <v>3</v>
      </c>
      <c r="F8385" t="s">
        <v>27805</v>
      </c>
      <c r="G8385" t="s">
        <v>26338</v>
      </c>
      <c r="H8385" t="s">
        <v>27803</v>
      </c>
      <c r="I8385" t="s">
        <v>15060</v>
      </c>
    </row>
    <row r="8386" spans="1:9">
      <c r="A8386" t="str">
        <f>"0080312 "</f>
        <v xml:space="preserve">0080312 </v>
      </c>
      <c r="B8386" t="s">
        <v>26338</v>
      </c>
      <c r="C8386" t="s">
        <v>27806</v>
      </c>
      <c r="D8386" t="s">
        <v>27807</v>
      </c>
      <c r="E8386">
        <v>2</v>
      </c>
      <c r="F8386" t="s">
        <v>27808</v>
      </c>
      <c r="G8386" t="s">
        <v>26338</v>
      </c>
      <c r="H8386" t="s">
        <v>27806</v>
      </c>
      <c r="I8386" t="s">
        <v>27809</v>
      </c>
    </row>
    <row r="8387" spans="1:9">
      <c r="A8387" t="str">
        <f>"0080319 "</f>
        <v xml:space="preserve">0080319 </v>
      </c>
      <c r="B8387" t="s">
        <v>26338</v>
      </c>
      <c r="C8387" t="s">
        <v>27810</v>
      </c>
      <c r="D8387" t="s">
        <v>27811</v>
      </c>
      <c r="E8387">
        <v>1</v>
      </c>
      <c r="F8387" t="s">
        <v>27359</v>
      </c>
      <c r="G8387" t="s">
        <v>26338</v>
      </c>
      <c r="H8387" t="s">
        <v>27810</v>
      </c>
      <c r="I8387" t="s">
        <v>27812</v>
      </c>
    </row>
    <row r="8388" spans="1:9">
      <c r="A8388" t="str">
        <f>"0080323 "</f>
        <v xml:space="preserve">0080323 </v>
      </c>
      <c r="B8388" t="s">
        <v>26338</v>
      </c>
      <c r="C8388" t="s">
        <v>27813</v>
      </c>
      <c r="D8388" t="s">
        <v>27814</v>
      </c>
      <c r="E8388">
        <v>2</v>
      </c>
      <c r="F8388" t="s">
        <v>9288</v>
      </c>
      <c r="G8388" t="s">
        <v>26338</v>
      </c>
      <c r="H8388" t="s">
        <v>27813</v>
      </c>
      <c r="I8388" t="s">
        <v>15028</v>
      </c>
    </row>
    <row r="8389" spans="1:9">
      <c r="A8389" t="str">
        <f>"0080324 "</f>
        <v xml:space="preserve">0080324 </v>
      </c>
      <c r="B8389" t="s">
        <v>26338</v>
      </c>
      <c r="C8389" t="s">
        <v>27815</v>
      </c>
      <c r="D8389" t="s">
        <v>27816</v>
      </c>
      <c r="E8389">
        <v>2</v>
      </c>
      <c r="F8389" t="s">
        <v>9288</v>
      </c>
      <c r="G8389" t="s">
        <v>26338</v>
      </c>
      <c r="H8389" t="s">
        <v>27815</v>
      </c>
      <c r="I8389" t="s">
        <v>15032</v>
      </c>
    </row>
    <row r="8390" spans="1:9">
      <c r="A8390" t="str">
        <f>"0080325 "</f>
        <v xml:space="preserve">0080325 </v>
      </c>
      <c r="B8390" t="s">
        <v>26338</v>
      </c>
      <c r="C8390" t="s">
        <v>27817</v>
      </c>
      <c r="D8390" t="s">
        <v>27818</v>
      </c>
      <c r="E8390">
        <v>4</v>
      </c>
      <c r="F8390" t="s">
        <v>20599</v>
      </c>
      <c r="G8390" t="s">
        <v>26338</v>
      </c>
      <c r="H8390" t="s">
        <v>27817</v>
      </c>
      <c r="I8390" t="s">
        <v>27819</v>
      </c>
    </row>
    <row r="8391" spans="1:9">
      <c r="A8391" t="str">
        <f>"0080326 "</f>
        <v xml:space="preserve">0080326 </v>
      </c>
      <c r="B8391" t="s">
        <v>26338</v>
      </c>
      <c r="C8391" t="s">
        <v>27820</v>
      </c>
      <c r="D8391" t="s">
        <v>27821</v>
      </c>
      <c r="E8391">
        <v>2</v>
      </c>
      <c r="F8391" t="s">
        <v>20599</v>
      </c>
      <c r="G8391" t="s">
        <v>26338</v>
      </c>
      <c r="H8391" t="s">
        <v>27820</v>
      </c>
      <c r="I8391" t="s">
        <v>27822</v>
      </c>
    </row>
    <row r="8392" spans="1:9">
      <c r="A8392" t="str">
        <f>"0080327 "</f>
        <v xml:space="preserve">0080327 </v>
      </c>
      <c r="B8392" t="s">
        <v>26338</v>
      </c>
      <c r="C8392" t="s">
        <v>27823</v>
      </c>
      <c r="D8392" t="s">
        <v>27824</v>
      </c>
      <c r="E8392" t="s">
        <v>16</v>
      </c>
      <c r="F8392" t="s">
        <v>21219</v>
      </c>
      <c r="G8392" t="s">
        <v>26338</v>
      </c>
      <c r="H8392" t="s">
        <v>27823</v>
      </c>
      <c r="I8392" t="s">
        <v>27825</v>
      </c>
    </row>
    <row r="8393" spans="1:9">
      <c r="A8393" t="str">
        <f>"0080341 "</f>
        <v xml:space="preserve">0080341 </v>
      </c>
      <c r="B8393" t="s">
        <v>26338</v>
      </c>
      <c r="C8393" t="s">
        <v>27826</v>
      </c>
      <c r="D8393" t="s">
        <v>27827</v>
      </c>
      <c r="E8393">
        <v>1</v>
      </c>
      <c r="F8393" t="s">
        <v>27828</v>
      </c>
      <c r="G8393" t="s">
        <v>26338</v>
      </c>
      <c r="H8393" t="s">
        <v>27826</v>
      </c>
      <c r="I8393" t="s">
        <v>27829</v>
      </c>
    </row>
    <row r="8394" spans="1:9">
      <c r="A8394" t="str">
        <f>"0080342 "</f>
        <v xml:space="preserve">0080342 </v>
      </c>
      <c r="B8394" t="s">
        <v>26338</v>
      </c>
      <c r="C8394" t="s">
        <v>27830</v>
      </c>
      <c r="D8394" t="s">
        <v>27831</v>
      </c>
      <c r="E8394">
        <v>2</v>
      </c>
      <c r="F8394" t="s">
        <v>27828</v>
      </c>
      <c r="G8394" t="s">
        <v>26338</v>
      </c>
      <c r="H8394" t="s">
        <v>27830</v>
      </c>
      <c r="I8394" t="s">
        <v>27832</v>
      </c>
    </row>
    <row r="8395" spans="1:9">
      <c r="A8395" t="str">
        <f>"0080348 "</f>
        <v xml:space="preserve">0080348 </v>
      </c>
      <c r="B8395" t="s">
        <v>26338</v>
      </c>
      <c r="C8395" t="s">
        <v>27833</v>
      </c>
      <c r="D8395" t="s">
        <v>27834</v>
      </c>
      <c r="E8395">
        <v>1</v>
      </c>
      <c r="F8395" t="s">
        <v>15848</v>
      </c>
      <c r="G8395" t="s">
        <v>26338</v>
      </c>
      <c r="H8395" t="s">
        <v>27833</v>
      </c>
      <c r="I8395" t="s">
        <v>27835</v>
      </c>
    </row>
    <row r="8396" spans="1:9">
      <c r="A8396" t="str">
        <f>"0080349 "</f>
        <v xml:space="preserve">0080349 </v>
      </c>
      <c r="B8396" t="s">
        <v>26338</v>
      </c>
      <c r="C8396" t="s">
        <v>27836</v>
      </c>
      <c r="D8396" t="s">
        <v>27837</v>
      </c>
      <c r="E8396">
        <v>1</v>
      </c>
      <c r="F8396" t="s">
        <v>27838</v>
      </c>
      <c r="G8396" t="s">
        <v>26338</v>
      </c>
      <c r="H8396" t="s">
        <v>27836</v>
      </c>
      <c r="I8396" t="s">
        <v>27839</v>
      </c>
    </row>
    <row r="8397" spans="1:9">
      <c r="A8397" t="str">
        <f>"0080364 "</f>
        <v xml:space="preserve">0080364 </v>
      </c>
      <c r="B8397" t="s">
        <v>26338</v>
      </c>
      <c r="C8397" t="s">
        <v>27840</v>
      </c>
      <c r="D8397" t="s">
        <v>27841</v>
      </c>
      <c r="E8397">
        <v>1</v>
      </c>
      <c r="F8397" t="s">
        <v>27298</v>
      </c>
      <c r="G8397" t="s">
        <v>26338</v>
      </c>
      <c r="H8397" t="s">
        <v>27840</v>
      </c>
      <c r="I8397" t="s">
        <v>27842</v>
      </c>
    </row>
    <row r="8398" spans="1:9">
      <c r="A8398" t="str">
        <f>"0080368 "</f>
        <v xml:space="preserve">0080368 </v>
      </c>
      <c r="B8398" t="s">
        <v>26338</v>
      </c>
      <c r="C8398" t="s">
        <v>27843</v>
      </c>
      <c r="D8398" t="s">
        <v>27844</v>
      </c>
      <c r="E8398">
        <v>1</v>
      </c>
      <c r="F8398" t="s">
        <v>27845</v>
      </c>
      <c r="G8398" t="s">
        <v>26338</v>
      </c>
      <c r="H8398" t="s">
        <v>27843</v>
      </c>
      <c r="I8398" t="s">
        <v>27846</v>
      </c>
    </row>
    <row r="8399" spans="1:9">
      <c r="A8399" t="str">
        <f>"0080369 "</f>
        <v xml:space="preserve">0080369 </v>
      </c>
      <c r="B8399" t="s">
        <v>26338</v>
      </c>
      <c r="C8399" t="s">
        <v>27847</v>
      </c>
      <c r="D8399" t="s">
        <v>27848</v>
      </c>
      <c r="E8399">
        <v>2</v>
      </c>
      <c r="F8399" t="s">
        <v>27845</v>
      </c>
      <c r="G8399" t="s">
        <v>26338</v>
      </c>
      <c r="H8399" t="s">
        <v>27847</v>
      </c>
      <c r="I8399" t="s">
        <v>27849</v>
      </c>
    </row>
    <row r="8400" spans="1:9">
      <c r="A8400" t="str">
        <f>"0080370 "</f>
        <v xml:space="preserve">0080370 </v>
      </c>
      <c r="B8400" t="s">
        <v>26338</v>
      </c>
      <c r="C8400" t="s">
        <v>27850</v>
      </c>
      <c r="D8400" t="s">
        <v>27851</v>
      </c>
      <c r="E8400">
        <v>1</v>
      </c>
      <c r="F8400" t="s">
        <v>27852</v>
      </c>
      <c r="G8400" t="s">
        <v>26338</v>
      </c>
      <c r="H8400" t="s">
        <v>27850</v>
      </c>
      <c r="I8400" t="s">
        <v>22417</v>
      </c>
    </row>
    <row r="8401" spans="1:9">
      <c r="A8401" t="str">
        <f>"0080371 "</f>
        <v xml:space="preserve">0080371 </v>
      </c>
      <c r="B8401" t="s">
        <v>26338</v>
      </c>
      <c r="C8401" t="s">
        <v>27853</v>
      </c>
      <c r="D8401" t="s">
        <v>27854</v>
      </c>
      <c r="E8401">
        <v>1</v>
      </c>
      <c r="F8401" t="s">
        <v>27852</v>
      </c>
      <c r="G8401" t="s">
        <v>26338</v>
      </c>
      <c r="H8401" t="s">
        <v>27853</v>
      </c>
      <c r="I8401" t="s">
        <v>27855</v>
      </c>
    </row>
    <row r="8402" spans="1:9">
      <c r="A8402" t="str">
        <f>"0080381 "</f>
        <v xml:space="preserve">0080381 </v>
      </c>
      <c r="B8402" t="s">
        <v>26338</v>
      </c>
      <c r="C8402" t="s">
        <v>27856</v>
      </c>
      <c r="D8402" t="s">
        <v>27857</v>
      </c>
      <c r="E8402">
        <v>1</v>
      </c>
      <c r="F8402" t="s">
        <v>27858</v>
      </c>
      <c r="G8402" t="s">
        <v>26338</v>
      </c>
      <c r="H8402" t="s">
        <v>27856</v>
      </c>
      <c r="I8402" t="s">
        <v>27859</v>
      </c>
    </row>
    <row r="8403" spans="1:9">
      <c r="A8403" t="str">
        <f>"0080383 "</f>
        <v xml:space="preserve">0080383 </v>
      </c>
      <c r="B8403" t="s">
        <v>26338</v>
      </c>
      <c r="C8403" t="s">
        <v>27860</v>
      </c>
      <c r="D8403" t="s">
        <v>27861</v>
      </c>
      <c r="E8403">
        <v>1</v>
      </c>
      <c r="F8403" t="s">
        <v>27801</v>
      </c>
      <c r="G8403" t="s">
        <v>26338</v>
      </c>
      <c r="H8403" t="s">
        <v>27860</v>
      </c>
      <c r="I8403" t="s">
        <v>27862</v>
      </c>
    </row>
    <row r="8404" spans="1:9">
      <c r="A8404" t="str">
        <f>"0080385 "</f>
        <v xml:space="preserve">0080385 </v>
      </c>
      <c r="B8404" t="s">
        <v>26338</v>
      </c>
      <c r="C8404" t="s">
        <v>27863</v>
      </c>
      <c r="D8404" t="s">
        <v>27864</v>
      </c>
      <c r="E8404">
        <v>1</v>
      </c>
      <c r="F8404" t="s">
        <v>23519</v>
      </c>
      <c r="G8404" t="s">
        <v>26338</v>
      </c>
      <c r="H8404" t="s">
        <v>27863</v>
      </c>
      <c r="I8404" t="s">
        <v>27865</v>
      </c>
    </row>
    <row r="8405" spans="1:9">
      <c r="A8405" t="str">
        <f>"0080390 "</f>
        <v xml:space="preserve">0080390 </v>
      </c>
      <c r="B8405" t="s">
        <v>26338</v>
      </c>
      <c r="C8405" t="s">
        <v>27866</v>
      </c>
      <c r="D8405" t="s">
        <v>27867</v>
      </c>
      <c r="E8405">
        <v>2</v>
      </c>
      <c r="F8405" t="s">
        <v>27868</v>
      </c>
      <c r="G8405" t="s">
        <v>26338</v>
      </c>
      <c r="H8405" t="s">
        <v>27866</v>
      </c>
      <c r="I8405" t="s">
        <v>27869</v>
      </c>
    </row>
    <row r="8406" spans="1:9">
      <c r="A8406" t="str">
        <f>"0080469 "</f>
        <v xml:space="preserve">0080469 </v>
      </c>
      <c r="B8406" t="s">
        <v>26338</v>
      </c>
      <c r="C8406" t="s">
        <v>27870</v>
      </c>
      <c r="D8406" t="s">
        <v>27871</v>
      </c>
      <c r="E8406">
        <v>1</v>
      </c>
      <c r="F8406" t="s">
        <v>15244</v>
      </c>
      <c r="G8406" t="s">
        <v>26338</v>
      </c>
      <c r="H8406" t="s">
        <v>27870</v>
      </c>
      <c r="I8406" t="s">
        <v>27181</v>
      </c>
    </row>
    <row r="8407" spans="1:9">
      <c r="A8407" t="str">
        <f>"0152797 "</f>
        <v xml:space="preserve">0152797 </v>
      </c>
      <c r="B8407" t="s">
        <v>26338</v>
      </c>
      <c r="C8407" t="s">
        <v>27872</v>
      </c>
      <c r="D8407" t="s">
        <v>27873</v>
      </c>
      <c r="E8407">
        <v>2</v>
      </c>
      <c r="F8407" t="s">
        <v>27234</v>
      </c>
      <c r="G8407" t="s">
        <v>26338</v>
      </c>
      <c r="H8407" t="s">
        <v>27872</v>
      </c>
      <c r="I8407" t="s">
        <v>27874</v>
      </c>
    </row>
    <row r="8408" spans="1:9">
      <c r="A8408" t="str">
        <f>"0152798 "</f>
        <v xml:space="preserve">0152798 </v>
      </c>
      <c r="B8408" t="s">
        <v>26338</v>
      </c>
      <c r="C8408" t="s">
        <v>27875</v>
      </c>
      <c r="D8408" t="s">
        <v>27876</v>
      </c>
      <c r="E8408">
        <v>2</v>
      </c>
      <c r="F8408" t="s">
        <v>27234</v>
      </c>
      <c r="G8408" t="s">
        <v>26338</v>
      </c>
      <c r="H8408" t="s">
        <v>27875</v>
      </c>
      <c r="I8408" t="s">
        <v>27877</v>
      </c>
    </row>
    <row r="8409" spans="1:9">
      <c r="A8409" t="str">
        <f>"0080482 "</f>
        <v xml:space="preserve">0080482 </v>
      </c>
      <c r="B8409" t="s">
        <v>26338</v>
      </c>
      <c r="C8409" t="s">
        <v>27878</v>
      </c>
      <c r="D8409" t="s">
        <v>27879</v>
      </c>
      <c r="E8409">
        <v>4</v>
      </c>
      <c r="F8409" t="s">
        <v>27880</v>
      </c>
      <c r="G8409" t="s">
        <v>26338</v>
      </c>
      <c r="H8409" t="s">
        <v>27878</v>
      </c>
      <c r="I8409" t="s">
        <v>27881</v>
      </c>
    </row>
    <row r="8410" spans="1:9">
      <c r="A8410" t="str">
        <f>"0080483 "</f>
        <v xml:space="preserve">0080483 </v>
      </c>
      <c r="B8410" t="s">
        <v>26338</v>
      </c>
      <c r="C8410" t="s">
        <v>27882</v>
      </c>
      <c r="D8410" t="s">
        <v>27883</v>
      </c>
      <c r="E8410">
        <v>1</v>
      </c>
      <c r="F8410" t="s">
        <v>27880</v>
      </c>
      <c r="G8410" t="s">
        <v>26338</v>
      </c>
      <c r="H8410" t="s">
        <v>27882</v>
      </c>
      <c r="I8410" t="s">
        <v>27884</v>
      </c>
    </row>
    <row r="8411" spans="1:9">
      <c r="A8411" t="str">
        <f>"0080484 "</f>
        <v xml:space="preserve">0080484 </v>
      </c>
      <c r="B8411" t="s">
        <v>26338</v>
      </c>
      <c r="C8411" t="s">
        <v>27885</v>
      </c>
      <c r="D8411" t="s">
        <v>27886</v>
      </c>
      <c r="E8411">
        <v>2</v>
      </c>
      <c r="F8411" t="s">
        <v>27880</v>
      </c>
      <c r="G8411" t="s">
        <v>26338</v>
      </c>
      <c r="H8411" t="s">
        <v>27885</v>
      </c>
      <c r="I8411" t="s">
        <v>27887</v>
      </c>
    </row>
    <row r="8412" spans="1:9">
      <c r="A8412" t="str">
        <f>"0080485 "</f>
        <v xml:space="preserve">0080485 </v>
      </c>
      <c r="B8412" t="s">
        <v>26338</v>
      </c>
      <c r="C8412" t="s">
        <v>27888</v>
      </c>
      <c r="D8412" t="s">
        <v>27889</v>
      </c>
      <c r="E8412">
        <v>2</v>
      </c>
      <c r="F8412" t="s">
        <v>14582</v>
      </c>
      <c r="G8412" t="s">
        <v>26338</v>
      </c>
      <c r="H8412" t="s">
        <v>27888</v>
      </c>
      <c r="I8412" t="s">
        <v>27129</v>
      </c>
    </row>
    <row r="8413" spans="1:9">
      <c r="A8413" t="str">
        <f>"0080528 "</f>
        <v xml:space="preserve">0080528 </v>
      </c>
      <c r="B8413" t="s">
        <v>26338</v>
      </c>
      <c r="C8413" t="s">
        <v>27890</v>
      </c>
      <c r="D8413" t="s">
        <v>27891</v>
      </c>
      <c r="E8413">
        <v>1</v>
      </c>
      <c r="F8413" t="s">
        <v>27892</v>
      </c>
      <c r="G8413" t="s">
        <v>26338</v>
      </c>
      <c r="H8413" t="s">
        <v>27890</v>
      </c>
      <c r="I8413" t="s">
        <v>27893</v>
      </c>
    </row>
    <row r="8414" spans="1:9">
      <c r="A8414" t="str">
        <f>"0080529 "</f>
        <v xml:space="preserve">0080529 </v>
      </c>
      <c r="B8414" t="s">
        <v>26338</v>
      </c>
      <c r="C8414" t="s">
        <v>27894</v>
      </c>
      <c r="D8414" t="s">
        <v>27895</v>
      </c>
      <c r="E8414">
        <v>1</v>
      </c>
      <c r="F8414" t="s">
        <v>27892</v>
      </c>
      <c r="G8414" t="s">
        <v>26338</v>
      </c>
      <c r="H8414" t="s">
        <v>27894</v>
      </c>
      <c r="I8414" t="s">
        <v>27896</v>
      </c>
    </row>
    <row r="8415" spans="1:9">
      <c r="A8415" t="str">
        <f>"0080533 "</f>
        <v xml:space="preserve">0080533 </v>
      </c>
      <c r="B8415" t="s">
        <v>26338</v>
      </c>
      <c r="C8415" t="s">
        <v>27897</v>
      </c>
      <c r="D8415" t="s">
        <v>27898</v>
      </c>
      <c r="E8415">
        <v>1</v>
      </c>
      <c r="F8415" t="s">
        <v>19937</v>
      </c>
      <c r="G8415" t="s">
        <v>26338</v>
      </c>
      <c r="H8415" t="s">
        <v>27897</v>
      </c>
      <c r="I8415" t="s">
        <v>27899</v>
      </c>
    </row>
    <row r="8416" spans="1:9">
      <c r="A8416" t="str">
        <f>"0080548 "</f>
        <v xml:space="preserve">0080548 </v>
      </c>
      <c r="B8416" t="s">
        <v>26338</v>
      </c>
      <c r="C8416" t="s">
        <v>27900</v>
      </c>
      <c r="D8416" t="s">
        <v>27901</v>
      </c>
      <c r="E8416">
        <v>2</v>
      </c>
      <c r="F8416" t="s">
        <v>27902</v>
      </c>
      <c r="G8416" t="s">
        <v>26338</v>
      </c>
      <c r="H8416" t="s">
        <v>27900</v>
      </c>
      <c r="I8416" t="s">
        <v>27903</v>
      </c>
    </row>
    <row r="8417" spans="1:9">
      <c r="A8417" t="str">
        <f>"0080549 "</f>
        <v xml:space="preserve">0080549 </v>
      </c>
      <c r="B8417" t="s">
        <v>26338</v>
      </c>
      <c r="C8417" t="s">
        <v>27904</v>
      </c>
      <c r="D8417" t="s">
        <v>27905</v>
      </c>
      <c r="E8417">
        <v>2</v>
      </c>
      <c r="F8417" t="s">
        <v>27902</v>
      </c>
      <c r="G8417" t="s">
        <v>26338</v>
      </c>
      <c r="H8417" t="s">
        <v>27904</v>
      </c>
      <c r="I8417" t="s">
        <v>27906</v>
      </c>
    </row>
    <row r="8418" spans="1:9">
      <c r="A8418" t="str">
        <f>"0080552 "</f>
        <v xml:space="preserve">0080552 </v>
      </c>
      <c r="B8418" t="s">
        <v>26338</v>
      </c>
      <c r="C8418" t="s">
        <v>27907</v>
      </c>
      <c r="D8418" t="s">
        <v>27908</v>
      </c>
      <c r="E8418">
        <v>4</v>
      </c>
      <c r="F8418" t="s">
        <v>9827</v>
      </c>
      <c r="G8418" t="s">
        <v>26338</v>
      </c>
      <c r="H8418" t="s">
        <v>27907</v>
      </c>
      <c r="I8418" t="s">
        <v>14680</v>
      </c>
    </row>
    <row r="8419" spans="1:9">
      <c r="A8419" t="str">
        <f>"0080577 "</f>
        <v xml:space="preserve">0080577 </v>
      </c>
      <c r="B8419" t="s">
        <v>26338</v>
      </c>
      <c r="C8419" t="s">
        <v>27909</v>
      </c>
      <c r="D8419" t="s">
        <v>27910</v>
      </c>
      <c r="E8419">
        <v>2</v>
      </c>
      <c r="F8419" t="s">
        <v>27911</v>
      </c>
      <c r="G8419" t="s">
        <v>26338</v>
      </c>
      <c r="H8419" t="s">
        <v>27909</v>
      </c>
      <c r="I8419" t="s">
        <v>27912</v>
      </c>
    </row>
    <row r="8420" spans="1:9">
      <c r="A8420" t="str">
        <f>"0080578 "</f>
        <v xml:space="preserve">0080578 </v>
      </c>
      <c r="B8420" t="s">
        <v>26338</v>
      </c>
      <c r="C8420" t="s">
        <v>27913</v>
      </c>
      <c r="D8420" t="s">
        <v>27914</v>
      </c>
      <c r="E8420">
        <v>2</v>
      </c>
      <c r="F8420" t="s">
        <v>14760</v>
      </c>
      <c r="G8420" t="s">
        <v>26338</v>
      </c>
      <c r="H8420" t="s">
        <v>27913</v>
      </c>
      <c r="I8420" t="s">
        <v>27915</v>
      </c>
    </row>
    <row r="8421" spans="1:9">
      <c r="A8421" t="str">
        <f>"0080579 "</f>
        <v xml:space="preserve">0080579 </v>
      </c>
      <c r="B8421" t="s">
        <v>26338</v>
      </c>
      <c r="C8421" t="s">
        <v>27916</v>
      </c>
      <c r="D8421" t="s">
        <v>27917</v>
      </c>
      <c r="E8421">
        <v>2</v>
      </c>
      <c r="F8421" t="s">
        <v>14760</v>
      </c>
      <c r="G8421" t="s">
        <v>26338</v>
      </c>
      <c r="H8421" t="s">
        <v>27916</v>
      </c>
      <c r="I8421" t="s">
        <v>27918</v>
      </c>
    </row>
    <row r="8422" spans="1:9">
      <c r="A8422" t="str">
        <f>"0080646 "</f>
        <v xml:space="preserve">0080646 </v>
      </c>
      <c r="B8422" t="s">
        <v>26338</v>
      </c>
      <c r="C8422" t="s">
        <v>27919</v>
      </c>
      <c r="D8422" t="s">
        <v>27920</v>
      </c>
      <c r="E8422">
        <v>1</v>
      </c>
      <c r="F8422" t="s">
        <v>27921</v>
      </c>
      <c r="G8422" t="s">
        <v>26338</v>
      </c>
      <c r="H8422" t="s">
        <v>27919</v>
      </c>
      <c r="I8422" t="s">
        <v>27922</v>
      </c>
    </row>
    <row r="8423" spans="1:9">
      <c r="A8423" t="str">
        <f>"0080648 "</f>
        <v xml:space="preserve">0080648 </v>
      </c>
      <c r="B8423" t="s">
        <v>26338</v>
      </c>
      <c r="C8423" t="s">
        <v>27923</v>
      </c>
      <c r="D8423" t="s">
        <v>27924</v>
      </c>
      <c r="E8423">
        <v>1</v>
      </c>
      <c r="F8423" t="s">
        <v>27921</v>
      </c>
      <c r="G8423" t="s">
        <v>26338</v>
      </c>
      <c r="H8423" t="s">
        <v>27923</v>
      </c>
      <c r="I8423" t="s">
        <v>27925</v>
      </c>
    </row>
    <row r="8424" spans="1:9">
      <c r="A8424" t="str">
        <f>"0080657 "</f>
        <v xml:space="preserve">0080657 </v>
      </c>
      <c r="B8424" t="s">
        <v>26338</v>
      </c>
      <c r="C8424" t="s">
        <v>27926</v>
      </c>
      <c r="D8424" t="s">
        <v>27927</v>
      </c>
      <c r="E8424">
        <v>2</v>
      </c>
      <c r="F8424" t="s">
        <v>27928</v>
      </c>
      <c r="G8424" t="s">
        <v>26338</v>
      </c>
      <c r="H8424" t="s">
        <v>27926</v>
      </c>
      <c r="I8424" t="s">
        <v>27929</v>
      </c>
    </row>
    <row r="8425" spans="1:9">
      <c r="A8425" t="str">
        <f>"0211765 "</f>
        <v xml:space="preserve">0211765 </v>
      </c>
      <c r="B8425" t="s">
        <v>26338</v>
      </c>
      <c r="C8425" t="s">
        <v>27930</v>
      </c>
      <c r="D8425" t="s">
        <v>27931</v>
      </c>
      <c r="E8425">
        <v>1</v>
      </c>
      <c r="F8425" t="s">
        <v>26418</v>
      </c>
      <c r="G8425" t="s">
        <v>26338</v>
      </c>
      <c r="H8425" t="s">
        <v>27930</v>
      </c>
      <c r="I8425" t="s">
        <v>27932</v>
      </c>
    </row>
    <row r="8426" spans="1:9">
      <c r="A8426" t="str">
        <f>"0080726 "</f>
        <v xml:space="preserve">0080726 </v>
      </c>
      <c r="B8426" t="s">
        <v>26338</v>
      </c>
      <c r="C8426" t="s">
        <v>27933</v>
      </c>
      <c r="D8426" t="s">
        <v>27934</v>
      </c>
      <c r="E8426">
        <v>4</v>
      </c>
      <c r="F8426" t="s">
        <v>27935</v>
      </c>
      <c r="G8426" t="s">
        <v>26338</v>
      </c>
      <c r="H8426" t="s">
        <v>27933</v>
      </c>
      <c r="I8426" t="s">
        <v>27936</v>
      </c>
    </row>
    <row r="8427" spans="1:9">
      <c r="A8427" t="str">
        <f>"0080728 "</f>
        <v xml:space="preserve">0080728 </v>
      </c>
      <c r="B8427" t="s">
        <v>26338</v>
      </c>
      <c r="C8427" t="s">
        <v>27937</v>
      </c>
      <c r="D8427" t="s">
        <v>27938</v>
      </c>
      <c r="E8427">
        <v>2</v>
      </c>
      <c r="F8427" t="s">
        <v>21717</v>
      </c>
      <c r="G8427" t="s">
        <v>26338</v>
      </c>
      <c r="H8427" t="s">
        <v>27937</v>
      </c>
      <c r="I8427" t="s">
        <v>27939</v>
      </c>
    </row>
    <row r="8428" spans="1:9">
      <c r="A8428" t="str">
        <f>"0080729 "</f>
        <v xml:space="preserve">0080729 </v>
      </c>
      <c r="B8428" t="s">
        <v>26338</v>
      </c>
      <c r="C8428" t="s">
        <v>27940</v>
      </c>
      <c r="D8428" t="s">
        <v>27941</v>
      </c>
      <c r="E8428">
        <v>2</v>
      </c>
      <c r="F8428" t="s">
        <v>21717</v>
      </c>
      <c r="G8428" t="s">
        <v>26338</v>
      </c>
      <c r="H8428" t="s">
        <v>27940</v>
      </c>
      <c r="I8428" t="s">
        <v>27942</v>
      </c>
    </row>
    <row r="8429" spans="1:9">
      <c r="A8429" t="str">
        <f>"0152802 "</f>
        <v xml:space="preserve">0152802 </v>
      </c>
      <c r="B8429" t="s">
        <v>26338</v>
      </c>
      <c r="C8429" t="s">
        <v>27943</v>
      </c>
      <c r="D8429" t="s">
        <v>27944</v>
      </c>
      <c r="E8429">
        <v>1</v>
      </c>
      <c r="F8429" t="s">
        <v>15277</v>
      </c>
      <c r="G8429" t="s">
        <v>26338</v>
      </c>
      <c r="H8429" t="s">
        <v>27943</v>
      </c>
      <c r="I8429" t="s">
        <v>27945</v>
      </c>
    </row>
    <row r="8430" spans="1:9">
      <c r="A8430" t="str">
        <f>"0080770 "</f>
        <v xml:space="preserve">0080770 </v>
      </c>
      <c r="B8430" t="s">
        <v>26338</v>
      </c>
      <c r="C8430" t="s">
        <v>27946</v>
      </c>
      <c r="D8430" t="s">
        <v>27947</v>
      </c>
      <c r="E8430">
        <v>1</v>
      </c>
      <c r="F8430" t="s">
        <v>27948</v>
      </c>
      <c r="G8430" t="s">
        <v>26338</v>
      </c>
      <c r="H8430" t="s">
        <v>27946</v>
      </c>
      <c r="I8430" t="s">
        <v>27949</v>
      </c>
    </row>
    <row r="8431" spans="1:9">
      <c r="A8431" t="str">
        <f>"0152804 "</f>
        <v xml:space="preserve">0152804 </v>
      </c>
      <c r="B8431" t="s">
        <v>26338</v>
      </c>
      <c r="C8431" t="s">
        <v>27950</v>
      </c>
      <c r="D8431" t="s">
        <v>27951</v>
      </c>
      <c r="E8431">
        <v>2</v>
      </c>
      <c r="F8431" t="s">
        <v>27164</v>
      </c>
      <c r="G8431" t="s">
        <v>26338</v>
      </c>
      <c r="H8431" t="s">
        <v>27950</v>
      </c>
      <c r="I8431" t="s">
        <v>27952</v>
      </c>
    </row>
    <row r="8432" spans="1:9">
      <c r="A8432" t="str">
        <f>"0080774 "</f>
        <v xml:space="preserve">0080774 </v>
      </c>
      <c r="B8432" t="s">
        <v>26338</v>
      </c>
      <c r="C8432" t="s">
        <v>27953</v>
      </c>
      <c r="D8432" t="s">
        <v>27954</v>
      </c>
      <c r="E8432">
        <v>2</v>
      </c>
      <c r="F8432" t="s">
        <v>27955</v>
      </c>
      <c r="G8432" t="s">
        <v>26338</v>
      </c>
      <c r="H8432" t="s">
        <v>27953</v>
      </c>
      <c r="I8432" t="s">
        <v>14843</v>
      </c>
    </row>
    <row r="8433" spans="1:9">
      <c r="A8433" t="str">
        <f>"0080775 "</f>
        <v xml:space="preserve">0080775 </v>
      </c>
      <c r="B8433" t="s">
        <v>26338</v>
      </c>
      <c r="C8433" t="s">
        <v>27956</v>
      </c>
      <c r="D8433" t="s">
        <v>27957</v>
      </c>
      <c r="E8433">
        <v>2</v>
      </c>
      <c r="F8433" t="s">
        <v>27955</v>
      </c>
      <c r="G8433" t="s">
        <v>26338</v>
      </c>
      <c r="H8433" t="s">
        <v>27956</v>
      </c>
      <c r="I8433" t="s">
        <v>14847</v>
      </c>
    </row>
    <row r="8434" spans="1:9">
      <c r="A8434" t="str">
        <f>"0152807 "</f>
        <v xml:space="preserve">0152807 </v>
      </c>
      <c r="B8434" t="s">
        <v>26338</v>
      </c>
      <c r="C8434" t="s">
        <v>27958</v>
      </c>
      <c r="D8434" t="s">
        <v>27959</v>
      </c>
      <c r="E8434">
        <v>1</v>
      </c>
      <c r="F8434" t="s">
        <v>27960</v>
      </c>
      <c r="G8434" t="s">
        <v>26338</v>
      </c>
      <c r="H8434" t="s">
        <v>27958</v>
      </c>
      <c r="I8434" t="s">
        <v>27961</v>
      </c>
    </row>
    <row r="8435" spans="1:9">
      <c r="A8435" t="str">
        <f>"0152808 "</f>
        <v xml:space="preserve">0152808 </v>
      </c>
      <c r="B8435" t="s">
        <v>26338</v>
      </c>
      <c r="C8435" t="s">
        <v>27962</v>
      </c>
      <c r="D8435" t="s">
        <v>27963</v>
      </c>
      <c r="E8435">
        <v>2</v>
      </c>
      <c r="F8435" t="s">
        <v>27960</v>
      </c>
      <c r="G8435" t="s">
        <v>26338</v>
      </c>
      <c r="H8435" t="s">
        <v>27962</v>
      </c>
      <c r="I8435" t="s">
        <v>27964</v>
      </c>
    </row>
    <row r="8436" spans="1:9">
      <c r="A8436" t="str">
        <f>"0239294 "</f>
        <v xml:space="preserve">0239294 </v>
      </c>
      <c r="B8436" t="s">
        <v>26338</v>
      </c>
      <c r="C8436" t="s">
        <v>27965</v>
      </c>
      <c r="D8436" t="s">
        <v>27966</v>
      </c>
      <c r="E8436">
        <v>1</v>
      </c>
      <c r="F8436" t="s">
        <v>15277</v>
      </c>
      <c r="G8436" t="s">
        <v>26338</v>
      </c>
      <c r="H8436" t="s">
        <v>27965</v>
      </c>
      <c r="I8436" t="s">
        <v>27967</v>
      </c>
    </row>
    <row r="8437" spans="1:9">
      <c r="A8437" t="str">
        <f>"0239295 "</f>
        <v xml:space="preserve">0239295 </v>
      </c>
      <c r="B8437" t="s">
        <v>26338</v>
      </c>
      <c r="C8437" t="s">
        <v>27968</v>
      </c>
      <c r="D8437" t="s">
        <v>27969</v>
      </c>
      <c r="E8437">
        <v>1</v>
      </c>
      <c r="F8437" t="s">
        <v>15277</v>
      </c>
      <c r="G8437" t="s">
        <v>26338</v>
      </c>
      <c r="H8437" t="s">
        <v>27968</v>
      </c>
      <c r="I8437" t="s">
        <v>27967</v>
      </c>
    </row>
    <row r="8438" spans="1:9">
      <c r="A8438" t="str">
        <f>"0080781 "</f>
        <v xml:space="preserve">0080781 </v>
      </c>
      <c r="B8438" t="s">
        <v>26338</v>
      </c>
      <c r="C8438" t="s">
        <v>27970</v>
      </c>
      <c r="D8438" t="s">
        <v>27971</v>
      </c>
      <c r="E8438">
        <v>2</v>
      </c>
      <c r="F8438" t="s">
        <v>27972</v>
      </c>
      <c r="G8438" t="s">
        <v>26338</v>
      </c>
      <c r="H8438" t="s">
        <v>27970</v>
      </c>
      <c r="I8438" t="s">
        <v>27973</v>
      </c>
    </row>
    <row r="8439" spans="1:9">
      <c r="A8439" t="str">
        <f>"0080786 "</f>
        <v xml:space="preserve">0080786 </v>
      </c>
      <c r="B8439" t="s">
        <v>26338</v>
      </c>
      <c r="C8439" t="s">
        <v>27974</v>
      </c>
      <c r="D8439" t="s">
        <v>27975</v>
      </c>
      <c r="E8439">
        <v>1</v>
      </c>
      <c r="F8439" t="s">
        <v>20359</v>
      </c>
      <c r="G8439" t="s">
        <v>26338</v>
      </c>
      <c r="H8439" t="s">
        <v>27974</v>
      </c>
      <c r="I8439" t="s">
        <v>27976</v>
      </c>
    </row>
    <row r="8440" spans="1:9">
      <c r="A8440" t="str">
        <f>"0080787 "</f>
        <v xml:space="preserve">0080787 </v>
      </c>
      <c r="B8440" t="s">
        <v>26338</v>
      </c>
      <c r="C8440" t="s">
        <v>27977</v>
      </c>
      <c r="D8440" t="s">
        <v>27978</v>
      </c>
      <c r="E8440">
        <v>1</v>
      </c>
      <c r="F8440" t="s">
        <v>20359</v>
      </c>
      <c r="G8440" t="s">
        <v>26338</v>
      </c>
      <c r="H8440" t="s">
        <v>27977</v>
      </c>
      <c r="I8440" t="s">
        <v>27979</v>
      </c>
    </row>
    <row r="8441" spans="1:9">
      <c r="A8441" t="str">
        <f>"0152811 "</f>
        <v xml:space="preserve">0152811 </v>
      </c>
      <c r="B8441" t="s">
        <v>26338</v>
      </c>
      <c r="C8441" t="s">
        <v>27980</v>
      </c>
      <c r="D8441" t="s">
        <v>27981</v>
      </c>
      <c r="E8441">
        <v>1</v>
      </c>
      <c r="F8441" t="s">
        <v>27960</v>
      </c>
      <c r="G8441" t="s">
        <v>26338</v>
      </c>
      <c r="H8441" t="s">
        <v>27980</v>
      </c>
      <c r="I8441" t="s">
        <v>27982</v>
      </c>
    </row>
    <row r="8442" spans="1:9">
      <c r="A8442" t="str">
        <f>"0152812 "</f>
        <v xml:space="preserve">0152812 </v>
      </c>
      <c r="B8442" t="s">
        <v>26338</v>
      </c>
      <c r="C8442" t="s">
        <v>27983</v>
      </c>
      <c r="D8442" t="s">
        <v>27984</v>
      </c>
      <c r="E8442">
        <v>2</v>
      </c>
      <c r="F8442" t="s">
        <v>15277</v>
      </c>
      <c r="G8442" t="s">
        <v>26338</v>
      </c>
      <c r="H8442" t="s">
        <v>27983</v>
      </c>
      <c r="I8442" t="s">
        <v>27985</v>
      </c>
    </row>
    <row r="8443" spans="1:9">
      <c r="A8443" t="str">
        <f>"0080795 "</f>
        <v xml:space="preserve">0080795 </v>
      </c>
      <c r="B8443" t="s">
        <v>26338</v>
      </c>
      <c r="C8443" t="s">
        <v>27986</v>
      </c>
      <c r="D8443" t="s">
        <v>27987</v>
      </c>
      <c r="E8443">
        <v>3</v>
      </c>
      <c r="F8443" t="s">
        <v>27960</v>
      </c>
      <c r="G8443" t="s">
        <v>26338</v>
      </c>
      <c r="H8443" t="s">
        <v>27986</v>
      </c>
      <c r="I8443" t="s">
        <v>27988</v>
      </c>
    </row>
    <row r="8444" spans="1:9">
      <c r="A8444" t="str">
        <f>"0080796 "</f>
        <v xml:space="preserve">0080796 </v>
      </c>
      <c r="B8444" t="s">
        <v>26338</v>
      </c>
      <c r="C8444" t="s">
        <v>27989</v>
      </c>
      <c r="D8444" t="s">
        <v>27990</v>
      </c>
      <c r="E8444">
        <v>2</v>
      </c>
      <c r="F8444" t="s">
        <v>27960</v>
      </c>
      <c r="G8444" t="s">
        <v>26338</v>
      </c>
      <c r="H8444" t="s">
        <v>27989</v>
      </c>
      <c r="I8444" t="s">
        <v>27991</v>
      </c>
    </row>
    <row r="8445" spans="1:9">
      <c r="A8445" t="str">
        <f>"0080801 "</f>
        <v xml:space="preserve">0080801 </v>
      </c>
      <c r="B8445" t="s">
        <v>26338</v>
      </c>
      <c r="C8445" t="s">
        <v>27992</v>
      </c>
      <c r="D8445" t="s">
        <v>27993</v>
      </c>
      <c r="E8445">
        <v>4</v>
      </c>
      <c r="F8445" t="s">
        <v>27994</v>
      </c>
      <c r="G8445" t="s">
        <v>26338</v>
      </c>
      <c r="H8445" t="s">
        <v>27992</v>
      </c>
      <c r="I8445" t="s">
        <v>27995</v>
      </c>
    </row>
    <row r="8446" spans="1:9">
      <c r="A8446" t="str">
        <f>"0080802 "</f>
        <v xml:space="preserve">0080802 </v>
      </c>
      <c r="B8446" t="s">
        <v>26338</v>
      </c>
      <c r="C8446" t="s">
        <v>27996</v>
      </c>
      <c r="D8446" t="s">
        <v>27997</v>
      </c>
      <c r="E8446">
        <v>3</v>
      </c>
      <c r="F8446" t="s">
        <v>27998</v>
      </c>
      <c r="G8446" t="s">
        <v>26338</v>
      </c>
      <c r="H8446" t="s">
        <v>27996</v>
      </c>
      <c r="I8446" t="s">
        <v>14886</v>
      </c>
    </row>
    <row r="8447" spans="1:9">
      <c r="A8447" t="str">
        <f>"0080807 "</f>
        <v xml:space="preserve">0080807 </v>
      </c>
      <c r="B8447" t="s">
        <v>26338</v>
      </c>
      <c r="C8447" t="s">
        <v>27999</v>
      </c>
      <c r="D8447" t="s">
        <v>28000</v>
      </c>
      <c r="E8447">
        <v>2</v>
      </c>
      <c r="F8447" t="s">
        <v>25645</v>
      </c>
      <c r="G8447" t="s">
        <v>26338</v>
      </c>
      <c r="H8447" t="s">
        <v>27999</v>
      </c>
      <c r="I8447" t="s">
        <v>28001</v>
      </c>
    </row>
    <row r="8448" spans="1:9">
      <c r="A8448" t="str">
        <f>"0080813 "</f>
        <v xml:space="preserve">0080813 </v>
      </c>
      <c r="B8448" t="s">
        <v>26338</v>
      </c>
      <c r="C8448" t="s">
        <v>28002</v>
      </c>
      <c r="D8448" t="s">
        <v>28003</v>
      </c>
      <c r="E8448">
        <v>5</v>
      </c>
      <c r="F8448" t="s">
        <v>27278</v>
      </c>
      <c r="G8448" t="s">
        <v>26338</v>
      </c>
      <c r="H8448" t="s">
        <v>28002</v>
      </c>
      <c r="I8448" t="s">
        <v>28004</v>
      </c>
    </row>
    <row r="8449" spans="1:9">
      <c r="A8449" t="str">
        <f>"0152817 "</f>
        <v xml:space="preserve">0152817 </v>
      </c>
      <c r="B8449" t="s">
        <v>26338</v>
      </c>
      <c r="C8449" t="s">
        <v>28005</v>
      </c>
      <c r="D8449" t="s">
        <v>28006</v>
      </c>
      <c r="E8449">
        <v>2</v>
      </c>
      <c r="F8449" t="s">
        <v>9581</v>
      </c>
      <c r="G8449" t="s">
        <v>26338</v>
      </c>
      <c r="H8449" t="s">
        <v>28005</v>
      </c>
      <c r="I8449" t="s">
        <v>28007</v>
      </c>
    </row>
    <row r="8450" spans="1:9">
      <c r="A8450" t="str">
        <f>"0152818 "</f>
        <v xml:space="preserve">0152818 </v>
      </c>
      <c r="B8450" t="s">
        <v>26338</v>
      </c>
      <c r="C8450" t="s">
        <v>28008</v>
      </c>
      <c r="D8450" t="s">
        <v>28009</v>
      </c>
      <c r="E8450">
        <v>1</v>
      </c>
      <c r="F8450" t="s">
        <v>9581</v>
      </c>
      <c r="G8450" t="s">
        <v>26338</v>
      </c>
      <c r="H8450" t="s">
        <v>28008</v>
      </c>
      <c r="I8450" t="s">
        <v>28010</v>
      </c>
    </row>
    <row r="8451" spans="1:9">
      <c r="A8451" t="str">
        <f>"0081421 "</f>
        <v xml:space="preserve">0081421 </v>
      </c>
      <c r="B8451" t="s">
        <v>26338</v>
      </c>
      <c r="C8451" t="s">
        <v>28011</v>
      </c>
      <c r="D8451" t="s">
        <v>28012</v>
      </c>
      <c r="E8451">
        <v>4</v>
      </c>
      <c r="F8451" t="s">
        <v>14755</v>
      </c>
      <c r="G8451" t="s">
        <v>26338</v>
      </c>
      <c r="H8451" t="s">
        <v>28011</v>
      </c>
      <c r="I8451" t="s">
        <v>28013</v>
      </c>
    </row>
    <row r="8452" spans="1:9">
      <c r="A8452" t="str">
        <f>"0081428 "</f>
        <v xml:space="preserve">0081428 </v>
      </c>
      <c r="B8452" t="s">
        <v>26338</v>
      </c>
      <c r="C8452" t="s">
        <v>28014</v>
      </c>
      <c r="D8452" t="s">
        <v>28015</v>
      </c>
      <c r="E8452">
        <v>4</v>
      </c>
      <c r="F8452" t="s">
        <v>28016</v>
      </c>
      <c r="G8452" t="s">
        <v>26338</v>
      </c>
      <c r="H8452" t="s">
        <v>28014</v>
      </c>
      <c r="I8452" t="s">
        <v>28017</v>
      </c>
    </row>
    <row r="8453" spans="1:9">
      <c r="A8453" t="str">
        <f>"0081433 "</f>
        <v xml:space="preserve">0081433 </v>
      </c>
      <c r="B8453" t="s">
        <v>26338</v>
      </c>
      <c r="C8453" t="s">
        <v>28018</v>
      </c>
      <c r="D8453" t="s">
        <v>28019</v>
      </c>
      <c r="E8453">
        <v>1</v>
      </c>
      <c r="F8453" t="s">
        <v>15433</v>
      </c>
      <c r="G8453" t="s">
        <v>26338</v>
      </c>
      <c r="H8453" t="s">
        <v>28018</v>
      </c>
      <c r="I8453" t="s">
        <v>14657</v>
      </c>
    </row>
    <row r="8454" spans="1:9">
      <c r="A8454" t="str">
        <f>"0081437 "</f>
        <v xml:space="preserve">0081437 </v>
      </c>
      <c r="B8454" t="s">
        <v>26338</v>
      </c>
      <c r="C8454" t="s">
        <v>28020</v>
      </c>
      <c r="D8454" t="s">
        <v>28021</v>
      </c>
      <c r="E8454">
        <v>4</v>
      </c>
      <c r="F8454" t="s">
        <v>27458</v>
      </c>
      <c r="G8454" t="s">
        <v>26338</v>
      </c>
      <c r="H8454" t="s">
        <v>28020</v>
      </c>
      <c r="I8454" t="s">
        <v>28022</v>
      </c>
    </row>
    <row r="8455" spans="1:9">
      <c r="A8455" t="str">
        <f>"0081459 "</f>
        <v xml:space="preserve">0081459 </v>
      </c>
      <c r="B8455" t="s">
        <v>26338</v>
      </c>
      <c r="C8455" t="s">
        <v>28023</v>
      </c>
      <c r="D8455" t="s">
        <v>28024</v>
      </c>
      <c r="E8455">
        <v>1</v>
      </c>
      <c r="F8455" t="s">
        <v>28025</v>
      </c>
      <c r="G8455" t="s">
        <v>26338</v>
      </c>
      <c r="H8455" t="s">
        <v>28023</v>
      </c>
      <c r="I8455" t="s">
        <v>28026</v>
      </c>
    </row>
    <row r="8456" spans="1:9">
      <c r="A8456" t="str">
        <f>"0081476 "</f>
        <v xml:space="preserve">0081476 </v>
      </c>
      <c r="B8456" t="s">
        <v>26338</v>
      </c>
      <c r="C8456" t="s">
        <v>28027</v>
      </c>
      <c r="D8456" t="s">
        <v>28028</v>
      </c>
      <c r="E8456">
        <v>2</v>
      </c>
      <c r="F8456" t="s">
        <v>8643</v>
      </c>
      <c r="G8456" t="s">
        <v>26338</v>
      </c>
      <c r="H8456" t="s">
        <v>28027</v>
      </c>
      <c r="I8456" t="s">
        <v>28029</v>
      </c>
    </row>
    <row r="8457" spans="1:9">
      <c r="A8457" t="str">
        <f>"0081486 "</f>
        <v xml:space="preserve">0081486 </v>
      </c>
      <c r="B8457" t="s">
        <v>26338</v>
      </c>
      <c r="C8457" t="s">
        <v>28030</v>
      </c>
      <c r="D8457" t="s">
        <v>28031</v>
      </c>
      <c r="E8457">
        <v>2</v>
      </c>
      <c r="F8457" t="s">
        <v>28032</v>
      </c>
      <c r="G8457" t="s">
        <v>26338</v>
      </c>
      <c r="H8457" t="s">
        <v>28030</v>
      </c>
      <c r="I8457" t="s">
        <v>28033</v>
      </c>
    </row>
    <row r="8458" spans="1:9">
      <c r="A8458" t="str">
        <f>"0081498 "</f>
        <v xml:space="preserve">0081498 </v>
      </c>
      <c r="B8458" t="s">
        <v>26338</v>
      </c>
      <c r="C8458" t="s">
        <v>28034</v>
      </c>
      <c r="D8458" t="s">
        <v>28035</v>
      </c>
      <c r="E8458">
        <v>2</v>
      </c>
      <c r="F8458" t="s">
        <v>27052</v>
      </c>
      <c r="G8458" t="s">
        <v>26338</v>
      </c>
      <c r="H8458" t="s">
        <v>28034</v>
      </c>
      <c r="I8458" t="s">
        <v>28036</v>
      </c>
    </row>
    <row r="8459" spans="1:9">
      <c r="A8459" t="str">
        <f>"0081514 "</f>
        <v xml:space="preserve">0081514 </v>
      </c>
      <c r="B8459" t="s">
        <v>26338</v>
      </c>
      <c r="C8459" t="s">
        <v>28037</v>
      </c>
      <c r="D8459" t="s">
        <v>28038</v>
      </c>
      <c r="E8459" t="s">
        <v>16</v>
      </c>
      <c r="F8459" t="s">
        <v>28039</v>
      </c>
      <c r="G8459" t="s">
        <v>26338</v>
      </c>
      <c r="H8459" t="s">
        <v>28037</v>
      </c>
      <c r="I8459" t="s">
        <v>28040</v>
      </c>
    </row>
    <row r="8460" spans="1:9">
      <c r="A8460" t="str">
        <f>"0081517 "</f>
        <v xml:space="preserve">0081517 </v>
      </c>
      <c r="B8460" t="s">
        <v>26338</v>
      </c>
      <c r="C8460" t="s">
        <v>28041</v>
      </c>
      <c r="D8460" t="s">
        <v>28042</v>
      </c>
      <c r="E8460">
        <v>2</v>
      </c>
      <c r="F8460" t="s">
        <v>28043</v>
      </c>
      <c r="G8460" t="s">
        <v>26338</v>
      </c>
      <c r="H8460" t="s">
        <v>28041</v>
      </c>
      <c r="I8460" t="s">
        <v>28044</v>
      </c>
    </row>
    <row r="8461" spans="1:9">
      <c r="A8461" t="str">
        <f>"0081522 "</f>
        <v xml:space="preserve">0081522 </v>
      </c>
      <c r="B8461" t="s">
        <v>26338</v>
      </c>
      <c r="C8461" t="s">
        <v>28045</v>
      </c>
      <c r="D8461" t="s">
        <v>28046</v>
      </c>
      <c r="E8461">
        <v>2</v>
      </c>
      <c r="F8461" t="s">
        <v>28047</v>
      </c>
      <c r="G8461" t="s">
        <v>26338</v>
      </c>
      <c r="H8461" t="s">
        <v>28045</v>
      </c>
      <c r="I8461" t="s">
        <v>28048</v>
      </c>
    </row>
    <row r="8462" spans="1:9">
      <c r="A8462" t="str">
        <f>"0081526 "</f>
        <v xml:space="preserve">0081526 </v>
      </c>
      <c r="B8462" t="s">
        <v>26338</v>
      </c>
      <c r="C8462" t="s">
        <v>28049</v>
      </c>
      <c r="D8462" t="s">
        <v>28050</v>
      </c>
      <c r="E8462">
        <v>4</v>
      </c>
      <c r="F8462" t="s">
        <v>20299</v>
      </c>
      <c r="G8462" t="s">
        <v>26338</v>
      </c>
      <c r="H8462" t="s">
        <v>28049</v>
      </c>
      <c r="I8462" t="s">
        <v>14871</v>
      </c>
    </row>
    <row r="8463" spans="1:9">
      <c r="A8463" t="str">
        <f>"0081539 "</f>
        <v xml:space="preserve">0081539 </v>
      </c>
      <c r="B8463" t="s">
        <v>26338</v>
      </c>
      <c r="C8463" t="s">
        <v>28051</v>
      </c>
      <c r="D8463" t="s">
        <v>28052</v>
      </c>
      <c r="E8463">
        <v>1</v>
      </c>
      <c r="F8463" t="s">
        <v>27805</v>
      </c>
      <c r="G8463" t="s">
        <v>26338</v>
      </c>
      <c r="H8463" t="s">
        <v>28051</v>
      </c>
      <c r="I8463" t="s">
        <v>28053</v>
      </c>
    </row>
    <row r="8464" spans="1:9">
      <c r="A8464" t="str">
        <f>"0081543 "</f>
        <v xml:space="preserve">0081543 </v>
      </c>
      <c r="B8464" t="s">
        <v>26338</v>
      </c>
      <c r="C8464" t="s">
        <v>28054</v>
      </c>
      <c r="D8464" t="s">
        <v>28055</v>
      </c>
      <c r="E8464">
        <v>2</v>
      </c>
      <c r="F8464" t="s">
        <v>28056</v>
      </c>
      <c r="G8464" t="s">
        <v>26338</v>
      </c>
      <c r="H8464" t="s">
        <v>28054</v>
      </c>
      <c r="I8464" t="s">
        <v>28057</v>
      </c>
    </row>
    <row r="8465" spans="1:9">
      <c r="A8465" t="str">
        <f>"0081546 "</f>
        <v xml:space="preserve">0081546 </v>
      </c>
      <c r="B8465" t="s">
        <v>26338</v>
      </c>
      <c r="C8465" t="s">
        <v>28058</v>
      </c>
      <c r="D8465" t="s">
        <v>28059</v>
      </c>
      <c r="E8465">
        <v>4</v>
      </c>
      <c r="F8465" t="s">
        <v>10053</v>
      </c>
      <c r="G8465" t="s">
        <v>26338</v>
      </c>
      <c r="H8465" t="s">
        <v>28058</v>
      </c>
      <c r="I8465" t="s">
        <v>14797</v>
      </c>
    </row>
    <row r="8466" spans="1:9">
      <c r="A8466" t="str">
        <f>"0081548 "</f>
        <v xml:space="preserve">0081548 </v>
      </c>
      <c r="B8466" t="s">
        <v>26338</v>
      </c>
      <c r="C8466" t="s">
        <v>28060</v>
      </c>
      <c r="D8466" t="s">
        <v>28061</v>
      </c>
      <c r="E8466">
        <v>4</v>
      </c>
      <c r="F8466" t="s">
        <v>28062</v>
      </c>
      <c r="G8466" t="s">
        <v>26338</v>
      </c>
      <c r="H8466" t="s">
        <v>28060</v>
      </c>
      <c r="I8466" t="s">
        <v>28063</v>
      </c>
    </row>
    <row r="8467" spans="1:9">
      <c r="A8467" t="str">
        <f>"0081549 "</f>
        <v xml:space="preserve">0081549 </v>
      </c>
      <c r="B8467" t="s">
        <v>26338</v>
      </c>
      <c r="C8467" t="s">
        <v>28064</v>
      </c>
      <c r="D8467" t="s">
        <v>28065</v>
      </c>
      <c r="E8467" t="s">
        <v>16</v>
      </c>
      <c r="F8467" t="s">
        <v>27675</v>
      </c>
      <c r="G8467" t="s">
        <v>26338</v>
      </c>
      <c r="H8467" t="s">
        <v>28064</v>
      </c>
      <c r="I8467" t="s">
        <v>28066</v>
      </c>
    </row>
    <row r="8468" spans="1:9">
      <c r="A8468" t="str">
        <f>"0081561 "</f>
        <v xml:space="preserve">0081561 </v>
      </c>
      <c r="B8468" t="s">
        <v>26338</v>
      </c>
      <c r="C8468" t="s">
        <v>28067</v>
      </c>
      <c r="D8468" t="s">
        <v>28068</v>
      </c>
      <c r="E8468">
        <v>4</v>
      </c>
      <c r="F8468" t="s">
        <v>9842</v>
      </c>
      <c r="G8468" t="s">
        <v>26338</v>
      </c>
      <c r="H8468" t="s">
        <v>28067</v>
      </c>
      <c r="I8468" t="s">
        <v>28069</v>
      </c>
    </row>
    <row r="8469" spans="1:9">
      <c r="A8469" t="str">
        <f>"0081562 "</f>
        <v xml:space="preserve">0081562 </v>
      </c>
      <c r="B8469" t="s">
        <v>26338</v>
      </c>
      <c r="C8469" t="s">
        <v>28070</v>
      </c>
      <c r="D8469" t="s">
        <v>28071</v>
      </c>
      <c r="E8469">
        <v>4</v>
      </c>
      <c r="F8469" t="s">
        <v>14755</v>
      </c>
      <c r="G8469" t="s">
        <v>26338</v>
      </c>
      <c r="H8469" t="s">
        <v>28070</v>
      </c>
      <c r="I8469" t="s">
        <v>28072</v>
      </c>
    </row>
    <row r="8470" spans="1:9">
      <c r="A8470" t="str">
        <f>"0081568 "</f>
        <v xml:space="preserve">0081568 </v>
      </c>
      <c r="B8470" t="s">
        <v>26338</v>
      </c>
      <c r="C8470" t="s">
        <v>28073</v>
      </c>
      <c r="D8470" t="s">
        <v>28074</v>
      </c>
      <c r="E8470">
        <v>4</v>
      </c>
      <c r="F8470" t="s">
        <v>28075</v>
      </c>
      <c r="G8470" t="s">
        <v>26338</v>
      </c>
      <c r="H8470" t="s">
        <v>28073</v>
      </c>
      <c r="I8470" t="s">
        <v>15953</v>
      </c>
    </row>
    <row r="8471" spans="1:9">
      <c r="A8471" t="str">
        <f>"0081569 "</f>
        <v xml:space="preserve">0081569 </v>
      </c>
      <c r="B8471" t="s">
        <v>26338</v>
      </c>
      <c r="C8471" t="s">
        <v>28076</v>
      </c>
      <c r="D8471" t="s">
        <v>28077</v>
      </c>
      <c r="E8471">
        <v>4</v>
      </c>
      <c r="F8471" t="s">
        <v>20335</v>
      </c>
      <c r="G8471" t="s">
        <v>26338</v>
      </c>
      <c r="H8471" t="s">
        <v>28076</v>
      </c>
      <c r="I8471" t="s">
        <v>28078</v>
      </c>
    </row>
    <row r="8472" spans="1:9">
      <c r="A8472" t="str">
        <f>"0081571 "</f>
        <v xml:space="preserve">0081571 </v>
      </c>
      <c r="B8472" t="s">
        <v>26338</v>
      </c>
      <c r="C8472" t="s">
        <v>28079</v>
      </c>
      <c r="D8472" t="s">
        <v>28080</v>
      </c>
      <c r="E8472">
        <v>4</v>
      </c>
      <c r="F8472" t="s">
        <v>28081</v>
      </c>
      <c r="G8472" t="s">
        <v>26338</v>
      </c>
      <c r="H8472" t="s">
        <v>28079</v>
      </c>
      <c r="I8472" t="s">
        <v>15307</v>
      </c>
    </row>
    <row r="8473" spans="1:9">
      <c r="A8473" t="str">
        <f>"0081583 "</f>
        <v xml:space="preserve">0081583 </v>
      </c>
      <c r="B8473" t="s">
        <v>26338</v>
      </c>
      <c r="C8473" t="s">
        <v>28082</v>
      </c>
      <c r="D8473" t="s">
        <v>28083</v>
      </c>
      <c r="E8473" t="s">
        <v>16</v>
      </c>
      <c r="F8473" t="s">
        <v>10089</v>
      </c>
      <c r="G8473" t="s">
        <v>26338</v>
      </c>
      <c r="H8473" t="s">
        <v>28082</v>
      </c>
      <c r="I8473" t="s">
        <v>28084</v>
      </c>
    </row>
    <row r="8474" spans="1:9">
      <c r="A8474" t="str">
        <f>"0081594 "</f>
        <v xml:space="preserve">0081594 </v>
      </c>
      <c r="B8474" t="s">
        <v>26338</v>
      </c>
      <c r="C8474" t="s">
        <v>28085</v>
      </c>
      <c r="D8474" t="s">
        <v>28086</v>
      </c>
      <c r="E8474">
        <v>4</v>
      </c>
      <c r="F8474" t="s">
        <v>11401</v>
      </c>
      <c r="G8474" t="s">
        <v>26338</v>
      </c>
      <c r="H8474" t="s">
        <v>28085</v>
      </c>
      <c r="I8474" t="s">
        <v>15099</v>
      </c>
    </row>
    <row r="8475" spans="1:9">
      <c r="A8475" t="str">
        <f>"0081606 "</f>
        <v xml:space="preserve">0081606 </v>
      </c>
      <c r="B8475" t="s">
        <v>26338</v>
      </c>
      <c r="C8475" t="s">
        <v>28087</v>
      </c>
      <c r="D8475" t="s">
        <v>28088</v>
      </c>
      <c r="E8475">
        <v>1</v>
      </c>
      <c r="F8475" t="s">
        <v>28089</v>
      </c>
      <c r="G8475" t="s">
        <v>26338</v>
      </c>
      <c r="H8475" t="s">
        <v>28087</v>
      </c>
      <c r="I8475" t="s">
        <v>28090</v>
      </c>
    </row>
    <row r="8476" spans="1:9">
      <c r="A8476" t="str">
        <f>"0081607 "</f>
        <v xml:space="preserve">0081607 </v>
      </c>
      <c r="B8476" t="s">
        <v>26338</v>
      </c>
      <c r="C8476" t="s">
        <v>28091</v>
      </c>
      <c r="D8476" t="s">
        <v>28092</v>
      </c>
      <c r="E8476">
        <v>1</v>
      </c>
      <c r="F8476" t="s">
        <v>28093</v>
      </c>
      <c r="G8476" t="s">
        <v>26338</v>
      </c>
      <c r="H8476" t="s">
        <v>28091</v>
      </c>
      <c r="I8476" t="s">
        <v>28094</v>
      </c>
    </row>
    <row r="8477" spans="1:9">
      <c r="A8477" t="str">
        <f>"0081610 "</f>
        <v xml:space="preserve">0081610 </v>
      </c>
      <c r="B8477" t="s">
        <v>26338</v>
      </c>
      <c r="C8477" t="s">
        <v>28095</v>
      </c>
      <c r="D8477" t="s">
        <v>28096</v>
      </c>
      <c r="E8477">
        <v>3</v>
      </c>
      <c r="F8477" t="s">
        <v>27121</v>
      </c>
      <c r="G8477" t="s">
        <v>26338</v>
      </c>
      <c r="H8477" t="s">
        <v>28095</v>
      </c>
      <c r="I8477" t="s">
        <v>15013</v>
      </c>
    </row>
    <row r="8478" spans="1:9">
      <c r="A8478" t="str">
        <f>"0081613 "</f>
        <v xml:space="preserve">0081613 </v>
      </c>
      <c r="B8478" t="s">
        <v>26338</v>
      </c>
      <c r="C8478" t="s">
        <v>28097</v>
      </c>
      <c r="D8478" t="s">
        <v>28098</v>
      </c>
      <c r="E8478">
        <v>2</v>
      </c>
      <c r="F8478" t="s">
        <v>9259</v>
      </c>
      <c r="G8478" t="s">
        <v>26338</v>
      </c>
      <c r="H8478" t="s">
        <v>28097</v>
      </c>
      <c r="I8478" t="s">
        <v>15241</v>
      </c>
    </row>
    <row r="8479" spans="1:9">
      <c r="A8479" t="str">
        <f>"0081614 "</f>
        <v xml:space="preserve">0081614 </v>
      </c>
      <c r="B8479" t="s">
        <v>26338</v>
      </c>
      <c r="C8479" t="s">
        <v>28099</v>
      </c>
      <c r="D8479" t="s">
        <v>28100</v>
      </c>
      <c r="E8479">
        <v>1</v>
      </c>
      <c r="F8479" t="s">
        <v>9259</v>
      </c>
      <c r="G8479" t="s">
        <v>26338</v>
      </c>
      <c r="H8479" t="s">
        <v>28099</v>
      </c>
      <c r="I8479" t="s">
        <v>15237</v>
      </c>
    </row>
    <row r="8480" spans="1:9">
      <c r="A8480" t="str">
        <f>"0081631 "</f>
        <v xml:space="preserve">0081631 </v>
      </c>
      <c r="B8480" t="s">
        <v>26338</v>
      </c>
      <c r="C8480" t="s">
        <v>28101</v>
      </c>
      <c r="D8480" t="s">
        <v>28102</v>
      </c>
      <c r="E8480">
        <v>4</v>
      </c>
      <c r="F8480" t="s">
        <v>28103</v>
      </c>
      <c r="G8480" t="s">
        <v>26338</v>
      </c>
      <c r="H8480" t="s">
        <v>28101</v>
      </c>
      <c r="I8480" t="s">
        <v>28104</v>
      </c>
    </row>
    <row r="8481" spans="1:9">
      <c r="A8481" t="str">
        <f>"0081635 "</f>
        <v xml:space="preserve">0081635 </v>
      </c>
      <c r="B8481" t="s">
        <v>26338</v>
      </c>
      <c r="C8481" t="s">
        <v>28105</v>
      </c>
      <c r="D8481" t="s">
        <v>28106</v>
      </c>
      <c r="E8481">
        <v>3</v>
      </c>
      <c r="F8481" t="s">
        <v>8872</v>
      </c>
      <c r="G8481" t="s">
        <v>26338</v>
      </c>
      <c r="H8481" t="s">
        <v>28105</v>
      </c>
      <c r="I8481" t="s">
        <v>28107</v>
      </c>
    </row>
    <row r="8482" spans="1:9">
      <c r="A8482" t="str">
        <f>"0081644 "</f>
        <v xml:space="preserve">0081644 </v>
      </c>
      <c r="B8482" t="s">
        <v>26338</v>
      </c>
      <c r="C8482" t="s">
        <v>28108</v>
      </c>
      <c r="D8482" t="s">
        <v>28109</v>
      </c>
      <c r="E8482">
        <v>2</v>
      </c>
      <c r="F8482" t="s">
        <v>27868</v>
      </c>
      <c r="G8482" t="s">
        <v>26338</v>
      </c>
      <c r="H8482" t="s">
        <v>28108</v>
      </c>
      <c r="I8482" t="s">
        <v>28110</v>
      </c>
    </row>
    <row r="8483" spans="1:9">
      <c r="A8483" t="str">
        <f>"0081662 "</f>
        <v xml:space="preserve">0081662 </v>
      </c>
      <c r="B8483" t="s">
        <v>26338</v>
      </c>
      <c r="C8483" t="s">
        <v>28111</v>
      </c>
      <c r="D8483" t="s">
        <v>28112</v>
      </c>
      <c r="E8483">
        <v>2</v>
      </c>
      <c r="F8483" t="s">
        <v>9842</v>
      </c>
      <c r="G8483" t="s">
        <v>26338</v>
      </c>
      <c r="H8483" t="s">
        <v>28111</v>
      </c>
      <c r="I8483" t="s">
        <v>28113</v>
      </c>
    </row>
    <row r="8484" spans="1:9">
      <c r="A8484" t="str">
        <f>"0081663 "</f>
        <v xml:space="preserve">0081663 </v>
      </c>
      <c r="B8484" t="s">
        <v>26338</v>
      </c>
      <c r="C8484" t="s">
        <v>28114</v>
      </c>
      <c r="D8484" t="s">
        <v>28115</v>
      </c>
      <c r="E8484">
        <v>3</v>
      </c>
      <c r="F8484" t="s">
        <v>28116</v>
      </c>
      <c r="G8484" t="s">
        <v>26338</v>
      </c>
      <c r="H8484" t="s">
        <v>28114</v>
      </c>
      <c r="I8484" t="s">
        <v>28117</v>
      </c>
    </row>
    <row r="8485" spans="1:9">
      <c r="A8485" t="str">
        <f>"0081668 "</f>
        <v xml:space="preserve">0081668 </v>
      </c>
      <c r="B8485" t="s">
        <v>26338</v>
      </c>
      <c r="C8485" t="s">
        <v>28118</v>
      </c>
      <c r="D8485" t="s">
        <v>28119</v>
      </c>
      <c r="E8485">
        <v>1</v>
      </c>
      <c r="F8485" t="s">
        <v>28120</v>
      </c>
      <c r="G8485" t="s">
        <v>26338</v>
      </c>
      <c r="H8485" t="s">
        <v>28118</v>
      </c>
      <c r="I8485" t="s">
        <v>28121</v>
      </c>
    </row>
    <row r="8486" spans="1:9">
      <c r="A8486" t="str">
        <f>"0081669 "</f>
        <v xml:space="preserve">0081669 </v>
      </c>
      <c r="B8486" t="s">
        <v>26338</v>
      </c>
      <c r="C8486" t="s">
        <v>28122</v>
      </c>
      <c r="D8486" t="s">
        <v>28123</v>
      </c>
      <c r="E8486">
        <v>1</v>
      </c>
      <c r="F8486" t="s">
        <v>28120</v>
      </c>
      <c r="G8486" t="s">
        <v>26338</v>
      </c>
      <c r="H8486" t="s">
        <v>28122</v>
      </c>
      <c r="I8486" t="s">
        <v>28124</v>
      </c>
    </row>
    <row r="8487" spans="1:9">
      <c r="A8487" t="str">
        <f>"0081700 "</f>
        <v xml:space="preserve">0081700 </v>
      </c>
      <c r="B8487" t="s">
        <v>26338</v>
      </c>
      <c r="C8487" t="s">
        <v>28125</v>
      </c>
      <c r="D8487" t="s">
        <v>28126</v>
      </c>
      <c r="E8487">
        <v>4</v>
      </c>
      <c r="F8487" t="s">
        <v>23563</v>
      </c>
      <c r="G8487" t="s">
        <v>26338</v>
      </c>
      <c r="H8487" t="s">
        <v>28125</v>
      </c>
      <c r="I8487" t="s">
        <v>15254</v>
      </c>
    </row>
    <row r="8488" spans="1:9">
      <c r="A8488" t="str">
        <f>"0081703 "</f>
        <v xml:space="preserve">0081703 </v>
      </c>
      <c r="B8488" t="s">
        <v>26338</v>
      </c>
      <c r="C8488" t="s">
        <v>28127</v>
      </c>
      <c r="D8488" t="s">
        <v>28128</v>
      </c>
      <c r="E8488">
        <v>4</v>
      </c>
      <c r="F8488" t="s">
        <v>10038</v>
      </c>
      <c r="G8488" t="s">
        <v>26338</v>
      </c>
      <c r="H8488" t="s">
        <v>28127</v>
      </c>
      <c r="I8488" t="s">
        <v>28129</v>
      </c>
    </row>
    <row r="8489" spans="1:9">
      <c r="A8489" t="str">
        <f>"0081725 "</f>
        <v xml:space="preserve">0081725 </v>
      </c>
      <c r="B8489" t="s">
        <v>26338</v>
      </c>
      <c r="C8489" t="s">
        <v>28130</v>
      </c>
      <c r="D8489" t="s">
        <v>28131</v>
      </c>
      <c r="E8489">
        <v>4</v>
      </c>
      <c r="F8489" t="s">
        <v>27892</v>
      </c>
      <c r="G8489" t="s">
        <v>26338</v>
      </c>
      <c r="H8489" t="s">
        <v>28130</v>
      </c>
      <c r="I8489" t="s">
        <v>28132</v>
      </c>
    </row>
    <row r="8490" spans="1:9">
      <c r="A8490" t="str">
        <f>"0081735 "</f>
        <v xml:space="preserve">0081735 </v>
      </c>
      <c r="B8490" t="s">
        <v>26338</v>
      </c>
      <c r="C8490" t="s">
        <v>28133</v>
      </c>
      <c r="D8490" t="s">
        <v>28134</v>
      </c>
      <c r="E8490">
        <v>2</v>
      </c>
      <c r="F8490" t="s">
        <v>26236</v>
      </c>
      <c r="G8490" t="s">
        <v>26338</v>
      </c>
      <c r="H8490" t="s">
        <v>28133</v>
      </c>
      <c r="I8490" t="s">
        <v>28135</v>
      </c>
    </row>
    <row r="8491" spans="1:9">
      <c r="A8491" t="str">
        <f>"0081742 "</f>
        <v xml:space="preserve">0081742 </v>
      </c>
      <c r="B8491" t="s">
        <v>26338</v>
      </c>
      <c r="C8491" t="s">
        <v>28136</v>
      </c>
      <c r="D8491" t="s">
        <v>28137</v>
      </c>
      <c r="E8491">
        <v>4</v>
      </c>
      <c r="F8491" t="s">
        <v>28138</v>
      </c>
      <c r="G8491" t="s">
        <v>26338</v>
      </c>
      <c r="H8491" t="s">
        <v>28136</v>
      </c>
      <c r="I8491" t="s">
        <v>28139</v>
      </c>
    </row>
    <row r="8492" spans="1:9">
      <c r="A8492" t="str">
        <f>"0081744 "</f>
        <v xml:space="preserve">0081744 </v>
      </c>
      <c r="B8492" t="s">
        <v>26338</v>
      </c>
      <c r="C8492" t="s">
        <v>28140</v>
      </c>
      <c r="D8492" t="s">
        <v>28141</v>
      </c>
      <c r="E8492">
        <v>1</v>
      </c>
      <c r="F8492" t="s">
        <v>28142</v>
      </c>
      <c r="G8492" t="s">
        <v>26338</v>
      </c>
      <c r="H8492" t="s">
        <v>28140</v>
      </c>
      <c r="I8492" t="s">
        <v>28143</v>
      </c>
    </row>
    <row r="8493" spans="1:9">
      <c r="A8493" t="str">
        <f>"0081745 "</f>
        <v xml:space="preserve">0081745 </v>
      </c>
      <c r="B8493" t="s">
        <v>26338</v>
      </c>
      <c r="C8493" t="s">
        <v>28144</v>
      </c>
      <c r="D8493" t="s">
        <v>28145</v>
      </c>
      <c r="E8493">
        <v>2</v>
      </c>
      <c r="F8493" t="s">
        <v>25027</v>
      </c>
      <c r="G8493" t="s">
        <v>26338</v>
      </c>
      <c r="H8493" t="s">
        <v>28144</v>
      </c>
      <c r="I8493" t="s">
        <v>28146</v>
      </c>
    </row>
    <row r="8494" spans="1:9">
      <c r="A8494" t="str">
        <f>"0081763 "</f>
        <v xml:space="preserve">0081763 </v>
      </c>
      <c r="B8494" t="s">
        <v>26338</v>
      </c>
      <c r="C8494" t="s">
        <v>28147</v>
      </c>
      <c r="D8494" t="s">
        <v>28148</v>
      </c>
      <c r="E8494">
        <v>2</v>
      </c>
      <c r="F8494" t="s">
        <v>27164</v>
      </c>
      <c r="G8494" t="s">
        <v>26338</v>
      </c>
      <c r="H8494" t="s">
        <v>28147</v>
      </c>
      <c r="I8494" t="s">
        <v>15274</v>
      </c>
    </row>
    <row r="8495" spans="1:9">
      <c r="A8495" t="str">
        <f>"0081845 "</f>
        <v xml:space="preserve">0081845 </v>
      </c>
      <c r="B8495" t="s">
        <v>26338</v>
      </c>
      <c r="C8495" t="s">
        <v>28149</v>
      </c>
      <c r="D8495" t="s">
        <v>28150</v>
      </c>
      <c r="E8495" t="s">
        <v>16</v>
      </c>
      <c r="F8495" t="s">
        <v>28151</v>
      </c>
      <c r="G8495" t="s">
        <v>26338</v>
      </c>
      <c r="H8495" t="s">
        <v>28149</v>
      </c>
      <c r="I8495" t="s">
        <v>28152</v>
      </c>
    </row>
    <row r="8496" spans="1:9">
      <c r="A8496" t="str">
        <f>"0081952 "</f>
        <v xml:space="preserve">0081952 </v>
      </c>
      <c r="B8496" t="s">
        <v>26338</v>
      </c>
      <c r="C8496" t="s">
        <v>28153</v>
      </c>
      <c r="D8496" t="s">
        <v>28154</v>
      </c>
      <c r="E8496">
        <v>3</v>
      </c>
      <c r="F8496" t="s">
        <v>15648</v>
      </c>
      <c r="G8496" t="s">
        <v>26338</v>
      </c>
      <c r="H8496" t="s">
        <v>28153</v>
      </c>
      <c r="I8496" t="s">
        <v>28155</v>
      </c>
    </row>
    <row r="8497" spans="1:9">
      <c r="A8497" t="str">
        <f>"0082431 "</f>
        <v xml:space="preserve">0082431 </v>
      </c>
      <c r="B8497" t="s">
        <v>26338</v>
      </c>
      <c r="C8497" t="s">
        <v>28156</v>
      </c>
      <c r="D8497" t="s">
        <v>28157</v>
      </c>
      <c r="E8497">
        <v>2</v>
      </c>
      <c r="F8497" t="s">
        <v>10427</v>
      </c>
      <c r="G8497" t="s">
        <v>26338</v>
      </c>
      <c r="H8497" t="s">
        <v>28156</v>
      </c>
      <c r="I8497" t="s">
        <v>28158</v>
      </c>
    </row>
    <row r="8498" spans="1:9">
      <c r="A8498" t="str">
        <f>"0082676 "</f>
        <v xml:space="preserve">0082676 </v>
      </c>
      <c r="B8498" t="s">
        <v>26338</v>
      </c>
      <c r="C8498" t="s">
        <v>28159</v>
      </c>
      <c r="D8498" t="s">
        <v>28160</v>
      </c>
      <c r="E8498">
        <v>3</v>
      </c>
      <c r="F8498" t="s">
        <v>27338</v>
      </c>
      <c r="G8498" t="s">
        <v>26338</v>
      </c>
      <c r="H8498" t="s">
        <v>28159</v>
      </c>
      <c r="I8498" t="s">
        <v>17701</v>
      </c>
    </row>
    <row r="8499" spans="1:9">
      <c r="A8499" t="str">
        <f>"0082688 "</f>
        <v xml:space="preserve">0082688 </v>
      </c>
      <c r="B8499" t="s">
        <v>26338</v>
      </c>
      <c r="C8499" t="s">
        <v>28161</v>
      </c>
      <c r="D8499" t="s">
        <v>28162</v>
      </c>
      <c r="E8499">
        <v>2</v>
      </c>
      <c r="F8499" t="s">
        <v>27514</v>
      </c>
      <c r="G8499" t="s">
        <v>26338</v>
      </c>
      <c r="H8499" t="s">
        <v>28161</v>
      </c>
      <c r="I8499" t="s">
        <v>17661</v>
      </c>
    </row>
    <row r="8500" spans="1:9">
      <c r="A8500" t="str">
        <f>"0082731 "</f>
        <v xml:space="preserve">0082731 </v>
      </c>
      <c r="B8500" t="s">
        <v>26338</v>
      </c>
      <c r="C8500" t="s">
        <v>28163</v>
      </c>
      <c r="D8500" t="s">
        <v>28164</v>
      </c>
      <c r="E8500">
        <v>4</v>
      </c>
      <c r="F8500" t="s">
        <v>25100</v>
      </c>
      <c r="G8500" t="s">
        <v>26338</v>
      </c>
      <c r="H8500" t="s">
        <v>28163</v>
      </c>
      <c r="I8500" t="s">
        <v>26491</v>
      </c>
    </row>
    <row r="8501" spans="1:9">
      <c r="A8501" t="str">
        <f>"0082874 "</f>
        <v xml:space="preserve">0082874 </v>
      </c>
      <c r="B8501" t="s">
        <v>26338</v>
      </c>
      <c r="C8501" t="s">
        <v>28165</v>
      </c>
      <c r="D8501" t="s">
        <v>28166</v>
      </c>
      <c r="E8501">
        <v>2</v>
      </c>
      <c r="F8501" t="s">
        <v>28167</v>
      </c>
      <c r="G8501" t="s">
        <v>26338</v>
      </c>
      <c r="H8501" t="s">
        <v>28165</v>
      </c>
      <c r="I8501" t="s">
        <v>28168</v>
      </c>
    </row>
    <row r="8502" spans="1:9">
      <c r="A8502" t="str">
        <f>"0083011 "</f>
        <v xml:space="preserve">0083011 </v>
      </c>
      <c r="B8502" t="s">
        <v>26338</v>
      </c>
      <c r="C8502" t="s">
        <v>28169</v>
      </c>
      <c r="D8502" t="s">
        <v>28170</v>
      </c>
      <c r="E8502">
        <v>2</v>
      </c>
      <c r="F8502" t="s">
        <v>15420</v>
      </c>
      <c r="G8502" t="s">
        <v>26338</v>
      </c>
      <c r="H8502" t="s">
        <v>28169</v>
      </c>
      <c r="I8502" t="s">
        <v>28171</v>
      </c>
    </row>
    <row r="8503" spans="1:9">
      <c r="A8503" t="str">
        <f>"0083012 "</f>
        <v xml:space="preserve">0083012 </v>
      </c>
      <c r="B8503" t="s">
        <v>26338</v>
      </c>
      <c r="C8503" t="s">
        <v>28172</v>
      </c>
      <c r="D8503" t="s">
        <v>28173</v>
      </c>
      <c r="E8503">
        <v>4</v>
      </c>
      <c r="F8503" t="s">
        <v>28174</v>
      </c>
      <c r="G8503" t="s">
        <v>26338</v>
      </c>
      <c r="H8503" t="s">
        <v>28172</v>
      </c>
      <c r="I8503" t="s">
        <v>28171</v>
      </c>
    </row>
    <row r="8504" spans="1:9">
      <c r="A8504" t="str">
        <f>"0083158 "</f>
        <v xml:space="preserve">0083158 </v>
      </c>
      <c r="B8504" t="s">
        <v>26338</v>
      </c>
      <c r="C8504" t="s">
        <v>28175</v>
      </c>
      <c r="D8504" t="s">
        <v>28176</v>
      </c>
      <c r="E8504">
        <v>1</v>
      </c>
      <c r="F8504" t="s">
        <v>28177</v>
      </c>
      <c r="G8504" t="s">
        <v>26338</v>
      </c>
      <c r="H8504" t="s">
        <v>28175</v>
      </c>
      <c r="I8504" t="s">
        <v>28178</v>
      </c>
    </row>
    <row r="8505" spans="1:9">
      <c r="A8505" t="str">
        <f>"0083995 "</f>
        <v xml:space="preserve">0083995 </v>
      </c>
      <c r="B8505" t="s">
        <v>26338</v>
      </c>
      <c r="C8505" t="s">
        <v>28179</v>
      </c>
      <c r="D8505" t="s">
        <v>28180</v>
      </c>
      <c r="E8505">
        <v>1</v>
      </c>
      <c r="F8505" t="s">
        <v>20534</v>
      </c>
      <c r="G8505" t="s">
        <v>26338</v>
      </c>
      <c r="H8505" t="s">
        <v>28179</v>
      </c>
      <c r="I8505" t="s">
        <v>28181</v>
      </c>
    </row>
    <row r="8506" spans="1:9">
      <c r="A8506" t="str">
        <f>"0084030 "</f>
        <v xml:space="preserve">0084030 </v>
      </c>
      <c r="B8506" t="s">
        <v>26338</v>
      </c>
      <c r="C8506" t="s">
        <v>28182</v>
      </c>
      <c r="D8506" t="s">
        <v>28183</v>
      </c>
      <c r="E8506">
        <v>1</v>
      </c>
      <c r="F8506" t="s">
        <v>28184</v>
      </c>
      <c r="G8506" t="s">
        <v>26338</v>
      </c>
      <c r="H8506" t="s">
        <v>28182</v>
      </c>
      <c r="I8506" t="s">
        <v>28185</v>
      </c>
    </row>
    <row r="8507" spans="1:9">
      <c r="A8507" t="str">
        <f>"0084353 "</f>
        <v xml:space="preserve">0084353 </v>
      </c>
      <c r="B8507" t="s">
        <v>26338</v>
      </c>
      <c r="C8507" t="s">
        <v>28186</v>
      </c>
      <c r="D8507" t="s">
        <v>28187</v>
      </c>
      <c r="E8507">
        <v>1</v>
      </c>
      <c r="F8507" t="s">
        <v>28188</v>
      </c>
      <c r="G8507" t="s">
        <v>26338</v>
      </c>
      <c r="H8507" t="s">
        <v>28186</v>
      </c>
      <c r="I8507" t="s">
        <v>28189</v>
      </c>
    </row>
    <row r="8508" spans="1:9">
      <c r="A8508" t="str">
        <f>"0084354 "</f>
        <v xml:space="preserve">0084354 </v>
      </c>
      <c r="B8508" t="s">
        <v>26338</v>
      </c>
      <c r="C8508" t="s">
        <v>28190</v>
      </c>
      <c r="D8508" t="s">
        <v>28191</v>
      </c>
      <c r="E8508">
        <v>2</v>
      </c>
      <c r="F8508" t="s">
        <v>28192</v>
      </c>
      <c r="G8508" t="s">
        <v>26338</v>
      </c>
      <c r="H8508" t="s">
        <v>28190</v>
      </c>
      <c r="I8508" t="s">
        <v>28193</v>
      </c>
    </row>
    <row r="8509" spans="1:9">
      <c r="A8509" t="str">
        <f>"0084536 "</f>
        <v xml:space="preserve">0084536 </v>
      </c>
      <c r="B8509" t="s">
        <v>26338</v>
      </c>
      <c r="C8509" t="s">
        <v>28194</v>
      </c>
      <c r="D8509" t="s">
        <v>28195</v>
      </c>
      <c r="E8509">
        <v>1</v>
      </c>
      <c r="F8509" t="s">
        <v>28196</v>
      </c>
      <c r="G8509" t="s">
        <v>26338</v>
      </c>
      <c r="H8509" t="s">
        <v>28194</v>
      </c>
      <c r="I8509" t="s">
        <v>28197</v>
      </c>
    </row>
    <row r="8510" spans="1:9">
      <c r="A8510" t="str">
        <f>"0084751 "</f>
        <v xml:space="preserve">0084751 </v>
      </c>
      <c r="B8510" t="s">
        <v>26338</v>
      </c>
      <c r="C8510" t="s">
        <v>28198</v>
      </c>
      <c r="D8510" t="s">
        <v>28199</v>
      </c>
      <c r="E8510">
        <v>1</v>
      </c>
      <c r="F8510" t="s">
        <v>28200</v>
      </c>
      <c r="G8510" t="s">
        <v>26338</v>
      </c>
      <c r="H8510" t="s">
        <v>28198</v>
      </c>
      <c r="I8510" t="s">
        <v>28201</v>
      </c>
    </row>
    <row r="8511" spans="1:9">
      <c r="A8511" t="str">
        <f>"0084969 "</f>
        <v xml:space="preserve">0084969 </v>
      </c>
      <c r="B8511" t="s">
        <v>26338</v>
      </c>
      <c r="C8511" t="s">
        <v>28202</v>
      </c>
      <c r="D8511" t="s">
        <v>28203</v>
      </c>
      <c r="E8511">
        <v>1</v>
      </c>
      <c r="F8511" t="s">
        <v>28204</v>
      </c>
      <c r="G8511" t="s">
        <v>26338</v>
      </c>
      <c r="H8511" t="s">
        <v>28202</v>
      </c>
      <c r="I8511" t="s">
        <v>28205</v>
      </c>
    </row>
    <row r="8512" spans="1:9">
      <c r="A8512" t="str">
        <f>"0085644 "</f>
        <v xml:space="preserve">0085644 </v>
      </c>
      <c r="B8512" t="s">
        <v>26338</v>
      </c>
      <c r="C8512" t="s">
        <v>28206</v>
      </c>
      <c r="D8512" t="s">
        <v>28207</v>
      </c>
      <c r="E8512">
        <v>4</v>
      </c>
      <c r="F8512" t="s">
        <v>28208</v>
      </c>
      <c r="G8512" t="s">
        <v>26338</v>
      </c>
      <c r="H8512" t="s">
        <v>28206</v>
      </c>
      <c r="I8512" t="s">
        <v>28209</v>
      </c>
    </row>
    <row r="8513" spans="1:9">
      <c r="A8513" t="str">
        <f>"0085666 "</f>
        <v xml:space="preserve">0085666 </v>
      </c>
      <c r="B8513" t="s">
        <v>26338</v>
      </c>
      <c r="C8513" t="s">
        <v>28210</v>
      </c>
      <c r="D8513" t="s">
        <v>28211</v>
      </c>
      <c r="E8513">
        <v>2</v>
      </c>
      <c r="F8513" t="s">
        <v>8382</v>
      </c>
      <c r="G8513" t="s">
        <v>26338</v>
      </c>
      <c r="H8513" t="s">
        <v>28210</v>
      </c>
      <c r="I8513" t="s">
        <v>28212</v>
      </c>
    </row>
    <row r="8514" spans="1:9">
      <c r="A8514" t="str">
        <f>"0085681 "</f>
        <v xml:space="preserve">0085681 </v>
      </c>
      <c r="B8514" t="s">
        <v>26338</v>
      </c>
      <c r="C8514" t="s">
        <v>28213</v>
      </c>
      <c r="D8514" t="s">
        <v>28214</v>
      </c>
      <c r="E8514">
        <v>1</v>
      </c>
      <c r="F8514" t="s">
        <v>28215</v>
      </c>
      <c r="G8514" t="s">
        <v>26338</v>
      </c>
      <c r="H8514" t="s">
        <v>28213</v>
      </c>
      <c r="I8514" t="s">
        <v>28216</v>
      </c>
    </row>
    <row r="8515" spans="1:9">
      <c r="A8515" t="str">
        <f>"0085712 "</f>
        <v xml:space="preserve">0085712 </v>
      </c>
      <c r="B8515" t="s">
        <v>26338</v>
      </c>
      <c r="C8515" t="s">
        <v>28217</v>
      </c>
      <c r="D8515" t="s">
        <v>28218</v>
      </c>
      <c r="E8515" t="s">
        <v>16</v>
      </c>
      <c r="F8515" t="s">
        <v>26014</v>
      </c>
      <c r="G8515" t="s">
        <v>26338</v>
      </c>
      <c r="H8515" t="s">
        <v>28217</v>
      </c>
      <c r="I8515" t="s">
        <v>28219</v>
      </c>
    </row>
    <row r="8516" spans="1:9">
      <c r="A8516" t="str">
        <f>"0085718 "</f>
        <v xml:space="preserve">0085718 </v>
      </c>
      <c r="B8516" t="s">
        <v>26338</v>
      </c>
      <c r="C8516" t="s">
        <v>28220</v>
      </c>
      <c r="D8516" t="s">
        <v>28221</v>
      </c>
      <c r="E8516">
        <v>1</v>
      </c>
      <c r="F8516" t="s">
        <v>28222</v>
      </c>
      <c r="G8516" t="s">
        <v>26338</v>
      </c>
      <c r="H8516" t="s">
        <v>28220</v>
      </c>
      <c r="I8516" t="s">
        <v>28223</v>
      </c>
    </row>
    <row r="8517" spans="1:9">
      <c r="A8517" t="str">
        <f>"0085798 "</f>
        <v xml:space="preserve">0085798 </v>
      </c>
      <c r="B8517" t="s">
        <v>26338</v>
      </c>
      <c r="C8517" t="s">
        <v>28224</v>
      </c>
      <c r="D8517" t="s">
        <v>28225</v>
      </c>
      <c r="E8517">
        <v>2</v>
      </c>
      <c r="F8517" t="s">
        <v>27469</v>
      </c>
      <c r="G8517" t="s">
        <v>26338</v>
      </c>
      <c r="H8517" t="s">
        <v>28224</v>
      </c>
      <c r="I8517" t="s">
        <v>28226</v>
      </c>
    </row>
    <row r="8518" spans="1:9">
      <c r="A8518" t="str">
        <f>"0085804 "</f>
        <v xml:space="preserve">0085804 </v>
      </c>
      <c r="B8518" t="s">
        <v>26338</v>
      </c>
      <c r="C8518" t="s">
        <v>28227</v>
      </c>
      <c r="D8518" t="s">
        <v>28228</v>
      </c>
      <c r="E8518">
        <v>1</v>
      </c>
      <c r="F8518" t="s">
        <v>20615</v>
      </c>
      <c r="G8518" t="s">
        <v>26338</v>
      </c>
      <c r="H8518" t="s">
        <v>28227</v>
      </c>
      <c r="I8518" t="s">
        <v>28229</v>
      </c>
    </row>
    <row r="8519" spans="1:9">
      <c r="A8519" t="str">
        <f>"0085853 "</f>
        <v xml:space="preserve">0085853 </v>
      </c>
      <c r="B8519" t="s">
        <v>26338</v>
      </c>
      <c r="C8519" t="s">
        <v>28230</v>
      </c>
      <c r="D8519" t="s">
        <v>28231</v>
      </c>
      <c r="E8519">
        <v>1</v>
      </c>
      <c r="F8519" t="s">
        <v>28116</v>
      </c>
      <c r="G8519" t="s">
        <v>26338</v>
      </c>
      <c r="H8519" t="s">
        <v>28230</v>
      </c>
      <c r="I8519" t="s">
        <v>28232</v>
      </c>
    </row>
    <row r="8520" spans="1:9">
      <c r="A8520" t="str">
        <f>"0014257 "</f>
        <v xml:space="preserve">0014257 </v>
      </c>
      <c r="B8520" t="s">
        <v>28233</v>
      </c>
      <c r="C8520" t="s">
        <v>28234</v>
      </c>
      <c r="D8520" t="s">
        <v>28235</v>
      </c>
      <c r="E8520">
        <v>1</v>
      </c>
      <c r="F8520" t="s">
        <v>28236</v>
      </c>
      <c r="G8520" t="s">
        <v>28233</v>
      </c>
      <c r="H8520" t="s">
        <v>28234</v>
      </c>
      <c r="I8520" t="s">
        <v>11063</v>
      </c>
    </row>
    <row r="8521" spans="1:9">
      <c r="A8521" t="str">
        <f>"0219621 "</f>
        <v xml:space="preserve">0219621 </v>
      </c>
      <c r="B8521" t="s">
        <v>28237</v>
      </c>
      <c r="C8521">
        <v>10160</v>
      </c>
      <c r="D8521" t="s">
        <v>28238</v>
      </c>
      <c r="E8521" t="s">
        <v>16</v>
      </c>
      <c r="F8521" t="s">
        <v>28239</v>
      </c>
      <c r="G8521" t="s">
        <v>28240</v>
      </c>
      <c r="H8521">
        <v>10160</v>
      </c>
    </row>
    <row r="8522" spans="1:9">
      <c r="A8522" t="str">
        <f>"0219622 "</f>
        <v xml:space="preserve">0219622 </v>
      </c>
      <c r="B8522" t="s">
        <v>28237</v>
      </c>
      <c r="C8522">
        <v>10270</v>
      </c>
      <c r="D8522" t="s">
        <v>28241</v>
      </c>
      <c r="E8522" t="s">
        <v>16</v>
      </c>
      <c r="F8522" t="s">
        <v>10604</v>
      </c>
      <c r="G8522" t="s">
        <v>28240</v>
      </c>
      <c r="H8522">
        <v>10270</v>
      </c>
    </row>
    <row r="8523" spans="1:9">
      <c r="A8523" t="str">
        <f>"0219620 "</f>
        <v xml:space="preserve">0219620 </v>
      </c>
      <c r="B8523" t="s">
        <v>28237</v>
      </c>
      <c r="C8523">
        <v>11109</v>
      </c>
      <c r="D8523" t="s">
        <v>28242</v>
      </c>
      <c r="E8523" t="s">
        <v>16</v>
      </c>
      <c r="F8523" t="s">
        <v>67</v>
      </c>
      <c r="G8523" t="s">
        <v>28240</v>
      </c>
      <c r="H8523">
        <v>11109</v>
      </c>
      <c r="I8523" s="2" t="s">
        <v>28243</v>
      </c>
    </row>
    <row r="8524" spans="1:9">
      <c r="A8524" t="str">
        <f>"0257625 "</f>
        <v xml:space="preserve">0257625 </v>
      </c>
      <c r="B8524" t="s">
        <v>28237</v>
      </c>
      <c r="C8524">
        <v>13111</v>
      </c>
      <c r="D8524" t="s">
        <v>28244</v>
      </c>
      <c r="E8524" t="s">
        <v>16</v>
      </c>
      <c r="F8524" t="s">
        <v>28245</v>
      </c>
      <c r="G8524" t="s">
        <v>28240</v>
      </c>
      <c r="H8524">
        <v>13111</v>
      </c>
    </row>
    <row r="8525" spans="1:9">
      <c r="A8525" t="str">
        <f>"0219595 "</f>
        <v xml:space="preserve">0219595 </v>
      </c>
      <c r="B8525" t="s">
        <v>28237</v>
      </c>
      <c r="C8525">
        <v>13209</v>
      </c>
      <c r="D8525" t="s">
        <v>28246</v>
      </c>
      <c r="E8525" t="s">
        <v>16</v>
      </c>
      <c r="F8525" t="s">
        <v>28247</v>
      </c>
      <c r="G8525" t="s">
        <v>28240</v>
      </c>
      <c r="H8525">
        <v>13209</v>
      </c>
    </row>
    <row r="8526" spans="1:9">
      <c r="A8526" t="str">
        <f>"0219596 "</f>
        <v xml:space="preserve">0219596 </v>
      </c>
      <c r="B8526" t="s">
        <v>28237</v>
      </c>
      <c r="C8526">
        <v>14109</v>
      </c>
      <c r="D8526" t="s">
        <v>28248</v>
      </c>
      <c r="E8526" t="s">
        <v>16</v>
      </c>
      <c r="F8526" t="s">
        <v>645</v>
      </c>
      <c r="G8526" t="s">
        <v>28240</v>
      </c>
      <c r="H8526">
        <v>14109</v>
      </c>
    </row>
    <row r="8527" spans="1:9">
      <c r="A8527" t="str">
        <f>"0219597 "</f>
        <v xml:space="preserve">0219597 </v>
      </c>
      <c r="B8527" t="s">
        <v>28237</v>
      </c>
      <c r="C8527">
        <v>22429</v>
      </c>
      <c r="D8527" t="s">
        <v>28249</v>
      </c>
      <c r="E8527" t="s">
        <v>16</v>
      </c>
      <c r="F8527" t="s">
        <v>28250</v>
      </c>
      <c r="G8527" t="s">
        <v>28240</v>
      </c>
      <c r="H8527">
        <v>22429</v>
      </c>
    </row>
    <row r="8528" spans="1:9">
      <c r="A8528" t="str">
        <f>"0219598 "</f>
        <v xml:space="preserve">0219598 </v>
      </c>
      <c r="B8528" t="s">
        <v>28237</v>
      </c>
      <c r="C8528">
        <v>24536</v>
      </c>
      <c r="D8528" t="s">
        <v>28251</v>
      </c>
      <c r="E8528">
        <v>5</v>
      </c>
      <c r="F8528" t="s">
        <v>28252</v>
      </c>
      <c r="G8528" t="s">
        <v>28240</v>
      </c>
      <c r="H8528">
        <v>24536</v>
      </c>
    </row>
    <row r="8529" spans="1:8">
      <c r="A8529" t="str">
        <f>"0219599 "</f>
        <v xml:space="preserve">0219599 </v>
      </c>
      <c r="B8529" t="s">
        <v>28237</v>
      </c>
      <c r="C8529">
        <v>24569</v>
      </c>
      <c r="D8529" t="s">
        <v>28253</v>
      </c>
      <c r="E8529" t="s">
        <v>16</v>
      </c>
      <c r="F8529" t="s">
        <v>28254</v>
      </c>
      <c r="G8529" t="s">
        <v>28240</v>
      </c>
      <c r="H8529">
        <v>24569</v>
      </c>
    </row>
    <row r="8530" spans="1:8">
      <c r="A8530" t="str">
        <f>"0240595 "</f>
        <v xml:space="preserve">0240595 </v>
      </c>
      <c r="B8530" t="s">
        <v>28237</v>
      </c>
      <c r="C8530">
        <v>26111</v>
      </c>
      <c r="D8530" t="s">
        <v>28255</v>
      </c>
      <c r="E8530" t="s">
        <v>16</v>
      </c>
      <c r="F8530" t="s">
        <v>28256</v>
      </c>
      <c r="G8530" t="s">
        <v>28240</v>
      </c>
      <c r="H8530">
        <v>26111</v>
      </c>
    </row>
    <row r="8531" spans="1:8">
      <c r="A8531" t="str">
        <f>"0219600 "</f>
        <v xml:space="preserve">0219600 </v>
      </c>
      <c r="B8531" t="s">
        <v>28237</v>
      </c>
      <c r="C8531">
        <v>27309</v>
      </c>
      <c r="D8531" t="s">
        <v>28257</v>
      </c>
      <c r="E8531" t="s">
        <v>16</v>
      </c>
      <c r="F8531" t="s">
        <v>1833</v>
      </c>
      <c r="G8531" t="s">
        <v>28240</v>
      </c>
      <c r="H8531">
        <v>27309</v>
      </c>
    </row>
    <row r="8532" spans="1:8">
      <c r="A8532" t="str">
        <f>"0219601 "</f>
        <v xml:space="preserve">0219601 </v>
      </c>
      <c r="B8532" t="s">
        <v>28237</v>
      </c>
      <c r="C8532">
        <v>27536</v>
      </c>
      <c r="D8532" t="s">
        <v>28258</v>
      </c>
      <c r="E8532">
        <v>4</v>
      </c>
      <c r="F8532" t="s">
        <v>28252</v>
      </c>
      <c r="G8532" t="s">
        <v>28240</v>
      </c>
      <c r="H8532">
        <v>27536</v>
      </c>
    </row>
    <row r="8533" spans="1:8">
      <c r="A8533" t="str">
        <f>"0219602 "</f>
        <v xml:space="preserve">0219602 </v>
      </c>
      <c r="B8533" t="s">
        <v>28237</v>
      </c>
      <c r="C8533">
        <v>27569</v>
      </c>
      <c r="D8533" t="s">
        <v>28259</v>
      </c>
      <c r="E8533" t="s">
        <v>16</v>
      </c>
      <c r="F8533" t="s">
        <v>28254</v>
      </c>
      <c r="G8533" t="s">
        <v>28240</v>
      </c>
      <c r="H8533">
        <v>27569</v>
      </c>
    </row>
    <row r="8534" spans="1:8">
      <c r="A8534" t="str">
        <f>"0219605 "</f>
        <v xml:space="preserve">0219605 </v>
      </c>
      <c r="B8534" t="s">
        <v>28237</v>
      </c>
      <c r="C8534">
        <v>44209</v>
      </c>
      <c r="D8534" t="s">
        <v>28260</v>
      </c>
      <c r="E8534" t="s">
        <v>16</v>
      </c>
      <c r="F8534" t="s">
        <v>28261</v>
      </c>
      <c r="G8534" t="s">
        <v>28240</v>
      </c>
      <c r="H8534">
        <v>44209</v>
      </c>
    </row>
    <row r="8535" spans="1:8">
      <c r="A8535" t="str">
        <f>"0219606 "</f>
        <v xml:space="preserve">0219606 </v>
      </c>
      <c r="B8535" t="s">
        <v>28237</v>
      </c>
      <c r="C8535">
        <v>46309</v>
      </c>
      <c r="D8535" t="s">
        <v>28262</v>
      </c>
      <c r="E8535" t="s">
        <v>16</v>
      </c>
      <c r="F8535" t="s">
        <v>28263</v>
      </c>
      <c r="G8535" t="s">
        <v>28240</v>
      </c>
      <c r="H8535">
        <v>46309</v>
      </c>
    </row>
    <row r="8536" spans="1:8">
      <c r="A8536" t="str">
        <f>"0219604 "</f>
        <v xml:space="preserve">0219604 </v>
      </c>
      <c r="B8536" t="s">
        <v>28237</v>
      </c>
      <c r="C8536">
        <v>46409</v>
      </c>
      <c r="D8536" t="s">
        <v>28264</v>
      </c>
      <c r="E8536" t="s">
        <v>16</v>
      </c>
      <c r="F8536" t="s">
        <v>3329</v>
      </c>
      <c r="G8536" t="s">
        <v>28240</v>
      </c>
      <c r="H8536">
        <v>46409</v>
      </c>
    </row>
    <row r="8537" spans="1:8">
      <c r="A8537" t="str">
        <f>"0219607 "</f>
        <v xml:space="preserve">0219607 </v>
      </c>
      <c r="B8537" t="s">
        <v>28237</v>
      </c>
      <c r="C8537">
        <v>46509</v>
      </c>
      <c r="D8537" t="s">
        <v>28265</v>
      </c>
      <c r="E8537" t="s">
        <v>16</v>
      </c>
      <c r="F8537" t="s">
        <v>28266</v>
      </c>
      <c r="G8537" t="s">
        <v>28240</v>
      </c>
      <c r="H8537">
        <v>46509</v>
      </c>
    </row>
    <row r="8538" spans="1:8">
      <c r="A8538" t="str">
        <f>"0219608 "</f>
        <v xml:space="preserve">0219608 </v>
      </c>
      <c r="B8538" t="s">
        <v>28237</v>
      </c>
      <c r="C8538">
        <v>47609</v>
      </c>
      <c r="D8538" t="s">
        <v>28267</v>
      </c>
      <c r="E8538">
        <v>1</v>
      </c>
      <c r="F8538" t="s">
        <v>28254</v>
      </c>
      <c r="G8538" t="s">
        <v>28240</v>
      </c>
      <c r="H8538">
        <v>47609</v>
      </c>
    </row>
    <row r="8539" spans="1:8">
      <c r="A8539" t="str">
        <f>"0219609 "</f>
        <v xml:space="preserve">0219609 </v>
      </c>
      <c r="B8539" t="s">
        <v>28237</v>
      </c>
      <c r="C8539">
        <v>47709</v>
      </c>
      <c r="D8539" t="s">
        <v>28268</v>
      </c>
      <c r="E8539" t="s">
        <v>16</v>
      </c>
      <c r="F8539" t="s">
        <v>28261</v>
      </c>
      <c r="G8539" t="s">
        <v>28240</v>
      </c>
      <c r="H8539">
        <v>47709</v>
      </c>
    </row>
    <row r="8540" spans="1:8">
      <c r="A8540" t="str">
        <f>"0219610 "</f>
        <v xml:space="preserve">0219610 </v>
      </c>
      <c r="B8540" t="s">
        <v>28237</v>
      </c>
      <c r="C8540">
        <v>47809</v>
      </c>
      <c r="D8540" t="s">
        <v>28269</v>
      </c>
      <c r="E8540" t="s">
        <v>16</v>
      </c>
      <c r="F8540" t="s">
        <v>28261</v>
      </c>
      <c r="G8540" t="s">
        <v>28240</v>
      </c>
      <c r="H8540">
        <v>47809</v>
      </c>
    </row>
    <row r="8541" spans="1:8">
      <c r="A8541" t="str">
        <f>"0219611 "</f>
        <v xml:space="preserve">0219611 </v>
      </c>
      <c r="B8541" t="s">
        <v>28237</v>
      </c>
      <c r="C8541">
        <v>47909</v>
      </c>
      <c r="D8541" t="s">
        <v>28270</v>
      </c>
      <c r="E8541" t="s">
        <v>16</v>
      </c>
      <c r="F8541" t="s">
        <v>19849</v>
      </c>
      <c r="G8541" t="s">
        <v>28240</v>
      </c>
      <c r="H8541">
        <v>47909</v>
      </c>
    </row>
    <row r="8542" spans="1:8">
      <c r="A8542" t="str">
        <f>"0219612 "</f>
        <v xml:space="preserve">0219612 </v>
      </c>
      <c r="B8542" t="s">
        <v>28237</v>
      </c>
      <c r="C8542">
        <v>61309</v>
      </c>
      <c r="D8542" t="s">
        <v>28271</v>
      </c>
      <c r="E8542" t="s">
        <v>16</v>
      </c>
      <c r="F8542" t="s">
        <v>1833</v>
      </c>
      <c r="G8542" t="s">
        <v>28240</v>
      </c>
      <c r="H8542">
        <v>61309</v>
      </c>
    </row>
    <row r="8543" spans="1:8">
      <c r="A8543" t="str">
        <f>"0219613 "</f>
        <v xml:space="preserve">0219613 </v>
      </c>
      <c r="B8543" t="s">
        <v>28237</v>
      </c>
      <c r="C8543">
        <v>65309</v>
      </c>
      <c r="D8543" t="s">
        <v>28272</v>
      </c>
      <c r="E8543" t="s">
        <v>16</v>
      </c>
      <c r="F8543" t="s">
        <v>1833</v>
      </c>
      <c r="G8543" t="s">
        <v>28240</v>
      </c>
      <c r="H8543">
        <v>65309</v>
      </c>
    </row>
    <row r="8544" spans="1:8">
      <c r="A8544" t="str">
        <f>"0219614 "</f>
        <v xml:space="preserve">0219614 </v>
      </c>
      <c r="B8544" t="s">
        <v>28237</v>
      </c>
      <c r="C8544">
        <v>73009</v>
      </c>
      <c r="D8544" t="s">
        <v>28273</v>
      </c>
      <c r="E8544" t="s">
        <v>16</v>
      </c>
      <c r="F8544" t="s">
        <v>1833</v>
      </c>
      <c r="G8544" t="s">
        <v>28240</v>
      </c>
      <c r="H8544">
        <v>73009</v>
      </c>
    </row>
    <row r="8545" spans="1:8">
      <c r="A8545" t="str">
        <f>"0219615 "</f>
        <v xml:space="preserve">0219615 </v>
      </c>
      <c r="B8545" t="s">
        <v>28237</v>
      </c>
      <c r="C8545">
        <v>75009</v>
      </c>
      <c r="D8545" t="s">
        <v>28274</v>
      </c>
      <c r="E8545" t="s">
        <v>16</v>
      </c>
      <c r="F8545" t="s">
        <v>1833</v>
      </c>
      <c r="G8545" t="s">
        <v>28240</v>
      </c>
      <c r="H8545">
        <v>75009</v>
      </c>
    </row>
    <row r="8546" spans="1:8">
      <c r="A8546" t="str">
        <f>"0219616 "</f>
        <v xml:space="preserve">0219616 </v>
      </c>
      <c r="B8546" t="s">
        <v>28237</v>
      </c>
      <c r="C8546">
        <v>82009</v>
      </c>
      <c r="D8546" t="s">
        <v>28275</v>
      </c>
      <c r="E8546" t="s">
        <v>16</v>
      </c>
      <c r="F8546" s="1">
        <v>43095</v>
      </c>
      <c r="G8546" t="s">
        <v>28240</v>
      </c>
      <c r="H8546">
        <v>82009</v>
      </c>
    </row>
    <row r="8547" spans="1:8">
      <c r="A8547" t="str">
        <f>"0219617 "</f>
        <v xml:space="preserve">0219617 </v>
      </c>
      <c r="B8547" t="s">
        <v>28237</v>
      </c>
      <c r="C8547">
        <v>83009</v>
      </c>
      <c r="D8547" t="s">
        <v>28276</v>
      </c>
      <c r="E8547" t="s">
        <v>16</v>
      </c>
      <c r="F8547" t="s">
        <v>28277</v>
      </c>
      <c r="G8547" t="s">
        <v>28240</v>
      </c>
      <c r="H8547">
        <v>83009</v>
      </c>
    </row>
    <row r="8548" spans="1:8">
      <c r="A8548" t="str">
        <f>"0219618 "</f>
        <v xml:space="preserve">0219618 </v>
      </c>
      <c r="B8548" t="s">
        <v>28237</v>
      </c>
      <c r="C8548">
        <v>88839</v>
      </c>
      <c r="D8548" t="s">
        <v>28278</v>
      </c>
      <c r="E8548" t="s">
        <v>16</v>
      </c>
      <c r="F8548" t="s">
        <v>28279</v>
      </c>
      <c r="G8548" t="s">
        <v>28240</v>
      </c>
      <c r="H8548">
        <v>88839</v>
      </c>
    </row>
    <row r="8549" spans="1:8">
      <c r="A8549" t="str">
        <f>"0219624 "</f>
        <v xml:space="preserve">0219624 </v>
      </c>
      <c r="B8549" t="s">
        <v>28237</v>
      </c>
      <c r="C8549">
        <v>90214</v>
      </c>
      <c r="D8549" t="s">
        <v>28280</v>
      </c>
      <c r="E8549">
        <v>2</v>
      </c>
      <c r="F8549" t="s">
        <v>28281</v>
      </c>
      <c r="G8549" t="s">
        <v>28240</v>
      </c>
      <c r="H8549">
        <v>90214</v>
      </c>
    </row>
    <row r="8550" spans="1:8">
      <c r="A8550" t="str">
        <f>"0220032 "</f>
        <v xml:space="preserve">0220032 </v>
      </c>
      <c r="B8550" t="s">
        <v>28237</v>
      </c>
      <c r="C8550">
        <v>99839</v>
      </c>
      <c r="D8550" t="s">
        <v>28282</v>
      </c>
      <c r="E8550" t="s">
        <v>16</v>
      </c>
      <c r="F8550" t="s">
        <v>28283</v>
      </c>
      <c r="G8550" t="s">
        <v>28240</v>
      </c>
      <c r="H8550">
        <v>99839</v>
      </c>
    </row>
    <row r="8551" spans="1:8">
      <c r="A8551" t="str">
        <f>"0219619 "</f>
        <v xml:space="preserve">0219619 </v>
      </c>
      <c r="B8551" t="s">
        <v>28237</v>
      </c>
      <c r="C8551">
        <v>99939</v>
      </c>
      <c r="D8551" t="s">
        <v>28284</v>
      </c>
      <c r="E8551" t="s">
        <v>16</v>
      </c>
      <c r="F8551" t="s">
        <v>28283</v>
      </c>
      <c r="G8551" t="s">
        <v>28240</v>
      </c>
      <c r="H8551">
        <v>99939</v>
      </c>
    </row>
    <row r="8552" spans="1:8">
      <c r="A8552" t="str">
        <f>"0219623 "</f>
        <v xml:space="preserve">0219623 </v>
      </c>
      <c r="B8552" t="s">
        <v>28237</v>
      </c>
      <c r="C8552" t="s">
        <v>28285</v>
      </c>
      <c r="D8552" t="s">
        <v>28286</v>
      </c>
      <c r="E8552" t="s">
        <v>16</v>
      </c>
      <c r="F8552" t="s">
        <v>28287</v>
      </c>
      <c r="G8552" t="s">
        <v>28240</v>
      </c>
      <c r="H8552" t="s">
        <v>28285</v>
      </c>
    </row>
    <row r="8553" spans="1:8">
      <c r="A8553" t="str">
        <f>"0219593 "</f>
        <v xml:space="preserve">0219593 </v>
      </c>
      <c r="B8553" t="s">
        <v>28237</v>
      </c>
      <c r="C8553" t="s">
        <v>28288</v>
      </c>
      <c r="D8553" t="s">
        <v>28289</v>
      </c>
      <c r="E8553">
        <v>4</v>
      </c>
      <c r="F8553" t="s">
        <v>28290</v>
      </c>
      <c r="G8553" t="s">
        <v>28240</v>
      </c>
      <c r="H8553" t="s">
        <v>28288</v>
      </c>
    </row>
    <row r="8554" spans="1:8">
      <c r="A8554" t="str">
        <f>"0252533 "</f>
        <v xml:space="preserve">0252533 </v>
      </c>
      <c r="B8554" t="s">
        <v>28291</v>
      </c>
      <c r="D8554" t="s">
        <v>28292</v>
      </c>
      <c r="E8554" t="s">
        <v>16</v>
      </c>
      <c r="F8554" t="s">
        <v>28293</v>
      </c>
      <c r="G8554" t="s">
        <v>28291</v>
      </c>
    </row>
    <row r="8555" spans="1:8">
      <c r="A8555" t="str">
        <f>"0252534 "</f>
        <v xml:space="preserve">0252534 </v>
      </c>
      <c r="B8555" t="s">
        <v>28291</v>
      </c>
      <c r="D8555" t="s">
        <v>28294</v>
      </c>
      <c r="E8555" t="s">
        <v>16</v>
      </c>
      <c r="F8555" t="s">
        <v>28295</v>
      </c>
      <c r="G8555" t="s">
        <v>28291</v>
      </c>
    </row>
    <row r="8556" spans="1:8">
      <c r="A8556" t="str">
        <f>"0248805 "</f>
        <v xml:space="preserve">0248805 </v>
      </c>
      <c r="B8556" t="s">
        <v>28291</v>
      </c>
      <c r="D8556" t="s">
        <v>28296</v>
      </c>
      <c r="E8556">
        <v>2</v>
      </c>
      <c r="F8556" t="s">
        <v>28297</v>
      </c>
      <c r="G8556" t="s">
        <v>28291</v>
      </c>
    </row>
    <row r="8557" spans="1:8">
      <c r="A8557" t="str">
        <f>"0248806 "</f>
        <v xml:space="preserve">0248806 </v>
      </c>
      <c r="B8557" t="s">
        <v>28291</v>
      </c>
      <c r="D8557" t="s">
        <v>28298</v>
      </c>
      <c r="E8557">
        <v>2</v>
      </c>
      <c r="F8557" t="s">
        <v>28299</v>
      </c>
      <c r="G8557" t="s">
        <v>28291</v>
      </c>
    </row>
    <row r="8558" spans="1:8">
      <c r="A8558" t="str">
        <f>"0248804 "</f>
        <v xml:space="preserve">0248804 </v>
      </c>
      <c r="B8558" t="s">
        <v>28291</v>
      </c>
      <c r="D8558" t="s">
        <v>28300</v>
      </c>
      <c r="E8558">
        <v>2</v>
      </c>
      <c r="F8558" t="s">
        <v>28301</v>
      </c>
      <c r="G8558" t="s">
        <v>28291</v>
      </c>
    </row>
    <row r="8559" spans="1:8">
      <c r="A8559" t="str">
        <f>"0218045 "</f>
        <v xml:space="preserve">0218045 </v>
      </c>
      <c r="B8559" t="s">
        <v>28291</v>
      </c>
      <c r="D8559" t="s">
        <v>28302</v>
      </c>
      <c r="E8559" t="s">
        <v>16</v>
      </c>
      <c r="F8559" t="s">
        <v>28303</v>
      </c>
      <c r="G8559" t="s">
        <v>28291</v>
      </c>
    </row>
    <row r="8560" spans="1:8">
      <c r="A8560" t="str">
        <f>"0218043 "</f>
        <v xml:space="preserve">0218043 </v>
      </c>
      <c r="B8560" t="s">
        <v>28291</v>
      </c>
      <c r="D8560" t="s">
        <v>28304</v>
      </c>
      <c r="E8560" t="s">
        <v>16</v>
      </c>
      <c r="F8560" t="s">
        <v>28305</v>
      </c>
      <c r="G8560" t="s">
        <v>28291</v>
      </c>
    </row>
    <row r="8561" spans="1:8">
      <c r="A8561" t="str">
        <f>"0218044 "</f>
        <v xml:space="preserve">0218044 </v>
      </c>
      <c r="B8561" t="s">
        <v>28291</v>
      </c>
      <c r="D8561" t="s">
        <v>28306</v>
      </c>
      <c r="E8561" t="s">
        <v>16</v>
      </c>
      <c r="F8561" t="s">
        <v>28305</v>
      </c>
      <c r="G8561" t="s">
        <v>28291</v>
      </c>
    </row>
    <row r="8562" spans="1:8">
      <c r="A8562" t="str">
        <f>"0218047 "</f>
        <v xml:space="preserve">0218047 </v>
      </c>
      <c r="B8562" t="s">
        <v>28291</v>
      </c>
      <c r="D8562" t="s">
        <v>28307</v>
      </c>
      <c r="E8562" t="s">
        <v>16</v>
      </c>
      <c r="F8562" t="s">
        <v>28303</v>
      </c>
      <c r="G8562" t="s">
        <v>28291</v>
      </c>
    </row>
    <row r="8563" spans="1:8">
      <c r="A8563" t="str">
        <f>"0218042 "</f>
        <v xml:space="preserve">0218042 </v>
      </c>
      <c r="B8563" t="s">
        <v>28291</v>
      </c>
      <c r="D8563" t="s">
        <v>28308</v>
      </c>
      <c r="E8563" t="s">
        <v>16</v>
      </c>
      <c r="F8563" t="s">
        <v>28305</v>
      </c>
      <c r="G8563" t="s">
        <v>28291</v>
      </c>
    </row>
    <row r="8564" spans="1:8">
      <c r="A8564" t="str">
        <f>"0162816 "</f>
        <v xml:space="preserve">0162816 </v>
      </c>
      <c r="B8564" t="s">
        <v>28291</v>
      </c>
      <c r="C8564" t="str">
        <f>"0162816"</f>
        <v>0162816</v>
      </c>
      <c r="D8564" t="s">
        <v>28309</v>
      </c>
      <c r="E8564" t="s">
        <v>16</v>
      </c>
      <c r="F8564" t="s">
        <v>28310</v>
      </c>
      <c r="G8564" t="s">
        <v>28291</v>
      </c>
      <c r="H8564" t="str">
        <f>"0162816"</f>
        <v>0162816</v>
      </c>
    </row>
    <row r="8565" spans="1:8">
      <c r="A8565" t="str">
        <f>"0162827 "</f>
        <v xml:space="preserve">0162827 </v>
      </c>
      <c r="B8565" t="s">
        <v>28291</v>
      </c>
      <c r="C8565" t="str">
        <f>"0162827"</f>
        <v>0162827</v>
      </c>
      <c r="D8565" t="s">
        <v>28311</v>
      </c>
      <c r="E8565" t="s">
        <v>16</v>
      </c>
      <c r="F8565" t="s">
        <v>28312</v>
      </c>
      <c r="G8565" t="s">
        <v>28291</v>
      </c>
      <c r="H8565" t="str">
        <f>"0162827"</f>
        <v>0162827</v>
      </c>
    </row>
    <row r="8566" spans="1:8">
      <c r="A8566" t="str">
        <f>"0162828 "</f>
        <v xml:space="preserve">0162828 </v>
      </c>
      <c r="B8566" t="s">
        <v>28291</v>
      </c>
      <c r="C8566" t="str">
        <f>"0162828"</f>
        <v>0162828</v>
      </c>
      <c r="D8566" t="s">
        <v>28313</v>
      </c>
      <c r="E8566" t="s">
        <v>16</v>
      </c>
      <c r="F8566" t="s">
        <v>28314</v>
      </c>
      <c r="G8566" t="s">
        <v>28291</v>
      </c>
      <c r="H8566" t="str">
        <f>"0162828"</f>
        <v>0162828</v>
      </c>
    </row>
    <row r="8567" spans="1:8">
      <c r="A8567" t="str">
        <f>"0162830 "</f>
        <v xml:space="preserve">0162830 </v>
      </c>
      <c r="B8567" t="s">
        <v>28291</v>
      </c>
      <c r="C8567" t="str">
        <f>"0162830"</f>
        <v>0162830</v>
      </c>
      <c r="D8567" t="s">
        <v>28315</v>
      </c>
      <c r="E8567" t="s">
        <v>16</v>
      </c>
      <c r="F8567" t="s">
        <v>28316</v>
      </c>
      <c r="G8567" t="s">
        <v>28291</v>
      </c>
      <c r="H8567" t="str">
        <f>"0162830"</f>
        <v>0162830</v>
      </c>
    </row>
    <row r="8568" spans="1:8">
      <c r="A8568" t="str">
        <f>"0162831 "</f>
        <v xml:space="preserve">0162831 </v>
      </c>
      <c r="B8568" t="s">
        <v>28291</v>
      </c>
      <c r="C8568" t="str">
        <f>"0162831"</f>
        <v>0162831</v>
      </c>
      <c r="D8568" t="s">
        <v>28317</v>
      </c>
      <c r="E8568">
        <v>3</v>
      </c>
      <c r="F8568" t="s">
        <v>28318</v>
      </c>
      <c r="G8568" t="s">
        <v>28291</v>
      </c>
      <c r="H8568" t="str">
        <f>"0162831"</f>
        <v>0162831</v>
      </c>
    </row>
    <row r="8569" spans="1:8">
      <c r="A8569" t="str">
        <f>"0162832 "</f>
        <v xml:space="preserve">0162832 </v>
      </c>
      <c r="B8569" t="s">
        <v>28291</v>
      </c>
      <c r="C8569" t="str">
        <f>"0162832"</f>
        <v>0162832</v>
      </c>
      <c r="D8569" t="s">
        <v>28319</v>
      </c>
      <c r="E8569" t="s">
        <v>16</v>
      </c>
      <c r="F8569" t="s">
        <v>28320</v>
      </c>
      <c r="G8569" t="s">
        <v>28291</v>
      </c>
      <c r="H8569" t="str">
        <f>"0162832"</f>
        <v>0162832</v>
      </c>
    </row>
    <row r="8570" spans="1:8">
      <c r="A8570" t="str">
        <f>"0162833 "</f>
        <v xml:space="preserve">0162833 </v>
      </c>
      <c r="B8570" t="s">
        <v>28291</v>
      </c>
      <c r="C8570" t="str">
        <f>"0162833"</f>
        <v>0162833</v>
      </c>
      <c r="D8570" t="s">
        <v>28321</v>
      </c>
      <c r="E8570" t="s">
        <v>16</v>
      </c>
      <c r="F8570" t="s">
        <v>28322</v>
      </c>
      <c r="G8570" t="s">
        <v>28291</v>
      </c>
      <c r="H8570" t="str">
        <f>"0162833"</f>
        <v>0162833</v>
      </c>
    </row>
    <row r="8571" spans="1:8">
      <c r="A8571" t="str">
        <f>"0162834 "</f>
        <v xml:space="preserve">0162834 </v>
      </c>
      <c r="B8571" t="s">
        <v>28291</v>
      </c>
      <c r="C8571" t="str">
        <f>"0162834"</f>
        <v>0162834</v>
      </c>
      <c r="D8571" t="s">
        <v>28323</v>
      </c>
      <c r="E8571" t="s">
        <v>16</v>
      </c>
      <c r="F8571" t="s">
        <v>28324</v>
      </c>
      <c r="G8571" t="s">
        <v>28291</v>
      </c>
      <c r="H8571" t="str">
        <f>"0162834"</f>
        <v>0162834</v>
      </c>
    </row>
    <row r="8572" spans="1:8">
      <c r="A8572" t="str">
        <f>"0162836 "</f>
        <v xml:space="preserve">0162836 </v>
      </c>
      <c r="B8572" t="s">
        <v>28291</v>
      </c>
      <c r="C8572" t="str">
        <f>"0162836"</f>
        <v>0162836</v>
      </c>
      <c r="D8572" t="s">
        <v>28325</v>
      </c>
      <c r="E8572">
        <v>3</v>
      </c>
      <c r="F8572" t="s">
        <v>28326</v>
      </c>
      <c r="G8572" t="s">
        <v>28291</v>
      </c>
      <c r="H8572" t="str">
        <f>"0162836"</f>
        <v>0162836</v>
      </c>
    </row>
    <row r="8573" spans="1:8">
      <c r="A8573" t="str">
        <f>"0162838 "</f>
        <v xml:space="preserve">0162838 </v>
      </c>
      <c r="B8573" t="s">
        <v>28291</v>
      </c>
      <c r="C8573" t="str">
        <f>"0162838"</f>
        <v>0162838</v>
      </c>
      <c r="D8573" t="s">
        <v>28327</v>
      </c>
      <c r="E8573" t="s">
        <v>16</v>
      </c>
      <c r="F8573" t="s">
        <v>28328</v>
      </c>
      <c r="G8573" t="s">
        <v>28291</v>
      </c>
      <c r="H8573" t="str">
        <f>"0162838"</f>
        <v>0162838</v>
      </c>
    </row>
    <row r="8574" spans="1:8">
      <c r="A8574" t="str">
        <f>"0162839 "</f>
        <v xml:space="preserve">0162839 </v>
      </c>
      <c r="B8574" t="s">
        <v>28291</v>
      </c>
      <c r="C8574" t="str">
        <f>"0162839"</f>
        <v>0162839</v>
      </c>
      <c r="D8574" t="s">
        <v>28329</v>
      </c>
      <c r="E8574" t="s">
        <v>16</v>
      </c>
      <c r="F8574" t="s">
        <v>28330</v>
      </c>
      <c r="G8574" t="s">
        <v>28291</v>
      </c>
      <c r="H8574" t="str">
        <f>"0162839"</f>
        <v>0162839</v>
      </c>
    </row>
    <row r="8575" spans="1:8">
      <c r="A8575" t="str">
        <f>"0162840 "</f>
        <v xml:space="preserve">0162840 </v>
      </c>
      <c r="B8575" t="s">
        <v>28291</v>
      </c>
      <c r="C8575" t="str">
        <f>"0162840"</f>
        <v>0162840</v>
      </c>
      <c r="D8575" t="s">
        <v>28331</v>
      </c>
      <c r="E8575" t="s">
        <v>16</v>
      </c>
      <c r="F8575" t="s">
        <v>28332</v>
      </c>
      <c r="G8575" t="s">
        <v>28291</v>
      </c>
      <c r="H8575" t="str">
        <f>"0162840"</f>
        <v>0162840</v>
      </c>
    </row>
    <row r="8576" spans="1:8">
      <c r="A8576" t="str">
        <f>"0162842 "</f>
        <v xml:space="preserve">0162842 </v>
      </c>
      <c r="B8576" t="s">
        <v>28291</v>
      </c>
      <c r="C8576" t="str">
        <f>"0162842"</f>
        <v>0162842</v>
      </c>
      <c r="D8576" t="s">
        <v>28333</v>
      </c>
      <c r="E8576">
        <v>2</v>
      </c>
      <c r="F8576" t="s">
        <v>28334</v>
      </c>
      <c r="G8576" t="s">
        <v>28291</v>
      </c>
      <c r="H8576" t="str">
        <f>"0162842"</f>
        <v>0162842</v>
      </c>
    </row>
    <row r="8577" spans="1:8">
      <c r="A8577" t="str">
        <f>"0162843 "</f>
        <v xml:space="preserve">0162843 </v>
      </c>
      <c r="B8577" t="s">
        <v>28291</v>
      </c>
      <c r="C8577" t="str">
        <f>"0162843"</f>
        <v>0162843</v>
      </c>
      <c r="D8577" t="s">
        <v>28335</v>
      </c>
      <c r="E8577" t="s">
        <v>16</v>
      </c>
      <c r="F8577" t="s">
        <v>28336</v>
      </c>
      <c r="G8577" t="s">
        <v>28291</v>
      </c>
      <c r="H8577" t="str">
        <f>"0162843"</f>
        <v>0162843</v>
      </c>
    </row>
    <row r="8578" spans="1:8">
      <c r="A8578" t="str">
        <f>"0162844 "</f>
        <v xml:space="preserve">0162844 </v>
      </c>
      <c r="B8578" t="s">
        <v>28291</v>
      </c>
      <c r="C8578" t="str">
        <f>"0162844"</f>
        <v>0162844</v>
      </c>
      <c r="D8578" t="s">
        <v>28337</v>
      </c>
      <c r="E8578" t="s">
        <v>16</v>
      </c>
      <c r="F8578" t="s">
        <v>28338</v>
      </c>
      <c r="G8578" t="s">
        <v>28291</v>
      </c>
      <c r="H8578" t="str">
        <f>"0162844"</f>
        <v>0162844</v>
      </c>
    </row>
    <row r="8579" spans="1:8">
      <c r="A8579" t="str">
        <f>"0162848 "</f>
        <v xml:space="preserve">0162848 </v>
      </c>
      <c r="B8579" t="s">
        <v>28291</v>
      </c>
      <c r="C8579" t="str">
        <f>"0162848"</f>
        <v>0162848</v>
      </c>
      <c r="D8579" t="s">
        <v>28339</v>
      </c>
      <c r="E8579" t="s">
        <v>16</v>
      </c>
      <c r="F8579" t="s">
        <v>28340</v>
      </c>
      <c r="G8579" t="s">
        <v>28291</v>
      </c>
      <c r="H8579" t="str">
        <f>"0162848"</f>
        <v>0162848</v>
      </c>
    </row>
    <row r="8580" spans="1:8">
      <c r="A8580" t="str">
        <f>"0162849 "</f>
        <v xml:space="preserve">0162849 </v>
      </c>
      <c r="B8580" t="s">
        <v>28291</v>
      </c>
      <c r="C8580" t="str">
        <f>"0162849"</f>
        <v>0162849</v>
      </c>
      <c r="D8580" t="s">
        <v>28341</v>
      </c>
      <c r="E8580">
        <v>4</v>
      </c>
      <c r="F8580" t="s">
        <v>28342</v>
      </c>
      <c r="G8580" t="s">
        <v>28291</v>
      </c>
      <c r="H8580" t="str">
        <f>"0162849"</f>
        <v>0162849</v>
      </c>
    </row>
    <row r="8581" spans="1:8">
      <c r="A8581" t="str">
        <f>"0162853 "</f>
        <v xml:space="preserve">0162853 </v>
      </c>
      <c r="B8581" t="s">
        <v>28291</v>
      </c>
      <c r="C8581" t="str">
        <f>"0162853"</f>
        <v>0162853</v>
      </c>
      <c r="D8581" t="s">
        <v>28343</v>
      </c>
      <c r="E8581" t="s">
        <v>16</v>
      </c>
      <c r="F8581" t="s">
        <v>28344</v>
      </c>
      <c r="G8581" t="s">
        <v>28291</v>
      </c>
      <c r="H8581" t="str">
        <f>"0162853"</f>
        <v>0162853</v>
      </c>
    </row>
    <row r="8582" spans="1:8">
      <c r="A8582" t="str">
        <f>"0162854 "</f>
        <v xml:space="preserve">0162854 </v>
      </c>
      <c r="B8582" t="s">
        <v>28291</v>
      </c>
      <c r="C8582" t="str">
        <f>"0162854"</f>
        <v>0162854</v>
      </c>
      <c r="D8582" t="s">
        <v>28345</v>
      </c>
      <c r="E8582">
        <v>4</v>
      </c>
      <c r="F8582" t="s">
        <v>3492</v>
      </c>
      <c r="G8582" t="s">
        <v>28291</v>
      </c>
      <c r="H8582" t="str">
        <f>"0162854"</f>
        <v>0162854</v>
      </c>
    </row>
    <row r="8583" spans="1:8">
      <c r="A8583" t="str">
        <f>"0162856 "</f>
        <v xml:space="preserve">0162856 </v>
      </c>
      <c r="B8583" t="s">
        <v>28291</v>
      </c>
      <c r="C8583" t="str">
        <f>"0162856"</f>
        <v>0162856</v>
      </c>
      <c r="D8583" t="s">
        <v>28346</v>
      </c>
      <c r="E8583" t="s">
        <v>16</v>
      </c>
      <c r="F8583" t="s">
        <v>28347</v>
      </c>
      <c r="G8583" t="s">
        <v>28291</v>
      </c>
      <c r="H8583" t="str">
        <f>"0162856"</f>
        <v>0162856</v>
      </c>
    </row>
    <row r="8584" spans="1:8">
      <c r="A8584" t="str">
        <f>"0162857 "</f>
        <v xml:space="preserve">0162857 </v>
      </c>
      <c r="B8584" t="s">
        <v>28291</v>
      </c>
      <c r="C8584" t="str">
        <f>"0162857"</f>
        <v>0162857</v>
      </c>
      <c r="D8584" t="s">
        <v>28348</v>
      </c>
      <c r="E8584" t="s">
        <v>16</v>
      </c>
      <c r="F8584" t="s">
        <v>28349</v>
      </c>
      <c r="G8584" t="s">
        <v>28291</v>
      </c>
      <c r="H8584" t="str">
        <f>"0162857"</f>
        <v>0162857</v>
      </c>
    </row>
    <row r="8585" spans="1:8">
      <c r="A8585" t="str">
        <f>"0162861 "</f>
        <v xml:space="preserve">0162861 </v>
      </c>
      <c r="B8585" t="s">
        <v>28291</v>
      </c>
      <c r="C8585" t="str">
        <f>"0162861"</f>
        <v>0162861</v>
      </c>
      <c r="D8585" t="s">
        <v>28350</v>
      </c>
      <c r="E8585" t="s">
        <v>16</v>
      </c>
      <c r="F8585" t="s">
        <v>28351</v>
      </c>
      <c r="G8585" t="s">
        <v>28291</v>
      </c>
      <c r="H8585" t="str">
        <f>"0162861"</f>
        <v>0162861</v>
      </c>
    </row>
    <row r="8586" spans="1:8">
      <c r="A8586" t="str">
        <f>"0162862 "</f>
        <v xml:space="preserve">0162862 </v>
      </c>
      <c r="B8586" t="s">
        <v>28291</v>
      </c>
      <c r="C8586" t="str">
        <f>"0162862"</f>
        <v>0162862</v>
      </c>
      <c r="D8586" t="s">
        <v>28352</v>
      </c>
      <c r="E8586">
        <v>2</v>
      </c>
      <c r="F8586" t="s">
        <v>28353</v>
      </c>
      <c r="G8586" t="s">
        <v>28291</v>
      </c>
      <c r="H8586" t="str">
        <f>"0162862"</f>
        <v>0162862</v>
      </c>
    </row>
    <row r="8587" spans="1:8">
      <c r="A8587" t="str">
        <f>"0162863 "</f>
        <v xml:space="preserve">0162863 </v>
      </c>
      <c r="B8587" t="s">
        <v>28291</v>
      </c>
      <c r="C8587" t="str">
        <f>"0162863"</f>
        <v>0162863</v>
      </c>
      <c r="D8587" t="s">
        <v>28354</v>
      </c>
      <c r="E8587">
        <v>2</v>
      </c>
      <c r="F8587" t="s">
        <v>28355</v>
      </c>
      <c r="G8587" t="s">
        <v>28291</v>
      </c>
      <c r="H8587" t="str">
        <f>"0162863"</f>
        <v>0162863</v>
      </c>
    </row>
    <row r="8588" spans="1:8">
      <c r="A8588" t="str">
        <f>"0162864 "</f>
        <v xml:space="preserve">0162864 </v>
      </c>
      <c r="B8588" t="s">
        <v>28291</v>
      </c>
      <c r="C8588" t="str">
        <f>"0162864"</f>
        <v>0162864</v>
      </c>
      <c r="D8588" t="s">
        <v>28356</v>
      </c>
      <c r="E8588">
        <v>3</v>
      </c>
      <c r="F8588" t="s">
        <v>28357</v>
      </c>
      <c r="G8588" t="s">
        <v>28291</v>
      </c>
      <c r="H8588" t="str">
        <f>"0162864"</f>
        <v>0162864</v>
      </c>
    </row>
    <row r="8589" spans="1:8">
      <c r="A8589" t="str">
        <f>"0162867 "</f>
        <v xml:space="preserve">0162867 </v>
      </c>
      <c r="B8589" t="s">
        <v>28291</v>
      </c>
      <c r="C8589" t="str">
        <f>"0162867"</f>
        <v>0162867</v>
      </c>
      <c r="D8589" t="s">
        <v>28358</v>
      </c>
      <c r="E8589">
        <v>2</v>
      </c>
      <c r="F8589" t="s">
        <v>28359</v>
      </c>
      <c r="G8589" t="s">
        <v>28291</v>
      </c>
      <c r="H8589" t="str">
        <f>"0162867"</f>
        <v>0162867</v>
      </c>
    </row>
    <row r="8590" spans="1:8">
      <c r="A8590" t="str">
        <f>"0162868 "</f>
        <v xml:space="preserve">0162868 </v>
      </c>
      <c r="B8590" t="s">
        <v>28291</v>
      </c>
      <c r="C8590" t="str">
        <f>"0162868"</f>
        <v>0162868</v>
      </c>
      <c r="D8590" t="s">
        <v>28360</v>
      </c>
      <c r="E8590">
        <v>1</v>
      </c>
      <c r="F8590" t="s">
        <v>28361</v>
      </c>
      <c r="G8590" t="s">
        <v>28291</v>
      </c>
      <c r="H8590" t="str">
        <f>"0162868"</f>
        <v>0162868</v>
      </c>
    </row>
    <row r="8591" spans="1:8">
      <c r="A8591" t="str">
        <f>"0162869 "</f>
        <v xml:space="preserve">0162869 </v>
      </c>
      <c r="B8591" t="s">
        <v>28291</v>
      </c>
      <c r="C8591" t="str">
        <f>"0162869"</f>
        <v>0162869</v>
      </c>
      <c r="D8591" t="s">
        <v>28362</v>
      </c>
      <c r="E8591" t="s">
        <v>16</v>
      </c>
      <c r="F8591" t="s">
        <v>28363</v>
      </c>
      <c r="G8591" t="s">
        <v>28291</v>
      </c>
      <c r="H8591" t="str">
        <f>"0162869"</f>
        <v>0162869</v>
      </c>
    </row>
    <row r="8592" spans="1:8">
      <c r="A8592" t="str">
        <f>"0162870 "</f>
        <v xml:space="preserve">0162870 </v>
      </c>
      <c r="B8592" t="s">
        <v>28291</v>
      </c>
      <c r="C8592" t="str">
        <f>"0162870"</f>
        <v>0162870</v>
      </c>
      <c r="D8592" t="s">
        <v>28364</v>
      </c>
      <c r="E8592" t="s">
        <v>16</v>
      </c>
      <c r="F8592" s="1">
        <v>42765</v>
      </c>
      <c r="G8592" t="s">
        <v>28291</v>
      </c>
      <c r="H8592" t="str">
        <f>"0162870"</f>
        <v>0162870</v>
      </c>
    </row>
    <row r="8593" spans="1:8">
      <c r="A8593" t="str">
        <f>"0162875 "</f>
        <v xml:space="preserve">0162875 </v>
      </c>
      <c r="B8593" t="s">
        <v>28291</v>
      </c>
      <c r="C8593" t="str">
        <f>"0162875"</f>
        <v>0162875</v>
      </c>
      <c r="D8593" t="s">
        <v>28365</v>
      </c>
      <c r="E8593" t="s">
        <v>16</v>
      </c>
      <c r="F8593" t="s">
        <v>28366</v>
      </c>
      <c r="G8593" t="s">
        <v>28291</v>
      </c>
      <c r="H8593" t="str">
        <f>"0162875"</f>
        <v>0162875</v>
      </c>
    </row>
    <row r="8594" spans="1:8">
      <c r="A8594" t="str">
        <f>"0162876 "</f>
        <v xml:space="preserve">0162876 </v>
      </c>
      <c r="B8594" t="s">
        <v>28291</v>
      </c>
      <c r="C8594" t="str">
        <f>"0162876"</f>
        <v>0162876</v>
      </c>
      <c r="D8594" t="s">
        <v>28367</v>
      </c>
      <c r="E8594">
        <v>1</v>
      </c>
      <c r="F8594" t="s">
        <v>28368</v>
      </c>
      <c r="G8594" t="s">
        <v>28291</v>
      </c>
      <c r="H8594" t="str">
        <f>"0162876"</f>
        <v>0162876</v>
      </c>
    </row>
    <row r="8595" spans="1:8">
      <c r="A8595" t="str">
        <f>"0162877 "</f>
        <v xml:space="preserve">0162877 </v>
      </c>
      <c r="B8595" t="s">
        <v>28291</v>
      </c>
      <c r="C8595" t="str">
        <f>"0162877"</f>
        <v>0162877</v>
      </c>
      <c r="D8595" t="s">
        <v>28369</v>
      </c>
      <c r="E8595">
        <v>1</v>
      </c>
      <c r="F8595" t="s">
        <v>28370</v>
      </c>
      <c r="G8595" t="s">
        <v>28291</v>
      </c>
      <c r="H8595" t="str">
        <f>"0162877"</f>
        <v>0162877</v>
      </c>
    </row>
    <row r="8596" spans="1:8">
      <c r="A8596" t="str">
        <f>"0162878 "</f>
        <v xml:space="preserve">0162878 </v>
      </c>
      <c r="B8596" t="s">
        <v>28291</v>
      </c>
      <c r="C8596" t="str">
        <f>"0162878"</f>
        <v>0162878</v>
      </c>
      <c r="D8596" t="s">
        <v>28371</v>
      </c>
      <c r="E8596">
        <v>4</v>
      </c>
      <c r="F8596" t="s">
        <v>28372</v>
      </c>
      <c r="G8596" t="s">
        <v>28291</v>
      </c>
      <c r="H8596" t="str">
        <f>"0162878"</f>
        <v>0162878</v>
      </c>
    </row>
    <row r="8597" spans="1:8">
      <c r="A8597" t="str">
        <f>"0162880 "</f>
        <v xml:space="preserve">0162880 </v>
      </c>
      <c r="B8597" t="s">
        <v>28291</v>
      </c>
      <c r="C8597" t="str">
        <f>"0162880"</f>
        <v>0162880</v>
      </c>
      <c r="D8597" t="s">
        <v>28373</v>
      </c>
      <c r="E8597">
        <v>2</v>
      </c>
      <c r="F8597" t="s">
        <v>28374</v>
      </c>
      <c r="G8597" t="s">
        <v>28291</v>
      </c>
      <c r="H8597" t="str">
        <f>"0162880"</f>
        <v>0162880</v>
      </c>
    </row>
    <row r="8598" spans="1:8">
      <c r="A8598" t="str">
        <f>"0162881 "</f>
        <v xml:space="preserve">0162881 </v>
      </c>
      <c r="B8598" t="s">
        <v>28291</v>
      </c>
      <c r="C8598" t="str">
        <f>"0162881"</f>
        <v>0162881</v>
      </c>
      <c r="D8598" t="s">
        <v>28375</v>
      </c>
      <c r="E8598">
        <v>2</v>
      </c>
      <c r="F8598" t="s">
        <v>28376</v>
      </c>
      <c r="G8598" t="s">
        <v>28291</v>
      </c>
      <c r="H8598" t="str">
        <f>"0162881"</f>
        <v>0162881</v>
      </c>
    </row>
    <row r="8599" spans="1:8">
      <c r="A8599" t="str">
        <f>"0162883 "</f>
        <v xml:space="preserve">0162883 </v>
      </c>
      <c r="B8599" t="s">
        <v>28291</v>
      </c>
      <c r="C8599" t="str">
        <f>"0162883"</f>
        <v>0162883</v>
      </c>
      <c r="D8599" t="s">
        <v>28377</v>
      </c>
      <c r="E8599">
        <v>1</v>
      </c>
      <c r="F8599" t="s">
        <v>28378</v>
      </c>
      <c r="G8599" t="s">
        <v>28291</v>
      </c>
      <c r="H8599" t="str">
        <f>"0162883"</f>
        <v>0162883</v>
      </c>
    </row>
    <row r="8600" spans="1:8">
      <c r="A8600" t="str">
        <f>"0162884 "</f>
        <v xml:space="preserve">0162884 </v>
      </c>
      <c r="B8600" t="s">
        <v>28291</v>
      </c>
      <c r="C8600" t="str">
        <f>"0162884"</f>
        <v>0162884</v>
      </c>
      <c r="D8600" t="s">
        <v>28379</v>
      </c>
      <c r="E8600">
        <v>4</v>
      </c>
      <c r="F8600" t="s">
        <v>28380</v>
      </c>
      <c r="G8600" t="s">
        <v>28291</v>
      </c>
      <c r="H8600" t="str">
        <f>"0162884"</f>
        <v>0162884</v>
      </c>
    </row>
    <row r="8601" spans="1:8">
      <c r="A8601" t="str">
        <f>"0162887 "</f>
        <v xml:space="preserve">0162887 </v>
      </c>
      <c r="B8601" t="s">
        <v>28291</v>
      </c>
      <c r="C8601" t="str">
        <f>"0162887"</f>
        <v>0162887</v>
      </c>
      <c r="D8601" t="s">
        <v>28381</v>
      </c>
      <c r="E8601">
        <v>3</v>
      </c>
      <c r="F8601" t="s">
        <v>28382</v>
      </c>
      <c r="G8601" t="s">
        <v>28291</v>
      </c>
      <c r="H8601" t="str">
        <f>"0162887"</f>
        <v>0162887</v>
      </c>
    </row>
    <row r="8602" spans="1:8">
      <c r="A8602" t="str">
        <f>"0201651 "</f>
        <v xml:space="preserve">0201651 </v>
      </c>
      <c r="B8602" t="s">
        <v>28291</v>
      </c>
      <c r="C8602" t="str">
        <f>"0201651"</f>
        <v>0201651</v>
      </c>
      <c r="D8602" t="s">
        <v>28383</v>
      </c>
      <c r="E8602" t="s">
        <v>16</v>
      </c>
      <c r="F8602" t="s">
        <v>22473</v>
      </c>
      <c r="G8602" t="s">
        <v>28291</v>
      </c>
      <c r="H8602" t="str">
        <f>"0201651"</f>
        <v>0201651</v>
      </c>
    </row>
    <row r="8603" spans="1:8">
      <c r="A8603" t="str">
        <f>"0203827 "</f>
        <v xml:space="preserve">0203827 </v>
      </c>
      <c r="B8603" t="s">
        <v>28291</v>
      </c>
      <c r="C8603" t="str">
        <f>"0203827"</f>
        <v>0203827</v>
      </c>
      <c r="D8603" t="s">
        <v>28384</v>
      </c>
      <c r="E8603" t="s">
        <v>16</v>
      </c>
      <c r="F8603" s="3">
        <v>29312</v>
      </c>
      <c r="G8603" t="s">
        <v>28291</v>
      </c>
      <c r="H8603" t="str">
        <f>"0203827"</f>
        <v>0203827</v>
      </c>
    </row>
    <row r="8604" spans="1:8">
      <c r="A8604" t="str">
        <f>"0203828 "</f>
        <v xml:space="preserve">0203828 </v>
      </c>
      <c r="B8604" t="s">
        <v>28291</v>
      </c>
      <c r="C8604" t="str">
        <f>"0203828"</f>
        <v>0203828</v>
      </c>
      <c r="D8604" t="s">
        <v>28385</v>
      </c>
      <c r="E8604">
        <v>2</v>
      </c>
      <c r="F8604" t="s">
        <v>28386</v>
      </c>
      <c r="G8604" t="s">
        <v>28291</v>
      </c>
      <c r="H8604" t="str">
        <f>"0203828"</f>
        <v>0203828</v>
      </c>
    </row>
    <row r="8605" spans="1:8">
      <c r="A8605" t="str">
        <f>"0218046 "</f>
        <v xml:space="preserve">0218046 </v>
      </c>
      <c r="B8605" t="s">
        <v>28291</v>
      </c>
      <c r="C8605" t="str">
        <f>"0218046"</f>
        <v>0218046</v>
      </c>
      <c r="D8605" t="s">
        <v>28387</v>
      </c>
      <c r="E8605" t="s">
        <v>16</v>
      </c>
      <c r="F8605" t="s">
        <v>28303</v>
      </c>
      <c r="G8605" t="s">
        <v>28291</v>
      </c>
      <c r="H8605" t="str">
        <f>"0218046"</f>
        <v>0218046</v>
      </c>
    </row>
    <row r="8606" spans="1:8">
      <c r="A8606" t="str">
        <f>"0248043 "</f>
        <v xml:space="preserve">0248043 </v>
      </c>
      <c r="B8606" t="s">
        <v>28291</v>
      </c>
      <c r="C8606">
        <v>701389</v>
      </c>
      <c r="D8606" t="s">
        <v>28388</v>
      </c>
      <c r="E8606" t="s">
        <v>16</v>
      </c>
      <c r="F8606" t="s">
        <v>28389</v>
      </c>
      <c r="G8606" t="s">
        <v>28291</v>
      </c>
      <c r="H8606">
        <v>701389</v>
      </c>
    </row>
    <row r="8607" spans="1:8">
      <c r="A8607" t="str">
        <f>"0248045 "</f>
        <v xml:space="preserve">0248045 </v>
      </c>
      <c r="B8607" t="s">
        <v>28291</v>
      </c>
      <c r="C8607">
        <v>701391</v>
      </c>
      <c r="D8607" t="s">
        <v>28390</v>
      </c>
      <c r="E8607">
        <v>2</v>
      </c>
      <c r="F8607" t="s">
        <v>28391</v>
      </c>
      <c r="G8607" t="s">
        <v>28291</v>
      </c>
      <c r="H8607">
        <v>701391</v>
      </c>
    </row>
    <row r="8608" spans="1:8">
      <c r="A8608" t="str">
        <f>"0248046 "</f>
        <v xml:space="preserve">0248046 </v>
      </c>
      <c r="B8608" t="s">
        <v>28291</v>
      </c>
      <c r="C8608">
        <v>701392</v>
      </c>
      <c r="D8608" t="s">
        <v>28392</v>
      </c>
      <c r="E8608" t="s">
        <v>16</v>
      </c>
      <c r="F8608" t="s">
        <v>24706</v>
      </c>
      <c r="G8608" t="s">
        <v>28291</v>
      </c>
      <c r="H8608">
        <v>701392</v>
      </c>
    </row>
    <row r="8609" spans="1:8">
      <c r="A8609" t="str">
        <f>"0248047 "</f>
        <v xml:space="preserve">0248047 </v>
      </c>
      <c r="B8609" t="s">
        <v>28291</v>
      </c>
      <c r="C8609">
        <v>701393</v>
      </c>
      <c r="D8609" t="s">
        <v>28393</v>
      </c>
      <c r="E8609">
        <v>4</v>
      </c>
      <c r="F8609" t="s">
        <v>28394</v>
      </c>
      <c r="G8609" t="s">
        <v>28291</v>
      </c>
      <c r="H8609">
        <v>701393</v>
      </c>
    </row>
    <row r="8610" spans="1:8">
      <c r="A8610" t="str">
        <f>"0248049 "</f>
        <v xml:space="preserve">0248049 </v>
      </c>
      <c r="B8610" t="s">
        <v>28291</v>
      </c>
      <c r="C8610">
        <v>701395</v>
      </c>
      <c r="D8610" t="s">
        <v>28395</v>
      </c>
      <c r="E8610">
        <v>3</v>
      </c>
      <c r="F8610" t="s">
        <v>28396</v>
      </c>
      <c r="G8610" t="s">
        <v>28291</v>
      </c>
      <c r="H8610">
        <v>701395</v>
      </c>
    </row>
    <row r="8611" spans="1:8">
      <c r="A8611" t="str">
        <f>"0248050 "</f>
        <v xml:space="preserve">0248050 </v>
      </c>
      <c r="B8611" t="s">
        <v>28291</v>
      </c>
      <c r="C8611">
        <v>701396</v>
      </c>
      <c r="D8611" t="s">
        <v>28397</v>
      </c>
      <c r="E8611">
        <v>4</v>
      </c>
      <c r="F8611" t="s">
        <v>28398</v>
      </c>
      <c r="G8611" t="s">
        <v>28291</v>
      </c>
      <c r="H8611">
        <v>701396</v>
      </c>
    </row>
    <row r="8612" spans="1:8">
      <c r="A8612" t="str">
        <f>"0248051 "</f>
        <v xml:space="preserve">0248051 </v>
      </c>
      <c r="B8612" t="s">
        <v>28291</v>
      </c>
      <c r="C8612">
        <v>701397</v>
      </c>
      <c r="D8612" t="s">
        <v>28399</v>
      </c>
      <c r="E8612">
        <v>1</v>
      </c>
      <c r="F8612" t="s">
        <v>28400</v>
      </c>
      <c r="G8612" t="s">
        <v>28291</v>
      </c>
      <c r="H8612">
        <v>701397</v>
      </c>
    </row>
    <row r="8613" spans="1:8">
      <c r="A8613" t="str">
        <f>"0248041 "</f>
        <v xml:space="preserve">0248041 </v>
      </c>
      <c r="B8613" t="s">
        <v>28291</v>
      </c>
      <c r="C8613">
        <v>701398</v>
      </c>
      <c r="D8613" t="s">
        <v>28401</v>
      </c>
      <c r="E8613" t="s">
        <v>16</v>
      </c>
      <c r="F8613" t="s">
        <v>28402</v>
      </c>
      <c r="G8613" t="s">
        <v>28291</v>
      </c>
      <c r="H8613">
        <v>701398</v>
      </c>
    </row>
    <row r="8614" spans="1:8">
      <c r="A8614" t="str">
        <f>"0204379 "</f>
        <v xml:space="preserve">0204379 </v>
      </c>
      <c r="B8614" t="s">
        <v>28291</v>
      </c>
      <c r="C8614">
        <v>701399</v>
      </c>
      <c r="D8614" t="s">
        <v>28403</v>
      </c>
      <c r="E8614">
        <v>2</v>
      </c>
      <c r="F8614" t="s">
        <v>28404</v>
      </c>
      <c r="G8614" t="s">
        <v>28291</v>
      </c>
      <c r="H8614">
        <v>701399</v>
      </c>
    </row>
    <row r="8615" spans="1:8">
      <c r="A8615" t="str">
        <f>"0204380 "</f>
        <v xml:space="preserve">0204380 </v>
      </c>
      <c r="B8615" t="s">
        <v>28291</v>
      </c>
      <c r="C8615">
        <v>701400</v>
      </c>
      <c r="D8615" t="s">
        <v>28405</v>
      </c>
      <c r="E8615">
        <v>2</v>
      </c>
      <c r="F8615" t="s">
        <v>28406</v>
      </c>
      <c r="G8615" t="s">
        <v>28291</v>
      </c>
      <c r="H8615">
        <v>701400</v>
      </c>
    </row>
    <row r="8616" spans="1:8">
      <c r="A8616" t="str">
        <f>"0204381 "</f>
        <v xml:space="preserve">0204381 </v>
      </c>
      <c r="B8616" t="s">
        <v>28291</v>
      </c>
      <c r="C8616">
        <v>701403</v>
      </c>
      <c r="D8616" t="s">
        <v>28407</v>
      </c>
      <c r="E8616" t="s">
        <v>16</v>
      </c>
      <c r="F8616" t="s">
        <v>28408</v>
      </c>
      <c r="G8616" t="s">
        <v>28291</v>
      </c>
      <c r="H8616">
        <v>701403</v>
      </c>
    </row>
    <row r="8617" spans="1:8">
      <c r="A8617" t="str">
        <f>"0204382 "</f>
        <v xml:space="preserve">0204382 </v>
      </c>
      <c r="B8617" t="s">
        <v>28291</v>
      </c>
      <c r="C8617">
        <v>701404</v>
      </c>
      <c r="D8617" t="s">
        <v>28409</v>
      </c>
      <c r="E8617" t="s">
        <v>16</v>
      </c>
      <c r="F8617" t="s">
        <v>28410</v>
      </c>
      <c r="G8617" t="s">
        <v>28291</v>
      </c>
      <c r="H8617">
        <v>701404</v>
      </c>
    </row>
    <row r="8618" spans="1:8">
      <c r="A8618" t="str">
        <f>"0248040 "</f>
        <v xml:space="preserve">0248040 </v>
      </c>
      <c r="B8618" t="s">
        <v>28291</v>
      </c>
      <c r="C8618">
        <v>701406</v>
      </c>
      <c r="D8618" t="s">
        <v>28411</v>
      </c>
      <c r="E8618" t="s">
        <v>16</v>
      </c>
      <c r="F8618" t="s">
        <v>28412</v>
      </c>
      <c r="G8618" t="s">
        <v>28291</v>
      </c>
      <c r="H8618">
        <v>701406</v>
      </c>
    </row>
    <row r="8619" spans="1:8">
      <c r="A8619" t="str">
        <f>"0204383 "</f>
        <v xml:space="preserve">0204383 </v>
      </c>
      <c r="B8619" t="s">
        <v>28291</v>
      </c>
      <c r="C8619">
        <v>701407</v>
      </c>
      <c r="D8619" t="s">
        <v>28413</v>
      </c>
      <c r="E8619">
        <v>3</v>
      </c>
      <c r="F8619" t="s">
        <v>28414</v>
      </c>
      <c r="G8619" t="s">
        <v>28291</v>
      </c>
      <c r="H8619">
        <v>701407</v>
      </c>
    </row>
    <row r="8620" spans="1:8">
      <c r="A8620" t="str">
        <f>"0204384 "</f>
        <v xml:space="preserve">0204384 </v>
      </c>
      <c r="B8620" t="s">
        <v>28291</v>
      </c>
      <c r="C8620">
        <v>701408</v>
      </c>
      <c r="D8620" t="s">
        <v>28415</v>
      </c>
      <c r="E8620">
        <v>4</v>
      </c>
      <c r="F8620" t="s">
        <v>28416</v>
      </c>
      <c r="G8620" t="s">
        <v>28291</v>
      </c>
      <c r="H8620">
        <v>701408</v>
      </c>
    </row>
    <row r="8621" spans="1:8">
      <c r="A8621" t="str">
        <f>"0014263 "</f>
        <v xml:space="preserve">0014263 </v>
      </c>
      <c r="B8621" t="s">
        <v>28417</v>
      </c>
      <c r="C8621" t="s">
        <v>28418</v>
      </c>
      <c r="D8621" t="s">
        <v>28419</v>
      </c>
      <c r="E8621" t="s">
        <v>16</v>
      </c>
      <c r="F8621" t="s">
        <v>28420</v>
      </c>
      <c r="G8621" t="s">
        <v>28417</v>
      </c>
      <c r="H8621" t="s">
        <v>28418</v>
      </c>
    </row>
    <row r="8622" spans="1:8">
      <c r="A8622" t="str">
        <f>"0220080 "</f>
        <v xml:space="preserve">0220080 </v>
      </c>
      <c r="B8622" t="s">
        <v>28417</v>
      </c>
      <c r="C8622" t="s">
        <v>28421</v>
      </c>
      <c r="D8622" t="s">
        <v>28422</v>
      </c>
      <c r="E8622" t="s">
        <v>16</v>
      </c>
      <c r="F8622" t="s">
        <v>28423</v>
      </c>
      <c r="G8622" t="s">
        <v>28417</v>
      </c>
      <c r="H8622" t="s">
        <v>28421</v>
      </c>
    </row>
    <row r="8623" spans="1:8">
      <c r="A8623" t="str">
        <f>"0014265 "</f>
        <v xml:space="preserve">0014265 </v>
      </c>
      <c r="B8623" t="s">
        <v>28417</v>
      </c>
      <c r="C8623" t="s">
        <v>28424</v>
      </c>
      <c r="D8623" t="s">
        <v>28425</v>
      </c>
      <c r="E8623" t="s">
        <v>16</v>
      </c>
      <c r="F8623" t="s">
        <v>24692</v>
      </c>
      <c r="G8623" t="s">
        <v>28417</v>
      </c>
      <c r="H8623" t="s">
        <v>28424</v>
      </c>
    </row>
    <row r="8624" spans="1:8">
      <c r="A8624" t="str">
        <f>"0014266 "</f>
        <v xml:space="preserve">0014266 </v>
      </c>
      <c r="B8624" t="s">
        <v>28417</v>
      </c>
      <c r="C8624" t="s">
        <v>28426</v>
      </c>
      <c r="D8624" t="s">
        <v>28427</v>
      </c>
      <c r="E8624" t="s">
        <v>16</v>
      </c>
      <c r="F8624" t="s">
        <v>28428</v>
      </c>
      <c r="G8624" t="s">
        <v>28417</v>
      </c>
      <c r="H8624" t="s">
        <v>28426</v>
      </c>
    </row>
    <row r="8625" spans="1:9">
      <c r="A8625" t="str">
        <f>"0014267 "</f>
        <v xml:space="preserve">0014267 </v>
      </c>
      <c r="B8625" t="s">
        <v>28417</v>
      </c>
      <c r="C8625" t="s">
        <v>28429</v>
      </c>
      <c r="D8625" t="s">
        <v>28430</v>
      </c>
      <c r="E8625" t="s">
        <v>16</v>
      </c>
      <c r="F8625" t="s">
        <v>28431</v>
      </c>
      <c r="G8625" t="s">
        <v>28417</v>
      </c>
      <c r="H8625" t="s">
        <v>28429</v>
      </c>
    </row>
    <row r="8626" spans="1:9">
      <c r="A8626" t="str">
        <f>"0029788 "</f>
        <v xml:space="preserve">0029788 </v>
      </c>
      <c r="B8626" t="s">
        <v>28432</v>
      </c>
      <c r="C8626" t="str">
        <f>"002 = WA6161"</f>
        <v>002 = WA6161</v>
      </c>
      <c r="D8626" t="s">
        <v>28433</v>
      </c>
      <c r="E8626">
        <v>2</v>
      </c>
      <c r="F8626" t="s">
        <v>28434</v>
      </c>
      <c r="G8626" t="s">
        <v>28435</v>
      </c>
      <c r="H8626" t="s">
        <v>28436</v>
      </c>
      <c r="I8626" t="s">
        <v>28437</v>
      </c>
    </row>
    <row r="8627" spans="1:9">
      <c r="A8627" t="str">
        <f>"0029789 "</f>
        <v xml:space="preserve">0029789 </v>
      </c>
      <c r="B8627" t="s">
        <v>28432</v>
      </c>
      <c r="C8627" t="str">
        <f>"003 = WA6162"</f>
        <v>003 = WA6162</v>
      </c>
      <c r="D8627" t="s">
        <v>28438</v>
      </c>
      <c r="E8627">
        <v>2</v>
      </c>
      <c r="F8627" t="s">
        <v>28439</v>
      </c>
      <c r="G8627" t="s">
        <v>28435</v>
      </c>
      <c r="H8627" t="s">
        <v>28440</v>
      </c>
      <c r="I8627" t="s">
        <v>28441</v>
      </c>
    </row>
    <row r="8628" spans="1:9">
      <c r="A8628" t="str">
        <f>"0029790 "</f>
        <v xml:space="preserve">0029790 </v>
      </c>
      <c r="B8628" t="s">
        <v>28432</v>
      </c>
      <c r="C8628" t="str">
        <f>"003/1 = WA6163"</f>
        <v>003/1 = WA6163</v>
      </c>
      <c r="D8628" t="s">
        <v>28442</v>
      </c>
      <c r="E8628">
        <v>1</v>
      </c>
      <c r="F8628" t="s">
        <v>28443</v>
      </c>
      <c r="G8628" t="s">
        <v>28435</v>
      </c>
      <c r="H8628" t="s">
        <v>28444</v>
      </c>
      <c r="I8628" t="s">
        <v>28445</v>
      </c>
    </row>
    <row r="8629" spans="1:9">
      <c r="A8629" t="str">
        <f>"0029797 "</f>
        <v xml:space="preserve">0029797 </v>
      </c>
      <c r="B8629" t="s">
        <v>28432</v>
      </c>
      <c r="C8629" t="str">
        <f>"003/8 = WA9491"</f>
        <v>003/8 = WA9491</v>
      </c>
      <c r="D8629" t="s">
        <v>28446</v>
      </c>
      <c r="E8629">
        <v>1</v>
      </c>
      <c r="F8629" t="s">
        <v>28447</v>
      </c>
      <c r="G8629" t="s">
        <v>28435</v>
      </c>
      <c r="H8629" t="s">
        <v>28448</v>
      </c>
      <c r="I8629" t="s">
        <v>28449</v>
      </c>
    </row>
    <row r="8630" spans="1:9">
      <c r="A8630" t="str">
        <f>"0029799 "</f>
        <v xml:space="preserve">0029799 </v>
      </c>
      <c r="B8630" t="s">
        <v>28432</v>
      </c>
      <c r="C8630" t="str">
        <f>"004 = WA6166"</f>
        <v>004 = WA6166</v>
      </c>
      <c r="D8630" t="s">
        <v>28450</v>
      </c>
      <c r="E8630" t="s">
        <v>16</v>
      </c>
      <c r="F8630" t="s">
        <v>28451</v>
      </c>
      <c r="G8630" t="s">
        <v>28435</v>
      </c>
      <c r="H8630" t="s">
        <v>28452</v>
      </c>
      <c r="I8630" t="s">
        <v>28453</v>
      </c>
    </row>
    <row r="8631" spans="1:9">
      <c r="A8631" t="str">
        <f>"0029801 "</f>
        <v xml:space="preserve">0029801 </v>
      </c>
      <c r="B8631" t="s">
        <v>28432</v>
      </c>
      <c r="C8631" t="str">
        <f>"004/2 = WA6537"</f>
        <v>004/2 = WA6537</v>
      </c>
      <c r="D8631" t="s">
        <v>28454</v>
      </c>
      <c r="E8631">
        <v>2</v>
      </c>
      <c r="F8631" t="s">
        <v>28455</v>
      </c>
      <c r="G8631" t="s">
        <v>28435</v>
      </c>
      <c r="H8631" t="s">
        <v>28456</v>
      </c>
      <c r="I8631" t="s">
        <v>28457</v>
      </c>
    </row>
    <row r="8632" spans="1:9">
      <c r="A8632" t="str">
        <f>"0029802 "</f>
        <v xml:space="preserve">0029802 </v>
      </c>
      <c r="B8632" t="s">
        <v>28432</v>
      </c>
      <c r="C8632" t="str">
        <f>"004/3 = WA9515"</f>
        <v>004/3 = WA9515</v>
      </c>
      <c r="D8632" t="s">
        <v>28458</v>
      </c>
      <c r="E8632">
        <v>4</v>
      </c>
      <c r="F8632" t="s">
        <v>28459</v>
      </c>
      <c r="G8632" t="s">
        <v>28435</v>
      </c>
      <c r="H8632" t="s">
        <v>28460</v>
      </c>
      <c r="I8632" t="s">
        <v>28461</v>
      </c>
    </row>
    <row r="8633" spans="1:9">
      <c r="A8633" t="str">
        <f>"0116652 "</f>
        <v xml:space="preserve">0116652 </v>
      </c>
      <c r="B8633" t="s">
        <v>28432</v>
      </c>
      <c r="C8633" t="str">
        <f>"004/5 = WA9721"</f>
        <v>004/5 = WA9721</v>
      </c>
      <c r="D8633" t="s">
        <v>28462</v>
      </c>
      <c r="E8633">
        <v>1</v>
      </c>
      <c r="F8633" t="s">
        <v>28463</v>
      </c>
      <c r="G8633" t="s">
        <v>28435</v>
      </c>
      <c r="H8633" t="s">
        <v>28464</v>
      </c>
      <c r="I8633" t="s">
        <v>28465</v>
      </c>
    </row>
    <row r="8634" spans="1:9">
      <c r="A8634" t="str">
        <f>"0029804 "</f>
        <v xml:space="preserve">0029804 </v>
      </c>
      <c r="B8634" t="s">
        <v>28432</v>
      </c>
      <c r="C8634" t="str">
        <f>"005 = WA6167"</f>
        <v>005 = WA6167</v>
      </c>
      <c r="D8634" t="s">
        <v>28466</v>
      </c>
      <c r="E8634" t="s">
        <v>16</v>
      </c>
      <c r="F8634" t="s">
        <v>28467</v>
      </c>
      <c r="G8634" t="s">
        <v>28435</v>
      </c>
      <c r="H8634" t="s">
        <v>28468</v>
      </c>
      <c r="I8634" t="s">
        <v>22844</v>
      </c>
    </row>
    <row r="8635" spans="1:9">
      <c r="A8635" t="str">
        <f>"0029805 "</f>
        <v xml:space="preserve">0029805 </v>
      </c>
      <c r="B8635" t="s">
        <v>28432</v>
      </c>
      <c r="C8635" t="str">
        <f>"006 = WA6168"</f>
        <v>006 = WA6168</v>
      </c>
      <c r="D8635" t="s">
        <v>28469</v>
      </c>
      <c r="E8635" t="s">
        <v>16</v>
      </c>
      <c r="F8635" t="s">
        <v>28470</v>
      </c>
      <c r="G8635" t="s">
        <v>28435</v>
      </c>
      <c r="H8635" t="s">
        <v>28471</v>
      </c>
      <c r="I8635" t="s">
        <v>28472</v>
      </c>
    </row>
    <row r="8636" spans="1:9">
      <c r="A8636" t="str">
        <f>"0029809 "</f>
        <v xml:space="preserve">0029809 </v>
      </c>
      <c r="B8636" t="s">
        <v>28432</v>
      </c>
      <c r="C8636" t="str">
        <f>"010 = WA6172"</f>
        <v>010 = WA6172</v>
      </c>
      <c r="D8636" t="s">
        <v>28473</v>
      </c>
      <c r="E8636">
        <v>2</v>
      </c>
      <c r="F8636" t="s">
        <v>28474</v>
      </c>
      <c r="G8636" t="s">
        <v>28435</v>
      </c>
      <c r="H8636" t="s">
        <v>28475</v>
      </c>
      <c r="I8636" t="s">
        <v>28476</v>
      </c>
    </row>
    <row r="8637" spans="1:9">
      <c r="A8637" t="str">
        <f>"0029810 "</f>
        <v xml:space="preserve">0029810 </v>
      </c>
      <c r="B8637" t="s">
        <v>28432</v>
      </c>
      <c r="C8637" t="str">
        <f>"010/1 = WA6173"</f>
        <v>010/1 = WA6173</v>
      </c>
      <c r="D8637" t="s">
        <v>28477</v>
      </c>
      <c r="E8637">
        <v>2</v>
      </c>
      <c r="F8637" t="s">
        <v>28478</v>
      </c>
      <c r="G8637" t="s">
        <v>28435</v>
      </c>
      <c r="H8637" t="s">
        <v>28479</v>
      </c>
      <c r="I8637" t="s">
        <v>28480</v>
      </c>
    </row>
    <row r="8638" spans="1:9">
      <c r="A8638" t="str">
        <f>"0029812 "</f>
        <v xml:space="preserve">0029812 </v>
      </c>
      <c r="B8638" t="s">
        <v>28432</v>
      </c>
      <c r="C8638" t="str">
        <f>"010/3 = WA6581"</f>
        <v>010/3 = WA6581</v>
      </c>
      <c r="D8638" t="s">
        <v>28481</v>
      </c>
      <c r="E8638">
        <v>2</v>
      </c>
      <c r="F8638" t="s">
        <v>2380</v>
      </c>
      <c r="G8638" t="s">
        <v>28435</v>
      </c>
      <c r="H8638" t="s">
        <v>28482</v>
      </c>
      <c r="I8638" t="s">
        <v>28483</v>
      </c>
    </row>
    <row r="8639" spans="1:9">
      <c r="A8639" t="str">
        <f>"0029813 "</f>
        <v xml:space="preserve">0029813 </v>
      </c>
      <c r="B8639" t="s">
        <v>28432</v>
      </c>
      <c r="C8639" t="str">
        <f>"011 = WA6174"</f>
        <v>011 = WA6174</v>
      </c>
      <c r="D8639" t="s">
        <v>28484</v>
      </c>
      <c r="E8639">
        <v>1</v>
      </c>
      <c r="F8639" t="s">
        <v>4738</v>
      </c>
      <c r="G8639" t="s">
        <v>28435</v>
      </c>
      <c r="H8639" t="s">
        <v>28485</v>
      </c>
      <c r="I8639" t="s">
        <v>28486</v>
      </c>
    </row>
    <row r="8640" spans="1:9">
      <c r="A8640" t="str">
        <f>"0029814 "</f>
        <v xml:space="preserve">0029814 </v>
      </c>
      <c r="B8640" t="s">
        <v>28432</v>
      </c>
      <c r="C8640" t="str">
        <f>"012 = WA6175"</f>
        <v>012 = WA6175</v>
      </c>
      <c r="D8640" t="s">
        <v>28487</v>
      </c>
      <c r="E8640">
        <v>1</v>
      </c>
      <c r="F8640" t="s">
        <v>25131</v>
      </c>
      <c r="G8640" t="s">
        <v>28435</v>
      </c>
      <c r="H8640" t="s">
        <v>28488</v>
      </c>
      <c r="I8640" t="s">
        <v>28489</v>
      </c>
    </row>
    <row r="8641" spans="1:9">
      <c r="A8641" t="str">
        <f>"0029815 "</f>
        <v xml:space="preserve">0029815 </v>
      </c>
      <c r="B8641" t="s">
        <v>28432</v>
      </c>
      <c r="C8641" t="str">
        <f>"013 = WA6176"</f>
        <v>013 = WA6176</v>
      </c>
      <c r="D8641" t="s">
        <v>28490</v>
      </c>
      <c r="E8641" t="s">
        <v>16</v>
      </c>
      <c r="F8641" t="s">
        <v>28491</v>
      </c>
      <c r="G8641" t="s">
        <v>28435</v>
      </c>
      <c r="H8641" t="s">
        <v>28492</v>
      </c>
      <c r="I8641" t="s">
        <v>743</v>
      </c>
    </row>
    <row r="8642" spans="1:9">
      <c r="A8642" t="str">
        <f>"0029817 "</f>
        <v xml:space="preserve">0029817 </v>
      </c>
      <c r="B8642" t="s">
        <v>28432</v>
      </c>
      <c r="C8642" t="str">
        <f>"015 = WA6178"</f>
        <v>015 = WA6178</v>
      </c>
      <c r="D8642" t="s">
        <v>28493</v>
      </c>
      <c r="E8642">
        <v>2</v>
      </c>
      <c r="F8642" t="s">
        <v>28494</v>
      </c>
      <c r="G8642" t="s">
        <v>28435</v>
      </c>
      <c r="H8642" t="s">
        <v>28495</v>
      </c>
      <c r="I8642" t="s">
        <v>28496</v>
      </c>
    </row>
    <row r="8643" spans="1:9">
      <c r="A8643" t="str">
        <f>"0029818 "</f>
        <v xml:space="preserve">0029818 </v>
      </c>
      <c r="B8643" t="s">
        <v>28432</v>
      </c>
      <c r="C8643" t="str">
        <f>"016 = WA6179"</f>
        <v>016 = WA6179</v>
      </c>
      <c r="D8643" t="s">
        <v>28497</v>
      </c>
      <c r="E8643">
        <v>3</v>
      </c>
      <c r="F8643" t="s">
        <v>28498</v>
      </c>
      <c r="G8643" t="s">
        <v>28435</v>
      </c>
      <c r="H8643" t="s">
        <v>28499</v>
      </c>
      <c r="I8643" t="s">
        <v>28500</v>
      </c>
    </row>
    <row r="8644" spans="1:9">
      <c r="A8644" t="str">
        <f>"0029826 "</f>
        <v xml:space="preserve">0029826 </v>
      </c>
      <c r="B8644" t="s">
        <v>28432</v>
      </c>
      <c r="C8644" t="str">
        <f>"021 = WA6185"</f>
        <v>021 = WA6185</v>
      </c>
      <c r="D8644" t="s">
        <v>28501</v>
      </c>
      <c r="E8644" t="s">
        <v>16</v>
      </c>
      <c r="F8644" t="s">
        <v>28502</v>
      </c>
      <c r="G8644" t="s">
        <v>28435</v>
      </c>
      <c r="H8644" t="s">
        <v>28503</v>
      </c>
      <c r="I8644" t="s">
        <v>28504</v>
      </c>
    </row>
    <row r="8645" spans="1:9">
      <c r="A8645" t="str">
        <f>"0029827 "</f>
        <v xml:space="preserve">0029827 </v>
      </c>
      <c r="B8645" t="s">
        <v>28432</v>
      </c>
      <c r="C8645" t="str">
        <f>"022 = WA6186"</f>
        <v>022 = WA6186</v>
      </c>
      <c r="D8645" t="s">
        <v>28505</v>
      </c>
      <c r="E8645">
        <v>1</v>
      </c>
      <c r="F8645" t="s">
        <v>28506</v>
      </c>
      <c r="G8645" t="s">
        <v>28435</v>
      </c>
      <c r="H8645" t="s">
        <v>28507</v>
      </c>
      <c r="I8645" t="s">
        <v>28508</v>
      </c>
    </row>
    <row r="8646" spans="1:9">
      <c r="A8646" t="str">
        <f>"0029828 "</f>
        <v xml:space="preserve">0029828 </v>
      </c>
      <c r="B8646" t="s">
        <v>28432</v>
      </c>
      <c r="C8646" t="str">
        <f>"022/1 = WA9400"</f>
        <v>022/1 = WA9400</v>
      </c>
      <c r="D8646" t="s">
        <v>28509</v>
      </c>
      <c r="E8646">
        <v>1</v>
      </c>
      <c r="F8646" t="s">
        <v>28510</v>
      </c>
      <c r="G8646" t="s">
        <v>28435</v>
      </c>
      <c r="H8646" t="s">
        <v>28511</v>
      </c>
      <c r="I8646" t="s">
        <v>28512</v>
      </c>
    </row>
    <row r="8647" spans="1:9">
      <c r="A8647" t="str">
        <f>"0029829 "</f>
        <v xml:space="preserve">0029829 </v>
      </c>
      <c r="B8647" t="s">
        <v>28432</v>
      </c>
      <c r="C8647" t="str">
        <f>"022/2 = WA9556"</f>
        <v>022/2 = WA9556</v>
      </c>
      <c r="D8647" t="s">
        <v>28513</v>
      </c>
      <c r="E8647" t="s">
        <v>16</v>
      </c>
      <c r="F8647" t="s">
        <v>28514</v>
      </c>
      <c r="G8647" t="s">
        <v>28435</v>
      </c>
      <c r="H8647" t="s">
        <v>28515</v>
      </c>
      <c r="I8647" t="s">
        <v>28516</v>
      </c>
    </row>
    <row r="8648" spans="1:9">
      <c r="A8648" t="str">
        <f>"0029831 "</f>
        <v xml:space="preserve">0029831 </v>
      </c>
      <c r="B8648" t="s">
        <v>28432</v>
      </c>
      <c r="C8648" t="str">
        <f>"023 = WA6187"</f>
        <v>023 = WA6187</v>
      </c>
      <c r="D8648" t="s">
        <v>28517</v>
      </c>
      <c r="E8648" t="s">
        <v>16</v>
      </c>
      <c r="F8648" t="s">
        <v>10821</v>
      </c>
      <c r="G8648" t="s">
        <v>28435</v>
      </c>
      <c r="H8648" t="s">
        <v>28518</v>
      </c>
      <c r="I8648" t="s">
        <v>28519</v>
      </c>
    </row>
    <row r="8649" spans="1:9">
      <c r="A8649" t="str">
        <f>"0029833 "</f>
        <v xml:space="preserve">0029833 </v>
      </c>
      <c r="B8649" t="s">
        <v>28432</v>
      </c>
      <c r="C8649" t="str">
        <f>"023/2 = WA6583"</f>
        <v>023/2 = WA6583</v>
      </c>
      <c r="D8649" t="s">
        <v>28520</v>
      </c>
      <c r="E8649">
        <v>3</v>
      </c>
      <c r="F8649" t="s">
        <v>28521</v>
      </c>
      <c r="G8649" t="s">
        <v>28435</v>
      </c>
      <c r="H8649" t="s">
        <v>28522</v>
      </c>
      <c r="I8649" t="s">
        <v>28523</v>
      </c>
    </row>
    <row r="8650" spans="1:9">
      <c r="A8650" t="str">
        <f>"0029834 "</f>
        <v xml:space="preserve">0029834 </v>
      </c>
      <c r="B8650" t="s">
        <v>28432</v>
      </c>
      <c r="C8650" t="str">
        <f>"023/3 = WA6675"</f>
        <v>023/3 = WA6675</v>
      </c>
      <c r="D8650" t="s">
        <v>28524</v>
      </c>
      <c r="E8650" t="s">
        <v>16</v>
      </c>
      <c r="F8650" t="s">
        <v>28525</v>
      </c>
      <c r="G8650" t="s">
        <v>28435</v>
      </c>
      <c r="H8650" t="s">
        <v>28526</v>
      </c>
      <c r="I8650" t="s">
        <v>877</v>
      </c>
    </row>
    <row r="8651" spans="1:9">
      <c r="A8651" t="str">
        <f>"0029835 "</f>
        <v xml:space="preserve">0029835 </v>
      </c>
      <c r="B8651" t="s">
        <v>28432</v>
      </c>
      <c r="C8651" t="str">
        <f>"023/4 = WA9558"</f>
        <v>023/4 = WA9558</v>
      </c>
      <c r="D8651" t="s">
        <v>28527</v>
      </c>
      <c r="E8651" t="s">
        <v>16</v>
      </c>
      <c r="F8651" t="s">
        <v>21822</v>
      </c>
      <c r="G8651" t="s">
        <v>28435</v>
      </c>
      <c r="H8651" t="s">
        <v>28528</v>
      </c>
      <c r="I8651" t="s">
        <v>28529</v>
      </c>
    </row>
    <row r="8652" spans="1:9">
      <c r="A8652" t="str">
        <f>"0029839 "</f>
        <v xml:space="preserve">0029839 </v>
      </c>
      <c r="B8652" t="s">
        <v>28432</v>
      </c>
      <c r="C8652" t="str">
        <f>"025 = WA6189"</f>
        <v>025 = WA6189</v>
      </c>
      <c r="D8652" t="s">
        <v>28530</v>
      </c>
      <c r="E8652">
        <v>1</v>
      </c>
      <c r="F8652" t="s">
        <v>28531</v>
      </c>
      <c r="G8652" t="s">
        <v>28435</v>
      </c>
      <c r="H8652" t="s">
        <v>28532</v>
      </c>
      <c r="I8652" t="s">
        <v>28533</v>
      </c>
    </row>
    <row r="8653" spans="1:9">
      <c r="A8653" t="str">
        <f>"0029841 "</f>
        <v xml:space="preserve">0029841 </v>
      </c>
      <c r="B8653" t="s">
        <v>28432</v>
      </c>
      <c r="C8653" t="str">
        <f>"026 = WA6190"</f>
        <v>026 = WA6190</v>
      </c>
      <c r="D8653" t="s">
        <v>28534</v>
      </c>
      <c r="E8653">
        <v>2</v>
      </c>
      <c r="F8653" t="s">
        <v>28535</v>
      </c>
      <c r="G8653" t="s">
        <v>28435</v>
      </c>
      <c r="H8653" t="s">
        <v>28536</v>
      </c>
      <c r="I8653" t="s">
        <v>28537</v>
      </c>
    </row>
    <row r="8654" spans="1:9">
      <c r="A8654" t="str">
        <f>"0029843 "</f>
        <v xml:space="preserve">0029843 </v>
      </c>
      <c r="B8654" t="s">
        <v>28432</v>
      </c>
      <c r="C8654" t="str">
        <f>"028 = WA6192"</f>
        <v>028 = WA6192</v>
      </c>
      <c r="D8654" t="s">
        <v>28538</v>
      </c>
      <c r="E8654">
        <v>5</v>
      </c>
      <c r="F8654" t="s">
        <v>28539</v>
      </c>
      <c r="G8654" t="s">
        <v>28435</v>
      </c>
      <c r="H8654" t="s">
        <v>28540</v>
      </c>
      <c r="I8654" t="s">
        <v>28541</v>
      </c>
    </row>
    <row r="8655" spans="1:9">
      <c r="A8655" t="str">
        <f>"0029847 "</f>
        <v xml:space="preserve">0029847 </v>
      </c>
      <c r="B8655" t="s">
        <v>28432</v>
      </c>
      <c r="C8655" t="str">
        <f>"029 = WA6194"</f>
        <v>029 = WA6194</v>
      </c>
      <c r="D8655" t="s">
        <v>28542</v>
      </c>
      <c r="E8655">
        <v>1</v>
      </c>
      <c r="F8655" t="s">
        <v>19612</v>
      </c>
      <c r="G8655" t="s">
        <v>28435</v>
      </c>
      <c r="H8655" t="s">
        <v>28543</v>
      </c>
      <c r="I8655" t="s">
        <v>28544</v>
      </c>
    </row>
    <row r="8656" spans="1:9">
      <c r="A8656" t="str">
        <f>"0116658 "</f>
        <v xml:space="preserve">0116658 </v>
      </c>
      <c r="B8656" t="s">
        <v>28432</v>
      </c>
      <c r="C8656" t="str">
        <f>"030/2 = WA9661"</f>
        <v>030/2 = WA9661</v>
      </c>
      <c r="D8656" t="s">
        <v>28545</v>
      </c>
      <c r="E8656">
        <v>2</v>
      </c>
      <c r="F8656" t="s">
        <v>28463</v>
      </c>
      <c r="G8656" t="s">
        <v>28435</v>
      </c>
      <c r="H8656" t="s">
        <v>28546</v>
      </c>
      <c r="I8656" t="s">
        <v>28547</v>
      </c>
    </row>
    <row r="8657" spans="1:9">
      <c r="A8657" t="str">
        <f>"0029849 "</f>
        <v xml:space="preserve">0029849 </v>
      </c>
      <c r="B8657" t="s">
        <v>28432</v>
      </c>
      <c r="C8657" t="str">
        <f>"031 = WA6196"</f>
        <v>031 = WA6196</v>
      </c>
      <c r="D8657" t="s">
        <v>28548</v>
      </c>
      <c r="E8657">
        <v>2</v>
      </c>
      <c r="F8657" t="s">
        <v>28549</v>
      </c>
      <c r="G8657" t="s">
        <v>28435</v>
      </c>
      <c r="H8657" t="s">
        <v>28550</v>
      </c>
      <c r="I8657" t="s">
        <v>28551</v>
      </c>
    </row>
    <row r="8658" spans="1:9">
      <c r="A8658" t="str">
        <f>"0029850 "</f>
        <v xml:space="preserve">0029850 </v>
      </c>
      <c r="B8658" t="s">
        <v>28432</v>
      </c>
      <c r="C8658" t="str">
        <f>"032 = WA6197"</f>
        <v>032 = WA6197</v>
      </c>
      <c r="D8658" t="s">
        <v>28552</v>
      </c>
      <c r="E8658">
        <v>1</v>
      </c>
      <c r="F8658" t="s">
        <v>28553</v>
      </c>
      <c r="G8658" t="s">
        <v>28435</v>
      </c>
      <c r="H8658" t="s">
        <v>28554</v>
      </c>
      <c r="I8658" t="s">
        <v>28555</v>
      </c>
    </row>
    <row r="8659" spans="1:9">
      <c r="A8659" t="str">
        <f>"0029851 "</f>
        <v xml:space="preserve">0029851 </v>
      </c>
      <c r="B8659" t="s">
        <v>28432</v>
      </c>
      <c r="C8659" t="str">
        <f>"032/1 = WA6655"</f>
        <v>032/1 = WA6655</v>
      </c>
      <c r="D8659" t="s">
        <v>28556</v>
      </c>
      <c r="E8659">
        <v>1</v>
      </c>
      <c r="F8659" t="s">
        <v>28557</v>
      </c>
      <c r="G8659" t="s">
        <v>28435</v>
      </c>
      <c r="H8659" t="s">
        <v>28558</v>
      </c>
      <c r="I8659" t="s">
        <v>28559</v>
      </c>
    </row>
    <row r="8660" spans="1:9">
      <c r="A8660" t="str">
        <f>"0029856 "</f>
        <v xml:space="preserve">0029856 </v>
      </c>
      <c r="B8660" t="s">
        <v>28432</v>
      </c>
      <c r="C8660" t="str">
        <f>"033 = WA6377"</f>
        <v>033 = WA6377</v>
      </c>
      <c r="D8660" t="s">
        <v>28560</v>
      </c>
      <c r="E8660">
        <v>1</v>
      </c>
      <c r="F8660" t="s">
        <v>28561</v>
      </c>
      <c r="G8660" t="s">
        <v>28435</v>
      </c>
      <c r="H8660" t="s">
        <v>28562</v>
      </c>
      <c r="I8660" t="s">
        <v>28563</v>
      </c>
    </row>
    <row r="8661" spans="1:9">
      <c r="A8661" t="str">
        <f>"0029857 "</f>
        <v xml:space="preserve">0029857 </v>
      </c>
      <c r="B8661" t="s">
        <v>28432</v>
      </c>
      <c r="C8661" t="str">
        <f>"034 = WA6198"</f>
        <v>034 = WA6198</v>
      </c>
      <c r="D8661" t="s">
        <v>28564</v>
      </c>
      <c r="E8661">
        <v>1</v>
      </c>
      <c r="F8661" t="s">
        <v>28565</v>
      </c>
      <c r="G8661" t="s">
        <v>28435</v>
      </c>
      <c r="H8661" t="s">
        <v>28566</v>
      </c>
      <c r="I8661" t="s">
        <v>28567</v>
      </c>
    </row>
    <row r="8662" spans="1:9">
      <c r="A8662" t="str">
        <f>"0029860 "</f>
        <v xml:space="preserve">0029860 </v>
      </c>
      <c r="B8662" t="s">
        <v>28432</v>
      </c>
      <c r="C8662" t="str">
        <f>"034/4-2x = WA9504"</f>
        <v>034/4-2x = WA9504</v>
      </c>
      <c r="D8662" t="s">
        <v>28568</v>
      </c>
      <c r="E8662">
        <v>1</v>
      </c>
      <c r="F8662" t="s">
        <v>28569</v>
      </c>
      <c r="G8662" t="s">
        <v>28435</v>
      </c>
      <c r="H8662" t="s">
        <v>28570</v>
      </c>
      <c r="I8662" t="s">
        <v>28571</v>
      </c>
    </row>
    <row r="8663" spans="1:9">
      <c r="A8663" t="str">
        <f>"0029865 "</f>
        <v xml:space="preserve">0029865 </v>
      </c>
      <c r="B8663" t="s">
        <v>28432</v>
      </c>
      <c r="C8663" t="str">
        <f>"036 = WA6378"</f>
        <v>036 = WA6378</v>
      </c>
      <c r="D8663" t="s">
        <v>28572</v>
      </c>
      <c r="E8663">
        <v>1</v>
      </c>
      <c r="F8663" t="s">
        <v>28573</v>
      </c>
      <c r="G8663" t="s">
        <v>28435</v>
      </c>
      <c r="H8663" t="s">
        <v>28574</v>
      </c>
      <c r="I8663" t="s">
        <v>28575</v>
      </c>
    </row>
    <row r="8664" spans="1:9">
      <c r="A8664" t="str">
        <f>"0029867 "</f>
        <v xml:space="preserve">0029867 </v>
      </c>
      <c r="B8664" t="s">
        <v>28432</v>
      </c>
      <c r="C8664" t="str">
        <f>"037 = WA6379"</f>
        <v>037 = WA6379</v>
      </c>
      <c r="D8664" t="s">
        <v>28576</v>
      </c>
      <c r="E8664">
        <v>1</v>
      </c>
      <c r="F8664" t="s">
        <v>28577</v>
      </c>
      <c r="G8664" t="s">
        <v>28435</v>
      </c>
      <c r="H8664" t="s">
        <v>28578</v>
      </c>
      <c r="I8664" t="s">
        <v>28579</v>
      </c>
    </row>
    <row r="8665" spans="1:9">
      <c r="A8665" t="str">
        <f>"0029872 "</f>
        <v xml:space="preserve">0029872 </v>
      </c>
      <c r="B8665" t="s">
        <v>28432</v>
      </c>
      <c r="C8665" t="str">
        <f>"041 = WA6203"</f>
        <v>041 = WA6203</v>
      </c>
      <c r="D8665" t="s">
        <v>28580</v>
      </c>
      <c r="E8665">
        <v>2</v>
      </c>
      <c r="F8665" t="s">
        <v>28581</v>
      </c>
      <c r="G8665" t="s">
        <v>28435</v>
      </c>
      <c r="H8665" t="s">
        <v>28582</v>
      </c>
      <c r="I8665" t="s">
        <v>28583</v>
      </c>
    </row>
    <row r="8666" spans="1:9">
      <c r="A8666" t="str">
        <f>"0029873 "</f>
        <v xml:space="preserve">0029873 </v>
      </c>
      <c r="B8666" t="s">
        <v>28432</v>
      </c>
      <c r="C8666" t="str">
        <f>"042 = WA6204"</f>
        <v>042 = WA6204</v>
      </c>
      <c r="D8666" t="s">
        <v>28584</v>
      </c>
      <c r="E8666" t="s">
        <v>16</v>
      </c>
      <c r="F8666" t="s">
        <v>28585</v>
      </c>
      <c r="G8666" t="s">
        <v>28435</v>
      </c>
      <c r="H8666" t="s">
        <v>28586</v>
      </c>
      <c r="I8666" t="s">
        <v>28587</v>
      </c>
    </row>
    <row r="8667" spans="1:9">
      <c r="A8667" t="str">
        <f>"0029877 "</f>
        <v xml:space="preserve">0029877 </v>
      </c>
      <c r="B8667" t="s">
        <v>28432</v>
      </c>
      <c r="C8667" t="str">
        <f>"046 = WA6208"</f>
        <v>046 = WA6208</v>
      </c>
      <c r="D8667" t="s">
        <v>28588</v>
      </c>
      <c r="E8667" t="s">
        <v>16</v>
      </c>
      <c r="F8667" t="s">
        <v>28589</v>
      </c>
      <c r="G8667" t="s">
        <v>28435</v>
      </c>
      <c r="H8667" t="s">
        <v>28590</v>
      </c>
      <c r="I8667" t="s">
        <v>28591</v>
      </c>
    </row>
    <row r="8668" spans="1:9">
      <c r="A8668" t="str">
        <f>"0029878 "</f>
        <v xml:space="preserve">0029878 </v>
      </c>
      <c r="B8668" t="s">
        <v>28432</v>
      </c>
      <c r="C8668" t="str">
        <f>"046/1 = WA6209"</f>
        <v>046/1 = WA6209</v>
      </c>
      <c r="D8668" t="s">
        <v>28592</v>
      </c>
      <c r="E8668">
        <v>2</v>
      </c>
      <c r="F8668" t="s">
        <v>28593</v>
      </c>
      <c r="G8668" t="s">
        <v>28435</v>
      </c>
      <c r="H8668" t="s">
        <v>28594</v>
      </c>
      <c r="I8668" t="s">
        <v>28595</v>
      </c>
    </row>
    <row r="8669" spans="1:9">
      <c r="A8669" t="str">
        <f>"0029880 "</f>
        <v xml:space="preserve">0029880 </v>
      </c>
      <c r="B8669" t="s">
        <v>28432</v>
      </c>
      <c r="C8669" t="str">
        <f>"048 = WA6211"</f>
        <v>048 = WA6211</v>
      </c>
      <c r="D8669" t="s">
        <v>28596</v>
      </c>
      <c r="E8669">
        <v>1</v>
      </c>
      <c r="F8669" t="s">
        <v>28597</v>
      </c>
      <c r="G8669" t="s">
        <v>28435</v>
      </c>
      <c r="H8669" t="s">
        <v>28598</v>
      </c>
      <c r="I8669" t="s">
        <v>28599</v>
      </c>
    </row>
    <row r="8670" spans="1:9">
      <c r="A8670" t="str">
        <f>"0029881 "</f>
        <v xml:space="preserve">0029881 </v>
      </c>
      <c r="B8670" t="s">
        <v>28432</v>
      </c>
      <c r="C8670" t="str">
        <f>"049 = WA6212"</f>
        <v>049 = WA6212</v>
      </c>
      <c r="D8670" t="s">
        <v>28600</v>
      </c>
      <c r="E8670">
        <v>1</v>
      </c>
      <c r="F8670" t="s">
        <v>28601</v>
      </c>
      <c r="G8670" t="s">
        <v>28435</v>
      </c>
      <c r="H8670" t="s">
        <v>28602</v>
      </c>
      <c r="I8670" t="s">
        <v>731</v>
      </c>
    </row>
    <row r="8671" spans="1:9">
      <c r="A8671" t="str">
        <f>"0029882 "</f>
        <v xml:space="preserve">0029882 </v>
      </c>
      <c r="B8671" t="s">
        <v>28432</v>
      </c>
      <c r="C8671" t="str">
        <f>"050 = WA6213"</f>
        <v>050 = WA6213</v>
      </c>
      <c r="D8671" t="s">
        <v>28603</v>
      </c>
      <c r="E8671">
        <v>3</v>
      </c>
      <c r="F8671" t="s">
        <v>28604</v>
      </c>
      <c r="G8671" t="s">
        <v>28435</v>
      </c>
      <c r="H8671" t="s">
        <v>28605</v>
      </c>
      <c r="I8671" t="s">
        <v>28606</v>
      </c>
    </row>
    <row r="8672" spans="1:9">
      <c r="A8672" t="str">
        <f>"0029883 "</f>
        <v xml:space="preserve">0029883 </v>
      </c>
      <c r="B8672" t="s">
        <v>28432</v>
      </c>
      <c r="C8672" t="str">
        <f>"051 = WA6214"</f>
        <v>051 = WA6214</v>
      </c>
      <c r="D8672" t="s">
        <v>28607</v>
      </c>
      <c r="E8672" t="s">
        <v>16</v>
      </c>
      <c r="F8672" t="s">
        <v>8515</v>
      </c>
      <c r="G8672" t="s">
        <v>28435</v>
      </c>
      <c r="H8672" t="s">
        <v>28608</v>
      </c>
      <c r="I8672" t="s">
        <v>28609</v>
      </c>
    </row>
    <row r="8673" spans="1:9">
      <c r="A8673" t="str">
        <f>"0029884 "</f>
        <v xml:space="preserve">0029884 </v>
      </c>
      <c r="B8673" t="s">
        <v>28432</v>
      </c>
      <c r="C8673" t="str">
        <f>"051/1 = WA6699"</f>
        <v>051/1 = WA6699</v>
      </c>
      <c r="D8673" t="s">
        <v>28610</v>
      </c>
      <c r="E8673">
        <v>2</v>
      </c>
      <c r="F8673" t="s">
        <v>28611</v>
      </c>
      <c r="G8673" t="s">
        <v>28435</v>
      </c>
      <c r="H8673" t="s">
        <v>28612</v>
      </c>
      <c r="I8673" t="s">
        <v>870</v>
      </c>
    </row>
    <row r="8674" spans="1:9">
      <c r="A8674" t="str">
        <f>"0029888 "</f>
        <v xml:space="preserve">0029888 </v>
      </c>
      <c r="B8674" t="s">
        <v>28432</v>
      </c>
      <c r="C8674" t="str">
        <f>"051/5 = WA9402"</f>
        <v>051/5 = WA9402</v>
      </c>
      <c r="D8674" t="s">
        <v>28613</v>
      </c>
      <c r="E8674">
        <v>1</v>
      </c>
      <c r="F8674" t="s">
        <v>28614</v>
      </c>
      <c r="G8674" t="s">
        <v>28435</v>
      </c>
      <c r="H8674" t="s">
        <v>28615</v>
      </c>
      <c r="I8674" t="s">
        <v>28616</v>
      </c>
    </row>
    <row r="8675" spans="1:9">
      <c r="A8675" t="str">
        <f>"0086632 "</f>
        <v xml:space="preserve">0086632 </v>
      </c>
      <c r="B8675" t="s">
        <v>28432</v>
      </c>
      <c r="C8675" t="str">
        <f>"051/7 = WA9653"</f>
        <v>051/7 = WA9653</v>
      </c>
      <c r="D8675" t="s">
        <v>28617</v>
      </c>
      <c r="E8675">
        <v>1</v>
      </c>
      <c r="F8675" t="s">
        <v>28618</v>
      </c>
      <c r="G8675" t="s">
        <v>28435</v>
      </c>
      <c r="H8675" t="s">
        <v>28619</v>
      </c>
      <c r="I8675" t="s">
        <v>28620</v>
      </c>
    </row>
    <row r="8676" spans="1:9">
      <c r="A8676" t="str">
        <f>"0086633 "</f>
        <v xml:space="preserve">0086633 </v>
      </c>
      <c r="B8676" t="s">
        <v>28432</v>
      </c>
      <c r="C8676" t="str">
        <f>"051/8 = WA9654"</f>
        <v>051/8 = WA9654</v>
      </c>
      <c r="D8676" t="s">
        <v>28621</v>
      </c>
      <c r="E8676">
        <v>2</v>
      </c>
      <c r="F8676" t="s">
        <v>28622</v>
      </c>
      <c r="G8676" t="s">
        <v>28435</v>
      </c>
      <c r="H8676" t="s">
        <v>28623</v>
      </c>
      <c r="I8676" t="s">
        <v>28624</v>
      </c>
    </row>
    <row r="8677" spans="1:9">
      <c r="A8677" t="str">
        <f>"0029894 "</f>
        <v xml:space="preserve">0029894 </v>
      </c>
      <c r="B8677" t="s">
        <v>28432</v>
      </c>
      <c r="C8677" t="str">
        <f>"056 = WA6220"</f>
        <v>056 = WA6220</v>
      </c>
      <c r="D8677" t="s">
        <v>28625</v>
      </c>
      <c r="E8677">
        <v>3</v>
      </c>
      <c r="F8677" t="s">
        <v>28626</v>
      </c>
      <c r="G8677" t="s">
        <v>28435</v>
      </c>
      <c r="H8677" t="s">
        <v>28627</v>
      </c>
      <c r="I8677" t="s">
        <v>28628</v>
      </c>
    </row>
    <row r="8678" spans="1:9">
      <c r="A8678" t="str">
        <f>"0029895 "</f>
        <v xml:space="preserve">0029895 </v>
      </c>
      <c r="B8678" t="s">
        <v>28432</v>
      </c>
      <c r="C8678" t="str">
        <f>"057 = WA6221"</f>
        <v>057 = WA6221</v>
      </c>
      <c r="D8678" t="s">
        <v>28629</v>
      </c>
      <c r="E8678" t="s">
        <v>16</v>
      </c>
      <c r="F8678" t="s">
        <v>28630</v>
      </c>
      <c r="G8678" t="s">
        <v>28435</v>
      </c>
      <c r="H8678" t="s">
        <v>28631</v>
      </c>
      <c r="I8678" t="s">
        <v>28632</v>
      </c>
    </row>
    <row r="8679" spans="1:9">
      <c r="A8679" t="str">
        <f>"0029896 "</f>
        <v xml:space="preserve">0029896 </v>
      </c>
      <c r="B8679" t="s">
        <v>28432</v>
      </c>
      <c r="C8679" t="str">
        <f>"057/1 = WA6222"</f>
        <v>057/1 = WA6222</v>
      </c>
      <c r="D8679" t="s">
        <v>28633</v>
      </c>
      <c r="E8679">
        <v>1</v>
      </c>
      <c r="F8679" t="s">
        <v>28634</v>
      </c>
      <c r="G8679" t="s">
        <v>28435</v>
      </c>
      <c r="H8679" t="s">
        <v>28635</v>
      </c>
      <c r="I8679" t="s">
        <v>28636</v>
      </c>
    </row>
    <row r="8680" spans="1:9">
      <c r="A8680" t="str">
        <f>"0029898 "</f>
        <v xml:space="preserve">0029898 </v>
      </c>
      <c r="B8680" t="s">
        <v>28432</v>
      </c>
      <c r="C8680" t="str">
        <f>"058 = WA6223"</f>
        <v>058 = WA6223</v>
      </c>
      <c r="D8680" t="s">
        <v>28637</v>
      </c>
      <c r="E8680">
        <v>1</v>
      </c>
      <c r="F8680" t="s">
        <v>28638</v>
      </c>
      <c r="G8680" t="s">
        <v>28435</v>
      </c>
      <c r="H8680" t="s">
        <v>28639</v>
      </c>
      <c r="I8680" t="s">
        <v>28640</v>
      </c>
    </row>
    <row r="8681" spans="1:9">
      <c r="A8681" t="str">
        <f>"0029900 "</f>
        <v xml:space="preserve">0029900 </v>
      </c>
      <c r="B8681" t="s">
        <v>28432</v>
      </c>
      <c r="C8681" t="str">
        <f>"058/2 = WA9452"</f>
        <v>058/2 = WA9452</v>
      </c>
      <c r="D8681" t="s">
        <v>28641</v>
      </c>
      <c r="E8681">
        <v>1</v>
      </c>
      <c r="F8681" t="s">
        <v>28642</v>
      </c>
      <c r="G8681" t="s">
        <v>28435</v>
      </c>
      <c r="H8681" t="s">
        <v>28643</v>
      </c>
      <c r="I8681" t="s">
        <v>28644</v>
      </c>
    </row>
    <row r="8682" spans="1:9">
      <c r="A8682" t="str">
        <f>"0029901 "</f>
        <v xml:space="preserve">0029901 </v>
      </c>
      <c r="B8682" t="s">
        <v>28432</v>
      </c>
      <c r="C8682" t="str">
        <f>"058/3 = WA9503"</f>
        <v>058/3 = WA9503</v>
      </c>
      <c r="D8682" t="s">
        <v>28645</v>
      </c>
      <c r="E8682">
        <v>2</v>
      </c>
      <c r="F8682" t="s">
        <v>28646</v>
      </c>
      <c r="G8682" t="s">
        <v>28435</v>
      </c>
      <c r="H8682" t="s">
        <v>28647</v>
      </c>
      <c r="I8682" t="s">
        <v>28648</v>
      </c>
    </row>
    <row r="8683" spans="1:9">
      <c r="A8683" t="str">
        <f>"0029902 "</f>
        <v xml:space="preserve">0029902 </v>
      </c>
      <c r="B8683" t="s">
        <v>28432</v>
      </c>
      <c r="C8683" t="str">
        <f>"058/4 = WA9526"</f>
        <v>058/4 = WA9526</v>
      </c>
      <c r="D8683" t="s">
        <v>28649</v>
      </c>
      <c r="E8683">
        <v>2</v>
      </c>
      <c r="F8683" t="s">
        <v>28650</v>
      </c>
      <c r="G8683" t="s">
        <v>28435</v>
      </c>
      <c r="H8683" t="s">
        <v>28651</v>
      </c>
      <c r="I8683" t="s">
        <v>28652</v>
      </c>
    </row>
    <row r="8684" spans="1:9">
      <c r="A8684" t="str">
        <f>"0038158 "</f>
        <v xml:space="preserve">0038158 </v>
      </c>
      <c r="B8684" t="s">
        <v>28432</v>
      </c>
      <c r="C8684" t="str">
        <f>"058/8 = WA9596"</f>
        <v>058/8 = WA9596</v>
      </c>
      <c r="D8684" t="s">
        <v>28653</v>
      </c>
      <c r="E8684">
        <v>1</v>
      </c>
      <c r="F8684" t="s">
        <v>28654</v>
      </c>
      <c r="G8684" t="s">
        <v>28435</v>
      </c>
      <c r="H8684" t="s">
        <v>28655</v>
      </c>
      <c r="I8684" t="s">
        <v>1007</v>
      </c>
    </row>
    <row r="8685" spans="1:9">
      <c r="A8685" t="str">
        <f>"0116662 "</f>
        <v xml:space="preserve">0116662 </v>
      </c>
      <c r="B8685" t="s">
        <v>28432</v>
      </c>
      <c r="C8685" t="str">
        <f>"058/9 = WA9748"</f>
        <v>058/9 = WA9748</v>
      </c>
      <c r="D8685" t="s">
        <v>28656</v>
      </c>
      <c r="E8685">
        <v>1</v>
      </c>
      <c r="F8685" t="s">
        <v>28657</v>
      </c>
      <c r="G8685" t="s">
        <v>28435</v>
      </c>
      <c r="H8685" t="s">
        <v>28658</v>
      </c>
      <c r="I8685" t="s">
        <v>28659</v>
      </c>
    </row>
    <row r="8686" spans="1:9">
      <c r="A8686" t="str">
        <f>"0029906 "</f>
        <v xml:space="preserve">0029906 </v>
      </c>
      <c r="B8686" t="s">
        <v>28432</v>
      </c>
      <c r="C8686" t="str">
        <f>"060 = WA6225"</f>
        <v>060 = WA6225</v>
      </c>
      <c r="D8686" t="s">
        <v>28660</v>
      </c>
      <c r="E8686">
        <v>2</v>
      </c>
      <c r="F8686" t="s">
        <v>28661</v>
      </c>
      <c r="G8686" t="s">
        <v>28435</v>
      </c>
      <c r="H8686" t="s">
        <v>28662</v>
      </c>
      <c r="I8686" t="s">
        <v>28663</v>
      </c>
    </row>
    <row r="8687" spans="1:9">
      <c r="A8687" t="str">
        <f>"0029907 "</f>
        <v xml:space="preserve">0029907 </v>
      </c>
      <c r="B8687" t="s">
        <v>28432</v>
      </c>
      <c r="C8687" t="str">
        <f>"061 = WA6226"</f>
        <v>061 = WA6226</v>
      </c>
      <c r="D8687" t="s">
        <v>28664</v>
      </c>
      <c r="E8687" t="s">
        <v>16</v>
      </c>
      <c r="F8687" t="s">
        <v>19338</v>
      </c>
      <c r="G8687" t="s">
        <v>28435</v>
      </c>
      <c r="H8687" t="s">
        <v>28665</v>
      </c>
      <c r="I8687" t="s">
        <v>28666</v>
      </c>
    </row>
    <row r="8688" spans="1:9">
      <c r="A8688" t="str">
        <f>"0159224 "</f>
        <v xml:space="preserve">0159224 </v>
      </c>
      <c r="B8688" t="s">
        <v>28432</v>
      </c>
      <c r="C8688" t="str">
        <f>"062/1 = WA9766"</f>
        <v>062/1 = WA9766</v>
      </c>
      <c r="D8688" t="s">
        <v>28667</v>
      </c>
      <c r="E8688">
        <v>2</v>
      </c>
      <c r="F8688" t="s">
        <v>28668</v>
      </c>
      <c r="G8688" t="s">
        <v>28435</v>
      </c>
      <c r="H8688" t="s">
        <v>28669</v>
      </c>
      <c r="I8688" t="s">
        <v>28670</v>
      </c>
    </row>
    <row r="8689" spans="1:9">
      <c r="A8689" t="str">
        <f>"0029908 "</f>
        <v xml:space="preserve">0029908 </v>
      </c>
      <c r="B8689" t="s">
        <v>28432</v>
      </c>
      <c r="C8689" t="str">
        <f>"063 = WA6228"</f>
        <v>063 = WA6228</v>
      </c>
      <c r="D8689" t="s">
        <v>28671</v>
      </c>
      <c r="E8689" t="s">
        <v>16</v>
      </c>
      <c r="F8689" t="s">
        <v>28510</v>
      </c>
      <c r="G8689" t="s">
        <v>28435</v>
      </c>
      <c r="H8689" t="s">
        <v>28672</v>
      </c>
      <c r="I8689" t="s">
        <v>761</v>
      </c>
    </row>
    <row r="8690" spans="1:9">
      <c r="A8690" t="str">
        <f>"0029909 "</f>
        <v xml:space="preserve">0029909 </v>
      </c>
      <c r="B8690" t="s">
        <v>28432</v>
      </c>
      <c r="C8690" t="str">
        <f>"063/1 = WA9405"</f>
        <v>063/1 = WA9405</v>
      </c>
      <c r="D8690" t="s">
        <v>28673</v>
      </c>
      <c r="E8690" t="s">
        <v>16</v>
      </c>
      <c r="F8690" t="s">
        <v>28674</v>
      </c>
      <c r="G8690" t="s">
        <v>28435</v>
      </c>
      <c r="H8690" t="s">
        <v>28675</v>
      </c>
      <c r="I8690" t="s">
        <v>28676</v>
      </c>
    </row>
    <row r="8691" spans="1:9">
      <c r="A8691" t="str">
        <f>"0029910 "</f>
        <v xml:space="preserve">0029910 </v>
      </c>
      <c r="B8691" t="s">
        <v>28432</v>
      </c>
      <c r="C8691" t="str">
        <f>"064 = WA6229"</f>
        <v>064 = WA6229</v>
      </c>
      <c r="D8691" t="s">
        <v>28677</v>
      </c>
      <c r="E8691">
        <v>1</v>
      </c>
      <c r="F8691" t="s">
        <v>28678</v>
      </c>
      <c r="G8691" t="s">
        <v>28435</v>
      </c>
      <c r="H8691" t="s">
        <v>28679</v>
      </c>
      <c r="I8691" t="s">
        <v>28680</v>
      </c>
    </row>
    <row r="8692" spans="1:9">
      <c r="A8692" t="str">
        <f>"0029912 "</f>
        <v xml:space="preserve">0029912 </v>
      </c>
      <c r="B8692" t="s">
        <v>28432</v>
      </c>
      <c r="C8692" t="str">
        <f>"066 = WA6231"</f>
        <v>066 = WA6231</v>
      </c>
      <c r="D8692" t="s">
        <v>28681</v>
      </c>
      <c r="E8692">
        <v>1</v>
      </c>
      <c r="F8692" t="s">
        <v>28682</v>
      </c>
      <c r="G8692" t="s">
        <v>28435</v>
      </c>
      <c r="H8692" t="s">
        <v>28683</v>
      </c>
      <c r="I8692" t="s">
        <v>28684</v>
      </c>
    </row>
    <row r="8693" spans="1:9">
      <c r="A8693" t="str">
        <f>"0029914 "</f>
        <v xml:space="preserve">0029914 </v>
      </c>
      <c r="B8693" t="s">
        <v>28432</v>
      </c>
      <c r="C8693" t="str">
        <f>"068 = 93323E"</f>
        <v>068 = 93323E</v>
      </c>
      <c r="D8693" t="s">
        <v>28685</v>
      </c>
      <c r="E8693">
        <v>2</v>
      </c>
      <c r="F8693" t="s">
        <v>28686</v>
      </c>
      <c r="G8693" t="s">
        <v>28435</v>
      </c>
      <c r="H8693" t="s">
        <v>28687</v>
      </c>
      <c r="I8693" t="s">
        <v>28688</v>
      </c>
    </row>
    <row r="8694" spans="1:9">
      <c r="A8694" t="str">
        <f>"0029915 "</f>
        <v xml:space="preserve">0029915 </v>
      </c>
      <c r="B8694" t="s">
        <v>28432</v>
      </c>
      <c r="C8694" t="str">
        <f>"069 = 93324E"</f>
        <v>069 = 93324E</v>
      </c>
      <c r="D8694" t="s">
        <v>28689</v>
      </c>
      <c r="E8694">
        <v>2</v>
      </c>
      <c r="F8694" t="s">
        <v>15996</v>
      </c>
      <c r="G8694" t="s">
        <v>28435</v>
      </c>
      <c r="H8694" t="s">
        <v>28690</v>
      </c>
      <c r="I8694" t="s">
        <v>28691</v>
      </c>
    </row>
    <row r="8695" spans="1:9">
      <c r="A8695" t="str">
        <f>"0029919 "</f>
        <v xml:space="preserve">0029919 </v>
      </c>
      <c r="B8695" t="s">
        <v>28432</v>
      </c>
      <c r="C8695" t="str">
        <f>"071 = WA6236"</f>
        <v>071 = WA6236</v>
      </c>
      <c r="D8695" t="s">
        <v>28692</v>
      </c>
      <c r="E8695">
        <v>2</v>
      </c>
      <c r="F8695" t="s">
        <v>28693</v>
      </c>
      <c r="G8695" t="s">
        <v>28435</v>
      </c>
      <c r="H8695" t="s">
        <v>28694</v>
      </c>
      <c r="I8695" t="s">
        <v>28695</v>
      </c>
    </row>
    <row r="8696" spans="1:9">
      <c r="A8696" t="str">
        <f>"0029922 "</f>
        <v xml:space="preserve">0029922 </v>
      </c>
      <c r="B8696" t="s">
        <v>28432</v>
      </c>
      <c r="C8696" t="str">
        <f>"072 = WA6238"</f>
        <v>072 = WA6238</v>
      </c>
      <c r="D8696" t="s">
        <v>28696</v>
      </c>
      <c r="E8696">
        <v>2</v>
      </c>
      <c r="F8696" t="s">
        <v>28697</v>
      </c>
      <c r="G8696" t="s">
        <v>28435</v>
      </c>
      <c r="H8696" t="s">
        <v>28698</v>
      </c>
      <c r="I8696" t="s">
        <v>792</v>
      </c>
    </row>
    <row r="8697" spans="1:9">
      <c r="A8697" t="str">
        <f>"0029923 "</f>
        <v xml:space="preserve">0029923 </v>
      </c>
      <c r="B8697" t="s">
        <v>28432</v>
      </c>
      <c r="C8697" t="str">
        <f>"072/1 = WA9507"</f>
        <v>072/1 = WA9507</v>
      </c>
      <c r="D8697" t="s">
        <v>28699</v>
      </c>
      <c r="E8697">
        <v>1</v>
      </c>
      <c r="F8697" t="s">
        <v>3593</v>
      </c>
      <c r="G8697" t="s">
        <v>28435</v>
      </c>
      <c r="H8697" t="s">
        <v>28700</v>
      </c>
      <c r="I8697" t="s">
        <v>28701</v>
      </c>
    </row>
    <row r="8698" spans="1:9">
      <c r="A8698" t="str">
        <f>"0116664 "</f>
        <v xml:space="preserve">0116664 </v>
      </c>
      <c r="B8698" t="s">
        <v>28432</v>
      </c>
      <c r="C8698" t="str">
        <f>"072/4 = WA9734"</f>
        <v>072/4 = WA9734</v>
      </c>
      <c r="D8698" t="s">
        <v>28702</v>
      </c>
      <c r="E8698">
        <v>2</v>
      </c>
      <c r="F8698" t="s">
        <v>28703</v>
      </c>
      <c r="G8698" t="s">
        <v>28435</v>
      </c>
      <c r="H8698" t="s">
        <v>28704</v>
      </c>
      <c r="I8698" t="s">
        <v>28705</v>
      </c>
    </row>
    <row r="8699" spans="1:9">
      <c r="A8699" t="str">
        <f>"0029925 "</f>
        <v xml:space="preserve">0029925 </v>
      </c>
      <c r="B8699" t="s">
        <v>28432</v>
      </c>
      <c r="C8699" t="str">
        <f>"073 = WA6239"</f>
        <v>073 = WA6239</v>
      </c>
      <c r="D8699" t="s">
        <v>28706</v>
      </c>
      <c r="E8699">
        <v>1</v>
      </c>
      <c r="F8699" t="s">
        <v>21822</v>
      </c>
      <c r="G8699" t="s">
        <v>28435</v>
      </c>
      <c r="H8699" t="s">
        <v>28707</v>
      </c>
      <c r="I8699" t="s">
        <v>739</v>
      </c>
    </row>
    <row r="8700" spans="1:9">
      <c r="A8700" t="str">
        <f>"0029926 "</f>
        <v xml:space="preserve">0029926 </v>
      </c>
      <c r="B8700" t="s">
        <v>28432</v>
      </c>
      <c r="C8700" t="str">
        <f>"074 = WA6240"</f>
        <v>074 = WA6240</v>
      </c>
      <c r="D8700" t="s">
        <v>28708</v>
      </c>
      <c r="E8700">
        <v>2</v>
      </c>
      <c r="F8700" t="s">
        <v>28709</v>
      </c>
      <c r="G8700" t="s">
        <v>28435</v>
      </c>
      <c r="H8700" t="s">
        <v>28710</v>
      </c>
      <c r="I8700" t="s">
        <v>28711</v>
      </c>
    </row>
    <row r="8701" spans="1:9">
      <c r="A8701" t="str">
        <f>"0029927 "</f>
        <v xml:space="preserve">0029927 </v>
      </c>
      <c r="B8701" t="s">
        <v>28432</v>
      </c>
      <c r="C8701" t="str">
        <f>"074/1 = WA6535"</f>
        <v>074/1 = WA6535</v>
      </c>
      <c r="D8701" t="s">
        <v>28712</v>
      </c>
      <c r="E8701" t="s">
        <v>16</v>
      </c>
      <c r="F8701" t="s">
        <v>28604</v>
      </c>
      <c r="G8701" t="s">
        <v>28435</v>
      </c>
      <c r="H8701" t="s">
        <v>28713</v>
      </c>
      <c r="I8701" t="s">
        <v>28714</v>
      </c>
    </row>
    <row r="8702" spans="1:9">
      <c r="A8702" t="str">
        <f>"0029929 "</f>
        <v xml:space="preserve">0029929 </v>
      </c>
      <c r="B8702" t="s">
        <v>28432</v>
      </c>
      <c r="C8702" t="str">
        <f>"074/3 = WA6674"</f>
        <v>074/3 = WA6674</v>
      </c>
      <c r="D8702" t="s">
        <v>28715</v>
      </c>
      <c r="E8702">
        <v>1</v>
      </c>
      <c r="F8702" t="s">
        <v>28716</v>
      </c>
      <c r="G8702" t="s">
        <v>28435</v>
      </c>
      <c r="H8702" t="s">
        <v>28717</v>
      </c>
      <c r="I8702" t="s">
        <v>28718</v>
      </c>
    </row>
    <row r="8703" spans="1:9">
      <c r="A8703" t="str">
        <f>"0029930 "</f>
        <v xml:space="preserve">0029930 </v>
      </c>
      <c r="B8703" t="s">
        <v>28432</v>
      </c>
      <c r="C8703" t="str">
        <f>"074/4 = WA9406"</f>
        <v>074/4 = WA9406</v>
      </c>
      <c r="D8703" t="s">
        <v>28719</v>
      </c>
      <c r="E8703">
        <v>3</v>
      </c>
      <c r="F8703" t="s">
        <v>28720</v>
      </c>
      <c r="G8703" t="s">
        <v>28435</v>
      </c>
      <c r="H8703" t="s">
        <v>28721</v>
      </c>
      <c r="I8703" t="s">
        <v>28722</v>
      </c>
    </row>
    <row r="8704" spans="1:9">
      <c r="A8704" t="str">
        <f>"0116665 "</f>
        <v xml:space="preserve">0116665 </v>
      </c>
      <c r="B8704" t="s">
        <v>28432</v>
      </c>
      <c r="C8704" t="str">
        <f>"078/1 = WA9666"</f>
        <v>078/1 = WA9666</v>
      </c>
      <c r="D8704" t="s">
        <v>28723</v>
      </c>
      <c r="E8704">
        <v>1</v>
      </c>
      <c r="F8704" t="s">
        <v>28724</v>
      </c>
      <c r="G8704" t="s">
        <v>28435</v>
      </c>
      <c r="H8704" t="s">
        <v>28725</v>
      </c>
      <c r="I8704" t="s">
        <v>28726</v>
      </c>
    </row>
    <row r="8705" spans="1:9">
      <c r="A8705" t="str">
        <f>"0029938 "</f>
        <v xml:space="preserve">0029938 </v>
      </c>
      <c r="B8705" t="s">
        <v>28432</v>
      </c>
      <c r="C8705" t="str">
        <f>"080 = WA6246"</f>
        <v>080 = WA6246</v>
      </c>
      <c r="D8705" t="s">
        <v>28727</v>
      </c>
      <c r="E8705">
        <v>4</v>
      </c>
      <c r="F8705" t="s">
        <v>28728</v>
      </c>
      <c r="G8705" t="s">
        <v>28435</v>
      </c>
      <c r="H8705" t="s">
        <v>28729</v>
      </c>
      <c r="I8705" t="s">
        <v>28730</v>
      </c>
    </row>
    <row r="8706" spans="1:9">
      <c r="A8706" t="str">
        <f>"0029939 "</f>
        <v xml:space="preserve">0029939 </v>
      </c>
      <c r="B8706" t="s">
        <v>28432</v>
      </c>
      <c r="C8706" t="str">
        <f>"080/1 = WA6528"</f>
        <v>080/1 = WA6528</v>
      </c>
      <c r="D8706" t="s">
        <v>28731</v>
      </c>
      <c r="E8706">
        <v>1</v>
      </c>
      <c r="F8706" t="s">
        <v>28732</v>
      </c>
      <c r="G8706" t="s">
        <v>28435</v>
      </c>
      <c r="H8706" t="s">
        <v>28733</v>
      </c>
      <c r="I8706" t="s">
        <v>28734</v>
      </c>
    </row>
    <row r="8707" spans="1:9">
      <c r="A8707" t="str">
        <f>"0029940 "</f>
        <v xml:space="preserve">0029940 </v>
      </c>
      <c r="B8707" t="s">
        <v>28432</v>
      </c>
      <c r="C8707" t="str">
        <f>"080/10 = WA9409"</f>
        <v>080/10 = WA9409</v>
      </c>
      <c r="D8707" t="s">
        <v>28735</v>
      </c>
      <c r="E8707">
        <v>2</v>
      </c>
      <c r="F8707" t="s">
        <v>28732</v>
      </c>
      <c r="G8707" t="s">
        <v>28435</v>
      </c>
      <c r="H8707" t="s">
        <v>28736</v>
      </c>
      <c r="I8707" t="s">
        <v>28737</v>
      </c>
    </row>
    <row r="8708" spans="1:9">
      <c r="A8708" t="str">
        <f>"0029941 "</f>
        <v xml:space="preserve">0029941 </v>
      </c>
      <c r="B8708" t="s">
        <v>28432</v>
      </c>
      <c r="C8708" t="str">
        <f>"080/2 = WA6539"</f>
        <v>080/2 = WA6539</v>
      </c>
      <c r="D8708" t="s">
        <v>28738</v>
      </c>
      <c r="E8708">
        <v>1</v>
      </c>
      <c r="F8708" t="s">
        <v>28739</v>
      </c>
      <c r="G8708" t="s">
        <v>28435</v>
      </c>
      <c r="H8708" t="s">
        <v>28740</v>
      </c>
      <c r="I8708" t="s">
        <v>28741</v>
      </c>
    </row>
    <row r="8709" spans="1:9">
      <c r="A8709" t="str">
        <f>"0029947 "</f>
        <v xml:space="preserve">0029947 </v>
      </c>
      <c r="B8709" t="s">
        <v>28432</v>
      </c>
      <c r="C8709" t="str">
        <f>"080/8 = WA6669"</f>
        <v>080/8 = WA6669</v>
      </c>
      <c r="D8709" t="s">
        <v>28742</v>
      </c>
      <c r="E8709">
        <v>1</v>
      </c>
      <c r="F8709" t="s">
        <v>28743</v>
      </c>
      <c r="G8709" t="s">
        <v>28435</v>
      </c>
      <c r="H8709" t="s">
        <v>28744</v>
      </c>
      <c r="I8709" t="s">
        <v>851</v>
      </c>
    </row>
    <row r="8710" spans="1:9">
      <c r="A8710" t="str">
        <f>"0029950 "</f>
        <v xml:space="preserve">0029950 </v>
      </c>
      <c r="B8710" t="s">
        <v>28432</v>
      </c>
      <c r="C8710" t="str">
        <f>"082 = WA6249"</f>
        <v>082 = WA6249</v>
      </c>
      <c r="D8710" t="s">
        <v>28745</v>
      </c>
      <c r="E8710">
        <v>5</v>
      </c>
      <c r="F8710" t="s">
        <v>28746</v>
      </c>
      <c r="G8710" t="s">
        <v>28435</v>
      </c>
      <c r="H8710" t="s">
        <v>28747</v>
      </c>
      <c r="I8710" t="s">
        <v>28748</v>
      </c>
    </row>
    <row r="8711" spans="1:9">
      <c r="A8711" t="str">
        <f>"0029951 "</f>
        <v xml:space="preserve">0029951 </v>
      </c>
      <c r="B8711" t="s">
        <v>28432</v>
      </c>
      <c r="C8711" t="str">
        <f>"082/1 = WA6250"</f>
        <v>082/1 = WA6250</v>
      </c>
      <c r="D8711" t="s">
        <v>28749</v>
      </c>
      <c r="E8711" t="s">
        <v>16</v>
      </c>
      <c r="F8711" t="s">
        <v>21822</v>
      </c>
      <c r="G8711" t="s">
        <v>28435</v>
      </c>
      <c r="H8711" t="s">
        <v>28750</v>
      </c>
      <c r="I8711" t="s">
        <v>28751</v>
      </c>
    </row>
    <row r="8712" spans="1:9">
      <c r="A8712" t="str">
        <f>"0029952 "</f>
        <v xml:space="preserve">0029952 </v>
      </c>
      <c r="B8712" t="s">
        <v>28432</v>
      </c>
      <c r="C8712" t="str">
        <f>"082/2 = WA6251"</f>
        <v>082/2 = WA6251</v>
      </c>
      <c r="D8712" t="s">
        <v>28752</v>
      </c>
      <c r="E8712">
        <v>1</v>
      </c>
      <c r="F8712" t="s">
        <v>28753</v>
      </c>
      <c r="G8712" t="s">
        <v>28435</v>
      </c>
      <c r="H8712" t="s">
        <v>28754</v>
      </c>
      <c r="I8712" t="s">
        <v>28755</v>
      </c>
    </row>
    <row r="8713" spans="1:9">
      <c r="A8713" t="str">
        <f>"0029954 "</f>
        <v xml:space="preserve">0029954 </v>
      </c>
      <c r="B8713" t="s">
        <v>28432</v>
      </c>
      <c r="C8713" t="str">
        <f>"082/4 = WA6253"</f>
        <v>082/4 = WA6253</v>
      </c>
      <c r="D8713" t="s">
        <v>28756</v>
      </c>
      <c r="E8713">
        <v>4</v>
      </c>
      <c r="F8713" t="s">
        <v>28757</v>
      </c>
      <c r="G8713" t="s">
        <v>28435</v>
      </c>
      <c r="H8713" t="s">
        <v>28758</v>
      </c>
      <c r="I8713" t="s">
        <v>921</v>
      </c>
    </row>
    <row r="8714" spans="1:9">
      <c r="A8714" t="str">
        <f>"0029955 "</f>
        <v xml:space="preserve">0029955 </v>
      </c>
      <c r="B8714" t="s">
        <v>28432</v>
      </c>
      <c r="C8714" t="str">
        <f>"082/5 = WA9439"</f>
        <v>082/5 = WA9439</v>
      </c>
      <c r="D8714" t="s">
        <v>28759</v>
      </c>
      <c r="E8714">
        <v>5</v>
      </c>
      <c r="F8714" t="s">
        <v>28760</v>
      </c>
      <c r="G8714" t="s">
        <v>28435</v>
      </c>
      <c r="H8714" t="s">
        <v>28761</v>
      </c>
      <c r="I8714" t="s">
        <v>28762</v>
      </c>
    </row>
    <row r="8715" spans="1:9">
      <c r="A8715" t="str">
        <f>"0029956 "</f>
        <v xml:space="preserve">0029956 </v>
      </c>
      <c r="B8715" t="s">
        <v>28432</v>
      </c>
      <c r="C8715" t="str">
        <f>"082/6 = WA9440"</f>
        <v>082/6 = WA9440</v>
      </c>
      <c r="D8715" t="s">
        <v>28763</v>
      </c>
      <c r="E8715">
        <v>3</v>
      </c>
      <c r="F8715" t="s">
        <v>28764</v>
      </c>
      <c r="G8715" t="s">
        <v>28435</v>
      </c>
      <c r="H8715" t="s">
        <v>28765</v>
      </c>
      <c r="I8715" t="s">
        <v>18791</v>
      </c>
    </row>
    <row r="8716" spans="1:9">
      <c r="A8716" t="str">
        <f>"0038159 "</f>
        <v xml:space="preserve">0038159 </v>
      </c>
      <c r="B8716" t="s">
        <v>28432</v>
      </c>
      <c r="C8716" t="str">
        <f>"082/8 = WA9639"</f>
        <v>082/8 = WA9639</v>
      </c>
      <c r="D8716" t="s">
        <v>28766</v>
      </c>
      <c r="E8716">
        <v>1</v>
      </c>
      <c r="F8716" t="s">
        <v>7055</v>
      </c>
      <c r="G8716" t="s">
        <v>28435</v>
      </c>
      <c r="H8716" t="s">
        <v>28767</v>
      </c>
      <c r="I8716" t="s">
        <v>28768</v>
      </c>
    </row>
    <row r="8717" spans="1:9">
      <c r="A8717" t="str">
        <f>"0029960 "</f>
        <v xml:space="preserve">0029960 </v>
      </c>
      <c r="B8717" t="s">
        <v>28432</v>
      </c>
      <c r="C8717" t="str">
        <f>"086 = WA6257"</f>
        <v>086 = WA6257</v>
      </c>
      <c r="D8717" t="s">
        <v>28769</v>
      </c>
      <c r="E8717">
        <v>1</v>
      </c>
      <c r="F8717" t="s">
        <v>8464</v>
      </c>
      <c r="G8717" t="s">
        <v>28435</v>
      </c>
      <c r="H8717" t="s">
        <v>28770</v>
      </c>
      <c r="I8717" t="s">
        <v>28771</v>
      </c>
    </row>
    <row r="8718" spans="1:9">
      <c r="A8718" t="str">
        <f>"0029962 "</f>
        <v xml:space="preserve">0029962 </v>
      </c>
      <c r="B8718" t="s">
        <v>28432</v>
      </c>
      <c r="C8718" t="str">
        <f>"088 = WA6259"</f>
        <v>088 = WA6259</v>
      </c>
      <c r="D8718" t="s">
        <v>28772</v>
      </c>
      <c r="E8718">
        <v>1</v>
      </c>
      <c r="F8718" t="s">
        <v>28650</v>
      </c>
      <c r="G8718" t="s">
        <v>28435</v>
      </c>
      <c r="H8718" t="s">
        <v>28773</v>
      </c>
      <c r="I8718" t="s">
        <v>28774</v>
      </c>
    </row>
    <row r="8719" spans="1:9">
      <c r="A8719" t="str">
        <f>"0029963 "</f>
        <v xml:space="preserve">0029963 </v>
      </c>
      <c r="B8719" t="s">
        <v>28432</v>
      </c>
      <c r="C8719" t="str">
        <f>"089 = WA6260"</f>
        <v>089 = WA6260</v>
      </c>
      <c r="D8719" t="s">
        <v>28775</v>
      </c>
      <c r="E8719">
        <v>2</v>
      </c>
      <c r="F8719" t="s">
        <v>28776</v>
      </c>
      <c r="G8719" t="s">
        <v>28435</v>
      </c>
      <c r="H8719" t="s">
        <v>28777</v>
      </c>
      <c r="I8719" t="s">
        <v>796</v>
      </c>
    </row>
    <row r="8720" spans="1:9">
      <c r="A8720" t="str">
        <f>"0029965 "</f>
        <v xml:space="preserve">0029965 </v>
      </c>
      <c r="B8720" t="s">
        <v>28432</v>
      </c>
      <c r="C8720" t="str">
        <f>"090 = WA6262"</f>
        <v>090 = WA6262</v>
      </c>
      <c r="D8720" t="s">
        <v>28778</v>
      </c>
      <c r="E8720">
        <v>2</v>
      </c>
      <c r="F8720" t="s">
        <v>28779</v>
      </c>
      <c r="G8720" t="s">
        <v>28435</v>
      </c>
      <c r="H8720" t="s">
        <v>28780</v>
      </c>
      <c r="I8720" t="s">
        <v>28781</v>
      </c>
    </row>
    <row r="8721" spans="1:9">
      <c r="A8721" t="str">
        <f>"0029968 "</f>
        <v xml:space="preserve">0029968 </v>
      </c>
      <c r="B8721" t="s">
        <v>28432</v>
      </c>
      <c r="C8721" t="str">
        <f>"090/3 = WA9470"</f>
        <v>090/3 = WA9470</v>
      </c>
      <c r="D8721" t="s">
        <v>28782</v>
      </c>
      <c r="E8721">
        <v>1</v>
      </c>
      <c r="F8721" t="s">
        <v>28654</v>
      </c>
      <c r="G8721" t="s">
        <v>28435</v>
      </c>
      <c r="H8721" t="s">
        <v>28783</v>
      </c>
      <c r="I8721" t="s">
        <v>28784</v>
      </c>
    </row>
    <row r="8722" spans="1:9">
      <c r="A8722" t="str">
        <f>"0029971 "</f>
        <v xml:space="preserve">0029971 </v>
      </c>
      <c r="B8722" t="s">
        <v>28432</v>
      </c>
      <c r="C8722" t="str">
        <f>"090/6 = WA9559"</f>
        <v>090/6 = WA9559</v>
      </c>
      <c r="D8722" t="s">
        <v>28785</v>
      </c>
      <c r="E8722">
        <v>1</v>
      </c>
      <c r="F8722" t="s">
        <v>28786</v>
      </c>
      <c r="G8722" t="s">
        <v>28435</v>
      </c>
      <c r="H8722" t="s">
        <v>28787</v>
      </c>
      <c r="I8722" t="s">
        <v>1046</v>
      </c>
    </row>
    <row r="8723" spans="1:9">
      <c r="A8723" t="str">
        <f>"0029977 "</f>
        <v xml:space="preserve">0029977 </v>
      </c>
      <c r="B8723" t="s">
        <v>28432</v>
      </c>
      <c r="C8723" t="str">
        <f>"092/3 = WA6769"</f>
        <v>092/3 = WA6769</v>
      </c>
      <c r="D8723" t="s">
        <v>28788</v>
      </c>
      <c r="E8723">
        <v>4</v>
      </c>
      <c r="F8723" t="s">
        <v>28498</v>
      </c>
      <c r="G8723" t="s">
        <v>28435</v>
      </c>
      <c r="H8723" t="s">
        <v>28789</v>
      </c>
      <c r="I8723" t="s">
        <v>28790</v>
      </c>
    </row>
    <row r="8724" spans="1:9">
      <c r="A8724" t="str">
        <f>"0029980 "</f>
        <v xml:space="preserve">0029980 </v>
      </c>
      <c r="B8724" t="s">
        <v>28432</v>
      </c>
      <c r="C8724" t="str">
        <f>"092/6 = WA9459"</f>
        <v>092/6 = WA9459</v>
      </c>
      <c r="D8724" t="s">
        <v>28791</v>
      </c>
      <c r="E8724" t="s">
        <v>16</v>
      </c>
      <c r="F8724" t="s">
        <v>28593</v>
      </c>
      <c r="G8724" t="s">
        <v>28435</v>
      </c>
      <c r="H8724" t="s">
        <v>28792</v>
      </c>
      <c r="I8724" t="s">
        <v>28793</v>
      </c>
    </row>
    <row r="8725" spans="1:9">
      <c r="A8725" t="str">
        <f>"0029984 "</f>
        <v xml:space="preserve">0029984 </v>
      </c>
      <c r="B8725" t="s">
        <v>28432</v>
      </c>
      <c r="C8725" t="str">
        <f>"093 = WA6269"</f>
        <v>093 = WA6269</v>
      </c>
      <c r="D8725" t="s">
        <v>28794</v>
      </c>
      <c r="E8725">
        <v>1</v>
      </c>
      <c r="F8725" t="s">
        <v>28535</v>
      </c>
      <c r="G8725" t="s">
        <v>28435</v>
      </c>
      <c r="H8725" t="s">
        <v>28795</v>
      </c>
      <c r="I8725" t="s">
        <v>28796</v>
      </c>
    </row>
    <row r="8726" spans="1:9">
      <c r="A8726" t="str">
        <f>"0116670 "</f>
        <v xml:space="preserve">0116670 </v>
      </c>
      <c r="B8726" t="s">
        <v>28432</v>
      </c>
      <c r="C8726" t="str">
        <f>"093/3 = WA9747"</f>
        <v>093/3 = WA9747</v>
      </c>
      <c r="D8726" t="s">
        <v>28797</v>
      </c>
      <c r="E8726">
        <v>1</v>
      </c>
      <c r="F8726" t="s">
        <v>28798</v>
      </c>
      <c r="G8726" t="s">
        <v>28435</v>
      </c>
      <c r="H8726" t="s">
        <v>28799</v>
      </c>
      <c r="I8726" t="s">
        <v>28800</v>
      </c>
    </row>
    <row r="8727" spans="1:9">
      <c r="A8727" t="str">
        <f>"0029986 "</f>
        <v xml:space="preserve">0029986 </v>
      </c>
      <c r="B8727" t="s">
        <v>28432</v>
      </c>
      <c r="C8727" t="str">
        <f>"095 = WA6271"</f>
        <v>095 = WA6271</v>
      </c>
      <c r="D8727" t="s">
        <v>28801</v>
      </c>
      <c r="E8727">
        <v>2</v>
      </c>
      <c r="F8727" t="s">
        <v>28802</v>
      </c>
      <c r="G8727" t="s">
        <v>28435</v>
      </c>
      <c r="H8727" t="s">
        <v>28803</v>
      </c>
      <c r="I8727" t="s">
        <v>28804</v>
      </c>
    </row>
    <row r="8728" spans="1:9">
      <c r="A8728" t="str">
        <f>"0029993 "</f>
        <v xml:space="preserve">0029993 </v>
      </c>
      <c r="B8728" t="s">
        <v>28432</v>
      </c>
      <c r="C8728" t="str">
        <f>"098/3 = WA9560"</f>
        <v>098/3 = WA9560</v>
      </c>
      <c r="D8728" t="s">
        <v>28805</v>
      </c>
      <c r="E8728">
        <v>2</v>
      </c>
      <c r="F8728" t="s">
        <v>28806</v>
      </c>
      <c r="G8728" t="s">
        <v>28435</v>
      </c>
      <c r="H8728" t="s">
        <v>28807</v>
      </c>
      <c r="I8728" t="s">
        <v>28808</v>
      </c>
    </row>
    <row r="8729" spans="1:9">
      <c r="A8729" t="str">
        <f>"0029994 "</f>
        <v xml:space="preserve">0029994 </v>
      </c>
      <c r="B8729" t="s">
        <v>28432</v>
      </c>
      <c r="C8729" t="str">
        <f>"099 = WA6276"</f>
        <v>099 = WA6276</v>
      </c>
      <c r="D8729" t="s">
        <v>28809</v>
      </c>
      <c r="E8729">
        <v>1</v>
      </c>
      <c r="F8729" t="s">
        <v>10222</v>
      </c>
      <c r="G8729" t="s">
        <v>28435</v>
      </c>
      <c r="H8729" t="s">
        <v>28810</v>
      </c>
      <c r="I8729" t="s">
        <v>28811</v>
      </c>
    </row>
    <row r="8730" spans="1:9">
      <c r="A8730" t="str">
        <f>"0029996 "</f>
        <v xml:space="preserve">0029996 </v>
      </c>
      <c r="B8730" t="s">
        <v>28432</v>
      </c>
      <c r="C8730" t="s">
        <v>28812</v>
      </c>
      <c r="D8730" t="s">
        <v>28813</v>
      </c>
      <c r="E8730">
        <v>3</v>
      </c>
      <c r="F8730" t="s">
        <v>28814</v>
      </c>
      <c r="G8730" t="s">
        <v>28435</v>
      </c>
      <c r="H8730" t="s">
        <v>28815</v>
      </c>
      <c r="I8730" t="s">
        <v>28816</v>
      </c>
    </row>
    <row r="8731" spans="1:9">
      <c r="A8731" t="str">
        <f>"0029998 "</f>
        <v xml:space="preserve">0029998 </v>
      </c>
      <c r="B8731" t="s">
        <v>28432</v>
      </c>
      <c r="C8731" t="s">
        <v>28817</v>
      </c>
      <c r="D8731" t="s">
        <v>28818</v>
      </c>
      <c r="E8731">
        <v>3</v>
      </c>
      <c r="F8731" t="s">
        <v>28819</v>
      </c>
      <c r="G8731" t="s">
        <v>28435</v>
      </c>
      <c r="H8731" t="s">
        <v>28820</v>
      </c>
      <c r="I8731" t="s">
        <v>28821</v>
      </c>
    </row>
    <row r="8732" spans="1:9">
      <c r="A8732" t="str">
        <f>"0030003 "</f>
        <v xml:space="preserve">0030003 </v>
      </c>
      <c r="B8732" t="s">
        <v>28432</v>
      </c>
      <c r="C8732" t="s">
        <v>28822</v>
      </c>
      <c r="D8732" t="s">
        <v>28823</v>
      </c>
      <c r="E8732">
        <v>1</v>
      </c>
      <c r="F8732" t="s">
        <v>28824</v>
      </c>
      <c r="G8732" t="s">
        <v>28435</v>
      </c>
      <c r="H8732" t="s">
        <v>28825</v>
      </c>
      <c r="I8732" t="s">
        <v>28826</v>
      </c>
    </row>
    <row r="8733" spans="1:9">
      <c r="A8733" t="str">
        <f>"0030006 "</f>
        <v xml:space="preserve">0030006 </v>
      </c>
      <c r="B8733" t="s">
        <v>28432</v>
      </c>
      <c r="C8733" t="s">
        <v>28827</v>
      </c>
      <c r="D8733" t="s">
        <v>28828</v>
      </c>
      <c r="E8733" t="s">
        <v>16</v>
      </c>
      <c r="F8733" t="s">
        <v>28829</v>
      </c>
      <c r="G8733" t="s">
        <v>28435</v>
      </c>
      <c r="H8733" t="s">
        <v>28830</v>
      </c>
      <c r="I8733" t="s">
        <v>11761</v>
      </c>
    </row>
    <row r="8734" spans="1:9">
      <c r="A8734" t="str">
        <f>"0030007 "</f>
        <v xml:space="preserve">0030007 </v>
      </c>
      <c r="B8734" t="s">
        <v>28432</v>
      </c>
      <c r="C8734" t="s">
        <v>28831</v>
      </c>
      <c r="D8734" t="s">
        <v>28832</v>
      </c>
      <c r="E8734">
        <v>2</v>
      </c>
      <c r="F8734" t="s">
        <v>28833</v>
      </c>
      <c r="G8734" t="s">
        <v>28435</v>
      </c>
      <c r="H8734" t="s">
        <v>28834</v>
      </c>
      <c r="I8734" t="s">
        <v>28835</v>
      </c>
    </row>
    <row r="8735" spans="1:9">
      <c r="A8735" t="str">
        <f>"0030009 "</f>
        <v xml:space="preserve">0030009 </v>
      </c>
      <c r="B8735" t="s">
        <v>28432</v>
      </c>
      <c r="C8735" t="s">
        <v>28836</v>
      </c>
      <c r="D8735" t="s">
        <v>28837</v>
      </c>
      <c r="E8735">
        <v>1</v>
      </c>
      <c r="F8735" t="s">
        <v>28838</v>
      </c>
      <c r="G8735" t="s">
        <v>28435</v>
      </c>
      <c r="H8735" t="s">
        <v>28839</v>
      </c>
      <c r="I8735" t="s">
        <v>28840</v>
      </c>
    </row>
    <row r="8736" spans="1:9">
      <c r="A8736" t="str">
        <f>"0030011 "</f>
        <v xml:space="preserve">0030011 </v>
      </c>
      <c r="B8736" t="s">
        <v>28432</v>
      </c>
      <c r="C8736" t="s">
        <v>28841</v>
      </c>
      <c r="D8736" t="s">
        <v>28842</v>
      </c>
      <c r="E8736">
        <v>2</v>
      </c>
      <c r="F8736" t="s">
        <v>28843</v>
      </c>
      <c r="G8736" t="s">
        <v>28435</v>
      </c>
      <c r="H8736" t="s">
        <v>28844</v>
      </c>
      <c r="I8736" t="s">
        <v>28845</v>
      </c>
    </row>
    <row r="8737" spans="1:9">
      <c r="A8737" t="str">
        <f>"0030018 "</f>
        <v xml:space="preserve">0030018 </v>
      </c>
      <c r="B8737" t="s">
        <v>28432</v>
      </c>
      <c r="C8737" t="s">
        <v>28846</v>
      </c>
      <c r="D8737" t="s">
        <v>28847</v>
      </c>
      <c r="E8737" t="s">
        <v>16</v>
      </c>
      <c r="F8737" t="s">
        <v>28848</v>
      </c>
      <c r="G8737" t="s">
        <v>28435</v>
      </c>
      <c r="H8737" t="s">
        <v>28849</v>
      </c>
      <c r="I8737" t="s">
        <v>28850</v>
      </c>
    </row>
    <row r="8738" spans="1:9">
      <c r="A8738" t="str">
        <f>"0030021 "</f>
        <v xml:space="preserve">0030021 </v>
      </c>
      <c r="B8738" t="s">
        <v>28432</v>
      </c>
      <c r="C8738" t="s">
        <v>28851</v>
      </c>
      <c r="D8738" t="s">
        <v>28852</v>
      </c>
      <c r="E8738">
        <v>1</v>
      </c>
      <c r="F8738" t="s">
        <v>28853</v>
      </c>
      <c r="G8738" t="s">
        <v>28435</v>
      </c>
      <c r="H8738" t="s">
        <v>28854</v>
      </c>
      <c r="I8738" t="s">
        <v>22855</v>
      </c>
    </row>
    <row r="8739" spans="1:9">
      <c r="A8739" t="str">
        <f>"0030024 "</f>
        <v xml:space="preserve">0030024 </v>
      </c>
      <c r="B8739" t="s">
        <v>28432</v>
      </c>
      <c r="C8739" t="s">
        <v>28855</v>
      </c>
      <c r="D8739" t="s">
        <v>28856</v>
      </c>
      <c r="E8739">
        <v>2</v>
      </c>
      <c r="F8739" t="s">
        <v>28857</v>
      </c>
      <c r="G8739" t="s">
        <v>28435</v>
      </c>
      <c r="H8739" t="s">
        <v>28858</v>
      </c>
      <c r="I8739" t="s">
        <v>28859</v>
      </c>
    </row>
    <row r="8740" spans="1:9">
      <c r="A8740" t="str">
        <f>"0030026 "</f>
        <v xml:space="preserve">0030026 </v>
      </c>
      <c r="B8740" t="s">
        <v>28432</v>
      </c>
      <c r="C8740" t="s">
        <v>28860</v>
      </c>
      <c r="D8740" t="s">
        <v>28861</v>
      </c>
      <c r="E8740">
        <v>1</v>
      </c>
      <c r="F8740" t="s">
        <v>28862</v>
      </c>
      <c r="G8740" t="s">
        <v>28435</v>
      </c>
      <c r="H8740" t="s">
        <v>28863</v>
      </c>
      <c r="I8740" t="s">
        <v>28864</v>
      </c>
    </row>
    <row r="8741" spans="1:9">
      <c r="A8741" t="str">
        <f>"0030029 "</f>
        <v xml:space="preserve">0030029 </v>
      </c>
      <c r="B8741" t="s">
        <v>28432</v>
      </c>
      <c r="C8741" t="s">
        <v>28865</v>
      </c>
      <c r="D8741" t="s">
        <v>28866</v>
      </c>
      <c r="E8741">
        <v>1</v>
      </c>
      <c r="F8741" t="s">
        <v>28867</v>
      </c>
      <c r="G8741" t="s">
        <v>28435</v>
      </c>
      <c r="H8741" t="s">
        <v>28868</v>
      </c>
      <c r="I8741" t="s">
        <v>28869</v>
      </c>
    </row>
    <row r="8742" spans="1:9">
      <c r="A8742" t="str">
        <f>"0030042 "</f>
        <v xml:space="preserve">0030042 </v>
      </c>
      <c r="B8742" t="s">
        <v>28432</v>
      </c>
      <c r="C8742" t="s">
        <v>28870</v>
      </c>
      <c r="D8742" t="s">
        <v>28871</v>
      </c>
      <c r="E8742">
        <v>1</v>
      </c>
      <c r="F8742" t="s">
        <v>28872</v>
      </c>
      <c r="G8742" t="s">
        <v>28435</v>
      </c>
      <c r="H8742" t="s">
        <v>28873</v>
      </c>
      <c r="I8742" t="s">
        <v>28874</v>
      </c>
    </row>
    <row r="8743" spans="1:9">
      <c r="A8743" t="str">
        <f>"0030045 "</f>
        <v xml:space="preserve">0030045 </v>
      </c>
      <c r="B8743" t="s">
        <v>28432</v>
      </c>
      <c r="C8743" t="s">
        <v>28875</v>
      </c>
      <c r="D8743" t="s">
        <v>28876</v>
      </c>
      <c r="E8743">
        <v>1</v>
      </c>
      <c r="F8743" t="s">
        <v>28877</v>
      </c>
      <c r="G8743" t="s">
        <v>28435</v>
      </c>
      <c r="H8743" t="s">
        <v>28878</v>
      </c>
      <c r="I8743" t="s">
        <v>28879</v>
      </c>
    </row>
    <row r="8744" spans="1:9">
      <c r="A8744" t="str">
        <f>"0030046 "</f>
        <v xml:space="preserve">0030046 </v>
      </c>
      <c r="B8744" t="s">
        <v>28432</v>
      </c>
      <c r="C8744" t="s">
        <v>28880</v>
      </c>
      <c r="D8744" t="s">
        <v>28881</v>
      </c>
      <c r="E8744">
        <v>3</v>
      </c>
      <c r="F8744" t="s">
        <v>28838</v>
      </c>
      <c r="G8744" t="s">
        <v>28435</v>
      </c>
      <c r="H8744" t="s">
        <v>28882</v>
      </c>
      <c r="I8744" t="s">
        <v>28883</v>
      </c>
    </row>
    <row r="8745" spans="1:9">
      <c r="A8745" t="str">
        <f>"0030052 "</f>
        <v xml:space="preserve">0030052 </v>
      </c>
      <c r="B8745" t="s">
        <v>28432</v>
      </c>
      <c r="C8745" t="s">
        <v>28884</v>
      </c>
      <c r="D8745" t="s">
        <v>28885</v>
      </c>
      <c r="E8745">
        <v>1</v>
      </c>
      <c r="F8745" t="s">
        <v>28886</v>
      </c>
      <c r="G8745" t="s">
        <v>28435</v>
      </c>
      <c r="H8745" t="s">
        <v>28887</v>
      </c>
      <c r="I8745" t="s">
        <v>28888</v>
      </c>
    </row>
    <row r="8746" spans="1:9">
      <c r="A8746" t="str">
        <f>"0030054 "</f>
        <v xml:space="preserve">0030054 </v>
      </c>
      <c r="B8746" t="s">
        <v>28432</v>
      </c>
      <c r="C8746" t="s">
        <v>28889</v>
      </c>
      <c r="D8746" t="s">
        <v>28890</v>
      </c>
      <c r="E8746">
        <v>4</v>
      </c>
      <c r="F8746" t="s">
        <v>28891</v>
      </c>
      <c r="G8746" t="s">
        <v>28435</v>
      </c>
      <c r="H8746" t="s">
        <v>28892</v>
      </c>
      <c r="I8746" t="s">
        <v>18724</v>
      </c>
    </row>
    <row r="8747" spans="1:9">
      <c r="A8747" t="str">
        <f>"0030058 "</f>
        <v xml:space="preserve">0030058 </v>
      </c>
      <c r="B8747" t="s">
        <v>28432</v>
      </c>
      <c r="C8747" t="s">
        <v>28893</v>
      </c>
      <c r="D8747" t="s">
        <v>28894</v>
      </c>
      <c r="E8747">
        <v>1</v>
      </c>
      <c r="F8747" t="s">
        <v>28443</v>
      </c>
      <c r="G8747" t="s">
        <v>28435</v>
      </c>
      <c r="H8747" t="s">
        <v>28895</v>
      </c>
      <c r="I8747" t="s">
        <v>28896</v>
      </c>
    </row>
    <row r="8748" spans="1:9">
      <c r="A8748" t="str">
        <f>"0030065 "</f>
        <v xml:space="preserve">0030065 </v>
      </c>
      <c r="B8748" t="s">
        <v>28432</v>
      </c>
      <c r="C8748" t="s">
        <v>28897</v>
      </c>
      <c r="D8748" t="s">
        <v>28898</v>
      </c>
      <c r="E8748">
        <v>1</v>
      </c>
      <c r="F8748" t="s">
        <v>28899</v>
      </c>
      <c r="G8748" t="s">
        <v>28435</v>
      </c>
      <c r="H8748" t="s">
        <v>28900</v>
      </c>
      <c r="I8748" t="s">
        <v>28901</v>
      </c>
    </row>
    <row r="8749" spans="1:9">
      <c r="A8749" t="str">
        <f>"0030068 "</f>
        <v xml:space="preserve">0030068 </v>
      </c>
      <c r="B8749" t="s">
        <v>28432</v>
      </c>
      <c r="C8749" t="s">
        <v>28902</v>
      </c>
      <c r="D8749" t="s">
        <v>28903</v>
      </c>
      <c r="E8749">
        <v>2</v>
      </c>
      <c r="F8749" t="s">
        <v>21667</v>
      </c>
      <c r="G8749" t="s">
        <v>28435</v>
      </c>
      <c r="H8749" t="s">
        <v>28904</v>
      </c>
      <c r="I8749" t="s">
        <v>28905</v>
      </c>
    </row>
    <row r="8750" spans="1:9">
      <c r="A8750" t="str">
        <f>"0030073 "</f>
        <v xml:space="preserve">0030073 </v>
      </c>
      <c r="B8750" t="s">
        <v>28432</v>
      </c>
      <c r="C8750" t="s">
        <v>28906</v>
      </c>
      <c r="D8750" t="s">
        <v>28907</v>
      </c>
      <c r="E8750">
        <v>2</v>
      </c>
      <c r="F8750" t="s">
        <v>9802</v>
      </c>
      <c r="G8750" t="s">
        <v>28435</v>
      </c>
      <c r="H8750" t="s">
        <v>28908</v>
      </c>
      <c r="I8750" t="s">
        <v>28909</v>
      </c>
    </row>
    <row r="8751" spans="1:9">
      <c r="A8751" t="str">
        <f>"0030077 "</f>
        <v xml:space="preserve">0030077 </v>
      </c>
      <c r="B8751" t="s">
        <v>28432</v>
      </c>
      <c r="C8751" t="s">
        <v>28910</v>
      </c>
      <c r="D8751" t="s">
        <v>28911</v>
      </c>
      <c r="E8751">
        <v>1</v>
      </c>
      <c r="F8751" t="s">
        <v>28912</v>
      </c>
      <c r="G8751" t="s">
        <v>28435</v>
      </c>
      <c r="H8751" t="s">
        <v>28913</v>
      </c>
      <c r="I8751" t="s">
        <v>28914</v>
      </c>
    </row>
    <row r="8752" spans="1:9">
      <c r="A8752" t="str">
        <f>"0030079 "</f>
        <v xml:space="preserve">0030079 </v>
      </c>
      <c r="B8752" t="s">
        <v>28432</v>
      </c>
      <c r="C8752" t="s">
        <v>28915</v>
      </c>
      <c r="D8752" t="s">
        <v>28916</v>
      </c>
      <c r="E8752">
        <v>2</v>
      </c>
      <c r="F8752" t="s">
        <v>21667</v>
      </c>
      <c r="G8752" t="s">
        <v>28435</v>
      </c>
      <c r="H8752" t="s">
        <v>28917</v>
      </c>
      <c r="I8752" t="s">
        <v>28918</v>
      </c>
    </row>
    <row r="8753" spans="1:9">
      <c r="A8753" t="str">
        <f>"0086628 "</f>
        <v xml:space="preserve">0086628 </v>
      </c>
      <c r="B8753" t="s">
        <v>28432</v>
      </c>
      <c r="C8753" t="s">
        <v>28919</v>
      </c>
      <c r="D8753" t="s">
        <v>28920</v>
      </c>
      <c r="E8753">
        <v>2</v>
      </c>
      <c r="F8753" t="s">
        <v>28921</v>
      </c>
      <c r="G8753" t="s">
        <v>28435</v>
      </c>
      <c r="H8753" t="s">
        <v>28922</v>
      </c>
      <c r="I8753" t="s">
        <v>28923</v>
      </c>
    </row>
    <row r="8754" spans="1:9">
      <c r="A8754" t="str">
        <f>"0030084 "</f>
        <v xml:space="preserve">0030084 </v>
      </c>
      <c r="B8754" t="s">
        <v>28432</v>
      </c>
      <c r="C8754" t="s">
        <v>28924</v>
      </c>
      <c r="D8754" t="s">
        <v>28925</v>
      </c>
      <c r="E8754">
        <v>4</v>
      </c>
      <c r="F8754" t="s">
        <v>28926</v>
      </c>
      <c r="G8754" t="s">
        <v>28435</v>
      </c>
      <c r="H8754" t="s">
        <v>28927</v>
      </c>
      <c r="I8754" t="s">
        <v>28928</v>
      </c>
    </row>
    <row r="8755" spans="1:9">
      <c r="A8755" t="str">
        <f>"0030085 "</f>
        <v xml:space="preserve">0030085 </v>
      </c>
      <c r="B8755" t="s">
        <v>28432</v>
      </c>
      <c r="C8755" t="s">
        <v>28929</v>
      </c>
      <c r="D8755" t="s">
        <v>28930</v>
      </c>
      <c r="E8755">
        <v>1</v>
      </c>
      <c r="F8755" t="s">
        <v>28557</v>
      </c>
      <c r="G8755" t="s">
        <v>28435</v>
      </c>
      <c r="H8755" t="s">
        <v>28931</v>
      </c>
      <c r="I8755" t="s">
        <v>28932</v>
      </c>
    </row>
    <row r="8756" spans="1:9">
      <c r="A8756" t="str">
        <f>"0030086 "</f>
        <v xml:space="preserve">0030086 </v>
      </c>
      <c r="B8756" t="s">
        <v>28432</v>
      </c>
      <c r="C8756" t="s">
        <v>28933</v>
      </c>
      <c r="D8756" t="s">
        <v>28934</v>
      </c>
      <c r="E8756">
        <v>1</v>
      </c>
      <c r="F8756" t="s">
        <v>28935</v>
      </c>
      <c r="G8756" t="s">
        <v>28435</v>
      </c>
      <c r="H8756" t="s">
        <v>28936</v>
      </c>
      <c r="I8756" t="s">
        <v>28937</v>
      </c>
    </row>
    <row r="8757" spans="1:9">
      <c r="A8757" t="str">
        <f>"0030087 "</f>
        <v xml:space="preserve">0030087 </v>
      </c>
      <c r="B8757" t="s">
        <v>28432</v>
      </c>
      <c r="C8757" t="s">
        <v>28938</v>
      </c>
      <c r="D8757" t="s">
        <v>28939</v>
      </c>
      <c r="E8757">
        <v>1</v>
      </c>
      <c r="F8757" t="s">
        <v>28622</v>
      </c>
      <c r="G8757" t="s">
        <v>28435</v>
      </c>
      <c r="H8757" t="s">
        <v>28940</v>
      </c>
      <c r="I8757" t="s">
        <v>28941</v>
      </c>
    </row>
    <row r="8758" spans="1:9">
      <c r="A8758" t="str">
        <f>"0030088 "</f>
        <v xml:space="preserve">0030088 </v>
      </c>
      <c r="B8758" t="s">
        <v>28432</v>
      </c>
      <c r="C8758" t="s">
        <v>28942</v>
      </c>
      <c r="D8758" t="s">
        <v>28943</v>
      </c>
      <c r="E8758">
        <v>1</v>
      </c>
      <c r="F8758" t="s">
        <v>12359</v>
      </c>
      <c r="G8758" t="s">
        <v>28435</v>
      </c>
      <c r="H8758" t="s">
        <v>28944</v>
      </c>
      <c r="I8758" t="s">
        <v>28945</v>
      </c>
    </row>
    <row r="8759" spans="1:9">
      <c r="A8759" t="str">
        <f>"0030092 "</f>
        <v xml:space="preserve">0030092 </v>
      </c>
      <c r="B8759" t="s">
        <v>28432</v>
      </c>
      <c r="C8759" t="s">
        <v>28946</v>
      </c>
      <c r="D8759" t="s">
        <v>28947</v>
      </c>
      <c r="E8759">
        <v>1</v>
      </c>
      <c r="F8759" t="s">
        <v>28948</v>
      </c>
      <c r="G8759" t="s">
        <v>28435</v>
      </c>
      <c r="H8759" t="s">
        <v>28949</v>
      </c>
      <c r="I8759" t="s">
        <v>28950</v>
      </c>
    </row>
    <row r="8760" spans="1:9">
      <c r="A8760" t="str">
        <f>"0030097 "</f>
        <v xml:space="preserve">0030097 </v>
      </c>
      <c r="B8760" t="s">
        <v>28432</v>
      </c>
      <c r="C8760" t="s">
        <v>28951</v>
      </c>
      <c r="D8760" t="s">
        <v>28952</v>
      </c>
      <c r="E8760">
        <v>1</v>
      </c>
      <c r="F8760" t="s">
        <v>28953</v>
      </c>
      <c r="G8760" t="s">
        <v>28435</v>
      </c>
      <c r="H8760" t="s">
        <v>28954</v>
      </c>
      <c r="I8760" t="s">
        <v>28955</v>
      </c>
    </row>
    <row r="8761" spans="1:9">
      <c r="A8761" t="str">
        <f>"0030101 "</f>
        <v xml:space="preserve">0030101 </v>
      </c>
      <c r="B8761" t="s">
        <v>28432</v>
      </c>
      <c r="C8761" t="s">
        <v>28956</v>
      </c>
      <c r="D8761" t="s">
        <v>28957</v>
      </c>
      <c r="E8761">
        <v>1</v>
      </c>
      <c r="F8761" t="s">
        <v>28958</v>
      </c>
      <c r="G8761" t="s">
        <v>28435</v>
      </c>
      <c r="H8761" t="s">
        <v>28959</v>
      </c>
      <c r="I8761" t="s">
        <v>28960</v>
      </c>
    </row>
    <row r="8762" spans="1:9">
      <c r="A8762" t="str">
        <f>"0030103 "</f>
        <v xml:space="preserve">0030103 </v>
      </c>
      <c r="B8762" t="s">
        <v>28432</v>
      </c>
      <c r="C8762" t="s">
        <v>28961</v>
      </c>
      <c r="D8762" t="s">
        <v>28962</v>
      </c>
      <c r="E8762">
        <v>1</v>
      </c>
      <c r="F8762" t="s">
        <v>28838</v>
      </c>
      <c r="G8762" t="s">
        <v>28435</v>
      </c>
      <c r="H8762" t="s">
        <v>28963</v>
      </c>
      <c r="I8762" t="s">
        <v>28964</v>
      </c>
    </row>
    <row r="8763" spans="1:9">
      <c r="A8763" t="str">
        <f>"0030106 "</f>
        <v xml:space="preserve">0030106 </v>
      </c>
      <c r="B8763" t="s">
        <v>28432</v>
      </c>
      <c r="C8763" t="s">
        <v>28965</v>
      </c>
      <c r="D8763" t="s">
        <v>28966</v>
      </c>
      <c r="E8763">
        <v>1</v>
      </c>
      <c r="F8763" t="s">
        <v>28967</v>
      </c>
      <c r="G8763" t="s">
        <v>28435</v>
      </c>
      <c r="H8763" t="s">
        <v>28968</v>
      </c>
      <c r="I8763" t="s">
        <v>28969</v>
      </c>
    </row>
    <row r="8764" spans="1:9">
      <c r="A8764" t="str">
        <f>"0086630 "</f>
        <v xml:space="preserve">0086630 </v>
      </c>
      <c r="B8764" t="s">
        <v>28432</v>
      </c>
      <c r="C8764" t="s">
        <v>28970</v>
      </c>
      <c r="D8764" t="s">
        <v>28971</v>
      </c>
      <c r="E8764">
        <v>2</v>
      </c>
      <c r="F8764" t="s">
        <v>28972</v>
      </c>
      <c r="G8764" t="s">
        <v>28435</v>
      </c>
      <c r="H8764" t="s">
        <v>28973</v>
      </c>
      <c r="I8764" t="s">
        <v>28974</v>
      </c>
    </row>
    <row r="8765" spans="1:9">
      <c r="A8765" t="str">
        <f>"0116678 "</f>
        <v xml:space="preserve">0116678 </v>
      </c>
      <c r="B8765" t="s">
        <v>28432</v>
      </c>
      <c r="C8765" t="s">
        <v>28975</v>
      </c>
      <c r="D8765" t="s">
        <v>28976</v>
      </c>
      <c r="E8765">
        <v>1</v>
      </c>
      <c r="F8765" t="s">
        <v>28626</v>
      </c>
      <c r="G8765" t="s">
        <v>28435</v>
      </c>
      <c r="H8765" t="s">
        <v>28977</v>
      </c>
      <c r="I8765" t="s">
        <v>28978</v>
      </c>
    </row>
    <row r="8766" spans="1:9">
      <c r="A8766" t="str">
        <f>"0086629 "</f>
        <v xml:space="preserve">0086629 </v>
      </c>
      <c r="B8766" t="s">
        <v>28432</v>
      </c>
      <c r="C8766" t="s">
        <v>28979</v>
      </c>
      <c r="D8766" t="s">
        <v>28980</v>
      </c>
      <c r="E8766">
        <v>1</v>
      </c>
      <c r="F8766" t="s">
        <v>28981</v>
      </c>
      <c r="G8766" t="s">
        <v>28435</v>
      </c>
      <c r="H8766" t="s">
        <v>28982</v>
      </c>
      <c r="I8766" t="s">
        <v>28983</v>
      </c>
    </row>
    <row r="8767" spans="1:9">
      <c r="A8767" t="str">
        <f>"0030116 "</f>
        <v xml:space="preserve">0030116 </v>
      </c>
      <c r="B8767" t="s">
        <v>28432</v>
      </c>
      <c r="C8767" t="s">
        <v>28984</v>
      </c>
      <c r="D8767" t="s">
        <v>28985</v>
      </c>
      <c r="E8767">
        <v>1</v>
      </c>
      <c r="F8767" t="s">
        <v>28986</v>
      </c>
      <c r="G8767" t="s">
        <v>28435</v>
      </c>
      <c r="H8767" t="s">
        <v>28987</v>
      </c>
      <c r="I8767" t="s">
        <v>28988</v>
      </c>
    </row>
    <row r="8768" spans="1:9">
      <c r="A8768" t="str">
        <f>"0030121 "</f>
        <v xml:space="preserve">0030121 </v>
      </c>
      <c r="B8768" t="s">
        <v>28432</v>
      </c>
      <c r="C8768" t="s">
        <v>28989</v>
      </c>
      <c r="D8768" t="s">
        <v>28990</v>
      </c>
      <c r="E8768">
        <v>5</v>
      </c>
      <c r="F8768" t="s">
        <v>28611</v>
      </c>
      <c r="G8768" t="s">
        <v>28435</v>
      </c>
      <c r="H8768" t="s">
        <v>28991</v>
      </c>
      <c r="I8768" t="s">
        <v>22891</v>
      </c>
    </row>
    <row r="8769" spans="1:9">
      <c r="A8769" t="str">
        <f>"0030122 "</f>
        <v xml:space="preserve">0030122 </v>
      </c>
      <c r="B8769" t="s">
        <v>28432</v>
      </c>
      <c r="C8769" t="s">
        <v>28992</v>
      </c>
      <c r="D8769" t="s">
        <v>28993</v>
      </c>
      <c r="E8769">
        <v>1</v>
      </c>
      <c r="F8769" t="s">
        <v>25503</v>
      </c>
      <c r="G8769" t="s">
        <v>28435</v>
      </c>
      <c r="H8769" t="s">
        <v>28994</v>
      </c>
      <c r="I8769" t="s">
        <v>28995</v>
      </c>
    </row>
    <row r="8770" spans="1:9">
      <c r="A8770" t="str">
        <f>"0030125 "</f>
        <v xml:space="preserve">0030125 </v>
      </c>
      <c r="B8770" t="s">
        <v>28432</v>
      </c>
      <c r="C8770" t="s">
        <v>28996</v>
      </c>
      <c r="D8770" t="s">
        <v>28997</v>
      </c>
      <c r="E8770">
        <v>4</v>
      </c>
      <c r="F8770" t="s">
        <v>28998</v>
      </c>
      <c r="G8770" t="s">
        <v>28435</v>
      </c>
      <c r="H8770" t="s">
        <v>28999</v>
      </c>
      <c r="I8770" t="s">
        <v>29000</v>
      </c>
    </row>
    <row r="8771" spans="1:9">
      <c r="A8771" t="str">
        <f>"0030126 "</f>
        <v xml:space="preserve">0030126 </v>
      </c>
      <c r="B8771" t="s">
        <v>28432</v>
      </c>
      <c r="C8771" t="s">
        <v>29001</v>
      </c>
      <c r="D8771" t="s">
        <v>29002</v>
      </c>
      <c r="E8771">
        <v>1</v>
      </c>
      <c r="F8771" t="s">
        <v>28661</v>
      </c>
      <c r="G8771" t="s">
        <v>28435</v>
      </c>
      <c r="H8771" t="s">
        <v>29003</v>
      </c>
      <c r="I8771" t="s">
        <v>29004</v>
      </c>
    </row>
    <row r="8772" spans="1:9">
      <c r="A8772" t="str">
        <f>"0030127 "</f>
        <v xml:space="preserve">0030127 </v>
      </c>
      <c r="B8772" t="s">
        <v>28432</v>
      </c>
      <c r="C8772" t="s">
        <v>29005</v>
      </c>
      <c r="D8772" t="s">
        <v>29006</v>
      </c>
      <c r="E8772">
        <v>1</v>
      </c>
      <c r="F8772" t="s">
        <v>6174</v>
      </c>
      <c r="G8772" t="s">
        <v>28435</v>
      </c>
      <c r="H8772" t="s">
        <v>29007</v>
      </c>
      <c r="I8772" t="s">
        <v>29008</v>
      </c>
    </row>
    <row r="8773" spans="1:9">
      <c r="A8773" t="str">
        <f>"0030129 "</f>
        <v xml:space="preserve">0030129 </v>
      </c>
      <c r="B8773" t="s">
        <v>28432</v>
      </c>
      <c r="C8773" t="s">
        <v>29009</v>
      </c>
      <c r="D8773" t="s">
        <v>29010</v>
      </c>
      <c r="E8773">
        <v>4</v>
      </c>
      <c r="F8773" t="s">
        <v>29011</v>
      </c>
      <c r="G8773" t="s">
        <v>28435</v>
      </c>
      <c r="H8773" t="s">
        <v>29012</v>
      </c>
      <c r="I8773" t="s">
        <v>29013</v>
      </c>
    </row>
    <row r="8774" spans="1:9">
      <c r="A8774" t="str">
        <f>"0086635 "</f>
        <v xml:space="preserve">0086635 </v>
      </c>
      <c r="B8774" t="s">
        <v>28432</v>
      </c>
      <c r="C8774" t="s">
        <v>29014</v>
      </c>
      <c r="D8774" t="s">
        <v>29015</v>
      </c>
      <c r="E8774">
        <v>2</v>
      </c>
      <c r="F8774" t="s">
        <v>3569</v>
      </c>
      <c r="G8774" t="s">
        <v>28435</v>
      </c>
      <c r="H8774" t="s">
        <v>29016</v>
      </c>
      <c r="I8774" t="s">
        <v>29017</v>
      </c>
    </row>
    <row r="8775" spans="1:9">
      <c r="A8775" t="str">
        <f>"0030131 "</f>
        <v xml:space="preserve">0030131 </v>
      </c>
      <c r="B8775" t="s">
        <v>28432</v>
      </c>
      <c r="C8775" t="s">
        <v>29018</v>
      </c>
      <c r="D8775" t="s">
        <v>29019</v>
      </c>
      <c r="E8775">
        <v>1</v>
      </c>
      <c r="F8775" t="s">
        <v>29020</v>
      </c>
      <c r="G8775" t="s">
        <v>28435</v>
      </c>
      <c r="H8775" t="s">
        <v>29021</v>
      </c>
      <c r="I8775" t="s">
        <v>29022</v>
      </c>
    </row>
    <row r="8776" spans="1:9">
      <c r="A8776" t="str">
        <f>"0030134 "</f>
        <v xml:space="preserve">0030134 </v>
      </c>
      <c r="B8776" t="s">
        <v>28432</v>
      </c>
      <c r="C8776" t="s">
        <v>29023</v>
      </c>
      <c r="D8776" t="s">
        <v>29024</v>
      </c>
      <c r="E8776">
        <v>2</v>
      </c>
      <c r="F8776" t="s">
        <v>29025</v>
      </c>
      <c r="G8776" t="s">
        <v>28435</v>
      </c>
      <c r="H8776" t="s">
        <v>29026</v>
      </c>
      <c r="I8776" t="s">
        <v>29027</v>
      </c>
    </row>
    <row r="8777" spans="1:9">
      <c r="A8777" t="str">
        <f>"0030135 "</f>
        <v xml:space="preserve">0030135 </v>
      </c>
      <c r="B8777" t="s">
        <v>28432</v>
      </c>
      <c r="C8777" t="s">
        <v>29028</v>
      </c>
      <c r="D8777" t="s">
        <v>29029</v>
      </c>
      <c r="E8777">
        <v>1</v>
      </c>
      <c r="F8777" t="s">
        <v>19475</v>
      </c>
      <c r="G8777" t="s">
        <v>28435</v>
      </c>
      <c r="H8777" t="s">
        <v>29030</v>
      </c>
      <c r="I8777" t="s">
        <v>29031</v>
      </c>
    </row>
    <row r="8778" spans="1:9">
      <c r="A8778" t="str">
        <f>"0030140 "</f>
        <v xml:space="preserve">0030140 </v>
      </c>
      <c r="B8778" t="s">
        <v>28432</v>
      </c>
      <c r="C8778" t="s">
        <v>29032</v>
      </c>
      <c r="D8778" t="s">
        <v>29033</v>
      </c>
      <c r="E8778">
        <v>5</v>
      </c>
      <c r="F8778" t="s">
        <v>28531</v>
      </c>
      <c r="G8778" t="s">
        <v>28435</v>
      </c>
      <c r="H8778" t="s">
        <v>29034</v>
      </c>
      <c r="I8778" t="s">
        <v>29035</v>
      </c>
    </row>
    <row r="8779" spans="1:9">
      <c r="A8779" t="str">
        <f>"0116681 "</f>
        <v xml:space="preserve">0116681 </v>
      </c>
      <c r="B8779" t="s">
        <v>28432</v>
      </c>
      <c r="C8779" t="s">
        <v>29036</v>
      </c>
      <c r="D8779" t="s">
        <v>29037</v>
      </c>
      <c r="E8779">
        <v>1</v>
      </c>
      <c r="F8779" t="s">
        <v>29038</v>
      </c>
      <c r="G8779" t="s">
        <v>28435</v>
      </c>
      <c r="H8779" t="s">
        <v>29039</v>
      </c>
      <c r="I8779" t="s">
        <v>29040</v>
      </c>
    </row>
    <row r="8780" spans="1:9">
      <c r="A8780" t="str">
        <f>"0159225 "</f>
        <v xml:space="preserve">0159225 </v>
      </c>
      <c r="B8780" t="s">
        <v>28432</v>
      </c>
      <c r="C8780" t="s">
        <v>29041</v>
      </c>
      <c r="D8780" t="s">
        <v>29042</v>
      </c>
      <c r="E8780">
        <v>1</v>
      </c>
      <c r="F8780" t="s">
        <v>29043</v>
      </c>
      <c r="G8780" t="s">
        <v>28435</v>
      </c>
      <c r="H8780" t="s">
        <v>29044</v>
      </c>
      <c r="I8780" t="s">
        <v>29045</v>
      </c>
    </row>
    <row r="8781" spans="1:9">
      <c r="A8781" t="str">
        <f>"0030148 "</f>
        <v xml:space="preserve">0030148 </v>
      </c>
      <c r="B8781" t="s">
        <v>28432</v>
      </c>
      <c r="C8781" t="s">
        <v>29046</v>
      </c>
      <c r="D8781" t="s">
        <v>29047</v>
      </c>
      <c r="E8781">
        <v>2</v>
      </c>
      <c r="F8781" t="s">
        <v>29048</v>
      </c>
      <c r="G8781" t="s">
        <v>28435</v>
      </c>
      <c r="H8781" t="s">
        <v>29049</v>
      </c>
      <c r="I8781" t="s">
        <v>29050</v>
      </c>
    </row>
    <row r="8782" spans="1:9">
      <c r="A8782" t="str">
        <f>"0030150 "</f>
        <v xml:space="preserve">0030150 </v>
      </c>
      <c r="B8782" t="s">
        <v>28432</v>
      </c>
      <c r="C8782" t="s">
        <v>29051</v>
      </c>
      <c r="D8782" t="s">
        <v>29052</v>
      </c>
      <c r="E8782">
        <v>3</v>
      </c>
      <c r="F8782" t="s">
        <v>29053</v>
      </c>
      <c r="G8782" t="s">
        <v>28435</v>
      </c>
      <c r="H8782" t="s">
        <v>29054</v>
      </c>
      <c r="I8782" t="s">
        <v>29055</v>
      </c>
    </row>
    <row r="8783" spans="1:9">
      <c r="A8783" t="str">
        <f>"0030152 "</f>
        <v xml:space="preserve">0030152 </v>
      </c>
      <c r="B8783" t="s">
        <v>28432</v>
      </c>
      <c r="C8783" t="s">
        <v>29056</v>
      </c>
      <c r="D8783" t="s">
        <v>29057</v>
      </c>
      <c r="E8783">
        <v>1</v>
      </c>
      <c r="F8783" t="s">
        <v>29058</v>
      </c>
      <c r="G8783" t="s">
        <v>28435</v>
      </c>
      <c r="H8783" t="s">
        <v>29059</v>
      </c>
      <c r="I8783" t="s">
        <v>29060</v>
      </c>
    </row>
    <row r="8784" spans="1:9">
      <c r="A8784" t="str">
        <f>"0030159 "</f>
        <v xml:space="preserve">0030159 </v>
      </c>
      <c r="B8784" t="s">
        <v>28432</v>
      </c>
      <c r="C8784" t="s">
        <v>29061</v>
      </c>
      <c r="D8784" t="s">
        <v>29062</v>
      </c>
      <c r="E8784">
        <v>1</v>
      </c>
      <c r="F8784" t="s">
        <v>29063</v>
      </c>
      <c r="G8784" t="s">
        <v>28435</v>
      </c>
      <c r="H8784" t="s">
        <v>29064</v>
      </c>
      <c r="I8784" t="s">
        <v>29065</v>
      </c>
    </row>
    <row r="8785" spans="1:9">
      <c r="A8785" t="str">
        <f>"0030168 "</f>
        <v xml:space="preserve">0030168 </v>
      </c>
      <c r="B8785" t="s">
        <v>28432</v>
      </c>
      <c r="C8785" t="s">
        <v>29066</v>
      </c>
      <c r="D8785" t="s">
        <v>29067</v>
      </c>
      <c r="E8785">
        <v>1</v>
      </c>
      <c r="F8785" t="s">
        <v>29068</v>
      </c>
      <c r="G8785" t="s">
        <v>28435</v>
      </c>
      <c r="H8785" t="s">
        <v>29069</v>
      </c>
      <c r="I8785" t="s">
        <v>29070</v>
      </c>
    </row>
    <row r="8786" spans="1:9">
      <c r="A8786" t="str">
        <f>"0030170 "</f>
        <v xml:space="preserve">0030170 </v>
      </c>
      <c r="B8786" t="s">
        <v>28432</v>
      </c>
      <c r="C8786" t="s">
        <v>29071</v>
      </c>
      <c r="D8786" t="s">
        <v>29072</v>
      </c>
      <c r="E8786">
        <v>1</v>
      </c>
      <c r="F8786" t="s">
        <v>29073</v>
      </c>
      <c r="G8786" t="s">
        <v>28435</v>
      </c>
      <c r="H8786" t="s">
        <v>29074</v>
      </c>
      <c r="I8786" t="s">
        <v>29075</v>
      </c>
    </row>
    <row r="8787" spans="1:9">
      <c r="A8787" t="str">
        <f>"0030172 "</f>
        <v xml:space="preserve">0030172 </v>
      </c>
      <c r="B8787" t="s">
        <v>28432</v>
      </c>
      <c r="C8787" t="s">
        <v>29076</v>
      </c>
      <c r="D8787" t="s">
        <v>29077</v>
      </c>
      <c r="E8787">
        <v>1</v>
      </c>
      <c r="F8787" t="s">
        <v>29078</v>
      </c>
      <c r="G8787" t="s">
        <v>28435</v>
      </c>
      <c r="H8787" t="s">
        <v>29079</v>
      </c>
      <c r="I8787" t="s">
        <v>29080</v>
      </c>
    </row>
    <row r="8788" spans="1:9">
      <c r="A8788" t="str">
        <f>"0030173 "</f>
        <v xml:space="preserve">0030173 </v>
      </c>
      <c r="B8788" t="s">
        <v>28432</v>
      </c>
      <c r="C8788" t="s">
        <v>29081</v>
      </c>
      <c r="D8788" t="s">
        <v>29082</v>
      </c>
      <c r="E8788">
        <v>1</v>
      </c>
      <c r="F8788" t="s">
        <v>29083</v>
      </c>
      <c r="G8788" t="s">
        <v>28435</v>
      </c>
      <c r="H8788" t="s">
        <v>29084</v>
      </c>
      <c r="I8788" t="s">
        <v>29085</v>
      </c>
    </row>
    <row r="8789" spans="1:9">
      <c r="A8789" t="str">
        <f>"0030174 "</f>
        <v xml:space="preserve">0030174 </v>
      </c>
      <c r="B8789" t="s">
        <v>28432</v>
      </c>
      <c r="C8789" t="s">
        <v>29086</v>
      </c>
      <c r="D8789" t="s">
        <v>29087</v>
      </c>
      <c r="E8789">
        <v>2</v>
      </c>
      <c r="F8789" t="s">
        <v>28824</v>
      </c>
      <c r="G8789" t="s">
        <v>28435</v>
      </c>
      <c r="H8789" t="s">
        <v>29088</v>
      </c>
      <c r="I8789" t="s">
        <v>29089</v>
      </c>
    </row>
    <row r="8790" spans="1:9">
      <c r="A8790" t="str">
        <f>"0030175 "</f>
        <v xml:space="preserve">0030175 </v>
      </c>
      <c r="B8790" t="s">
        <v>28432</v>
      </c>
      <c r="C8790" t="s">
        <v>29090</v>
      </c>
      <c r="D8790" t="s">
        <v>29091</v>
      </c>
      <c r="E8790" t="s">
        <v>16</v>
      </c>
      <c r="F8790" t="s">
        <v>29092</v>
      </c>
      <c r="G8790" t="s">
        <v>28435</v>
      </c>
      <c r="H8790" t="s">
        <v>29093</v>
      </c>
      <c r="I8790" t="s">
        <v>29094</v>
      </c>
    </row>
    <row r="8791" spans="1:9">
      <c r="A8791" t="str">
        <f>"0030177 "</f>
        <v xml:space="preserve">0030177 </v>
      </c>
      <c r="B8791" t="s">
        <v>28432</v>
      </c>
      <c r="C8791" t="s">
        <v>29095</v>
      </c>
      <c r="D8791" t="s">
        <v>29096</v>
      </c>
      <c r="E8791">
        <v>1</v>
      </c>
      <c r="F8791" t="s">
        <v>28638</v>
      </c>
      <c r="G8791" t="s">
        <v>28435</v>
      </c>
      <c r="H8791" t="s">
        <v>29097</v>
      </c>
      <c r="I8791" t="s">
        <v>29098</v>
      </c>
    </row>
    <row r="8792" spans="1:9">
      <c r="A8792" t="str">
        <f>"0030187 "</f>
        <v xml:space="preserve">0030187 </v>
      </c>
      <c r="B8792" t="s">
        <v>28432</v>
      </c>
      <c r="C8792" t="s">
        <v>29099</v>
      </c>
      <c r="D8792" t="s">
        <v>29100</v>
      </c>
      <c r="E8792">
        <v>1</v>
      </c>
      <c r="F8792" t="s">
        <v>29101</v>
      </c>
      <c r="G8792" t="s">
        <v>28435</v>
      </c>
      <c r="H8792" t="s">
        <v>29102</v>
      </c>
      <c r="I8792" t="s">
        <v>29103</v>
      </c>
    </row>
    <row r="8793" spans="1:9">
      <c r="A8793" t="str">
        <f>"0030190 "</f>
        <v xml:space="preserve">0030190 </v>
      </c>
      <c r="B8793" t="s">
        <v>28432</v>
      </c>
      <c r="C8793" t="s">
        <v>29104</v>
      </c>
      <c r="D8793" t="s">
        <v>29105</v>
      </c>
      <c r="E8793" t="s">
        <v>16</v>
      </c>
      <c r="F8793" t="s">
        <v>29106</v>
      </c>
      <c r="G8793" t="s">
        <v>28435</v>
      </c>
      <c r="H8793" t="s">
        <v>29107</v>
      </c>
      <c r="I8793" t="s">
        <v>11772</v>
      </c>
    </row>
    <row r="8794" spans="1:9">
      <c r="A8794" t="str">
        <f>"0030199 "</f>
        <v xml:space="preserve">0030199 </v>
      </c>
      <c r="B8794" t="s">
        <v>28432</v>
      </c>
      <c r="C8794" t="s">
        <v>29108</v>
      </c>
      <c r="D8794" t="s">
        <v>29109</v>
      </c>
      <c r="E8794">
        <v>1</v>
      </c>
      <c r="F8794" t="s">
        <v>28806</v>
      </c>
      <c r="G8794" t="s">
        <v>28435</v>
      </c>
      <c r="H8794" t="s">
        <v>29110</v>
      </c>
      <c r="I8794" t="s">
        <v>29111</v>
      </c>
    </row>
    <row r="8795" spans="1:9">
      <c r="A8795" t="str">
        <f>"0030203 "</f>
        <v xml:space="preserve">0030203 </v>
      </c>
      <c r="B8795" t="s">
        <v>28432</v>
      </c>
      <c r="C8795" t="s">
        <v>29112</v>
      </c>
      <c r="D8795" t="s">
        <v>29113</v>
      </c>
      <c r="E8795">
        <v>2</v>
      </c>
      <c r="F8795" t="s">
        <v>28814</v>
      </c>
      <c r="G8795" t="s">
        <v>28435</v>
      </c>
      <c r="H8795" t="s">
        <v>29114</v>
      </c>
      <c r="I8795" t="s">
        <v>22817</v>
      </c>
    </row>
    <row r="8796" spans="1:9">
      <c r="A8796" t="str">
        <f>"0030204 "</f>
        <v xml:space="preserve">0030204 </v>
      </c>
      <c r="B8796" t="s">
        <v>28432</v>
      </c>
      <c r="C8796" t="s">
        <v>29115</v>
      </c>
      <c r="D8796" t="s">
        <v>29116</v>
      </c>
      <c r="E8796">
        <v>3</v>
      </c>
      <c r="F8796" t="s">
        <v>29117</v>
      </c>
      <c r="G8796" t="s">
        <v>28435</v>
      </c>
      <c r="H8796" t="s">
        <v>29118</v>
      </c>
      <c r="I8796" t="s">
        <v>29119</v>
      </c>
    </row>
    <row r="8797" spans="1:9">
      <c r="A8797" t="str">
        <f>"0030206 "</f>
        <v xml:space="preserve">0030206 </v>
      </c>
      <c r="B8797" t="s">
        <v>28432</v>
      </c>
      <c r="C8797" t="s">
        <v>29120</v>
      </c>
      <c r="D8797" t="s">
        <v>29121</v>
      </c>
      <c r="E8797">
        <v>4</v>
      </c>
      <c r="F8797" t="s">
        <v>28553</v>
      </c>
      <c r="G8797" t="s">
        <v>28435</v>
      </c>
      <c r="H8797" t="s">
        <v>29122</v>
      </c>
      <c r="I8797" t="s">
        <v>29123</v>
      </c>
    </row>
    <row r="8798" spans="1:9">
      <c r="A8798" t="str">
        <f>"0030207 "</f>
        <v xml:space="preserve">0030207 </v>
      </c>
      <c r="B8798" t="s">
        <v>28432</v>
      </c>
      <c r="C8798" t="s">
        <v>29124</v>
      </c>
      <c r="D8798" t="s">
        <v>29125</v>
      </c>
      <c r="E8798">
        <v>1</v>
      </c>
      <c r="F8798" t="s">
        <v>29126</v>
      </c>
      <c r="G8798" t="s">
        <v>28435</v>
      </c>
      <c r="H8798" t="s">
        <v>29127</v>
      </c>
      <c r="I8798" t="s">
        <v>29128</v>
      </c>
    </row>
    <row r="8799" spans="1:9">
      <c r="A8799" t="str">
        <f>"0030209 "</f>
        <v xml:space="preserve">0030209 </v>
      </c>
      <c r="B8799" t="s">
        <v>28432</v>
      </c>
      <c r="C8799" t="s">
        <v>29129</v>
      </c>
      <c r="D8799" t="s">
        <v>29130</v>
      </c>
      <c r="E8799">
        <v>1</v>
      </c>
      <c r="F8799" t="s">
        <v>29131</v>
      </c>
      <c r="G8799" t="s">
        <v>28435</v>
      </c>
      <c r="H8799" t="s">
        <v>29132</v>
      </c>
      <c r="I8799" t="s">
        <v>29133</v>
      </c>
    </row>
    <row r="8800" spans="1:9">
      <c r="A8800" t="str">
        <f>"0030212 "</f>
        <v xml:space="preserve">0030212 </v>
      </c>
      <c r="B8800" t="s">
        <v>28432</v>
      </c>
      <c r="C8800" t="s">
        <v>29134</v>
      </c>
      <c r="D8800" t="s">
        <v>29135</v>
      </c>
      <c r="E8800">
        <v>1</v>
      </c>
      <c r="F8800" t="s">
        <v>29136</v>
      </c>
      <c r="G8800" t="s">
        <v>28435</v>
      </c>
      <c r="H8800" t="s">
        <v>29137</v>
      </c>
      <c r="I8800" t="s">
        <v>29138</v>
      </c>
    </row>
    <row r="8801" spans="1:9">
      <c r="A8801" t="str">
        <f>"0030217 "</f>
        <v xml:space="preserve">0030217 </v>
      </c>
      <c r="B8801" t="s">
        <v>28432</v>
      </c>
      <c r="C8801" t="s">
        <v>29139</v>
      </c>
      <c r="D8801" t="s">
        <v>29140</v>
      </c>
      <c r="E8801">
        <v>1</v>
      </c>
      <c r="F8801" t="s">
        <v>29141</v>
      </c>
      <c r="G8801" t="s">
        <v>28435</v>
      </c>
      <c r="H8801" t="s">
        <v>29142</v>
      </c>
      <c r="I8801" t="s">
        <v>29143</v>
      </c>
    </row>
    <row r="8802" spans="1:9">
      <c r="A8802" t="str">
        <f>"0030224 "</f>
        <v xml:space="preserve">0030224 </v>
      </c>
      <c r="B8802" t="s">
        <v>28432</v>
      </c>
      <c r="C8802" t="s">
        <v>29144</v>
      </c>
      <c r="D8802" t="s">
        <v>29145</v>
      </c>
      <c r="E8802">
        <v>1</v>
      </c>
      <c r="F8802" t="s">
        <v>29146</v>
      </c>
      <c r="G8802" t="s">
        <v>28435</v>
      </c>
      <c r="H8802" t="s">
        <v>29147</v>
      </c>
      <c r="I8802" t="s">
        <v>29148</v>
      </c>
    </row>
    <row r="8803" spans="1:9">
      <c r="A8803" t="str">
        <f>"0030230 "</f>
        <v xml:space="preserve">0030230 </v>
      </c>
      <c r="B8803" t="s">
        <v>28432</v>
      </c>
      <c r="C8803" t="s">
        <v>29149</v>
      </c>
      <c r="D8803" t="s">
        <v>29150</v>
      </c>
      <c r="E8803">
        <v>1</v>
      </c>
      <c r="F8803" t="s">
        <v>29151</v>
      </c>
      <c r="G8803" t="s">
        <v>28435</v>
      </c>
      <c r="H8803" t="s">
        <v>29152</v>
      </c>
      <c r="I8803" t="s">
        <v>1169</v>
      </c>
    </row>
    <row r="8804" spans="1:9">
      <c r="A8804" t="str">
        <f>"0030233 "</f>
        <v xml:space="preserve">0030233 </v>
      </c>
      <c r="B8804" t="s">
        <v>28432</v>
      </c>
      <c r="C8804" t="s">
        <v>29153</v>
      </c>
      <c r="D8804" t="s">
        <v>29154</v>
      </c>
      <c r="E8804">
        <v>2</v>
      </c>
      <c r="F8804" t="s">
        <v>29155</v>
      </c>
      <c r="G8804" t="s">
        <v>28435</v>
      </c>
      <c r="H8804" t="s">
        <v>29156</v>
      </c>
      <c r="I8804" t="s">
        <v>29157</v>
      </c>
    </row>
    <row r="8805" spans="1:9">
      <c r="A8805" t="str">
        <f>"0030235 "</f>
        <v xml:space="preserve">0030235 </v>
      </c>
      <c r="B8805" t="s">
        <v>28432</v>
      </c>
      <c r="C8805" t="s">
        <v>29158</v>
      </c>
      <c r="D8805" t="s">
        <v>29159</v>
      </c>
      <c r="E8805">
        <v>1</v>
      </c>
      <c r="F8805" t="s">
        <v>29160</v>
      </c>
      <c r="G8805" t="s">
        <v>28435</v>
      </c>
      <c r="H8805" t="s">
        <v>29161</v>
      </c>
      <c r="I8805" t="s">
        <v>29162</v>
      </c>
    </row>
    <row r="8806" spans="1:9">
      <c r="A8806" t="str">
        <f>"0030238 "</f>
        <v xml:space="preserve">0030238 </v>
      </c>
      <c r="B8806" t="s">
        <v>28432</v>
      </c>
      <c r="C8806" t="s">
        <v>29163</v>
      </c>
      <c r="D8806" t="s">
        <v>29164</v>
      </c>
      <c r="E8806">
        <v>1</v>
      </c>
      <c r="F8806" t="s">
        <v>29165</v>
      </c>
      <c r="G8806" t="s">
        <v>28435</v>
      </c>
      <c r="H8806" t="s">
        <v>29166</v>
      </c>
      <c r="I8806" t="s">
        <v>29167</v>
      </c>
    </row>
    <row r="8807" spans="1:9">
      <c r="A8807" t="str">
        <f>"0030240 "</f>
        <v xml:space="preserve">0030240 </v>
      </c>
      <c r="B8807" t="s">
        <v>28432</v>
      </c>
      <c r="C8807" t="s">
        <v>29168</v>
      </c>
      <c r="D8807" t="s">
        <v>29169</v>
      </c>
      <c r="E8807">
        <v>2</v>
      </c>
      <c r="F8807" t="s">
        <v>23948</v>
      </c>
      <c r="G8807" t="s">
        <v>28435</v>
      </c>
      <c r="H8807" t="s">
        <v>29170</v>
      </c>
      <c r="I8807" t="s">
        <v>29171</v>
      </c>
    </row>
    <row r="8808" spans="1:9">
      <c r="A8808" t="str">
        <f>"0030242 "</f>
        <v xml:space="preserve">0030242 </v>
      </c>
      <c r="B8808" t="s">
        <v>28432</v>
      </c>
      <c r="C8808" t="s">
        <v>29172</v>
      </c>
      <c r="D8808" t="s">
        <v>29173</v>
      </c>
      <c r="E8808">
        <v>1</v>
      </c>
      <c r="F8808" t="s">
        <v>29174</v>
      </c>
      <c r="G8808" t="s">
        <v>28435</v>
      </c>
      <c r="H8808" t="s">
        <v>29175</v>
      </c>
      <c r="I8808" t="s">
        <v>29176</v>
      </c>
    </row>
    <row r="8809" spans="1:9">
      <c r="A8809" t="str">
        <f>"0030243 "</f>
        <v xml:space="preserve">0030243 </v>
      </c>
      <c r="B8809" t="s">
        <v>28432</v>
      </c>
      <c r="C8809" t="s">
        <v>29177</v>
      </c>
      <c r="D8809" t="s">
        <v>29178</v>
      </c>
      <c r="E8809">
        <v>2</v>
      </c>
      <c r="F8809" t="s">
        <v>29179</v>
      </c>
      <c r="G8809" t="s">
        <v>28435</v>
      </c>
      <c r="H8809" t="s">
        <v>29180</v>
      </c>
      <c r="I8809" t="s">
        <v>29181</v>
      </c>
    </row>
    <row r="8810" spans="1:9">
      <c r="A8810" t="str">
        <f>"0030244 "</f>
        <v xml:space="preserve">0030244 </v>
      </c>
      <c r="B8810" t="s">
        <v>28432</v>
      </c>
      <c r="C8810" t="s">
        <v>29182</v>
      </c>
      <c r="D8810" t="s">
        <v>29183</v>
      </c>
      <c r="E8810">
        <v>5</v>
      </c>
      <c r="F8810" t="s">
        <v>29184</v>
      </c>
      <c r="G8810" t="s">
        <v>28435</v>
      </c>
      <c r="H8810" t="s">
        <v>29185</v>
      </c>
      <c r="I8810" t="s">
        <v>29186</v>
      </c>
    </row>
    <row r="8811" spans="1:9">
      <c r="A8811" t="str">
        <f>"0030245 "</f>
        <v xml:space="preserve">0030245 </v>
      </c>
      <c r="B8811" t="s">
        <v>28432</v>
      </c>
      <c r="C8811" t="s">
        <v>29187</v>
      </c>
      <c r="D8811" t="s">
        <v>29188</v>
      </c>
      <c r="E8811" t="s">
        <v>16</v>
      </c>
      <c r="F8811" t="s">
        <v>29189</v>
      </c>
      <c r="G8811" t="s">
        <v>28435</v>
      </c>
      <c r="H8811" t="s">
        <v>29190</v>
      </c>
      <c r="I8811" t="s">
        <v>29191</v>
      </c>
    </row>
    <row r="8812" spans="1:9">
      <c r="A8812" t="str">
        <f>"0030254 "</f>
        <v xml:space="preserve">0030254 </v>
      </c>
      <c r="B8812" t="s">
        <v>28432</v>
      </c>
      <c r="C8812" t="s">
        <v>29192</v>
      </c>
      <c r="D8812" t="s">
        <v>29193</v>
      </c>
      <c r="E8812">
        <v>1</v>
      </c>
      <c r="F8812" t="s">
        <v>29194</v>
      </c>
      <c r="G8812" t="s">
        <v>28435</v>
      </c>
      <c r="H8812" t="s">
        <v>29195</v>
      </c>
      <c r="I8812" t="s">
        <v>29196</v>
      </c>
    </row>
    <row r="8813" spans="1:9">
      <c r="A8813" t="str">
        <f>"0030256 "</f>
        <v xml:space="preserve">0030256 </v>
      </c>
      <c r="B8813" t="s">
        <v>28432</v>
      </c>
      <c r="C8813" t="s">
        <v>29197</v>
      </c>
      <c r="D8813" t="s">
        <v>29198</v>
      </c>
      <c r="E8813">
        <v>1</v>
      </c>
      <c r="F8813" t="s">
        <v>28565</v>
      </c>
      <c r="G8813" t="s">
        <v>28435</v>
      </c>
      <c r="H8813" t="s">
        <v>29199</v>
      </c>
      <c r="I8813" t="s">
        <v>29200</v>
      </c>
    </row>
    <row r="8814" spans="1:9">
      <c r="A8814" t="str">
        <f>"0030260 "</f>
        <v xml:space="preserve">0030260 </v>
      </c>
      <c r="B8814" t="s">
        <v>28432</v>
      </c>
      <c r="C8814" t="s">
        <v>29201</v>
      </c>
      <c r="D8814" t="s">
        <v>29202</v>
      </c>
      <c r="E8814">
        <v>1</v>
      </c>
      <c r="F8814" t="s">
        <v>29203</v>
      </c>
      <c r="G8814" t="s">
        <v>28435</v>
      </c>
      <c r="H8814" t="s">
        <v>29204</v>
      </c>
      <c r="I8814" t="s">
        <v>29205</v>
      </c>
    </row>
    <row r="8815" spans="1:9">
      <c r="A8815" t="str">
        <f>"0030262 "</f>
        <v xml:space="preserve">0030262 </v>
      </c>
      <c r="B8815" t="s">
        <v>28432</v>
      </c>
      <c r="C8815" t="s">
        <v>29206</v>
      </c>
      <c r="D8815" t="s">
        <v>29207</v>
      </c>
      <c r="E8815">
        <v>1</v>
      </c>
      <c r="F8815" t="s">
        <v>28459</v>
      </c>
      <c r="G8815" t="s">
        <v>28435</v>
      </c>
      <c r="H8815" t="s">
        <v>29208</v>
      </c>
      <c r="I8815" t="s">
        <v>29209</v>
      </c>
    </row>
    <row r="8816" spans="1:9">
      <c r="A8816" t="str">
        <f>"0030277 "</f>
        <v xml:space="preserve">0030277 </v>
      </c>
      <c r="B8816" t="s">
        <v>28432</v>
      </c>
      <c r="C8816" t="s">
        <v>29210</v>
      </c>
      <c r="D8816" t="s">
        <v>29211</v>
      </c>
      <c r="E8816">
        <v>2</v>
      </c>
      <c r="F8816" t="s">
        <v>29212</v>
      </c>
      <c r="G8816" t="s">
        <v>28435</v>
      </c>
      <c r="H8816" t="s">
        <v>29213</v>
      </c>
      <c r="I8816" t="s">
        <v>29214</v>
      </c>
    </row>
    <row r="8817" spans="1:9">
      <c r="A8817" t="str">
        <f>"0030281 "</f>
        <v xml:space="preserve">0030281 </v>
      </c>
      <c r="B8817" t="s">
        <v>28432</v>
      </c>
      <c r="C8817" t="s">
        <v>29215</v>
      </c>
      <c r="D8817" t="s">
        <v>29216</v>
      </c>
      <c r="E8817">
        <v>2</v>
      </c>
      <c r="F8817" t="s">
        <v>29217</v>
      </c>
      <c r="G8817" t="s">
        <v>28435</v>
      </c>
      <c r="H8817" t="s">
        <v>29218</v>
      </c>
      <c r="I8817" t="s">
        <v>843</v>
      </c>
    </row>
    <row r="8818" spans="1:9">
      <c r="A8818" t="str">
        <f>"0030284 "</f>
        <v xml:space="preserve">0030284 </v>
      </c>
      <c r="B8818" t="s">
        <v>28432</v>
      </c>
      <c r="C8818" t="s">
        <v>29219</v>
      </c>
      <c r="D8818" t="s">
        <v>29220</v>
      </c>
      <c r="E8818">
        <v>2</v>
      </c>
      <c r="F8818" t="s">
        <v>29221</v>
      </c>
      <c r="G8818" t="s">
        <v>28435</v>
      </c>
      <c r="H8818" t="s">
        <v>29222</v>
      </c>
      <c r="I8818" t="s">
        <v>29223</v>
      </c>
    </row>
    <row r="8819" spans="1:9">
      <c r="A8819" t="str">
        <f>"0030286 "</f>
        <v xml:space="preserve">0030286 </v>
      </c>
      <c r="B8819" t="s">
        <v>28432</v>
      </c>
      <c r="C8819" t="s">
        <v>29224</v>
      </c>
      <c r="D8819" t="s">
        <v>29225</v>
      </c>
      <c r="E8819">
        <v>2</v>
      </c>
      <c r="F8819" t="s">
        <v>29226</v>
      </c>
      <c r="G8819" t="s">
        <v>28435</v>
      </c>
      <c r="H8819" t="s">
        <v>29227</v>
      </c>
      <c r="I8819" t="s">
        <v>29228</v>
      </c>
    </row>
    <row r="8820" spans="1:9">
      <c r="A8820" t="str">
        <f>"0030287 "</f>
        <v xml:space="preserve">0030287 </v>
      </c>
      <c r="B8820" t="s">
        <v>28432</v>
      </c>
      <c r="C8820" t="s">
        <v>29229</v>
      </c>
      <c r="D8820" t="s">
        <v>29230</v>
      </c>
      <c r="E8820">
        <v>1</v>
      </c>
      <c r="F8820" t="s">
        <v>10313</v>
      </c>
      <c r="G8820" t="s">
        <v>28435</v>
      </c>
      <c r="H8820" t="s">
        <v>29231</v>
      </c>
      <c r="I8820" t="s">
        <v>29232</v>
      </c>
    </row>
    <row r="8821" spans="1:9">
      <c r="A8821" t="str">
        <f>"0030288 "</f>
        <v xml:space="preserve">0030288 </v>
      </c>
      <c r="B8821" t="s">
        <v>28432</v>
      </c>
      <c r="C8821" t="s">
        <v>29233</v>
      </c>
      <c r="D8821" t="s">
        <v>29234</v>
      </c>
      <c r="E8821">
        <v>1</v>
      </c>
      <c r="F8821" t="s">
        <v>218</v>
      </c>
      <c r="G8821" t="s">
        <v>28435</v>
      </c>
      <c r="H8821" t="s">
        <v>29235</v>
      </c>
      <c r="I8821" t="s">
        <v>29236</v>
      </c>
    </row>
    <row r="8822" spans="1:9">
      <c r="A8822" t="str">
        <f>"0030292 "</f>
        <v xml:space="preserve">0030292 </v>
      </c>
      <c r="B8822" t="s">
        <v>28432</v>
      </c>
      <c r="C8822" t="s">
        <v>29237</v>
      </c>
      <c r="D8822" t="s">
        <v>29238</v>
      </c>
      <c r="E8822">
        <v>1</v>
      </c>
      <c r="F8822" t="s">
        <v>29239</v>
      </c>
      <c r="G8822" t="s">
        <v>28435</v>
      </c>
      <c r="H8822" t="s">
        <v>29240</v>
      </c>
      <c r="I8822" t="s">
        <v>29241</v>
      </c>
    </row>
    <row r="8823" spans="1:9">
      <c r="A8823" t="str">
        <f>"0030297 "</f>
        <v xml:space="preserve">0030297 </v>
      </c>
      <c r="B8823" t="s">
        <v>28432</v>
      </c>
      <c r="C8823" t="s">
        <v>29242</v>
      </c>
      <c r="D8823" t="s">
        <v>29243</v>
      </c>
      <c r="E8823">
        <v>3</v>
      </c>
      <c r="F8823" t="s">
        <v>29244</v>
      </c>
      <c r="G8823" t="s">
        <v>28435</v>
      </c>
      <c r="H8823" t="s">
        <v>29245</v>
      </c>
      <c r="I8823" t="s">
        <v>1188</v>
      </c>
    </row>
    <row r="8824" spans="1:9">
      <c r="A8824" t="str">
        <f>"0202086 "</f>
        <v xml:space="preserve">0202086 </v>
      </c>
      <c r="B8824" t="s">
        <v>28432</v>
      </c>
      <c r="C8824" t="s">
        <v>29246</v>
      </c>
      <c r="D8824" t="s">
        <v>29247</v>
      </c>
      <c r="E8824">
        <v>1</v>
      </c>
      <c r="F8824" t="s">
        <v>29248</v>
      </c>
      <c r="G8824" t="s">
        <v>28435</v>
      </c>
      <c r="H8824" t="s">
        <v>29249</v>
      </c>
      <c r="I8824" t="s">
        <v>29250</v>
      </c>
    </row>
    <row r="8825" spans="1:9">
      <c r="A8825" t="str">
        <f>"0030298 "</f>
        <v xml:space="preserve">0030298 </v>
      </c>
      <c r="B8825" t="s">
        <v>28432</v>
      </c>
      <c r="C8825" t="s">
        <v>29251</v>
      </c>
      <c r="D8825" t="s">
        <v>29252</v>
      </c>
      <c r="E8825">
        <v>3</v>
      </c>
      <c r="F8825" t="s">
        <v>29253</v>
      </c>
      <c r="G8825" t="s">
        <v>28435</v>
      </c>
      <c r="H8825" t="s">
        <v>29254</v>
      </c>
      <c r="I8825" t="s">
        <v>29255</v>
      </c>
    </row>
    <row r="8826" spans="1:9">
      <c r="A8826" t="str">
        <f>"0030304 "</f>
        <v xml:space="preserve">0030304 </v>
      </c>
      <c r="B8826" t="s">
        <v>28432</v>
      </c>
      <c r="C8826" t="s">
        <v>29256</v>
      </c>
      <c r="D8826" t="s">
        <v>29257</v>
      </c>
      <c r="E8826">
        <v>2</v>
      </c>
      <c r="F8826" t="s">
        <v>29258</v>
      </c>
      <c r="G8826" t="s">
        <v>28435</v>
      </c>
      <c r="H8826" t="s">
        <v>29259</v>
      </c>
      <c r="I8826" t="s">
        <v>29260</v>
      </c>
    </row>
    <row r="8827" spans="1:9">
      <c r="A8827" t="str">
        <f>"0030305 "</f>
        <v xml:space="preserve">0030305 </v>
      </c>
      <c r="B8827" t="s">
        <v>28432</v>
      </c>
      <c r="C8827" t="s">
        <v>29261</v>
      </c>
      <c r="D8827" t="s">
        <v>29262</v>
      </c>
      <c r="E8827">
        <v>4</v>
      </c>
      <c r="F8827" t="s">
        <v>29263</v>
      </c>
      <c r="G8827" t="s">
        <v>28435</v>
      </c>
      <c r="H8827" t="s">
        <v>29264</v>
      </c>
      <c r="I8827" t="s">
        <v>29265</v>
      </c>
    </row>
    <row r="8828" spans="1:9">
      <c r="A8828" t="str">
        <f>"0030313 "</f>
        <v xml:space="preserve">0030313 </v>
      </c>
      <c r="B8828" t="s">
        <v>28432</v>
      </c>
      <c r="C8828" t="s">
        <v>29266</v>
      </c>
      <c r="D8828" t="s">
        <v>29267</v>
      </c>
      <c r="E8828">
        <v>1</v>
      </c>
      <c r="F8828" t="s">
        <v>29268</v>
      </c>
      <c r="G8828" t="s">
        <v>28435</v>
      </c>
      <c r="H8828" t="s">
        <v>29269</v>
      </c>
      <c r="I8828" t="s">
        <v>29270</v>
      </c>
    </row>
    <row r="8829" spans="1:9">
      <c r="A8829" t="str">
        <f>"0086639 "</f>
        <v xml:space="preserve">0086639 </v>
      </c>
      <c r="B8829" t="s">
        <v>28432</v>
      </c>
      <c r="C8829" t="s">
        <v>29271</v>
      </c>
      <c r="D8829" t="s">
        <v>29272</v>
      </c>
      <c r="E8829">
        <v>2</v>
      </c>
      <c r="F8829" t="s">
        <v>29273</v>
      </c>
      <c r="G8829" t="s">
        <v>28435</v>
      </c>
      <c r="H8829" t="s">
        <v>29274</v>
      </c>
      <c r="I8829" t="s">
        <v>29275</v>
      </c>
    </row>
    <row r="8830" spans="1:9">
      <c r="A8830" t="str">
        <f>"0030318 "</f>
        <v xml:space="preserve">0030318 </v>
      </c>
      <c r="B8830" t="s">
        <v>28432</v>
      </c>
      <c r="C8830" t="s">
        <v>29276</v>
      </c>
      <c r="D8830" t="s">
        <v>29277</v>
      </c>
      <c r="E8830">
        <v>3</v>
      </c>
      <c r="F8830" t="s">
        <v>29278</v>
      </c>
      <c r="G8830" t="s">
        <v>28435</v>
      </c>
      <c r="H8830" t="s">
        <v>29279</v>
      </c>
      <c r="I8830" t="s">
        <v>29280</v>
      </c>
    </row>
    <row r="8831" spans="1:9">
      <c r="A8831" t="str">
        <f>"0030323 "</f>
        <v xml:space="preserve">0030323 </v>
      </c>
      <c r="B8831" t="s">
        <v>28432</v>
      </c>
      <c r="C8831" t="s">
        <v>29281</v>
      </c>
      <c r="D8831" t="s">
        <v>29282</v>
      </c>
      <c r="E8831">
        <v>2</v>
      </c>
      <c r="F8831" t="s">
        <v>29273</v>
      </c>
      <c r="G8831" t="s">
        <v>28435</v>
      </c>
      <c r="H8831" t="s">
        <v>29283</v>
      </c>
      <c r="I8831" t="s">
        <v>29284</v>
      </c>
    </row>
    <row r="8832" spans="1:9">
      <c r="A8832" t="str">
        <f>"0030324 "</f>
        <v xml:space="preserve">0030324 </v>
      </c>
      <c r="B8832" t="s">
        <v>28432</v>
      </c>
      <c r="C8832" t="s">
        <v>29285</v>
      </c>
      <c r="D8832" t="s">
        <v>29286</v>
      </c>
      <c r="E8832">
        <v>1</v>
      </c>
      <c r="F8832" t="s">
        <v>29287</v>
      </c>
      <c r="G8832" t="s">
        <v>28435</v>
      </c>
      <c r="H8832" t="s">
        <v>29288</v>
      </c>
      <c r="I8832" t="s">
        <v>29289</v>
      </c>
    </row>
    <row r="8833" spans="1:9">
      <c r="A8833" t="str">
        <f>"0030326 "</f>
        <v xml:space="preserve">0030326 </v>
      </c>
      <c r="B8833" t="s">
        <v>28432</v>
      </c>
      <c r="C8833" t="s">
        <v>29290</v>
      </c>
      <c r="D8833" t="s">
        <v>29291</v>
      </c>
      <c r="E8833">
        <v>1</v>
      </c>
      <c r="F8833" t="s">
        <v>29292</v>
      </c>
      <c r="G8833" t="s">
        <v>28435</v>
      </c>
      <c r="H8833" t="s">
        <v>29293</v>
      </c>
      <c r="I8833" t="s">
        <v>1194</v>
      </c>
    </row>
    <row r="8834" spans="1:9">
      <c r="A8834" t="str">
        <f>"0086640 "</f>
        <v xml:space="preserve">0086640 </v>
      </c>
      <c r="B8834" t="s">
        <v>28432</v>
      </c>
      <c r="C8834" t="s">
        <v>29294</v>
      </c>
      <c r="D8834" t="s">
        <v>29295</v>
      </c>
      <c r="E8834">
        <v>1</v>
      </c>
      <c r="F8834" t="s">
        <v>29296</v>
      </c>
      <c r="G8834" t="s">
        <v>28435</v>
      </c>
      <c r="H8834" t="s">
        <v>29297</v>
      </c>
      <c r="I8834" t="s">
        <v>29298</v>
      </c>
    </row>
    <row r="8835" spans="1:9">
      <c r="A8835" t="str">
        <f>"0202105 "</f>
        <v xml:space="preserve">0202105 </v>
      </c>
      <c r="B8835" t="s">
        <v>28432</v>
      </c>
      <c r="C8835" t="s">
        <v>29299</v>
      </c>
      <c r="D8835" t="s">
        <v>29300</v>
      </c>
      <c r="E8835">
        <v>2</v>
      </c>
      <c r="F8835" t="s">
        <v>29301</v>
      </c>
      <c r="G8835" t="s">
        <v>28435</v>
      </c>
      <c r="H8835" t="s">
        <v>29302</v>
      </c>
      <c r="I8835" t="s">
        <v>29303</v>
      </c>
    </row>
    <row r="8836" spans="1:9">
      <c r="A8836" t="str">
        <f>"0188083 "</f>
        <v xml:space="preserve">0188083 </v>
      </c>
      <c r="B8836" t="s">
        <v>28432</v>
      </c>
      <c r="C8836" t="s">
        <v>29304</v>
      </c>
      <c r="D8836" t="s">
        <v>29305</v>
      </c>
      <c r="E8836">
        <v>2</v>
      </c>
      <c r="F8836" t="s">
        <v>29306</v>
      </c>
      <c r="G8836" t="s">
        <v>28435</v>
      </c>
      <c r="H8836" t="s">
        <v>29307</v>
      </c>
      <c r="I8836" t="s">
        <v>29308</v>
      </c>
    </row>
    <row r="8837" spans="1:9">
      <c r="A8837" t="str">
        <f>"0030330 "</f>
        <v xml:space="preserve">0030330 </v>
      </c>
      <c r="B8837" t="s">
        <v>28432</v>
      </c>
      <c r="C8837" t="s">
        <v>29309</v>
      </c>
      <c r="D8837" t="s">
        <v>29310</v>
      </c>
      <c r="E8837">
        <v>2</v>
      </c>
      <c r="F8837" t="s">
        <v>2921</v>
      </c>
      <c r="G8837" t="s">
        <v>28435</v>
      </c>
      <c r="H8837" t="s">
        <v>29311</v>
      </c>
      <c r="I8837" t="s">
        <v>29312</v>
      </c>
    </row>
    <row r="8838" spans="1:9">
      <c r="A8838" t="str">
        <f>"0030331 "</f>
        <v xml:space="preserve">0030331 </v>
      </c>
      <c r="B8838" t="s">
        <v>28432</v>
      </c>
      <c r="C8838" t="s">
        <v>29313</v>
      </c>
      <c r="D8838" t="s">
        <v>29314</v>
      </c>
      <c r="E8838">
        <v>1</v>
      </c>
      <c r="F8838" t="s">
        <v>29315</v>
      </c>
      <c r="G8838" t="s">
        <v>28435</v>
      </c>
      <c r="H8838" t="s">
        <v>29316</v>
      </c>
      <c r="I8838" t="s">
        <v>29312</v>
      </c>
    </row>
    <row r="8839" spans="1:9">
      <c r="A8839" t="str">
        <f>"0038235 "</f>
        <v xml:space="preserve">0038235 </v>
      </c>
      <c r="B8839" t="s">
        <v>28432</v>
      </c>
      <c r="C8839" t="s">
        <v>29317</v>
      </c>
      <c r="D8839" t="s">
        <v>29318</v>
      </c>
      <c r="E8839">
        <v>2</v>
      </c>
      <c r="F8839" t="s">
        <v>28912</v>
      </c>
      <c r="G8839" t="s">
        <v>28435</v>
      </c>
      <c r="H8839" t="s">
        <v>29319</v>
      </c>
      <c r="I8839" t="s">
        <v>29320</v>
      </c>
    </row>
    <row r="8840" spans="1:9">
      <c r="A8840" t="str">
        <f>"0030332 "</f>
        <v xml:space="preserve">0030332 </v>
      </c>
      <c r="B8840" t="s">
        <v>28432</v>
      </c>
      <c r="C8840" t="s">
        <v>29321</v>
      </c>
      <c r="D8840" t="s">
        <v>29322</v>
      </c>
      <c r="E8840">
        <v>2</v>
      </c>
      <c r="F8840" t="s">
        <v>29323</v>
      </c>
      <c r="G8840" t="s">
        <v>28435</v>
      </c>
      <c r="H8840" t="s">
        <v>29324</v>
      </c>
      <c r="I8840" t="s">
        <v>29325</v>
      </c>
    </row>
    <row r="8841" spans="1:9">
      <c r="A8841" t="str">
        <f>"0038237 "</f>
        <v xml:space="preserve">0038237 </v>
      </c>
      <c r="B8841" t="s">
        <v>28432</v>
      </c>
      <c r="C8841" t="s">
        <v>29326</v>
      </c>
      <c r="D8841" t="s">
        <v>29327</v>
      </c>
      <c r="E8841">
        <v>1</v>
      </c>
      <c r="F8841" t="s">
        <v>29328</v>
      </c>
      <c r="G8841" t="s">
        <v>28435</v>
      </c>
      <c r="H8841" t="s">
        <v>29329</v>
      </c>
      <c r="I8841" t="s">
        <v>29330</v>
      </c>
    </row>
    <row r="8842" spans="1:9">
      <c r="A8842" t="str">
        <f>"0038239 "</f>
        <v xml:space="preserve">0038239 </v>
      </c>
      <c r="B8842" t="s">
        <v>28432</v>
      </c>
      <c r="C8842" t="s">
        <v>29331</v>
      </c>
      <c r="D8842" t="s">
        <v>29332</v>
      </c>
      <c r="E8842">
        <v>1</v>
      </c>
      <c r="F8842" t="s">
        <v>29020</v>
      </c>
      <c r="G8842" t="s">
        <v>28435</v>
      </c>
      <c r="H8842" t="s">
        <v>29333</v>
      </c>
      <c r="I8842" t="s">
        <v>29334</v>
      </c>
    </row>
    <row r="8843" spans="1:9">
      <c r="A8843" t="str">
        <f>"0030336 "</f>
        <v xml:space="preserve">0030336 </v>
      </c>
      <c r="B8843" t="s">
        <v>28432</v>
      </c>
      <c r="C8843" t="s">
        <v>29335</v>
      </c>
      <c r="D8843" t="s">
        <v>29336</v>
      </c>
      <c r="E8843">
        <v>5</v>
      </c>
      <c r="F8843" t="s">
        <v>29337</v>
      </c>
      <c r="G8843" t="s">
        <v>28435</v>
      </c>
      <c r="H8843" t="s">
        <v>29338</v>
      </c>
      <c r="I8843" t="s">
        <v>29339</v>
      </c>
    </row>
    <row r="8844" spans="1:9">
      <c r="A8844" t="str">
        <f>"0030337 "</f>
        <v xml:space="preserve">0030337 </v>
      </c>
      <c r="B8844" t="s">
        <v>28432</v>
      </c>
      <c r="C8844" t="s">
        <v>29340</v>
      </c>
      <c r="D8844" t="s">
        <v>29341</v>
      </c>
      <c r="E8844">
        <v>3</v>
      </c>
      <c r="F8844" t="s">
        <v>29342</v>
      </c>
      <c r="G8844" t="s">
        <v>28435</v>
      </c>
      <c r="H8844" t="s">
        <v>29343</v>
      </c>
      <c r="I8844" t="s">
        <v>29344</v>
      </c>
    </row>
    <row r="8845" spans="1:9">
      <c r="A8845" t="str">
        <f>"0038240 "</f>
        <v xml:space="preserve">0038240 </v>
      </c>
      <c r="B8845" t="s">
        <v>28432</v>
      </c>
      <c r="C8845" t="s">
        <v>29345</v>
      </c>
      <c r="D8845" t="s">
        <v>29346</v>
      </c>
      <c r="E8845">
        <v>1</v>
      </c>
      <c r="F8845" t="s">
        <v>29347</v>
      </c>
      <c r="G8845" t="s">
        <v>28435</v>
      </c>
      <c r="H8845" t="s">
        <v>29348</v>
      </c>
      <c r="I8845" t="s">
        <v>29349</v>
      </c>
    </row>
    <row r="8846" spans="1:9">
      <c r="A8846" t="str">
        <f>"0038241 "</f>
        <v xml:space="preserve">0038241 </v>
      </c>
      <c r="B8846" t="s">
        <v>28432</v>
      </c>
      <c r="C8846" t="s">
        <v>29350</v>
      </c>
      <c r="D8846" t="s">
        <v>29351</v>
      </c>
      <c r="E8846">
        <v>1</v>
      </c>
      <c r="F8846" t="s">
        <v>29352</v>
      </c>
      <c r="G8846" t="s">
        <v>28435</v>
      </c>
      <c r="H8846" t="s">
        <v>29353</v>
      </c>
      <c r="I8846" t="s">
        <v>29354</v>
      </c>
    </row>
    <row r="8847" spans="1:9">
      <c r="A8847" t="str">
        <f>"0030339 "</f>
        <v xml:space="preserve">0030339 </v>
      </c>
      <c r="B8847" t="s">
        <v>28432</v>
      </c>
      <c r="C8847" t="s">
        <v>29355</v>
      </c>
      <c r="D8847" t="s">
        <v>29356</v>
      </c>
      <c r="E8847">
        <v>1</v>
      </c>
      <c r="F8847" t="s">
        <v>29357</v>
      </c>
      <c r="G8847" t="s">
        <v>28435</v>
      </c>
      <c r="H8847" t="s">
        <v>29358</v>
      </c>
      <c r="I8847" t="s">
        <v>29359</v>
      </c>
    </row>
    <row r="8848" spans="1:9">
      <c r="A8848" t="str">
        <f>"0030341 "</f>
        <v xml:space="preserve">0030341 </v>
      </c>
      <c r="B8848" t="s">
        <v>28432</v>
      </c>
      <c r="C8848" t="s">
        <v>29360</v>
      </c>
      <c r="D8848" t="s">
        <v>29361</v>
      </c>
      <c r="E8848">
        <v>1</v>
      </c>
      <c r="F8848" t="s">
        <v>29362</v>
      </c>
      <c r="G8848" t="s">
        <v>28435</v>
      </c>
      <c r="H8848" t="s">
        <v>29363</v>
      </c>
      <c r="I8848" t="s">
        <v>29364</v>
      </c>
    </row>
    <row r="8849" spans="1:9">
      <c r="A8849" t="str">
        <f>"0038242 "</f>
        <v xml:space="preserve">0038242 </v>
      </c>
      <c r="B8849" t="s">
        <v>28432</v>
      </c>
      <c r="C8849" t="s">
        <v>29365</v>
      </c>
      <c r="D8849" t="s">
        <v>29366</v>
      </c>
      <c r="E8849">
        <v>1</v>
      </c>
      <c r="F8849" t="s">
        <v>29367</v>
      </c>
      <c r="G8849" t="s">
        <v>28435</v>
      </c>
      <c r="H8849" t="s">
        <v>29368</v>
      </c>
      <c r="I8849" t="s">
        <v>29369</v>
      </c>
    </row>
    <row r="8850" spans="1:9">
      <c r="A8850" t="str">
        <f>"0030342 "</f>
        <v xml:space="preserve">0030342 </v>
      </c>
      <c r="B8850" t="s">
        <v>28432</v>
      </c>
      <c r="C8850" t="s">
        <v>29370</v>
      </c>
      <c r="D8850" t="s">
        <v>29371</v>
      </c>
      <c r="E8850">
        <v>1</v>
      </c>
      <c r="F8850" t="s">
        <v>29372</v>
      </c>
      <c r="G8850" t="s">
        <v>28435</v>
      </c>
      <c r="H8850" t="s">
        <v>29373</v>
      </c>
      <c r="I8850" t="s">
        <v>29374</v>
      </c>
    </row>
    <row r="8851" spans="1:9">
      <c r="A8851" t="str">
        <f>"0030344 "</f>
        <v xml:space="preserve">0030344 </v>
      </c>
      <c r="B8851" t="s">
        <v>28432</v>
      </c>
      <c r="C8851" t="s">
        <v>29375</v>
      </c>
      <c r="D8851" t="s">
        <v>29376</v>
      </c>
      <c r="E8851">
        <v>2</v>
      </c>
      <c r="F8851" t="s">
        <v>29377</v>
      </c>
      <c r="G8851" t="s">
        <v>28435</v>
      </c>
      <c r="H8851" t="s">
        <v>29378</v>
      </c>
      <c r="I8851" t="s">
        <v>29379</v>
      </c>
    </row>
    <row r="8852" spans="1:9">
      <c r="A8852" t="str">
        <f>"0030345 "</f>
        <v xml:space="preserve">0030345 </v>
      </c>
      <c r="B8852" t="s">
        <v>28432</v>
      </c>
      <c r="C8852" t="s">
        <v>29380</v>
      </c>
      <c r="D8852" t="s">
        <v>29381</v>
      </c>
      <c r="E8852">
        <v>4</v>
      </c>
      <c r="F8852" t="s">
        <v>29382</v>
      </c>
      <c r="G8852" t="s">
        <v>28435</v>
      </c>
      <c r="H8852" t="s">
        <v>29383</v>
      </c>
      <c r="I8852" t="s">
        <v>29384</v>
      </c>
    </row>
    <row r="8853" spans="1:9">
      <c r="A8853" t="str">
        <f>"0030347 "</f>
        <v xml:space="preserve">0030347 </v>
      </c>
      <c r="B8853" t="s">
        <v>28432</v>
      </c>
      <c r="C8853" t="s">
        <v>29385</v>
      </c>
      <c r="D8853" t="s">
        <v>29386</v>
      </c>
      <c r="E8853">
        <v>1</v>
      </c>
      <c r="F8853" t="s">
        <v>29387</v>
      </c>
      <c r="G8853" t="s">
        <v>28435</v>
      </c>
      <c r="H8853" t="s">
        <v>29388</v>
      </c>
      <c r="I8853" t="s">
        <v>29389</v>
      </c>
    </row>
    <row r="8854" spans="1:9">
      <c r="A8854" t="str">
        <f>"0030351 "</f>
        <v xml:space="preserve">0030351 </v>
      </c>
      <c r="B8854" t="s">
        <v>28432</v>
      </c>
      <c r="C8854" t="s">
        <v>29390</v>
      </c>
      <c r="D8854" t="s">
        <v>29391</v>
      </c>
      <c r="E8854">
        <v>1</v>
      </c>
      <c r="F8854" t="s">
        <v>29392</v>
      </c>
      <c r="G8854" t="s">
        <v>28435</v>
      </c>
      <c r="H8854" t="s">
        <v>29393</v>
      </c>
      <c r="I8854" t="s">
        <v>29394</v>
      </c>
    </row>
    <row r="8855" spans="1:9">
      <c r="A8855" t="str">
        <f>"0030354 "</f>
        <v xml:space="preserve">0030354 </v>
      </c>
      <c r="B8855" t="s">
        <v>28432</v>
      </c>
      <c r="C8855" t="s">
        <v>29395</v>
      </c>
      <c r="D8855" t="s">
        <v>29396</v>
      </c>
      <c r="E8855">
        <v>5</v>
      </c>
      <c r="F8855" t="s">
        <v>22211</v>
      </c>
      <c r="G8855" t="s">
        <v>28435</v>
      </c>
      <c r="H8855" t="s">
        <v>29397</v>
      </c>
      <c r="I8855" t="s">
        <v>29398</v>
      </c>
    </row>
    <row r="8856" spans="1:9">
      <c r="A8856" t="str">
        <f>"0030356 "</f>
        <v xml:space="preserve">0030356 </v>
      </c>
      <c r="B8856" t="s">
        <v>28432</v>
      </c>
      <c r="C8856" t="s">
        <v>29399</v>
      </c>
      <c r="D8856" t="s">
        <v>29400</v>
      </c>
      <c r="E8856">
        <v>3</v>
      </c>
      <c r="F8856" t="s">
        <v>28848</v>
      </c>
      <c r="G8856" t="s">
        <v>28435</v>
      </c>
      <c r="H8856" t="s">
        <v>29401</v>
      </c>
      <c r="I8856" t="s">
        <v>29402</v>
      </c>
    </row>
    <row r="8857" spans="1:9">
      <c r="A8857" t="str">
        <f>"0030357 "</f>
        <v xml:space="preserve">0030357 </v>
      </c>
      <c r="B8857" t="s">
        <v>28432</v>
      </c>
      <c r="C8857" t="s">
        <v>29403</v>
      </c>
      <c r="D8857" t="s">
        <v>29404</v>
      </c>
      <c r="E8857">
        <v>1</v>
      </c>
      <c r="F8857" t="s">
        <v>29405</v>
      </c>
      <c r="G8857" t="s">
        <v>28435</v>
      </c>
      <c r="H8857" t="s">
        <v>29406</v>
      </c>
      <c r="I8857" t="s">
        <v>29407</v>
      </c>
    </row>
    <row r="8858" spans="1:9">
      <c r="A8858" t="str">
        <f>"0030359 "</f>
        <v xml:space="preserve">0030359 </v>
      </c>
      <c r="B8858" t="s">
        <v>28432</v>
      </c>
      <c r="C8858" t="s">
        <v>29408</v>
      </c>
      <c r="D8858" t="s">
        <v>29409</v>
      </c>
      <c r="E8858">
        <v>1</v>
      </c>
      <c r="F8858" t="s">
        <v>29410</v>
      </c>
      <c r="G8858" t="s">
        <v>28435</v>
      </c>
      <c r="H8858" t="s">
        <v>29411</v>
      </c>
      <c r="I8858" t="s">
        <v>29412</v>
      </c>
    </row>
    <row r="8859" spans="1:9">
      <c r="A8859" t="str">
        <f>"0038247 "</f>
        <v xml:space="preserve">0038247 </v>
      </c>
      <c r="B8859" t="s">
        <v>28432</v>
      </c>
      <c r="C8859" t="s">
        <v>29413</v>
      </c>
      <c r="D8859" t="s">
        <v>29414</v>
      </c>
      <c r="E8859">
        <v>1</v>
      </c>
      <c r="F8859" t="s">
        <v>29415</v>
      </c>
      <c r="G8859" t="s">
        <v>28435</v>
      </c>
      <c r="H8859" t="s">
        <v>29416</v>
      </c>
      <c r="I8859" t="s">
        <v>29417</v>
      </c>
    </row>
    <row r="8860" spans="1:9">
      <c r="A8860" t="str">
        <f>"0116705 "</f>
        <v xml:space="preserve">0116705 </v>
      </c>
      <c r="B8860" t="s">
        <v>28432</v>
      </c>
      <c r="C8860" t="s">
        <v>29418</v>
      </c>
      <c r="D8860" t="s">
        <v>29419</v>
      </c>
      <c r="E8860">
        <v>1</v>
      </c>
      <c r="F8860" t="s">
        <v>29420</v>
      </c>
      <c r="G8860" t="s">
        <v>28435</v>
      </c>
      <c r="H8860" t="s">
        <v>29421</v>
      </c>
      <c r="I8860" t="s">
        <v>29422</v>
      </c>
    </row>
    <row r="8861" spans="1:9">
      <c r="A8861" t="str">
        <f>"0030363 "</f>
        <v xml:space="preserve">0030363 </v>
      </c>
      <c r="B8861" t="s">
        <v>28432</v>
      </c>
      <c r="C8861" t="s">
        <v>29423</v>
      </c>
      <c r="D8861" t="s">
        <v>29424</v>
      </c>
      <c r="E8861">
        <v>1</v>
      </c>
      <c r="F8861" t="s">
        <v>29425</v>
      </c>
      <c r="G8861" t="s">
        <v>28435</v>
      </c>
      <c r="H8861" t="s">
        <v>29426</v>
      </c>
      <c r="I8861" t="s">
        <v>29427</v>
      </c>
    </row>
    <row r="8862" spans="1:9">
      <c r="A8862" t="str">
        <f>"0086624 "</f>
        <v xml:space="preserve">0086624 </v>
      </c>
      <c r="B8862" t="s">
        <v>28432</v>
      </c>
      <c r="C8862" t="s">
        <v>29428</v>
      </c>
      <c r="D8862" t="s">
        <v>29429</v>
      </c>
      <c r="E8862">
        <v>2</v>
      </c>
      <c r="F8862" t="s">
        <v>29430</v>
      </c>
      <c r="G8862" t="s">
        <v>28435</v>
      </c>
      <c r="H8862" t="s">
        <v>29431</v>
      </c>
      <c r="I8862" t="s">
        <v>29432</v>
      </c>
    </row>
    <row r="8863" spans="1:9">
      <c r="A8863" t="str">
        <f>"0030369 "</f>
        <v xml:space="preserve">0030369 </v>
      </c>
      <c r="B8863" t="s">
        <v>28432</v>
      </c>
      <c r="C8863" t="s">
        <v>29433</v>
      </c>
      <c r="D8863" t="s">
        <v>29434</v>
      </c>
      <c r="E8863">
        <v>1</v>
      </c>
      <c r="F8863" t="s">
        <v>29435</v>
      </c>
      <c r="G8863" t="s">
        <v>28435</v>
      </c>
      <c r="H8863" t="s">
        <v>29436</v>
      </c>
      <c r="I8863" t="s">
        <v>29437</v>
      </c>
    </row>
    <row r="8864" spans="1:9">
      <c r="A8864" t="str">
        <f>"0030370 "</f>
        <v xml:space="preserve">0030370 </v>
      </c>
      <c r="B8864" t="s">
        <v>28432</v>
      </c>
      <c r="C8864" t="s">
        <v>29438</v>
      </c>
      <c r="D8864" t="s">
        <v>29439</v>
      </c>
      <c r="E8864">
        <v>1</v>
      </c>
      <c r="F8864" t="s">
        <v>29440</v>
      </c>
      <c r="G8864" t="s">
        <v>28435</v>
      </c>
      <c r="H8864" t="s">
        <v>29441</v>
      </c>
      <c r="I8864" t="s">
        <v>1237</v>
      </c>
    </row>
    <row r="8865" spans="1:9">
      <c r="A8865" t="str">
        <f>"0038251 "</f>
        <v xml:space="preserve">0038251 </v>
      </c>
      <c r="B8865" t="s">
        <v>28432</v>
      </c>
      <c r="C8865" t="s">
        <v>29442</v>
      </c>
      <c r="D8865" t="s">
        <v>29443</v>
      </c>
      <c r="E8865">
        <v>1</v>
      </c>
      <c r="F8865" t="s">
        <v>29444</v>
      </c>
      <c r="G8865" t="s">
        <v>28435</v>
      </c>
      <c r="H8865" t="s">
        <v>29445</v>
      </c>
      <c r="I8865" t="s">
        <v>29446</v>
      </c>
    </row>
    <row r="8866" spans="1:9">
      <c r="A8866" t="str">
        <f>"0030374 "</f>
        <v xml:space="preserve">0030374 </v>
      </c>
      <c r="B8866" t="s">
        <v>28432</v>
      </c>
      <c r="C8866" t="s">
        <v>29447</v>
      </c>
      <c r="D8866" t="s">
        <v>29448</v>
      </c>
      <c r="E8866">
        <v>1</v>
      </c>
      <c r="F8866" t="s">
        <v>28833</v>
      </c>
      <c r="G8866" t="s">
        <v>28435</v>
      </c>
      <c r="H8866" t="s">
        <v>29449</v>
      </c>
      <c r="I8866" t="s">
        <v>29450</v>
      </c>
    </row>
    <row r="8867" spans="1:9">
      <c r="A8867" t="str">
        <f>"0038254 "</f>
        <v xml:space="preserve">0038254 </v>
      </c>
      <c r="B8867" t="s">
        <v>28432</v>
      </c>
      <c r="C8867" t="s">
        <v>29451</v>
      </c>
      <c r="D8867" t="s">
        <v>29452</v>
      </c>
      <c r="E8867">
        <v>1</v>
      </c>
      <c r="F8867" t="s">
        <v>29212</v>
      </c>
      <c r="G8867" t="s">
        <v>28435</v>
      </c>
      <c r="H8867" t="s">
        <v>29453</v>
      </c>
      <c r="I8867" t="s">
        <v>29454</v>
      </c>
    </row>
    <row r="8868" spans="1:9">
      <c r="A8868" t="str">
        <f>"0048775 "</f>
        <v xml:space="preserve">0048775 </v>
      </c>
      <c r="B8868" t="s">
        <v>28432</v>
      </c>
      <c r="C8868" t="s">
        <v>29455</v>
      </c>
      <c r="D8868" t="s">
        <v>29456</v>
      </c>
      <c r="E8868">
        <v>1</v>
      </c>
      <c r="F8868" t="s">
        <v>29457</v>
      </c>
      <c r="G8868" t="s">
        <v>28435</v>
      </c>
      <c r="H8868" t="s">
        <v>29458</v>
      </c>
      <c r="I8868" t="s">
        <v>29459</v>
      </c>
    </row>
    <row r="8869" spans="1:9">
      <c r="A8869" t="str">
        <f>"0030380 "</f>
        <v xml:space="preserve">0030380 </v>
      </c>
      <c r="B8869" t="s">
        <v>28432</v>
      </c>
      <c r="C8869" t="s">
        <v>29460</v>
      </c>
      <c r="D8869" t="s">
        <v>29461</v>
      </c>
      <c r="E8869" t="s">
        <v>16</v>
      </c>
      <c r="F8869" t="s">
        <v>29053</v>
      </c>
      <c r="G8869" t="s">
        <v>28435</v>
      </c>
      <c r="H8869" t="s">
        <v>29462</v>
      </c>
      <c r="I8869" t="s">
        <v>29463</v>
      </c>
    </row>
    <row r="8870" spans="1:9">
      <c r="A8870" t="str">
        <f>"0030381 "</f>
        <v xml:space="preserve">0030381 </v>
      </c>
      <c r="B8870" t="s">
        <v>28432</v>
      </c>
      <c r="C8870" t="s">
        <v>29464</v>
      </c>
      <c r="D8870" t="s">
        <v>29465</v>
      </c>
      <c r="E8870">
        <v>2</v>
      </c>
      <c r="F8870" t="s">
        <v>29466</v>
      </c>
      <c r="G8870" t="s">
        <v>28435</v>
      </c>
      <c r="H8870" t="s">
        <v>29467</v>
      </c>
      <c r="I8870" t="s">
        <v>29463</v>
      </c>
    </row>
    <row r="8871" spans="1:9">
      <c r="A8871" t="str">
        <f>"0030382 "</f>
        <v xml:space="preserve">0030382 </v>
      </c>
      <c r="B8871" t="s">
        <v>28432</v>
      </c>
      <c r="C8871" t="s">
        <v>29468</v>
      </c>
      <c r="D8871" t="s">
        <v>29469</v>
      </c>
      <c r="E8871">
        <v>1</v>
      </c>
      <c r="F8871" t="s">
        <v>29146</v>
      </c>
      <c r="G8871" t="s">
        <v>28435</v>
      </c>
      <c r="H8871" t="s">
        <v>29470</v>
      </c>
      <c r="I8871" t="s">
        <v>29471</v>
      </c>
    </row>
    <row r="8872" spans="1:9">
      <c r="A8872" t="str">
        <f>"0030383 "</f>
        <v xml:space="preserve">0030383 </v>
      </c>
      <c r="B8872" t="s">
        <v>28432</v>
      </c>
      <c r="C8872" t="s">
        <v>29472</v>
      </c>
      <c r="D8872" t="s">
        <v>29473</v>
      </c>
      <c r="E8872" t="s">
        <v>16</v>
      </c>
      <c r="F8872" t="s">
        <v>29474</v>
      </c>
      <c r="G8872" t="s">
        <v>28435</v>
      </c>
      <c r="H8872" t="s">
        <v>29475</v>
      </c>
      <c r="I8872" t="s">
        <v>29476</v>
      </c>
    </row>
    <row r="8873" spans="1:9">
      <c r="A8873" t="str">
        <f>"0030388 "</f>
        <v xml:space="preserve">0030388 </v>
      </c>
      <c r="B8873" t="s">
        <v>28432</v>
      </c>
      <c r="C8873" t="s">
        <v>29477</v>
      </c>
      <c r="D8873" t="s">
        <v>29478</v>
      </c>
      <c r="E8873">
        <v>1</v>
      </c>
      <c r="F8873" t="s">
        <v>29479</v>
      </c>
      <c r="G8873" t="s">
        <v>28435</v>
      </c>
      <c r="H8873" t="s">
        <v>29480</v>
      </c>
      <c r="I8873" t="s">
        <v>29481</v>
      </c>
    </row>
    <row r="8874" spans="1:9">
      <c r="A8874" t="str">
        <f>"0030389 "</f>
        <v xml:space="preserve">0030389 </v>
      </c>
      <c r="B8874" t="s">
        <v>28432</v>
      </c>
      <c r="C8874" t="s">
        <v>29482</v>
      </c>
      <c r="D8874" t="s">
        <v>29483</v>
      </c>
      <c r="E8874">
        <v>1</v>
      </c>
      <c r="F8874" t="s">
        <v>29484</v>
      </c>
      <c r="G8874" t="s">
        <v>28435</v>
      </c>
      <c r="H8874" t="s">
        <v>29485</v>
      </c>
      <c r="I8874" t="s">
        <v>29486</v>
      </c>
    </row>
    <row r="8875" spans="1:9">
      <c r="A8875" t="str">
        <f>"0030399 "</f>
        <v xml:space="preserve">0030399 </v>
      </c>
      <c r="B8875" t="s">
        <v>28432</v>
      </c>
      <c r="C8875" t="s">
        <v>29487</v>
      </c>
      <c r="D8875" t="s">
        <v>29488</v>
      </c>
      <c r="E8875">
        <v>1</v>
      </c>
      <c r="F8875" t="s">
        <v>28764</v>
      </c>
      <c r="G8875" t="s">
        <v>28435</v>
      </c>
      <c r="H8875" t="s">
        <v>29489</v>
      </c>
      <c r="I8875" t="s">
        <v>29490</v>
      </c>
    </row>
    <row r="8876" spans="1:9">
      <c r="A8876" t="str">
        <f>"0030403 "</f>
        <v xml:space="preserve">0030403 </v>
      </c>
      <c r="B8876" t="s">
        <v>28432</v>
      </c>
      <c r="C8876" t="s">
        <v>29491</v>
      </c>
      <c r="D8876" t="s">
        <v>29492</v>
      </c>
      <c r="E8876">
        <v>3</v>
      </c>
      <c r="F8876" t="s">
        <v>28525</v>
      </c>
      <c r="G8876" t="s">
        <v>28435</v>
      </c>
      <c r="H8876" t="s">
        <v>29493</v>
      </c>
      <c r="I8876" t="s">
        <v>29494</v>
      </c>
    </row>
    <row r="8877" spans="1:9">
      <c r="A8877" t="str">
        <f>"0030404 "</f>
        <v xml:space="preserve">0030404 </v>
      </c>
      <c r="B8877" t="s">
        <v>28432</v>
      </c>
      <c r="C8877" t="s">
        <v>29495</v>
      </c>
      <c r="D8877" t="s">
        <v>29496</v>
      </c>
      <c r="E8877">
        <v>1</v>
      </c>
      <c r="F8877" t="s">
        <v>29025</v>
      </c>
      <c r="G8877" t="s">
        <v>28435</v>
      </c>
      <c r="H8877" t="s">
        <v>29497</v>
      </c>
      <c r="I8877" t="s">
        <v>29498</v>
      </c>
    </row>
    <row r="8878" spans="1:9">
      <c r="A8878" t="str">
        <f>"0030405 "</f>
        <v xml:space="preserve">0030405 </v>
      </c>
      <c r="B8878" t="s">
        <v>28432</v>
      </c>
      <c r="C8878" t="s">
        <v>29499</v>
      </c>
      <c r="D8878" t="s">
        <v>29500</v>
      </c>
      <c r="E8878">
        <v>1</v>
      </c>
      <c r="F8878" t="s">
        <v>28833</v>
      </c>
      <c r="G8878" t="s">
        <v>28435</v>
      </c>
      <c r="H8878" t="s">
        <v>29501</v>
      </c>
      <c r="I8878" t="s">
        <v>29502</v>
      </c>
    </row>
    <row r="8879" spans="1:9">
      <c r="A8879" t="str">
        <f>"0048777 "</f>
        <v xml:space="preserve">0048777 </v>
      </c>
      <c r="B8879" t="s">
        <v>28432</v>
      </c>
      <c r="C8879" t="s">
        <v>29503</v>
      </c>
      <c r="D8879" t="s">
        <v>29504</v>
      </c>
      <c r="E8879">
        <v>1</v>
      </c>
      <c r="F8879" t="s">
        <v>29505</v>
      </c>
      <c r="G8879" t="s">
        <v>28435</v>
      </c>
      <c r="H8879" t="s">
        <v>29506</v>
      </c>
      <c r="I8879" t="s">
        <v>29507</v>
      </c>
    </row>
    <row r="8880" spans="1:9">
      <c r="A8880" t="str">
        <f>"0116615 "</f>
        <v xml:space="preserve">0116615 </v>
      </c>
      <c r="B8880" t="s">
        <v>28432</v>
      </c>
      <c r="C8880" t="s">
        <v>29508</v>
      </c>
      <c r="D8880" t="s">
        <v>29509</v>
      </c>
      <c r="E8880">
        <v>1</v>
      </c>
      <c r="F8880" t="s">
        <v>10360</v>
      </c>
      <c r="G8880" t="s">
        <v>28435</v>
      </c>
      <c r="H8880" t="s">
        <v>29510</v>
      </c>
      <c r="I8880" t="s">
        <v>29511</v>
      </c>
    </row>
    <row r="8881" spans="1:9">
      <c r="A8881" t="str">
        <f>"0048778 "</f>
        <v xml:space="preserve">0048778 </v>
      </c>
      <c r="B8881" t="s">
        <v>28432</v>
      </c>
      <c r="C8881" t="s">
        <v>29512</v>
      </c>
      <c r="D8881" t="s">
        <v>29513</v>
      </c>
      <c r="E8881">
        <v>1</v>
      </c>
      <c r="F8881" t="s">
        <v>29514</v>
      </c>
      <c r="G8881" t="s">
        <v>28435</v>
      </c>
      <c r="H8881" t="s">
        <v>29515</v>
      </c>
      <c r="I8881" t="s">
        <v>29516</v>
      </c>
    </row>
    <row r="8882" spans="1:9">
      <c r="A8882" t="str">
        <f>"0048779 "</f>
        <v xml:space="preserve">0048779 </v>
      </c>
      <c r="B8882" t="s">
        <v>28432</v>
      </c>
      <c r="C8882" t="s">
        <v>29517</v>
      </c>
      <c r="D8882" t="s">
        <v>29518</v>
      </c>
      <c r="E8882">
        <v>1</v>
      </c>
      <c r="F8882" t="s">
        <v>29519</v>
      </c>
      <c r="G8882" t="s">
        <v>28435</v>
      </c>
      <c r="H8882" t="s">
        <v>29520</v>
      </c>
      <c r="I8882" t="s">
        <v>29521</v>
      </c>
    </row>
    <row r="8883" spans="1:9">
      <c r="A8883" t="str">
        <f>"0048780 "</f>
        <v xml:space="preserve">0048780 </v>
      </c>
      <c r="B8883" t="s">
        <v>28432</v>
      </c>
      <c r="C8883" t="s">
        <v>29522</v>
      </c>
      <c r="D8883" t="s">
        <v>29523</v>
      </c>
      <c r="E8883">
        <v>1</v>
      </c>
      <c r="F8883" t="s">
        <v>29524</v>
      </c>
      <c r="G8883" t="s">
        <v>28435</v>
      </c>
      <c r="H8883" t="s">
        <v>29525</v>
      </c>
      <c r="I8883" t="s">
        <v>29526</v>
      </c>
    </row>
    <row r="8884" spans="1:9">
      <c r="A8884" t="str">
        <f>"0030408 "</f>
        <v xml:space="preserve">0030408 </v>
      </c>
      <c r="B8884" t="s">
        <v>28432</v>
      </c>
      <c r="C8884" t="s">
        <v>29527</v>
      </c>
      <c r="D8884" t="s">
        <v>29528</v>
      </c>
      <c r="E8884" t="s">
        <v>16</v>
      </c>
      <c r="F8884" t="s">
        <v>8563</v>
      </c>
      <c r="G8884" t="s">
        <v>28435</v>
      </c>
      <c r="H8884" t="s">
        <v>29529</v>
      </c>
      <c r="I8884" t="s">
        <v>29530</v>
      </c>
    </row>
    <row r="8885" spans="1:9">
      <c r="A8885" t="str">
        <f>"0159242 "</f>
        <v xml:space="preserve">0159242 </v>
      </c>
      <c r="B8885" t="s">
        <v>28432</v>
      </c>
      <c r="C8885" t="s">
        <v>29531</v>
      </c>
      <c r="D8885" t="s">
        <v>29532</v>
      </c>
      <c r="E8885">
        <v>1</v>
      </c>
      <c r="F8885" t="s">
        <v>29533</v>
      </c>
      <c r="G8885" t="s">
        <v>28435</v>
      </c>
      <c r="H8885" t="s">
        <v>29534</v>
      </c>
      <c r="I8885" t="s">
        <v>29535</v>
      </c>
    </row>
    <row r="8886" spans="1:9">
      <c r="A8886" t="str">
        <f>"0159240 "</f>
        <v xml:space="preserve">0159240 </v>
      </c>
      <c r="B8886" t="s">
        <v>28432</v>
      </c>
      <c r="C8886" t="s">
        <v>29536</v>
      </c>
      <c r="D8886" t="s">
        <v>29537</v>
      </c>
      <c r="E8886">
        <v>4</v>
      </c>
      <c r="F8886" t="s">
        <v>29357</v>
      </c>
      <c r="G8886" t="s">
        <v>28435</v>
      </c>
      <c r="H8886" t="s">
        <v>29538</v>
      </c>
      <c r="I8886" t="s">
        <v>29539</v>
      </c>
    </row>
    <row r="8887" spans="1:9">
      <c r="A8887" t="str">
        <f>"0116708 "</f>
        <v xml:space="preserve">0116708 </v>
      </c>
      <c r="B8887" t="s">
        <v>28432</v>
      </c>
      <c r="C8887" t="s">
        <v>29540</v>
      </c>
      <c r="D8887" t="s">
        <v>29541</v>
      </c>
      <c r="E8887">
        <v>1</v>
      </c>
      <c r="F8887" t="s">
        <v>29542</v>
      </c>
      <c r="G8887" t="s">
        <v>28435</v>
      </c>
      <c r="H8887" t="s">
        <v>29543</v>
      </c>
      <c r="I8887" t="s">
        <v>1255</v>
      </c>
    </row>
    <row r="8888" spans="1:9">
      <c r="A8888" t="str">
        <f>"0116614 "</f>
        <v xml:space="preserve">0116614 </v>
      </c>
      <c r="B8888" t="s">
        <v>28432</v>
      </c>
      <c r="C8888" t="s">
        <v>29544</v>
      </c>
      <c r="D8888" t="s">
        <v>29545</v>
      </c>
      <c r="E8888">
        <v>1</v>
      </c>
      <c r="F8888" t="s">
        <v>29546</v>
      </c>
      <c r="G8888" t="s">
        <v>28435</v>
      </c>
      <c r="H8888" t="s">
        <v>29547</v>
      </c>
      <c r="I8888" t="s">
        <v>29548</v>
      </c>
    </row>
    <row r="8889" spans="1:9">
      <c r="A8889" t="str">
        <f>"0202106 "</f>
        <v xml:space="preserve">0202106 </v>
      </c>
      <c r="B8889" t="s">
        <v>28432</v>
      </c>
      <c r="C8889" t="s">
        <v>29549</v>
      </c>
      <c r="D8889" t="s">
        <v>29550</v>
      </c>
      <c r="E8889">
        <v>2</v>
      </c>
      <c r="F8889" t="s">
        <v>29551</v>
      </c>
      <c r="G8889" t="s">
        <v>28435</v>
      </c>
      <c r="H8889" t="s">
        <v>29552</v>
      </c>
      <c r="I8889" t="s">
        <v>29553</v>
      </c>
    </row>
    <row r="8890" spans="1:9">
      <c r="A8890" t="str">
        <f>"0116710 "</f>
        <v xml:space="preserve">0116710 </v>
      </c>
      <c r="B8890" t="s">
        <v>28432</v>
      </c>
      <c r="C8890" t="s">
        <v>29554</v>
      </c>
      <c r="D8890" t="s">
        <v>29555</v>
      </c>
      <c r="E8890">
        <v>1</v>
      </c>
      <c r="F8890" t="s">
        <v>28561</v>
      </c>
      <c r="G8890" t="s">
        <v>28435</v>
      </c>
      <c r="H8890" t="s">
        <v>29556</v>
      </c>
      <c r="I8890" t="s">
        <v>29557</v>
      </c>
    </row>
    <row r="8891" spans="1:9">
      <c r="A8891" t="str">
        <f>"0030409 "</f>
        <v xml:space="preserve">0030409 </v>
      </c>
      <c r="B8891" t="s">
        <v>28432</v>
      </c>
      <c r="C8891" t="s">
        <v>29558</v>
      </c>
      <c r="D8891" t="s">
        <v>29559</v>
      </c>
      <c r="E8891">
        <v>2</v>
      </c>
      <c r="F8891" t="s">
        <v>2806</v>
      </c>
      <c r="G8891" t="s">
        <v>28435</v>
      </c>
      <c r="H8891" t="s">
        <v>29560</v>
      </c>
      <c r="I8891" t="s">
        <v>29561</v>
      </c>
    </row>
    <row r="8892" spans="1:9">
      <c r="A8892" t="str">
        <f>"0161247 "</f>
        <v xml:space="preserve">0161247 </v>
      </c>
      <c r="B8892" t="s">
        <v>28432</v>
      </c>
      <c r="C8892" t="s">
        <v>29562</v>
      </c>
      <c r="D8892" t="s">
        <v>29563</v>
      </c>
      <c r="E8892">
        <v>3</v>
      </c>
      <c r="F8892" t="s">
        <v>29564</v>
      </c>
      <c r="G8892" t="s">
        <v>28435</v>
      </c>
      <c r="H8892" t="s">
        <v>29565</v>
      </c>
      <c r="I8892" t="s">
        <v>29566</v>
      </c>
    </row>
    <row r="8893" spans="1:9">
      <c r="A8893" t="str">
        <f>"0188085 "</f>
        <v xml:space="preserve">0188085 </v>
      </c>
      <c r="B8893" t="s">
        <v>28432</v>
      </c>
      <c r="C8893" t="s">
        <v>29567</v>
      </c>
      <c r="D8893" t="s">
        <v>29568</v>
      </c>
      <c r="E8893">
        <v>1</v>
      </c>
      <c r="F8893" t="s">
        <v>29569</v>
      </c>
      <c r="G8893" t="s">
        <v>28435</v>
      </c>
      <c r="H8893" t="s">
        <v>29570</v>
      </c>
      <c r="I8893" t="s">
        <v>29571</v>
      </c>
    </row>
    <row r="8894" spans="1:9">
      <c r="A8894" t="str">
        <f>"0030412 "</f>
        <v xml:space="preserve">0030412 </v>
      </c>
      <c r="B8894" t="s">
        <v>28432</v>
      </c>
      <c r="C8894" t="s">
        <v>29572</v>
      </c>
      <c r="D8894" t="s">
        <v>29573</v>
      </c>
      <c r="E8894">
        <v>1</v>
      </c>
      <c r="F8894" t="s">
        <v>29574</v>
      </c>
      <c r="G8894" t="s">
        <v>28435</v>
      </c>
      <c r="H8894" t="s">
        <v>29575</v>
      </c>
      <c r="I8894" t="s">
        <v>29576</v>
      </c>
    </row>
    <row r="8895" spans="1:9">
      <c r="A8895" t="str">
        <f>"0188092 "</f>
        <v xml:space="preserve">0188092 </v>
      </c>
      <c r="B8895" t="s">
        <v>28432</v>
      </c>
      <c r="C8895" t="s">
        <v>29577</v>
      </c>
      <c r="D8895" t="s">
        <v>29578</v>
      </c>
      <c r="E8895">
        <v>2</v>
      </c>
      <c r="F8895" t="s">
        <v>29579</v>
      </c>
      <c r="G8895" t="s">
        <v>28435</v>
      </c>
      <c r="H8895" t="s">
        <v>29580</v>
      </c>
      <c r="I8895" t="s">
        <v>29581</v>
      </c>
    </row>
    <row r="8896" spans="1:9">
      <c r="A8896" t="str">
        <f>"0116713 "</f>
        <v xml:space="preserve">0116713 </v>
      </c>
      <c r="B8896" t="s">
        <v>28432</v>
      </c>
      <c r="C8896" t="s">
        <v>29582</v>
      </c>
      <c r="D8896" t="s">
        <v>29583</v>
      </c>
      <c r="E8896">
        <v>2</v>
      </c>
      <c r="F8896" t="s">
        <v>29584</v>
      </c>
      <c r="G8896" t="s">
        <v>28435</v>
      </c>
      <c r="H8896" t="s">
        <v>29585</v>
      </c>
      <c r="I8896" t="s">
        <v>29586</v>
      </c>
    </row>
    <row r="8897" spans="1:9">
      <c r="A8897" t="str">
        <f>"0116689 "</f>
        <v xml:space="preserve">0116689 </v>
      </c>
      <c r="B8897" t="s">
        <v>28432</v>
      </c>
      <c r="C8897" t="s">
        <v>29587</v>
      </c>
      <c r="D8897" t="s">
        <v>29588</v>
      </c>
      <c r="E8897">
        <v>5</v>
      </c>
      <c r="F8897" t="s">
        <v>29589</v>
      </c>
      <c r="G8897" t="s">
        <v>28435</v>
      </c>
      <c r="H8897" t="s">
        <v>29590</v>
      </c>
      <c r="I8897" t="s">
        <v>29591</v>
      </c>
    </row>
    <row r="8898" spans="1:9">
      <c r="A8898" t="str">
        <f>"0030415 "</f>
        <v xml:space="preserve">0030415 </v>
      </c>
      <c r="B8898" t="s">
        <v>28432</v>
      </c>
      <c r="C8898" t="s">
        <v>29592</v>
      </c>
      <c r="D8898" t="s">
        <v>29593</v>
      </c>
      <c r="E8898" t="s">
        <v>16</v>
      </c>
      <c r="F8898" t="s">
        <v>28470</v>
      </c>
      <c r="G8898" t="s">
        <v>28435</v>
      </c>
      <c r="H8898" t="s">
        <v>29594</v>
      </c>
      <c r="I8898" t="s">
        <v>29595</v>
      </c>
    </row>
    <row r="8899" spans="1:9">
      <c r="A8899" t="str">
        <f>"0030417 "</f>
        <v xml:space="preserve">0030417 </v>
      </c>
      <c r="B8899" t="s">
        <v>28432</v>
      </c>
      <c r="C8899" t="s">
        <v>29596</v>
      </c>
      <c r="D8899" t="s">
        <v>29597</v>
      </c>
      <c r="E8899">
        <v>5</v>
      </c>
      <c r="F8899" t="s">
        <v>29598</v>
      </c>
      <c r="G8899" t="s">
        <v>28435</v>
      </c>
      <c r="H8899" t="s">
        <v>29599</v>
      </c>
      <c r="I8899" t="s">
        <v>29600</v>
      </c>
    </row>
    <row r="8900" spans="1:9">
      <c r="A8900" t="str">
        <f>"0030419 "</f>
        <v xml:space="preserve">0030419 </v>
      </c>
      <c r="B8900" t="s">
        <v>28432</v>
      </c>
      <c r="C8900" t="s">
        <v>29601</v>
      </c>
      <c r="D8900" t="s">
        <v>29602</v>
      </c>
      <c r="E8900">
        <v>1</v>
      </c>
      <c r="F8900" t="s">
        <v>29603</v>
      </c>
      <c r="G8900" t="s">
        <v>28435</v>
      </c>
      <c r="H8900" t="s">
        <v>29604</v>
      </c>
      <c r="I8900" t="s">
        <v>29605</v>
      </c>
    </row>
    <row r="8901" spans="1:9">
      <c r="A8901" t="str">
        <f>"0030420 "</f>
        <v xml:space="preserve">0030420 </v>
      </c>
      <c r="B8901" t="s">
        <v>28432</v>
      </c>
      <c r="C8901" t="s">
        <v>29606</v>
      </c>
      <c r="D8901" t="s">
        <v>29607</v>
      </c>
      <c r="E8901">
        <v>4</v>
      </c>
      <c r="F8901" t="s">
        <v>29608</v>
      </c>
      <c r="G8901" t="s">
        <v>28435</v>
      </c>
      <c r="H8901" t="s">
        <v>29609</v>
      </c>
      <c r="I8901" t="s">
        <v>29610</v>
      </c>
    </row>
    <row r="8902" spans="1:9">
      <c r="A8902" t="str">
        <f>"0030421 "</f>
        <v xml:space="preserve">0030421 </v>
      </c>
      <c r="B8902" t="s">
        <v>28432</v>
      </c>
      <c r="C8902" t="s">
        <v>29611</v>
      </c>
      <c r="D8902" t="s">
        <v>29612</v>
      </c>
      <c r="E8902">
        <v>1</v>
      </c>
      <c r="F8902" t="s">
        <v>10313</v>
      </c>
      <c r="G8902" t="s">
        <v>28435</v>
      </c>
      <c r="H8902" t="s">
        <v>29613</v>
      </c>
      <c r="I8902" t="s">
        <v>29614</v>
      </c>
    </row>
    <row r="8903" spans="1:9">
      <c r="A8903" t="str">
        <f>"0048760 "</f>
        <v xml:space="preserve">0048760 </v>
      </c>
      <c r="B8903" t="s">
        <v>28432</v>
      </c>
      <c r="C8903" t="s">
        <v>29615</v>
      </c>
      <c r="D8903" t="s">
        <v>29616</v>
      </c>
      <c r="E8903">
        <v>1</v>
      </c>
      <c r="F8903" t="s">
        <v>29617</v>
      </c>
      <c r="G8903" t="s">
        <v>28435</v>
      </c>
      <c r="H8903" t="s">
        <v>29618</v>
      </c>
      <c r="I8903" t="s">
        <v>11946</v>
      </c>
    </row>
    <row r="8904" spans="1:9">
      <c r="A8904" t="str">
        <f>"0030426 "</f>
        <v xml:space="preserve">0030426 </v>
      </c>
      <c r="B8904" t="s">
        <v>28432</v>
      </c>
      <c r="C8904" t="s">
        <v>29619</v>
      </c>
      <c r="D8904" t="s">
        <v>29620</v>
      </c>
      <c r="E8904">
        <v>1</v>
      </c>
      <c r="F8904" t="s">
        <v>29621</v>
      </c>
      <c r="G8904" t="s">
        <v>28435</v>
      </c>
      <c r="H8904" t="s">
        <v>29622</v>
      </c>
      <c r="I8904" t="s">
        <v>29623</v>
      </c>
    </row>
    <row r="8905" spans="1:9">
      <c r="A8905" t="str">
        <f>"0086638 "</f>
        <v xml:space="preserve">0086638 </v>
      </c>
      <c r="B8905" t="s">
        <v>28432</v>
      </c>
      <c r="C8905" t="s">
        <v>29624</v>
      </c>
      <c r="D8905" t="s">
        <v>29625</v>
      </c>
      <c r="E8905">
        <v>2</v>
      </c>
      <c r="F8905" t="s">
        <v>29626</v>
      </c>
      <c r="G8905" t="s">
        <v>28435</v>
      </c>
      <c r="H8905" t="s">
        <v>29627</v>
      </c>
      <c r="I8905" t="s">
        <v>29628</v>
      </c>
    </row>
    <row r="8906" spans="1:9">
      <c r="A8906" t="str">
        <f>"0030428 "</f>
        <v xml:space="preserve">0030428 </v>
      </c>
      <c r="B8906" t="s">
        <v>28432</v>
      </c>
      <c r="C8906" t="s">
        <v>29629</v>
      </c>
      <c r="D8906" t="s">
        <v>29630</v>
      </c>
      <c r="E8906">
        <v>1</v>
      </c>
      <c r="F8906" t="s">
        <v>29631</v>
      </c>
      <c r="G8906" t="s">
        <v>28435</v>
      </c>
      <c r="H8906" t="s">
        <v>29632</v>
      </c>
      <c r="I8906" t="s">
        <v>29633</v>
      </c>
    </row>
    <row r="8907" spans="1:9">
      <c r="A8907" t="str">
        <f>"0030429 "</f>
        <v xml:space="preserve">0030429 </v>
      </c>
      <c r="B8907" t="s">
        <v>28432</v>
      </c>
      <c r="C8907" t="s">
        <v>29634</v>
      </c>
      <c r="D8907" t="s">
        <v>29635</v>
      </c>
      <c r="E8907">
        <v>3</v>
      </c>
      <c r="F8907" t="s">
        <v>29636</v>
      </c>
      <c r="G8907" t="s">
        <v>28435</v>
      </c>
      <c r="H8907" t="s">
        <v>29637</v>
      </c>
      <c r="I8907" t="s">
        <v>29638</v>
      </c>
    </row>
    <row r="8908" spans="1:9">
      <c r="A8908" t="str">
        <f>"0030431 "</f>
        <v xml:space="preserve">0030431 </v>
      </c>
      <c r="B8908" t="s">
        <v>28432</v>
      </c>
      <c r="C8908" t="s">
        <v>29639</v>
      </c>
      <c r="D8908" t="s">
        <v>29640</v>
      </c>
      <c r="E8908" t="s">
        <v>16</v>
      </c>
      <c r="F8908" t="s">
        <v>29641</v>
      </c>
      <c r="G8908" t="s">
        <v>28435</v>
      </c>
      <c r="H8908" t="s">
        <v>29642</v>
      </c>
      <c r="I8908" t="s">
        <v>29643</v>
      </c>
    </row>
    <row r="8909" spans="1:9">
      <c r="A8909" t="str">
        <f>"0030432 "</f>
        <v xml:space="preserve">0030432 </v>
      </c>
      <c r="B8909" t="s">
        <v>28432</v>
      </c>
      <c r="C8909" t="s">
        <v>29644</v>
      </c>
      <c r="D8909" t="s">
        <v>29645</v>
      </c>
      <c r="E8909" t="s">
        <v>16</v>
      </c>
      <c r="F8909" t="s">
        <v>29646</v>
      </c>
      <c r="G8909" t="s">
        <v>28435</v>
      </c>
      <c r="H8909" t="s">
        <v>29647</v>
      </c>
      <c r="I8909" t="s">
        <v>29648</v>
      </c>
    </row>
    <row r="8910" spans="1:9">
      <c r="A8910" t="str">
        <f>"0038166 "</f>
        <v xml:space="preserve">0038166 </v>
      </c>
      <c r="B8910" t="s">
        <v>28432</v>
      </c>
      <c r="C8910" t="s">
        <v>29649</v>
      </c>
      <c r="D8910" t="s">
        <v>29650</v>
      </c>
      <c r="E8910" t="s">
        <v>16</v>
      </c>
      <c r="F8910" t="s">
        <v>29651</v>
      </c>
      <c r="G8910" t="s">
        <v>28435</v>
      </c>
      <c r="H8910" t="s">
        <v>29652</v>
      </c>
      <c r="I8910" t="s">
        <v>29653</v>
      </c>
    </row>
    <row r="8911" spans="1:9">
      <c r="A8911" t="str">
        <f>"0116762 "</f>
        <v xml:space="preserve">0116762 </v>
      </c>
      <c r="B8911" t="s">
        <v>28432</v>
      </c>
      <c r="C8911" t="s">
        <v>29654</v>
      </c>
      <c r="D8911" t="s">
        <v>29655</v>
      </c>
      <c r="E8911">
        <v>1</v>
      </c>
      <c r="F8911" t="s">
        <v>29656</v>
      </c>
      <c r="G8911" t="s">
        <v>28435</v>
      </c>
      <c r="H8911" t="s">
        <v>29657</v>
      </c>
      <c r="I8911" t="s">
        <v>29658</v>
      </c>
    </row>
    <row r="8912" spans="1:9">
      <c r="A8912" t="str">
        <f>"0030437 "</f>
        <v xml:space="preserve">0030437 </v>
      </c>
      <c r="B8912" t="s">
        <v>28432</v>
      </c>
      <c r="C8912" t="s">
        <v>29659</v>
      </c>
      <c r="D8912" t="s">
        <v>29660</v>
      </c>
      <c r="E8912">
        <v>1</v>
      </c>
      <c r="F8912" t="s">
        <v>29661</v>
      </c>
      <c r="G8912" t="s">
        <v>28435</v>
      </c>
      <c r="H8912" t="s">
        <v>29662</v>
      </c>
      <c r="I8912" t="s">
        <v>29663</v>
      </c>
    </row>
    <row r="8913" spans="1:9">
      <c r="A8913" t="str">
        <f>"0030438 "</f>
        <v xml:space="preserve">0030438 </v>
      </c>
      <c r="B8913" t="s">
        <v>28432</v>
      </c>
      <c r="C8913" t="s">
        <v>29664</v>
      </c>
      <c r="D8913" t="s">
        <v>29665</v>
      </c>
      <c r="E8913" t="s">
        <v>16</v>
      </c>
      <c r="F8913" t="s">
        <v>27444</v>
      </c>
      <c r="G8913" t="s">
        <v>28435</v>
      </c>
      <c r="H8913" t="s">
        <v>29666</v>
      </c>
      <c r="I8913" t="s">
        <v>29667</v>
      </c>
    </row>
    <row r="8914" spans="1:9">
      <c r="A8914" t="str">
        <f>"0030439 "</f>
        <v xml:space="preserve">0030439 </v>
      </c>
      <c r="B8914" t="s">
        <v>28432</v>
      </c>
      <c r="C8914" t="s">
        <v>29668</v>
      </c>
      <c r="D8914" t="s">
        <v>29669</v>
      </c>
      <c r="E8914">
        <v>2</v>
      </c>
      <c r="F8914" t="s">
        <v>29514</v>
      </c>
      <c r="G8914" t="s">
        <v>28435</v>
      </c>
      <c r="H8914" t="s">
        <v>29670</v>
      </c>
      <c r="I8914" t="s">
        <v>29671</v>
      </c>
    </row>
    <row r="8915" spans="1:9">
      <c r="A8915" t="str">
        <f>"0159220 "</f>
        <v xml:space="preserve">0159220 </v>
      </c>
      <c r="B8915" t="s">
        <v>28432</v>
      </c>
      <c r="C8915" t="s">
        <v>29672</v>
      </c>
      <c r="D8915" t="s">
        <v>29673</v>
      </c>
      <c r="E8915">
        <v>1</v>
      </c>
      <c r="F8915" t="s">
        <v>29674</v>
      </c>
      <c r="G8915" t="s">
        <v>28435</v>
      </c>
      <c r="H8915" t="s">
        <v>29675</v>
      </c>
      <c r="I8915" t="s">
        <v>29676</v>
      </c>
    </row>
    <row r="8916" spans="1:9">
      <c r="A8916" t="str">
        <f>"0030441 "</f>
        <v xml:space="preserve">0030441 </v>
      </c>
      <c r="B8916" t="s">
        <v>28432</v>
      </c>
      <c r="C8916" t="s">
        <v>29677</v>
      </c>
      <c r="D8916" t="s">
        <v>29678</v>
      </c>
      <c r="E8916">
        <v>2</v>
      </c>
      <c r="F8916" t="s">
        <v>29679</v>
      </c>
      <c r="G8916" t="s">
        <v>28435</v>
      </c>
      <c r="H8916" t="s">
        <v>29680</v>
      </c>
      <c r="I8916" t="s">
        <v>29681</v>
      </c>
    </row>
    <row r="8917" spans="1:9">
      <c r="A8917" t="str">
        <f>"0030445 "</f>
        <v xml:space="preserve">0030445 </v>
      </c>
      <c r="B8917" t="s">
        <v>28432</v>
      </c>
      <c r="C8917" t="s">
        <v>29682</v>
      </c>
      <c r="D8917" t="s">
        <v>29683</v>
      </c>
      <c r="E8917">
        <v>2</v>
      </c>
      <c r="F8917" t="s">
        <v>28819</v>
      </c>
      <c r="G8917" t="s">
        <v>28435</v>
      </c>
      <c r="H8917" t="s">
        <v>29684</v>
      </c>
      <c r="I8917" t="s">
        <v>29685</v>
      </c>
    </row>
    <row r="8918" spans="1:9">
      <c r="A8918" t="str">
        <f>"0030446 "</f>
        <v xml:space="preserve">0030446 </v>
      </c>
      <c r="B8918" t="s">
        <v>28432</v>
      </c>
      <c r="C8918" t="s">
        <v>29686</v>
      </c>
      <c r="D8918" t="s">
        <v>29687</v>
      </c>
      <c r="E8918">
        <v>1</v>
      </c>
      <c r="F8918" t="s">
        <v>29688</v>
      </c>
      <c r="G8918" t="s">
        <v>28435</v>
      </c>
      <c r="H8918" t="s">
        <v>29689</v>
      </c>
      <c r="I8918" t="s">
        <v>29690</v>
      </c>
    </row>
    <row r="8919" spans="1:9">
      <c r="A8919" t="str">
        <f>"0030447 "</f>
        <v xml:space="preserve">0030447 </v>
      </c>
      <c r="B8919" t="s">
        <v>28432</v>
      </c>
      <c r="C8919" t="s">
        <v>29691</v>
      </c>
      <c r="D8919" t="s">
        <v>29692</v>
      </c>
      <c r="E8919">
        <v>1</v>
      </c>
      <c r="F8919" t="s">
        <v>29693</v>
      </c>
      <c r="G8919" t="s">
        <v>28435</v>
      </c>
      <c r="H8919" t="s">
        <v>29694</v>
      </c>
      <c r="I8919" t="s">
        <v>29695</v>
      </c>
    </row>
    <row r="8920" spans="1:9">
      <c r="A8920" t="str">
        <f>"0030448 "</f>
        <v xml:space="preserve">0030448 </v>
      </c>
      <c r="B8920" t="s">
        <v>28432</v>
      </c>
      <c r="C8920" t="s">
        <v>29696</v>
      </c>
      <c r="D8920" t="s">
        <v>29697</v>
      </c>
      <c r="E8920">
        <v>5</v>
      </c>
      <c r="F8920" t="s">
        <v>29698</v>
      </c>
      <c r="G8920" t="s">
        <v>28435</v>
      </c>
      <c r="H8920" t="s">
        <v>29699</v>
      </c>
      <c r="I8920" t="s">
        <v>29700</v>
      </c>
    </row>
    <row r="8921" spans="1:9">
      <c r="A8921" t="str">
        <f>"0030455 "</f>
        <v xml:space="preserve">0030455 </v>
      </c>
      <c r="B8921" t="s">
        <v>28432</v>
      </c>
      <c r="C8921" t="s">
        <v>29701</v>
      </c>
      <c r="D8921" t="s">
        <v>29702</v>
      </c>
      <c r="E8921">
        <v>1</v>
      </c>
      <c r="F8921" t="s">
        <v>28779</v>
      </c>
      <c r="G8921" t="s">
        <v>28435</v>
      </c>
      <c r="H8921" t="s">
        <v>29703</v>
      </c>
      <c r="I8921" t="s">
        <v>29704</v>
      </c>
    </row>
    <row r="8922" spans="1:9">
      <c r="A8922" t="str">
        <f>"0030457 "</f>
        <v xml:space="preserve">0030457 </v>
      </c>
      <c r="B8922" t="s">
        <v>28432</v>
      </c>
      <c r="C8922" t="s">
        <v>29705</v>
      </c>
      <c r="D8922" t="s">
        <v>29706</v>
      </c>
      <c r="E8922">
        <v>2</v>
      </c>
      <c r="F8922" t="s">
        <v>29707</v>
      </c>
      <c r="G8922" t="s">
        <v>28435</v>
      </c>
      <c r="H8922" t="s">
        <v>29708</v>
      </c>
      <c r="I8922" t="s">
        <v>29709</v>
      </c>
    </row>
    <row r="8923" spans="1:9">
      <c r="A8923" t="str">
        <f>"0030458 "</f>
        <v xml:space="preserve">0030458 </v>
      </c>
      <c r="B8923" t="s">
        <v>28432</v>
      </c>
      <c r="C8923" t="s">
        <v>29710</v>
      </c>
      <c r="D8923" t="s">
        <v>29711</v>
      </c>
      <c r="E8923">
        <v>1</v>
      </c>
      <c r="F8923" t="s">
        <v>29712</v>
      </c>
      <c r="G8923" t="s">
        <v>28435</v>
      </c>
      <c r="H8923" t="s">
        <v>29713</v>
      </c>
      <c r="I8923" t="s">
        <v>29714</v>
      </c>
    </row>
    <row r="8924" spans="1:9">
      <c r="A8924" t="str">
        <f>"0030460 "</f>
        <v xml:space="preserve">0030460 </v>
      </c>
      <c r="B8924" t="s">
        <v>28432</v>
      </c>
      <c r="C8924" t="s">
        <v>29715</v>
      </c>
      <c r="D8924" t="s">
        <v>29716</v>
      </c>
      <c r="E8924">
        <v>2</v>
      </c>
      <c r="F8924" t="s">
        <v>29717</v>
      </c>
      <c r="G8924" t="s">
        <v>28435</v>
      </c>
      <c r="H8924" t="s">
        <v>29718</v>
      </c>
      <c r="I8924" t="s">
        <v>29719</v>
      </c>
    </row>
    <row r="8925" spans="1:9">
      <c r="A8925" t="str">
        <f>"0030461 "</f>
        <v xml:space="preserve">0030461 </v>
      </c>
      <c r="B8925" t="s">
        <v>28432</v>
      </c>
      <c r="C8925" t="s">
        <v>29720</v>
      </c>
      <c r="D8925" t="s">
        <v>29721</v>
      </c>
      <c r="E8925" t="s">
        <v>16</v>
      </c>
      <c r="F8925" t="s">
        <v>29722</v>
      </c>
      <c r="G8925" t="s">
        <v>28435</v>
      </c>
      <c r="H8925" t="s">
        <v>29723</v>
      </c>
      <c r="I8925" t="s">
        <v>29724</v>
      </c>
    </row>
    <row r="8926" spans="1:9">
      <c r="A8926" t="str">
        <f>"0030467 "</f>
        <v xml:space="preserve">0030467 </v>
      </c>
      <c r="B8926" t="s">
        <v>28432</v>
      </c>
      <c r="C8926" t="s">
        <v>29725</v>
      </c>
      <c r="D8926" t="s">
        <v>29726</v>
      </c>
      <c r="E8926">
        <v>1</v>
      </c>
      <c r="F8926" t="s">
        <v>29727</v>
      </c>
      <c r="G8926" t="s">
        <v>28435</v>
      </c>
      <c r="H8926" t="s">
        <v>29728</v>
      </c>
      <c r="I8926" t="s">
        <v>29729</v>
      </c>
    </row>
    <row r="8927" spans="1:9">
      <c r="A8927" t="str">
        <f>"0030468 "</f>
        <v xml:space="preserve">0030468 </v>
      </c>
      <c r="B8927" t="s">
        <v>28432</v>
      </c>
      <c r="C8927" t="s">
        <v>29730</v>
      </c>
      <c r="D8927" t="s">
        <v>29731</v>
      </c>
      <c r="E8927" t="s">
        <v>16</v>
      </c>
      <c r="F8927" t="s">
        <v>28510</v>
      </c>
      <c r="G8927" t="s">
        <v>28435</v>
      </c>
      <c r="H8927" t="s">
        <v>29732</v>
      </c>
      <c r="I8927" t="s">
        <v>29733</v>
      </c>
    </row>
    <row r="8928" spans="1:9">
      <c r="A8928" t="str">
        <f>"0030469 "</f>
        <v xml:space="preserve">0030469 </v>
      </c>
      <c r="B8928" t="s">
        <v>28432</v>
      </c>
      <c r="C8928" t="s">
        <v>29734</v>
      </c>
      <c r="D8928" t="s">
        <v>29735</v>
      </c>
      <c r="E8928">
        <v>2</v>
      </c>
      <c r="F8928" t="s">
        <v>29514</v>
      </c>
      <c r="G8928" t="s">
        <v>28435</v>
      </c>
      <c r="H8928" t="s">
        <v>29736</v>
      </c>
      <c r="I8928" t="s">
        <v>29737</v>
      </c>
    </row>
    <row r="8929" spans="1:9">
      <c r="A8929" t="str">
        <f>"0030470 "</f>
        <v xml:space="preserve">0030470 </v>
      </c>
      <c r="B8929" t="s">
        <v>28432</v>
      </c>
      <c r="C8929" t="s">
        <v>29738</v>
      </c>
      <c r="D8929" t="s">
        <v>29739</v>
      </c>
      <c r="E8929">
        <v>4</v>
      </c>
      <c r="F8929" t="s">
        <v>29740</v>
      </c>
      <c r="G8929" t="s">
        <v>28435</v>
      </c>
      <c r="H8929" t="s">
        <v>29741</v>
      </c>
      <c r="I8929" t="s">
        <v>29742</v>
      </c>
    </row>
    <row r="8930" spans="1:9">
      <c r="A8930" t="str">
        <f>"0030471 "</f>
        <v xml:space="preserve">0030471 </v>
      </c>
      <c r="B8930" t="s">
        <v>28432</v>
      </c>
      <c r="C8930" t="s">
        <v>29743</v>
      </c>
      <c r="D8930" t="s">
        <v>29744</v>
      </c>
      <c r="E8930" t="s">
        <v>16</v>
      </c>
      <c r="F8930" t="s">
        <v>1425</v>
      </c>
      <c r="G8930" t="s">
        <v>28435</v>
      </c>
      <c r="H8930" t="s">
        <v>29745</v>
      </c>
      <c r="I8930" t="s">
        <v>29746</v>
      </c>
    </row>
    <row r="8931" spans="1:9">
      <c r="A8931" t="str">
        <f>"0030472 "</f>
        <v xml:space="preserve">0030472 </v>
      </c>
      <c r="B8931" t="s">
        <v>28432</v>
      </c>
      <c r="C8931" t="s">
        <v>29747</v>
      </c>
      <c r="D8931" t="s">
        <v>29748</v>
      </c>
      <c r="E8931">
        <v>1</v>
      </c>
      <c r="F8931" t="s">
        <v>29589</v>
      </c>
      <c r="G8931" t="s">
        <v>28435</v>
      </c>
      <c r="H8931" t="s">
        <v>29749</v>
      </c>
      <c r="I8931" t="s">
        <v>29750</v>
      </c>
    </row>
    <row r="8932" spans="1:9">
      <c r="A8932" t="str">
        <f>"0030479 "</f>
        <v xml:space="preserve">0030479 </v>
      </c>
      <c r="B8932" t="s">
        <v>28432</v>
      </c>
      <c r="C8932" t="s">
        <v>29751</v>
      </c>
      <c r="D8932" t="s">
        <v>29752</v>
      </c>
      <c r="E8932">
        <v>1</v>
      </c>
      <c r="F8932" t="s">
        <v>29753</v>
      </c>
      <c r="G8932" t="s">
        <v>28435</v>
      </c>
      <c r="H8932" t="s">
        <v>29754</v>
      </c>
      <c r="I8932" t="s">
        <v>29755</v>
      </c>
    </row>
    <row r="8933" spans="1:9">
      <c r="A8933" t="str">
        <f>"0030480 "</f>
        <v xml:space="preserve">0030480 </v>
      </c>
      <c r="B8933" t="s">
        <v>28432</v>
      </c>
      <c r="C8933" t="s">
        <v>29756</v>
      </c>
      <c r="D8933" t="s">
        <v>29757</v>
      </c>
      <c r="E8933">
        <v>1</v>
      </c>
      <c r="F8933" t="s">
        <v>29337</v>
      </c>
      <c r="G8933" t="s">
        <v>28435</v>
      </c>
      <c r="H8933" t="s">
        <v>29758</v>
      </c>
      <c r="I8933" t="s">
        <v>29759</v>
      </c>
    </row>
    <row r="8934" spans="1:9">
      <c r="A8934" t="str">
        <f>"0030483 "</f>
        <v xml:space="preserve">0030483 </v>
      </c>
      <c r="B8934" t="s">
        <v>28432</v>
      </c>
      <c r="C8934" t="s">
        <v>29760</v>
      </c>
      <c r="D8934" t="s">
        <v>29761</v>
      </c>
      <c r="E8934">
        <v>4</v>
      </c>
      <c r="F8934" t="s">
        <v>29762</v>
      </c>
      <c r="G8934" t="s">
        <v>28435</v>
      </c>
      <c r="H8934" t="s">
        <v>29763</v>
      </c>
      <c r="I8934" t="s">
        <v>29764</v>
      </c>
    </row>
    <row r="8935" spans="1:9">
      <c r="A8935" t="str">
        <f>"0030484 "</f>
        <v xml:space="preserve">0030484 </v>
      </c>
      <c r="B8935" t="s">
        <v>28432</v>
      </c>
      <c r="C8935" t="s">
        <v>29765</v>
      </c>
      <c r="D8935" t="s">
        <v>29766</v>
      </c>
      <c r="E8935" t="s">
        <v>16</v>
      </c>
      <c r="F8935" t="s">
        <v>29767</v>
      </c>
      <c r="G8935" t="s">
        <v>28435</v>
      </c>
      <c r="H8935" t="s">
        <v>29768</v>
      </c>
      <c r="I8935" t="s">
        <v>29769</v>
      </c>
    </row>
    <row r="8936" spans="1:9">
      <c r="A8936" t="str">
        <f>"0030485 "</f>
        <v xml:space="preserve">0030485 </v>
      </c>
      <c r="B8936" t="s">
        <v>28432</v>
      </c>
      <c r="C8936" t="s">
        <v>29770</v>
      </c>
      <c r="D8936" t="s">
        <v>29771</v>
      </c>
      <c r="E8936">
        <v>1</v>
      </c>
      <c r="F8936" t="s">
        <v>12359</v>
      </c>
      <c r="G8936" t="s">
        <v>28435</v>
      </c>
      <c r="H8936" t="s">
        <v>29772</v>
      </c>
      <c r="I8936" t="s">
        <v>29773</v>
      </c>
    </row>
    <row r="8937" spans="1:9">
      <c r="A8937" t="str">
        <f>"0030486 "</f>
        <v xml:space="preserve">0030486 </v>
      </c>
      <c r="B8937" t="s">
        <v>28432</v>
      </c>
      <c r="C8937" t="s">
        <v>29774</v>
      </c>
      <c r="D8937" t="s">
        <v>29775</v>
      </c>
      <c r="E8937" t="s">
        <v>16</v>
      </c>
      <c r="F8937" t="s">
        <v>29727</v>
      </c>
      <c r="G8937" t="s">
        <v>28435</v>
      </c>
      <c r="H8937" t="s">
        <v>29776</v>
      </c>
      <c r="I8937" t="s">
        <v>29777</v>
      </c>
    </row>
    <row r="8938" spans="1:9">
      <c r="A8938" t="str">
        <f>"0030487 "</f>
        <v xml:space="preserve">0030487 </v>
      </c>
      <c r="B8938" t="s">
        <v>28432</v>
      </c>
      <c r="C8938" t="s">
        <v>29778</v>
      </c>
      <c r="D8938" t="s">
        <v>29779</v>
      </c>
      <c r="E8938">
        <v>2</v>
      </c>
      <c r="F8938" t="s">
        <v>29780</v>
      </c>
      <c r="G8938" t="s">
        <v>28435</v>
      </c>
      <c r="H8938" t="s">
        <v>29781</v>
      </c>
      <c r="I8938" t="s">
        <v>29782</v>
      </c>
    </row>
    <row r="8939" spans="1:9">
      <c r="A8939" t="str">
        <f>"0030489 "</f>
        <v xml:space="preserve">0030489 </v>
      </c>
      <c r="B8939" t="s">
        <v>28432</v>
      </c>
      <c r="C8939" t="s">
        <v>29783</v>
      </c>
      <c r="D8939" t="s">
        <v>29784</v>
      </c>
      <c r="E8939">
        <v>5</v>
      </c>
      <c r="F8939" t="s">
        <v>29767</v>
      </c>
      <c r="G8939" t="s">
        <v>28435</v>
      </c>
      <c r="H8939" t="s">
        <v>29785</v>
      </c>
      <c r="I8939" t="s">
        <v>29786</v>
      </c>
    </row>
    <row r="8940" spans="1:9">
      <c r="A8940" t="str">
        <f>"0030492 "</f>
        <v xml:space="preserve">0030492 </v>
      </c>
      <c r="B8940" t="s">
        <v>28432</v>
      </c>
      <c r="C8940" t="s">
        <v>29787</v>
      </c>
      <c r="D8940" t="s">
        <v>29788</v>
      </c>
      <c r="E8940">
        <v>1</v>
      </c>
      <c r="F8940" t="s">
        <v>28535</v>
      </c>
      <c r="G8940" t="s">
        <v>28435</v>
      </c>
      <c r="H8940" t="s">
        <v>29789</v>
      </c>
      <c r="I8940" t="s">
        <v>29790</v>
      </c>
    </row>
    <row r="8941" spans="1:9">
      <c r="A8941" t="str">
        <f>"0030493 "</f>
        <v xml:space="preserve">0030493 </v>
      </c>
      <c r="B8941" t="s">
        <v>28432</v>
      </c>
      <c r="C8941" t="s">
        <v>29791</v>
      </c>
      <c r="D8941" t="s">
        <v>29792</v>
      </c>
      <c r="E8941">
        <v>1</v>
      </c>
      <c r="F8941" t="s">
        <v>1858</v>
      </c>
      <c r="G8941" t="s">
        <v>28435</v>
      </c>
      <c r="H8941" t="s">
        <v>29793</v>
      </c>
      <c r="I8941" t="s">
        <v>29794</v>
      </c>
    </row>
    <row r="8942" spans="1:9">
      <c r="A8942" t="str">
        <f>"0030496 "</f>
        <v xml:space="preserve">0030496 </v>
      </c>
      <c r="B8942" t="s">
        <v>28432</v>
      </c>
      <c r="C8942" t="s">
        <v>29795</v>
      </c>
      <c r="D8942" t="s">
        <v>29796</v>
      </c>
      <c r="E8942" t="s">
        <v>16</v>
      </c>
      <c r="F8942" t="s">
        <v>29301</v>
      </c>
      <c r="G8942" t="s">
        <v>28435</v>
      </c>
      <c r="H8942" t="s">
        <v>29797</v>
      </c>
      <c r="I8942" t="s">
        <v>29798</v>
      </c>
    </row>
    <row r="8943" spans="1:9">
      <c r="A8943" t="str">
        <f>"0030497 "</f>
        <v xml:space="preserve">0030497 </v>
      </c>
      <c r="B8943" t="s">
        <v>28432</v>
      </c>
      <c r="C8943" t="s">
        <v>29799</v>
      </c>
      <c r="D8943" t="s">
        <v>29800</v>
      </c>
      <c r="E8943">
        <v>2</v>
      </c>
      <c r="F8943" t="s">
        <v>29253</v>
      </c>
      <c r="G8943" t="s">
        <v>28435</v>
      </c>
      <c r="H8943" t="s">
        <v>29801</v>
      </c>
      <c r="I8943" t="s">
        <v>29802</v>
      </c>
    </row>
    <row r="8944" spans="1:9">
      <c r="A8944" t="str">
        <f>"0030498 "</f>
        <v xml:space="preserve">0030498 </v>
      </c>
      <c r="B8944" t="s">
        <v>28432</v>
      </c>
      <c r="C8944" t="s">
        <v>29803</v>
      </c>
      <c r="D8944" t="s">
        <v>29804</v>
      </c>
      <c r="E8944" t="s">
        <v>16</v>
      </c>
      <c r="F8944" t="s">
        <v>29805</v>
      </c>
      <c r="G8944" t="s">
        <v>28435</v>
      </c>
      <c r="H8944" t="s">
        <v>29806</v>
      </c>
      <c r="I8944" t="s">
        <v>881</v>
      </c>
    </row>
    <row r="8945" spans="1:9">
      <c r="A8945" t="str">
        <f>"0030499 "</f>
        <v xml:space="preserve">0030499 </v>
      </c>
      <c r="B8945" t="s">
        <v>28432</v>
      </c>
      <c r="C8945" t="s">
        <v>29807</v>
      </c>
      <c r="D8945" t="s">
        <v>29808</v>
      </c>
      <c r="E8945">
        <v>1</v>
      </c>
      <c r="F8945" t="s">
        <v>29809</v>
      </c>
      <c r="G8945" t="s">
        <v>28435</v>
      </c>
      <c r="H8945" t="s">
        <v>29810</v>
      </c>
      <c r="I8945" t="s">
        <v>29811</v>
      </c>
    </row>
    <row r="8946" spans="1:9">
      <c r="A8946" t="str">
        <f>"0030500 "</f>
        <v xml:space="preserve">0030500 </v>
      </c>
      <c r="B8946" t="s">
        <v>28432</v>
      </c>
      <c r="C8946" t="s">
        <v>29812</v>
      </c>
      <c r="D8946" t="s">
        <v>29813</v>
      </c>
      <c r="E8946" t="s">
        <v>16</v>
      </c>
      <c r="F8946" t="s">
        <v>29814</v>
      </c>
      <c r="G8946" t="s">
        <v>28435</v>
      </c>
      <c r="H8946" t="s">
        <v>29815</v>
      </c>
      <c r="I8946" t="s">
        <v>969</v>
      </c>
    </row>
    <row r="8947" spans="1:9">
      <c r="A8947" t="str">
        <f>"0030501 "</f>
        <v xml:space="preserve">0030501 </v>
      </c>
      <c r="B8947" t="s">
        <v>28432</v>
      </c>
      <c r="C8947" t="s">
        <v>29816</v>
      </c>
      <c r="D8947" t="s">
        <v>29817</v>
      </c>
      <c r="E8947">
        <v>2</v>
      </c>
      <c r="F8947" t="s">
        <v>29818</v>
      </c>
      <c r="G8947" t="s">
        <v>28435</v>
      </c>
      <c r="H8947" t="s">
        <v>29819</v>
      </c>
      <c r="I8947" t="s">
        <v>29820</v>
      </c>
    </row>
    <row r="8948" spans="1:9">
      <c r="A8948" t="str">
        <f>"0030502 "</f>
        <v xml:space="preserve">0030502 </v>
      </c>
      <c r="B8948" t="s">
        <v>28432</v>
      </c>
      <c r="C8948" t="s">
        <v>29821</v>
      </c>
      <c r="D8948" t="s">
        <v>29822</v>
      </c>
      <c r="E8948" t="s">
        <v>16</v>
      </c>
      <c r="F8948" t="s">
        <v>29809</v>
      </c>
      <c r="G8948" t="s">
        <v>28435</v>
      </c>
      <c r="H8948" t="s">
        <v>29823</v>
      </c>
      <c r="I8948" t="s">
        <v>29824</v>
      </c>
    </row>
    <row r="8949" spans="1:9">
      <c r="A8949" t="str">
        <f>"0030503 "</f>
        <v xml:space="preserve">0030503 </v>
      </c>
      <c r="B8949" t="s">
        <v>28432</v>
      </c>
      <c r="C8949" t="s">
        <v>29825</v>
      </c>
      <c r="D8949" t="s">
        <v>29826</v>
      </c>
      <c r="E8949" t="s">
        <v>16</v>
      </c>
      <c r="F8949" t="s">
        <v>29827</v>
      </c>
      <c r="G8949" t="s">
        <v>28435</v>
      </c>
      <c r="H8949" t="s">
        <v>29828</v>
      </c>
      <c r="I8949" t="s">
        <v>823</v>
      </c>
    </row>
    <row r="8950" spans="1:9">
      <c r="A8950" t="str">
        <f>"0030504 "</f>
        <v xml:space="preserve">0030504 </v>
      </c>
      <c r="B8950" t="s">
        <v>28432</v>
      </c>
      <c r="C8950" t="s">
        <v>29829</v>
      </c>
      <c r="D8950" t="s">
        <v>29830</v>
      </c>
      <c r="E8950" t="s">
        <v>16</v>
      </c>
      <c r="F8950" t="s">
        <v>29831</v>
      </c>
      <c r="G8950" t="s">
        <v>28435</v>
      </c>
      <c r="H8950" t="s">
        <v>29832</v>
      </c>
      <c r="I8950" t="s">
        <v>29833</v>
      </c>
    </row>
    <row r="8951" spans="1:9">
      <c r="A8951" t="str">
        <f>"0030505 "</f>
        <v xml:space="preserve">0030505 </v>
      </c>
      <c r="B8951" t="s">
        <v>28432</v>
      </c>
      <c r="C8951" t="s">
        <v>29834</v>
      </c>
      <c r="D8951" t="s">
        <v>29835</v>
      </c>
      <c r="E8951">
        <v>1</v>
      </c>
      <c r="F8951" t="s">
        <v>22367</v>
      </c>
      <c r="G8951" t="s">
        <v>28435</v>
      </c>
      <c r="H8951" t="s">
        <v>29836</v>
      </c>
      <c r="I8951" t="s">
        <v>29837</v>
      </c>
    </row>
    <row r="8952" spans="1:9">
      <c r="A8952" t="str">
        <f>"0030507 "</f>
        <v xml:space="preserve">0030507 </v>
      </c>
      <c r="B8952" t="s">
        <v>28432</v>
      </c>
      <c r="C8952" t="s">
        <v>29838</v>
      </c>
      <c r="D8952" t="s">
        <v>29839</v>
      </c>
      <c r="E8952">
        <v>1</v>
      </c>
      <c r="F8952" t="s">
        <v>29636</v>
      </c>
      <c r="G8952" t="s">
        <v>28435</v>
      </c>
      <c r="H8952" t="s">
        <v>29840</v>
      </c>
      <c r="I8952" t="s">
        <v>29841</v>
      </c>
    </row>
    <row r="8953" spans="1:9">
      <c r="A8953" t="str">
        <f>"0030508 "</f>
        <v xml:space="preserve">0030508 </v>
      </c>
      <c r="B8953" t="s">
        <v>28432</v>
      </c>
      <c r="C8953" t="s">
        <v>29842</v>
      </c>
      <c r="D8953" t="s">
        <v>29843</v>
      </c>
      <c r="E8953">
        <v>1</v>
      </c>
      <c r="F8953" t="s">
        <v>29179</v>
      </c>
      <c r="G8953" t="s">
        <v>28435</v>
      </c>
      <c r="H8953" t="s">
        <v>29844</v>
      </c>
      <c r="I8953" t="s">
        <v>29845</v>
      </c>
    </row>
    <row r="8954" spans="1:9">
      <c r="A8954" t="str">
        <f>"0030512 "</f>
        <v xml:space="preserve">0030512 </v>
      </c>
      <c r="B8954" t="s">
        <v>28432</v>
      </c>
      <c r="C8954" t="s">
        <v>29846</v>
      </c>
      <c r="D8954" t="s">
        <v>29847</v>
      </c>
      <c r="E8954">
        <v>1</v>
      </c>
      <c r="F8954" t="s">
        <v>29848</v>
      </c>
      <c r="G8954" t="s">
        <v>28435</v>
      </c>
      <c r="H8954" t="s">
        <v>29849</v>
      </c>
      <c r="I8954" t="s">
        <v>29850</v>
      </c>
    </row>
    <row r="8955" spans="1:9">
      <c r="A8955" t="str">
        <f>"0030516 "</f>
        <v xml:space="preserve">0030516 </v>
      </c>
      <c r="B8955" t="s">
        <v>28432</v>
      </c>
      <c r="C8955" t="s">
        <v>29851</v>
      </c>
      <c r="D8955" t="s">
        <v>29852</v>
      </c>
      <c r="E8955">
        <v>1</v>
      </c>
      <c r="F8955" t="s">
        <v>29853</v>
      </c>
      <c r="G8955" t="s">
        <v>28435</v>
      </c>
      <c r="H8955" t="s">
        <v>29854</v>
      </c>
      <c r="I8955" t="s">
        <v>29855</v>
      </c>
    </row>
    <row r="8956" spans="1:9">
      <c r="A8956" t="str">
        <f>"0030517 "</f>
        <v xml:space="preserve">0030517 </v>
      </c>
      <c r="B8956" t="s">
        <v>28432</v>
      </c>
      <c r="C8956" t="s">
        <v>29856</v>
      </c>
      <c r="D8956" t="s">
        <v>29857</v>
      </c>
      <c r="E8956">
        <v>1</v>
      </c>
      <c r="F8956" t="s">
        <v>28838</v>
      </c>
      <c r="G8956" t="s">
        <v>28435</v>
      </c>
      <c r="H8956" t="s">
        <v>29858</v>
      </c>
      <c r="I8956" t="s">
        <v>29859</v>
      </c>
    </row>
    <row r="8957" spans="1:9">
      <c r="A8957" t="str">
        <f>"0030520 "</f>
        <v xml:space="preserve">0030520 </v>
      </c>
      <c r="B8957" t="s">
        <v>28432</v>
      </c>
      <c r="C8957" t="s">
        <v>29860</v>
      </c>
      <c r="D8957" t="s">
        <v>29861</v>
      </c>
      <c r="E8957">
        <v>1</v>
      </c>
      <c r="F8957" t="s">
        <v>29862</v>
      </c>
      <c r="G8957" t="s">
        <v>28435</v>
      </c>
      <c r="H8957" t="s">
        <v>29863</v>
      </c>
      <c r="I8957" t="s">
        <v>29864</v>
      </c>
    </row>
    <row r="8958" spans="1:9">
      <c r="A8958" t="str">
        <f>"0030521 "</f>
        <v xml:space="preserve">0030521 </v>
      </c>
      <c r="B8958" t="s">
        <v>28432</v>
      </c>
      <c r="C8958" t="s">
        <v>29865</v>
      </c>
      <c r="D8958" t="s">
        <v>29866</v>
      </c>
      <c r="E8958">
        <v>1</v>
      </c>
      <c r="F8958" t="s">
        <v>29867</v>
      </c>
      <c r="G8958" t="s">
        <v>28435</v>
      </c>
      <c r="H8958" t="s">
        <v>29868</v>
      </c>
      <c r="I8958" t="s">
        <v>29869</v>
      </c>
    </row>
    <row r="8959" spans="1:9">
      <c r="A8959" t="str">
        <f>"0030524 "</f>
        <v xml:space="preserve">0030524 </v>
      </c>
      <c r="B8959" t="s">
        <v>28432</v>
      </c>
      <c r="C8959" t="s">
        <v>29870</v>
      </c>
      <c r="D8959" t="s">
        <v>29871</v>
      </c>
      <c r="E8959">
        <v>2</v>
      </c>
      <c r="F8959" t="s">
        <v>29872</v>
      </c>
      <c r="G8959" t="s">
        <v>28435</v>
      </c>
      <c r="H8959" t="s">
        <v>29873</v>
      </c>
      <c r="I8959" t="s">
        <v>29874</v>
      </c>
    </row>
    <row r="8960" spans="1:9">
      <c r="A8960" t="str">
        <f>"0030531 "</f>
        <v xml:space="preserve">0030531 </v>
      </c>
      <c r="B8960" t="s">
        <v>28432</v>
      </c>
      <c r="C8960" t="s">
        <v>29875</v>
      </c>
      <c r="D8960" t="s">
        <v>29876</v>
      </c>
      <c r="E8960">
        <v>1</v>
      </c>
      <c r="F8960" t="s">
        <v>29877</v>
      </c>
      <c r="G8960" t="s">
        <v>28435</v>
      </c>
      <c r="H8960" t="s">
        <v>29878</v>
      </c>
      <c r="I8960" t="s">
        <v>29879</v>
      </c>
    </row>
    <row r="8961" spans="1:9">
      <c r="A8961" t="str">
        <f>"0030533 "</f>
        <v xml:space="preserve">0030533 </v>
      </c>
      <c r="B8961" t="s">
        <v>28432</v>
      </c>
      <c r="C8961" t="s">
        <v>29880</v>
      </c>
      <c r="D8961" t="s">
        <v>29881</v>
      </c>
      <c r="E8961">
        <v>2</v>
      </c>
      <c r="F8961" t="s">
        <v>28459</v>
      </c>
      <c r="G8961" t="s">
        <v>28435</v>
      </c>
      <c r="H8961" t="s">
        <v>29882</v>
      </c>
      <c r="I8961" t="s">
        <v>29883</v>
      </c>
    </row>
    <row r="8962" spans="1:9">
      <c r="A8962" t="str">
        <f>"0030535 "</f>
        <v xml:space="preserve">0030535 </v>
      </c>
      <c r="B8962" t="s">
        <v>28432</v>
      </c>
      <c r="C8962" t="s">
        <v>29884</v>
      </c>
      <c r="D8962" t="s">
        <v>29885</v>
      </c>
      <c r="E8962">
        <v>2</v>
      </c>
      <c r="F8962" t="s">
        <v>29886</v>
      </c>
      <c r="G8962" t="s">
        <v>28435</v>
      </c>
      <c r="H8962" t="s">
        <v>29887</v>
      </c>
      <c r="I8962" t="s">
        <v>29888</v>
      </c>
    </row>
    <row r="8963" spans="1:9">
      <c r="A8963" t="str">
        <f>"0030536 "</f>
        <v xml:space="preserve">0030536 </v>
      </c>
      <c r="B8963" t="s">
        <v>28432</v>
      </c>
      <c r="C8963" t="s">
        <v>29889</v>
      </c>
      <c r="D8963" t="s">
        <v>29890</v>
      </c>
      <c r="E8963">
        <v>1</v>
      </c>
      <c r="F8963" t="s">
        <v>29891</v>
      </c>
      <c r="G8963" t="s">
        <v>28435</v>
      </c>
      <c r="H8963" t="s">
        <v>29892</v>
      </c>
      <c r="I8963" t="s">
        <v>29893</v>
      </c>
    </row>
    <row r="8964" spans="1:9">
      <c r="A8964" t="str">
        <f>"0116693 "</f>
        <v xml:space="preserve">0116693 </v>
      </c>
      <c r="B8964" t="s">
        <v>28432</v>
      </c>
      <c r="C8964" t="s">
        <v>29894</v>
      </c>
      <c r="D8964" t="s">
        <v>29895</v>
      </c>
      <c r="E8964">
        <v>1</v>
      </c>
      <c r="F8964" t="s">
        <v>29092</v>
      </c>
      <c r="G8964" t="s">
        <v>28435</v>
      </c>
      <c r="H8964" t="s">
        <v>29896</v>
      </c>
      <c r="I8964" t="s">
        <v>29897</v>
      </c>
    </row>
    <row r="8965" spans="1:9">
      <c r="A8965" t="str">
        <f>"0030538 "</f>
        <v xml:space="preserve">0030538 </v>
      </c>
      <c r="B8965" t="s">
        <v>28432</v>
      </c>
      <c r="C8965" t="s">
        <v>29898</v>
      </c>
      <c r="D8965" t="s">
        <v>29899</v>
      </c>
      <c r="E8965" t="s">
        <v>16</v>
      </c>
      <c r="F8965" t="s">
        <v>28732</v>
      </c>
      <c r="G8965" t="s">
        <v>28435</v>
      </c>
      <c r="H8965" t="s">
        <v>29900</v>
      </c>
      <c r="I8965" t="s">
        <v>18746</v>
      </c>
    </row>
    <row r="8966" spans="1:9">
      <c r="A8966" t="str">
        <f>"0030539 "</f>
        <v xml:space="preserve">0030539 </v>
      </c>
      <c r="B8966" t="s">
        <v>28432</v>
      </c>
      <c r="C8966" t="s">
        <v>29901</v>
      </c>
      <c r="D8966" t="s">
        <v>29902</v>
      </c>
      <c r="E8966">
        <v>1</v>
      </c>
      <c r="F8966" t="s">
        <v>29551</v>
      </c>
      <c r="G8966" t="s">
        <v>28435</v>
      </c>
      <c r="H8966" t="s">
        <v>29903</v>
      </c>
      <c r="I8966" t="s">
        <v>29904</v>
      </c>
    </row>
    <row r="8967" spans="1:9">
      <c r="A8967" t="str">
        <f>"0030543 "</f>
        <v xml:space="preserve">0030543 </v>
      </c>
      <c r="B8967" t="s">
        <v>28432</v>
      </c>
      <c r="C8967" t="s">
        <v>29905</v>
      </c>
      <c r="D8967" t="s">
        <v>29906</v>
      </c>
      <c r="E8967">
        <v>1</v>
      </c>
      <c r="F8967" t="s">
        <v>29661</v>
      </c>
      <c r="G8967" t="s">
        <v>28435</v>
      </c>
      <c r="H8967" t="s">
        <v>29907</v>
      </c>
      <c r="I8967" t="s">
        <v>29908</v>
      </c>
    </row>
    <row r="8968" spans="1:9">
      <c r="A8968" t="str">
        <f>"0030545 "</f>
        <v xml:space="preserve">0030545 </v>
      </c>
      <c r="B8968" t="s">
        <v>28432</v>
      </c>
      <c r="C8968" t="s">
        <v>29909</v>
      </c>
      <c r="D8968" t="s">
        <v>29910</v>
      </c>
      <c r="E8968">
        <v>1</v>
      </c>
      <c r="F8968" t="s">
        <v>29911</v>
      </c>
      <c r="G8968" t="s">
        <v>28435</v>
      </c>
      <c r="H8968" t="s">
        <v>29912</v>
      </c>
      <c r="I8968" t="s">
        <v>29913</v>
      </c>
    </row>
    <row r="8969" spans="1:9">
      <c r="A8969" t="str">
        <f>"0030546 "</f>
        <v xml:space="preserve">0030546 </v>
      </c>
      <c r="B8969" t="s">
        <v>28432</v>
      </c>
      <c r="C8969" t="s">
        <v>29914</v>
      </c>
      <c r="D8969" t="s">
        <v>29915</v>
      </c>
      <c r="E8969">
        <v>1</v>
      </c>
      <c r="F8969" t="s">
        <v>28661</v>
      </c>
      <c r="G8969" t="s">
        <v>28435</v>
      </c>
      <c r="H8969" t="s">
        <v>29916</v>
      </c>
      <c r="I8969" t="s">
        <v>29917</v>
      </c>
    </row>
    <row r="8970" spans="1:9">
      <c r="A8970" t="str">
        <f>"0030551 "</f>
        <v xml:space="preserve">0030551 </v>
      </c>
      <c r="B8970" t="s">
        <v>28432</v>
      </c>
      <c r="C8970" t="s">
        <v>29918</v>
      </c>
      <c r="D8970" t="s">
        <v>29919</v>
      </c>
      <c r="E8970">
        <v>4</v>
      </c>
      <c r="F8970" t="s">
        <v>29920</v>
      </c>
      <c r="G8970" t="s">
        <v>28435</v>
      </c>
      <c r="H8970" t="s">
        <v>29921</v>
      </c>
      <c r="I8970" t="s">
        <v>29922</v>
      </c>
    </row>
    <row r="8971" spans="1:9">
      <c r="A8971" t="str">
        <f>"0030554 "</f>
        <v xml:space="preserve">0030554 </v>
      </c>
      <c r="B8971" t="s">
        <v>28432</v>
      </c>
      <c r="C8971" t="s">
        <v>29923</v>
      </c>
      <c r="D8971" t="s">
        <v>29924</v>
      </c>
      <c r="E8971">
        <v>2</v>
      </c>
      <c r="F8971" t="s">
        <v>28682</v>
      </c>
      <c r="G8971" t="s">
        <v>28435</v>
      </c>
      <c r="H8971" t="s">
        <v>29925</v>
      </c>
      <c r="I8971" t="s">
        <v>785</v>
      </c>
    </row>
    <row r="8972" spans="1:9">
      <c r="A8972" t="str">
        <f>"0030557 "</f>
        <v xml:space="preserve">0030557 </v>
      </c>
      <c r="B8972" t="s">
        <v>28432</v>
      </c>
      <c r="C8972" t="s">
        <v>29926</v>
      </c>
      <c r="D8972" t="s">
        <v>29927</v>
      </c>
      <c r="E8972">
        <v>2</v>
      </c>
      <c r="F8972" t="s">
        <v>29589</v>
      </c>
      <c r="G8972" t="s">
        <v>28435</v>
      </c>
      <c r="H8972" t="s">
        <v>29928</v>
      </c>
      <c r="I8972" t="s">
        <v>29929</v>
      </c>
    </row>
    <row r="8973" spans="1:9">
      <c r="A8973" t="str">
        <f>"0030559 "</f>
        <v xml:space="preserve">0030559 </v>
      </c>
      <c r="B8973" t="s">
        <v>28432</v>
      </c>
      <c r="C8973" t="s">
        <v>29930</v>
      </c>
      <c r="D8973" t="s">
        <v>29931</v>
      </c>
      <c r="E8973">
        <v>1</v>
      </c>
      <c r="F8973" t="s">
        <v>29932</v>
      </c>
      <c r="G8973" t="s">
        <v>28435</v>
      </c>
      <c r="H8973" t="s">
        <v>29933</v>
      </c>
      <c r="I8973" t="s">
        <v>29934</v>
      </c>
    </row>
    <row r="8974" spans="1:9">
      <c r="A8974" t="str">
        <f>"0116600 "</f>
        <v xml:space="preserve">0116600 </v>
      </c>
      <c r="B8974" t="s">
        <v>28432</v>
      </c>
      <c r="C8974" t="s">
        <v>29935</v>
      </c>
      <c r="D8974" t="s">
        <v>29936</v>
      </c>
      <c r="E8974">
        <v>1</v>
      </c>
      <c r="F8974" t="s">
        <v>29937</v>
      </c>
      <c r="G8974" t="s">
        <v>28435</v>
      </c>
      <c r="H8974" t="s">
        <v>29938</v>
      </c>
      <c r="I8974" t="s">
        <v>29939</v>
      </c>
    </row>
    <row r="8975" spans="1:9">
      <c r="A8975" t="str">
        <f>"0030561 "</f>
        <v xml:space="preserve">0030561 </v>
      </c>
      <c r="B8975" t="s">
        <v>28432</v>
      </c>
      <c r="C8975" t="s">
        <v>29940</v>
      </c>
      <c r="D8975" t="s">
        <v>29941</v>
      </c>
      <c r="E8975">
        <v>1</v>
      </c>
      <c r="F8975" t="s">
        <v>29942</v>
      </c>
      <c r="G8975" t="s">
        <v>28435</v>
      </c>
      <c r="H8975" t="s">
        <v>29943</v>
      </c>
      <c r="I8975" t="s">
        <v>29944</v>
      </c>
    </row>
    <row r="8976" spans="1:9">
      <c r="A8976" t="str">
        <f>"0030569 "</f>
        <v xml:space="preserve">0030569 </v>
      </c>
      <c r="B8976" t="s">
        <v>28432</v>
      </c>
      <c r="C8976" t="s">
        <v>29945</v>
      </c>
      <c r="D8976" t="s">
        <v>29946</v>
      </c>
      <c r="E8976">
        <v>2</v>
      </c>
      <c r="F8976" t="s">
        <v>29306</v>
      </c>
      <c r="G8976" t="s">
        <v>28435</v>
      </c>
      <c r="H8976" t="s">
        <v>29947</v>
      </c>
      <c r="I8976" t="s">
        <v>29948</v>
      </c>
    </row>
    <row r="8977" spans="1:9">
      <c r="A8977" t="str">
        <f>"0030571 "</f>
        <v xml:space="preserve">0030571 </v>
      </c>
      <c r="B8977" t="s">
        <v>28432</v>
      </c>
      <c r="C8977" t="s">
        <v>29949</v>
      </c>
      <c r="D8977" t="s">
        <v>29950</v>
      </c>
      <c r="E8977">
        <v>1</v>
      </c>
      <c r="F8977" t="s">
        <v>29569</v>
      </c>
      <c r="G8977" t="s">
        <v>28435</v>
      </c>
      <c r="H8977" t="s">
        <v>29951</v>
      </c>
      <c r="I8977" t="s">
        <v>29952</v>
      </c>
    </row>
    <row r="8978" spans="1:9">
      <c r="A8978" t="str">
        <f>"0030572 "</f>
        <v xml:space="preserve">0030572 </v>
      </c>
      <c r="B8978" t="s">
        <v>28432</v>
      </c>
      <c r="C8978" t="s">
        <v>29953</v>
      </c>
      <c r="D8978" t="s">
        <v>29954</v>
      </c>
      <c r="E8978" t="s">
        <v>16</v>
      </c>
      <c r="F8978" t="s">
        <v>29955</v>
      </c>
      <c r="G8978" t="s">
        <v>28435</v>
      </c>
      <c r="H8978" t="s">
        <v>29956</v>
      </c>
      <c r="I8978" t="s">
        <v>29957</v>
      </c>
    </row>
    <row r="8979" spans="1:9">
      <c r="A8979" t="str">
        <f>"0030573 "</f>
        <v xml:space="preserve">0030573 </v>
      </c>
      <c r="B8979" t="s">
        <v>28432</v>
      </c>
      <c r="C8979" t="s">
        <v>29958</v>
      </c>
      <c r="D8979" t="s">
        <v>29959</v>
      </c>
      <c r="E8979">
        <v>2</v>
      </c>
      <c r="F8979" t="s">
        <v>28760</v>
      </c>
      <c r="G8979" t="s">
        <v>28435</v>
      </c>
      <c r="H8979" t="s">
        <v>29960</v>
      </c>
      <c r="I8979" t="s">
        <v>29961</v>
      </c>
    </row>
    <row r="8980" spans="1:9">
      <c r="A8980" t="str">
        <f>"0030574 "</f>
        <v xml:space="preserve">0030574 </v>
      </c>
      <c r="B8980" t="s">
        <v>28432</v>
      </c>
      <c r="C8980" t="s">
        <v>29962</v>
      </c>
      <c r="D8980" t="s">
        <v>29963</v>
      </c>
      <c r="E8980">
        <v>3</v>
      </c>
      <c r="F8980" t="s">
        <v>19937</v>
      </c>
      <c r="G8980" t="s">
        <v>28435</v>
      </c>
      <c r="H8980" t="s">
        <v>29964</v>
      </c>
      <c r="I8980" t="s">
        <v>29965</v>
      </c>
    </row>
    <row r="8981" spans="1:9">
      <c r="A8981" t="str">
        <f>"0030575 "</f>
        <v xml:space="preserve">0030575 </v>
      </c>
      <c r="B8981" t="s">
        <v>28432</v>
      </c>
      <c r="C8981" t="s">
        <v>29966</v>
      </c>
      <c r="D8981" t="s">
        <v>29967</v>
      </c>
      <c r="E8981">
        <v>4</v>
      </c>
      <c r="F8981" t="s">
        <v>29968</v>
      </c>
      <c r="G8981" t="s">
        <v>28435</v>
      </c>
      <c r="H8981" t="s">
        <v>29969</v>
      </c>
      <c r="I8981" t="s">
        <v>29970</v>
      </c>
    </row>
    <row r="8982" spans="1:9">
      <c r="A8982" t="str">
        <f>"0030576 "</f>
        <v xml:space="preserve">0030576 </v>
      </c>
      <c r="B8982" t="s">
        <v>28432</v>
      </c>
      <c r="C8982" t="s">
        <v>29971</v>
      </c>
      <c r="D8982" t="s">
        <v>29972</v>
      </c>
      <c r="E8982">
        <v>2</v>
      </c>
      <c r="F8982" t="s">
        <v>29973</v>
      </c>
      <c r="G8982" t="s">
        <v>28435</v>
      </c>
      <c r="H8982" t="s">
        <v>29974</v>
      </c>
      <c r="I8982" t="s">
        <v>29975</v>
      </c>
    </row>
    <row r="8983" spans="1:9">
      <c r="A8983" t="str">
        <f>"0030578 "</f>
        <v xml:space="preserve">0030578 </v>
      </c>
      <c r="B8983" t="s">
        <v>28432</v>
      </c>
      <c r="C8983" t="s">
        <v>29976</v>
      </c>
      <c r="D8983" t="s">
        <v>29977</v>
      </c>
      <c r="E8983" t="s">
        <v>16</v>
      </c>
      <c r="F8983" t="s">
        <v>28650</v>
      </c>
      <c r="G8983" t="s">
        <v>28435</v>
      </c>
      <c r="H8983" t="s">
        <v>29978</v>
      </c>
      <c r="I8983" t="s">
        <v>29979</v>
      </c>
    </row>
    <row r="8984" spans="1:9">
      <c r="A8984" t="str">
        <f>"0030579 "</f>
        <v xml:space="preserve">0030579 </v>
      </c>
      <c r="B8984" t="s">
        <v>28432</v>
      </c>
      <c r="C8984" t="s">
        <v>29980</v>
      </c>
      <c r="D8984" t="s">
        <v>29981</v>
      </c>
      <c r="E8984" t="s">
        <v>16</v>
      </c>
      <c r="F8984" t="s">
        <v>28760</v>
      </c>
      <c r="G8984" t="s">
        <v>28435</v>
      </c>
      <c r="H8984" t="s">
        <v>29982</v>
      </c>
      <c r="I8984" t="s">
        <v>29983</v>
      </c>
    </row>
    <row r="8985" spans="1:9">
      <c r="A8985" t="str">
        <f>"0048765 "</f>
        <v xml:space="preserve">0048765 </v>
      </c>
      <c r="B8985" t="s">
        <v>28432</v>
      </c>
      <c r="C8985" t="s">
        <v>29984</v>
      </c>
      <c r="D8985" t="s">
        <v>29985</v>
      </c>
      <c r="E8985">
        <v>2</v>
      </c>
      <c r="F8985" t="s">
        <v>29986</v>
      </c>
      <c r="G8985" t="s">
        <v>28435</v>
      </c>
      <c r="H8985" t="s">
        <v>29987</v>
      </c>
      <c r="I8985" t="s">
        <v>29988</v>
      </c>
    </row>
    <row r="8986" spans="1:9">
      <c r="A8986" t="str">
        <f>"0030580 "</f>
        <v xml:space="preserve">0030580 </v>
      </c>
      <c r="B8986" t="s">
        <v>28432</v>
      </c>
      <c r="C8986" t="s">
        <v>29989</v>
      </c>
      <c r="D8986" t="s">
        <v>29990</v>
      </c>
      <c r="E8986">
        <v>2</v>
      </c>
      <c r="F8986" t="s">
        <v>29991</v>
      </c>
      <c r="G8986" t="s">
        <v>28435</v>
      </c>
      <c r="H8986" t="s">
        <v>29992</v>
      </c>
      <c r="I8986" t="s">
        <v>29993</v>
      </c>
    </row>
    <row r="8987" spans="1:9">
      <c r="A8987" t="str">
        <f>"0030581 "</f>
        <v xml:space="preserve">0030581 </v>
      </c>
      <c r="B8987" t="s">
        <v>28432</v>
      </c>
      <c r="C8987" t="s">
        <v>29994</v>
      </c>
      <c r="D8987" t="s">
        <v>29995</v>
      </c>
      <c r="E8987">
        <v>2</v>
      </c>
      <c r="F8987" t="s">
        <v>29996</v>
      </c>
      <c r="G8987" t="s">
        <v>28435</v>
      </c>
      <c r="H8987" t="s">
        <v>29997</v>
      </c>
      <c r="I8987" t="s">
        <v>29998</v>
      </c>
    </row>
    <row r="8988" spans="1:9">
      <c r="A8988" t="str">
        <f>"0030590 "</f>
        <v xml:space="preserve">0030590 </v>
      </c>
      <c r="B8988" t="s">
        <v>28432</v>
      </c>
      <c r="C8988" t="s">
        <v>29999</v>
      </c>
      <c r="D8988" t="s">
        <v>30000</v>
      </c>
      <c r="E8988">
        <v>1</v>
      </c>
      <c r="F8988" t="s">
        <v>29717</v>
      </c>
      <c r="G8988" t="s">
        <v>28435</v>
      </c>
      <c r="H8988" t="s">
        <v>30001</v>
      </c>
      <c r="I8988" t="s">
        <v>30002</v>
      </c>
    </row>
    <row r="8989" spans="1:9">
      <c r="A8989" t="str">
        <f>"0030595 "</f>
        <v xml:space="preserve">0030595 </v>
      </c>
      <c r="B8989" t="s">
        <v>28432</v>
      </c>
      <c r="C8989" t="s">
        <v>30003</v>
      </c>
      <c r="D8989" t="s">
        <v>30004</v>
      </c>
      <c r="E8989">
        <v>1</v>
      </c>
      <c r="F8989" t="s">
        <v>28549</v>
      </c>
      <c r="G8989" t="s">
        <v>28435</v>
      </c>
      <c r="H8989" t="s">
        <v>30005</v>
      </c>
      <c r="I8989" t="s">
        <v>30006</v>
      </c>
    </row>
    <row r="8990" spans="1:9">
      <c r="A8990" t="str">
        <f>"0116696 "</f>
        <v xml:space="preserve">0116696 </v>
      </c>
      <c r="B8990" t="s">
        <v>28432</v>
      </c>
      <c r="C8990" t="s">
        <v>30007</v>
      </c>
      <c r="D8990" t="s">
        <v>30008</v>
      </c>
      <c r="E8990">
        <v>1</v>
      </c>
      <c r="F8990" t="s">
        <v>29848</v>
      </c>
      <c r="G8990" t="s">
        <v>28435</v>
      </c>
      <c r="H8990" t="s">
        <v>30009</v>
      </c>
      <c r="I8990" t="s">
        <v>30010</v>
      </c>
    </row>
    <row r="8991" spans="1:9">
      <c r="A8991" t="str">
        <f>"0030605 "</f>
        <v xml:space="preserve">0030605 </v>
      </c>
      <c r="B8991" t="s">
        <v>28432</v>
      </c>
      <c r="C8991" t="s">
        <v>30011</v>
      </c>
      <c r="D8991" t="s">
        <v>30012</v>
      </c>
      <c r="E8991" t="s">
        <v>16</v>
      </c>
      <c r="F8991" t="s">
        <v>29063</v>
      </c>
      <c r="G8991" t="s">
        <v>28435</v>
      </c>
      <c r="H8991" t="s">
        <v>30013</v>
      </c>
      <c r="I8991" t="s">
        <v>30014</v>
      </c>
    </row>
    <row r="8992" spans="1:9">
      <c r="A8992" t="str">
        <f>"0030613 "</f>
        <v xml:space="preserve">0030613 </v>
      </c>
      <c r="B8992" t="s">
        <v>28432</v>
      </c>
      <c r="C8992" t="s">
        <v>30015</v>
      </c>
      <c r="D8992" t="s">
        <v>30016</v>
      </c>
      <c r="E8992">
        <v>1</v>
      </c>
      <c r="F8992" t="s">
        <v>30017</v>
      </c>
      <c r="G8992" t="s">
        <v>28435</v>
      </c>
      <c r="H8992" t="s">
        <v>30018</v>
      </c>
      <c r="I8992" t="s">
        <v>30019</v>
      </c>
    </row>
    <row r="8993" spans="1:9">
      <c r="A8993" t="str">
        <f>"0030615 "</f>
        <v xml:space="preserve">0030615 </v>
      </c>
      <c r="B8993" t="s">
        <v>28432</v>
      </c>
      <c r="C8993" t="s">
        <v>30020</v>
      </c>
      <c r="D8993" t="s">
        <v>30021</v>
      </c>
      <c r="E8993">
        <v>2</v>
      </c>
      <c r="F8993" t="s">
        <v>28614</v>
      </c>
      <c r="G8993" t="s">
        <v>28435</v>
      </c>
      <c r="H8993" t="s">
        <v>30022</v>
      </c>
      <c r="I8993" t="s">
        <v>30023</v>
      </c>
    </row>
    <row r="8994" spans="1:9">
      <c r="A8994" t="str">
        <f>"0038175 "</f>
        <v xml:space="preserve">0038175 </v>
      </c>
      <c r="B8994" t="s">
        <v>28432</v>
      </c>
      <c r="C8994" t="s">
        <v>30024</v>
      </c>
      <c r="D8994" t="s">
        <v>30025</v>
      </c>
      <c r="E8994">
        <v>5</v>
      </c>
      <c r="F8994" t="s">
        <v>30026</v>
      </c>
      <c r="G8994" t="s">
        <v>28435</v>
      </c>
      <c r="H8994" t="s">
        <v>30027</v>
      </c>
      <c r="I8994" t="s">
        <v>22770</v>
      </c>
    </row>
    <row r="8995" spans="1:9">
      <c r="A8995" t="str">
        <f>"0116698 "</f>
        <v xml:space="preserve">0116698 </v>
      </c>
      <c r="B8995" t="s">
        <v>28432</v>
      </c>
      <c r="C8995" t="s">
        <v>30028</v>
      </c>
      <c r="D8995" t="s">
        <v>30029</v>
      </c>
      <c r="E8995">
        <v>1</v>
      </c>
      <c r="F8995" t="s">
        <v>2921</v>
      </c>
      <c r="G8995" t="s">
        <v>28435</v>
      </c>
      <c r="H8995" t="s">
        <v>30030</v>
      </c>
      <c r="I8995" t="s">
        <v>30031</v>
      </c>
    </row>
    <row r="8996" spans="1:9">
      <c r="A8996" t="str">
        <f>"0159221 "</f>
        <v xml:space="preserve">0159221 </v>
      </c>
      <c r="B8996" t="s">
        <v>28432</v>
      </c>
      <c r="C8996" t="s">
        <v>30032</v>
      </c>
      <c r="D8996" t="s">
        <v>30033</v>
      </c>
      <c r="E8996">
        <v>1</v>
      </c>
      <c r="F8996" t="s">
        <v>5801</v>
      </c>
      <c r="G8996" t="s">
        <v>28435</v>
      </c>
      <c r="H8996" t="s">
        <v>30034</v>
      </c>
      <c r="I8996" t="s">
        <v>30035</v>
      </c>
    </row>
    <row r="8997" spans="1:9">
      <c r="A8997" t="str">
        <f>"0030618 "</f>
        <v xml:space="preserve">0030618 </v>
      </c>
      <c r="B8997" t="s">
        <v>28432</v>
      </c>
      <c r="C8997" t="s">
        <v>30036</v>
      </c>
      <c r="D8997" t="s">
        <v>30037</v>
      </c>
      <c r="E8997">
        <v>1</v>
      </c>
      <c r="F8997" t="s">
        <v>8515</v>
      </c>
      <c r="G8997" t="s">
        <v>28435</v>
      </c>
      <c r="H8997" t="s">
        <v>30038</v>
      </c>
      <c r="I8997" t="s">
        <v>30039</v>
      </c>
    </row>
    <row r="8998" spans="1:9">
      <c r="A8998" t="str">
        <f>"0030620 "</f>
        <v xml:space="preserve">0030620 </v>
      </c>
      <c r="B8998" t="s">
        <v>28432</v>
      </c>
      <c r="C8998" t="s">
        <v>30040</v>
      </c>
      <c r="D8998" t="s">
        <v>30041</v>
      </c>
      <c r="E8998">
        <v>1</v>
      </c>
      <c r="F8998" t="s">
        <v>30042</v>
      </c>
      <c r="G8998" t="s">
        <v>28435</v>
      </c>
      <c r="H8998" t="s">
        <v>30043</v>
      </c>
      <c r="I8998" t="s">
        <v>30044</v>
      </c>
    </row>
    <row r="8999" spans="1:9">
      <c r="A8999" t="str">
        <f>"0030629 "</f>
        <v xml:space="preserve">0030629 </v>
      </c>
      <c r="B8999" t="s">
        <v>28432</v>
      </c>
      <c r="C8999" t="s">
        <v>30045</v>
      </c>
      <c r="D8999" t="s">
        <v>30046</v>
      </c>
      <c r="E8999">
        <v>1</v>
      </c>
      <c r="F8999" t="s">
        <v>30047</v>
      </c>
      <c r="G8999" t="s">
        <v>28435</v>
      </c>
      <c r="H8999" t="s">
        <v>30048</v>
      </c>
      <c r="I8999" t="s">
        <v>30049</v>
      </c>
    </row>
    <row r="9000" spans="1:9">
      <c r="A9000" t="str">
        <f>"0030637 "</f>
        <v xml:space="preserve">0030637 </v>
      </c>
      <c r="B9000" t="s">
        <v>28432</v>
      </c>
      <c r="C9000" t="s">
        <v>30050</v>
      </c>
      <c r="D9000" t="s">
        <v>30051</v>
      </c>
      <c r="E9000">
        <v>1</v>
      </c>
      <c r="F9000" t="s">
        <v>30052</v>
      </c>
      <c r="G9000" t="s">
        <v>28435</v>
      </c>
      <c r="H9000" t="s">
        <v>30053</v>
      </c>
      <c r="I9000" t="s">
        <v>30054</v>
      </c>
    </row>
    <row r="9001" spans="1:9">
      <c r="A9001" t="str">
        <f>"0030638 "</f>
        <v xml:space="preserve">0030638 </v>
      </c>
      <c r="B9001" t="s">
        <v>28432</v>
      </c>
      <c r="C9001" t="s">
        <v>30055</v>
      </c>
      <c r="D9001" t="s">
        <v>30056</v>
      </c>
      <c r="E9001" t="s">
        <v>16</v>
      </c>
      <c r="F9001" t="s">
        <v>30057</v>
      </c>
      <c r="G9001" t="s">
        <v>28435</v>
      </c>
      <c r="H9001" t="s">
        <v>30058</v>
      </c>
      <c r="I9001" t="s">
        <v>30059</v>
      </c>
    </row>
    <row r="9002" spans="1:9">
      <c r="A9002" t="str">
        <f>"0030639 "</f>
        <v xml:space="preserve">0030639 </v>
      </c>
      <c r="B9002" t="s">
        <v>28432</v>
      </c>
      <c r="C9002" t="s">
        <v>30060</v>
      </c>
      <c r="D9002" t="s">
        <v>30061</v>
      </c>
      <c r="E9002" t="s">
        <v>16</v>
      </c>
      <c r="F9002" t="s">
        <v>30062</v>
      </c>
      <c r="G9002" t="s">
        <v>28435</v>
      </c>
      <c r="H9002" t="s">
        <v>30063</v>
      </c>
      <c r="I9002" t="s">
        <v>30064</v>
      </c>
    </row>
    <row r="9003" spans="1:9">
      <c r="A9003" t="str">
        <f>"0030640 "</f>
        <v xml:space="preserve">0030640 </v>
      </c>
      <c r="B9003" t="s">
        <v>28432</v>
      </c>
      <c r="C9003" t="s">
        <v>30065</v>
      </c>
      <c r="D9003" t="s">
        <v>30066</v>
      </c>
      <c r="E9003">
        <v>1</v>
      </c>
      <c r="F9003" t="s">
        <v>30067</v>
      </c>
      <c r="G9003" t="s">
        <v>28435</v>
      </c>
      <c r="H9003" t="s">
        <v>30068</v>
      </c>
      <c r="I9003" t="s">
        <v>30069</v>
      </c>
    </row>
    <row r="9004" spans="1:9">
      <c r="A9004" t="str">
        <f>"0030641 "</f>
        <v xml:space="preserve">0030641 </v>
      </c>
      <c r="B9004" t="s">
        <v>28432</v>
      </c>
      <c r="C9004" t="s">
        <v>30070</v>
      </c>
      <c r="D9004" t="s">
        <v>30071</v>
      </c>
      <c r="E9004">
        <v>1</v>
      </c>
      <c r="F9004" t="s">
        <v>30072</v>
      </c>
      <c r="G9004" t="s">
        <v>28435</v>
      </c>
      <c r="H9004" t="s">
        <v>30073</v>
      </c>
      <c r="I9004" t="s">
        <v>30074</v>
      </c>
    </row>
    <row r="9005" spans="1:9">
      <c r="A9005" t="str">
        <f>"0030644 "</f>
        <v xml:space="preserve">0030644 </v>
      </c>
      <c r="B9005" t="s">
        <v>28432</v>
      </c>
      <c r="C9005" t="s">
        <v>30075</v>
      </c>
      <c r="D9005" t="s">
        <v>30076</v>
      </c>
      <c r="E9005">
        <v>1</v>
      </c>
      <c r="F9005" t="s">
        <v>30077</v>
      </c>
      <c r="G9005" t="s">
        <v>28435</v>
      </c>
      <c r="H9005" t="s">
        <v>30078</v>
      </c>
      <c r="I9005" t="s">
        <v>30079</v>
      </c>
    </row>
    <row r="9006" spans="1:9">
      <c r="A9006" t="str">
        <f>"0030646 "</f>
        <v xml:space="preserve">0030646 </v>
      </c>
      <c r="B9006" t="s">
        <v>28432</v>
      </c>
      <c r="C9006" t="s">
        <v>30080</v>
      </c>
      <c r="D9006" t="s">
        <v>30081</v>
      </c>
      <c r="E9006">
        <v>2</v>
      </c>
      <c r="F9006" t="s">
        <v>12359</v>
      </c>
      <c r="G9006" t="s">
        <v>28435</v>
      </c>
      <c r="H9006" t="s">
        <v>30082</v>
      </c>
      <c r="I9006" t="s">
        <v>30083</v>
      </c>
    </row>
    <row r="9007" spans="1:9">
      <c r="A9007" t="str">
        <f>"0030647 "</f>
        <v xml:space="preserve">0030647 </v>
      </c>
      <c r="B9007" t="s">
        <v>28432</v>
      </c>
      <c r="C9007" t="s">
        <v>30084</v>
      </c>
      <c r="D9007" t="s">
        <v>30085</v>
      </c>
      <c r="E9007">
        <v>1</v>
      </c>
      <c r="F9007" t="s">
        <v>30086</v>
      </c>
      <c r="G9007" t="s">
        <v>28435</v>
      </c>
      <c r="H9007" t="s">
        <v>30087</v>
      </c>
      <c r="I9007" t="s">
        <v>30088</v>
      </c>
    </row>
    <row r="9008" spans="1:9">
      <c r="A9008" t="str">
        <f>"0030648 "</f>
        <v xml:space="preserve">0030648 </v>
      </c>
      <c r="B9008" t="s">
        <v>28432</v>
      </c>
      <c r="C9008" t="s">
        <v>30089</v>
      </c>
      <c r="D9008" t="s">
        <v>30090</v>
      </c>
      <c r="E9008">
        <v>2</v>
      </c>
      <c r="F9008" t="s">
        <v>29872</v>
      </c>
      <c r="G9008" t="s">
        <v>28435</v>
      </c>
      <c r="H9008" t="s">
        <v>30091</v>
      </c>
      <c r="I9008" t="s">
        <v>30092</v>
      </c>
    </row>
    <row r="9009" spans="1:9">
      <c r="A9009" t="str">
        <f>"0030650 "</f>
        <v xml:space="preserve">0030650 </v>
      </c>
      <c r="B9009" t="s">
        <v>28432</v>
      </c>
      <c r="C9009" t="s">
        <v>30093</v>
      </c>
      <c r="D9009" t="s">
        <v>30094</v>
      </c>
      <c r="E9009">
        <v>2</v>
      </c>
      <c r="F9009" t="s">
        <v>6459</v>
      </c>
      <c r="G9009" t="s">
        <v>28435</v>
      </c>
      <c r="H9009" t="s">
        <v>30095</v>
      </c>
      <c r="I9009" t="s">
        <v>30096</v>
      </c>
    </row>
    <row r="9010" spans="1:9">
      <c r="A9010" t="str">
        <f>"0031829 "</f>
        <v xml:space="preserve">0031829 </v>
      </c>
      <c r="B9010" t="s">
        <v>28432</v>
      </c>
      <c r="C9010" t="s">
        <v>30097</v>
      </c>
      <c r="D9010" t="s">
        <v>30098</v>
      </c>
      <c r="E9010" t="s">
        <v>16</v>
      </c>
      <c r="F9010" t="s">
        <v>24611</v>
      </c>
      <c r="G9010" t="s">
        <v>28435</v>
      </c>
      <c r="H9010" t="s">
        <v>30099</v>
      </c>
      <c r="I9010" t="s">
        <v>30100</v>
      </c>
    </row>
    <row r="9011" spans="1:9">
      <c r="A9011" t="str">
        <f>"0031830 "</f>
        <v xml:space="preserve">0031830 </v>
      </c>
      <c r="B9011" t="s">
        <v>28432</v>
      </c>
      <c r="C9011" t="s">
        <v>30101</v>
      </c>
      <c r="D9011" t="s">
        <v>30102</v>
      </c>
      <c r="E9011" t="s">
        <v>16</v>
      </c>
      <c r="F9011" t="s">
        <v>28491</v>
      </c>
      <c r="G9011" t="s">
        <v>28435</v>
      </c>
      <c r="H9011" t="s">
        <v>30103</v>
      </c>
      <c r="I9011" t="s">
        <v>30100</v>
      </c>
    </row>
    <row r="9012" spans="1:9">
      <c r="A9012" t="str">
        <f>"0031831 "</f>
        <v xml:space="preserve">0031831 </v>
      </c>
      <c r="B9012" t="s">
        <v>28432</v>
      </c>
      <c r="C9012" t="s">
        <v>30104</v>
      </c>
      <c r="D9012" t="s">
        <v>30105</v>
      </c>
      <c r="E9012" t="s">
        <v>16</v>
      </c>
      <c r="F9012" t="s">
        <v>30106</v>
      </c>
      <c r="G9012" t="s">
        <v>28435</v>
      </c>
      <c r="H9012" t="s">
        <v>30107</v>
      </c>
      <c r="I9012" t="s">
        <v>30100</v>
      </c>
    </row>
    <row r="9013" spans="1:9">
      <c r="A9013" t="str">
        <f>"0031832 "</f>
        <v xml:space="preserve">0031832 </v>
      </c>
      <c r="B9013" t="s">
        <v>28432</v>
      </c>
      <c r="C9013" t="s">
        <v>30108</v>
      </c>
      <c r="D9013" t="s">
        <v>30109</v>
      </c>
      <c r="E9013" t="s">
        <v>16</v>
      </c>
      <c r="F9013" t="s">
        <v>30110</v>
      </c>
      <c r="G9013" t="s">
        <v>28435</v>
      </c>
      <c r="H9013" t="s">
        <v>30111</v>
      </c>
      <c r="I9013" t="s">
        <v>30100</v>
      </c>
    </row>
    <row r="9014" spans="1:9">
      <c r="A9014" t="str">
        <f>"0030651 "</f>
        <v xml:space="preserve">0030651 </v>
      </c>
      <c r="B9014" t="s">
        <v>28432</v>
      </c>
      <c r="C9014" t="s">
        <v>30112</v>
      </c>
      <c r="D9014" t="s">
        <v>30113</v>
      </c>
      <c r="E9014">
        <v>1</v>
      </c>
      <c r="F9014" t="s">
        <v>30114</v>
      </c>
      <c r="G9014" t="s">
        <v>28435</v>
      </c>
      <c r="H9014" t="s">
        <v>30115</v>
      </c>
      <c r="I9014" t="s">
        <v>30116</v>
      </c>
    </row>
    <row r="9015" spans="1:9">
      <c r="A9015" t="str">
        <f>"0030656 "</f>
        <v xml:space="preserve">0030656 </v>
      </c>
      <c r="B9015" t="s">
        <v>28432</v>
      </c>
      <c r="C9015" t="s">
        <v>30117</v>
      </c>
      <c r="D9015" t="s">
        <v>30118</v>
      </c>
      <c r="E9015">
        <v>1</v>
      </c>
      <c r="F9015" t="s">
        <v>30119</v>
      </c>
      <c r="G9015" t="s">
        <v>28435</v>
      </c>
      <c r="H9015" t="s">
        <v>30120</v>
      </c>
      <c r="I9015" t="s">
        <v>30121</v>
      </c>
    </row>
    <row r="9016" spans="1:9">
      <c r="A9016" t="str">
        <f>"0030657 "</f>
        <v xml:space="preserve">0030657 </v>
      </c>
      <c r="B9016" t="s">
        <v>28432</v>
      </c>
      <c r="C9016" t="s">
        <v>30122</v>
      </c>
      <c r="D9016" t="s">
        <v>30123</v>
      </c>
      <c r="E9016">
        <v>1</v>
      </c>
      <c r="F9016" t="s">
        <v>30124</v>
      </c>
      <c r="G9016" t="s">
        <v>28435</v>
      </c>
      <c r="H9016" t="s">
        <v>30125</v>
      </c>
      <c r="I9016" t="s">
        <v>30126</v>
      </c>
    </row>
    <row r="9017" spans="1:9">
      <c r="A9017" t="str">
        <f>"0030658 "</f>
        <v xml:space="preserve">0030658 </v>
      </c>
      <c r="B9017" t="s">
        <v>28432</v>
      </c>
      <c r="C9017" t="s">
        <v>30127</v>
      </c>
      <c r="D9017" t="s">
        <v>30128</v>
      </c>
      <c r="E9017">
        <v>1</v>
      </c>
      <c r="F9017" t="s">
        <v>30129</v>
      </c>
      <c r="G9017" t="s">
        <v>28435</v>
      </c>
      <c r="H9017" t="s">
        <v>30130</v>
      </c>
      <c r="I9017" t="s">
        <v>30131</v>
      </c>
    </row>
    <row r="9018" spans="1:9">
      <c r="A9018" t="str">
        <f>"0030664 "</f>
        <v xml:space="preserve">0030664 </v>
      </c>
      <c r="B9018" t="s">
        <v>28432</v>
      </c>
      <c r="C9018" t="s">
        <v>30132</v>
      </c>
      <c r="D9018" t="s">
        <v>30133</v>
      </c>
      <c r="E9018">
        <v>2</v>
      </c>
      <c r="F9018" t="s">
        <v>10222</v>
      </c>
      <c r="G9018" t="s">
        <v>28435</v>
      </c>
      <c r="H9018" t="s">
        <v>30134</v>
      </c>
      <c r="I9018" t="s">
        <v>30135</v>
      </c>
    </row>
    <row r="9019" spans="1:9">
      <c r="A9019" t="str">
        <f>"0030665 "</f>
        <v xml:space="preserve">0030665 </v>
      </c>
      <c r="B9019" t="s">
        <v>28432</v>
      </c>
      <c r="C9019" t="s">
        <v>30136</v>
      </c>
      <c r="D9019" t="s">
        <v>30137</v>
      </c>
      <c r="E9019">
        <v>3</v>
      </c>
      <c r="F9019" t="s">
        <v>30138</v>
      </c>
      <c r="G9019" t="s">
        <v>28435</v>
      </c>
      <c r="H9019" t="s">
        <v>30139</v>
      </c>
      <c r="I9019" t="s">
        <v>30140</v>
      </c>
    </row>
    <row r="9020" spans="1:9">
      <c r="A9020" t="str">
        <f>"0030666 "</f>
        <v xml:space="preserve">0030666 </v>
      </c>
      <c r="B9020" t="s">
        <v>28432</v>
      </c>
      <c r="C9020" t="s">
        <v>30141</v>
      </c>
      <c r="D9020" t="s">
        <v>30142</v>
      </c>
      <c r="E9020">
        <v>1</v>
      </c>
      <c r="F9020" t="s">
        <v>30143</v>
      </c>
      <c r="G9020" t="s">
        <v>28435</v>
      </c>
      <c r="H9020" t="s">
        <v>30144</v>
      </c>
      <c r="I9020" t="s">
        <v>30145</v>
      </c>
    </row>
    <row r="9021" spans="1:9">
      <c r="A9021" t="str">
        <f>"0030667 "</f>
        <v xml:space="preserve">0030667 </v>
      </c>
      <c r="B9021" t="s">
        <v>28432</v>
      </c>
      <c r="C9021" t="s">
        <v>30146</v>
      </c>
      <c r="D9021" t="s">
        <v>30147</v>
      </c>
      <c r="E9021">
        <v>1</v>
      </c>
      <c r="F9021" t="s">
        <v>30148</v>
      </c>
      <c r="G9021" t="s">
        <v>28435</v>
      </c>
      <c r="H9021" t="s">
        <v>30149</v>
      </c>
      <c r="I9021" t="s">
        <v>30150</v>
      </c>
    </row>
    <row r="9022" spans="1:9">
      <c r="A9022" t="str">
        <f>"0030672 "</f>
        <v xml:space="preserve">0030672 </v>
      </c>
      <c r="B9022" t="s">
        <v>28432</v>
      </c>
      <c r="C9022" t="s">
        <v>30151</v>
      </c>
      <c r="D9022" t="s">
        <v>30152</v>
      </c>
      <c r="E9022">
        <v>1</v>
      </c>
      <c r="F9022" t="s">
        <v>30153</v>
      </c>
      <c r="G9022" t="s">
        <v>28435</v>
      </c>
      <c r="H9022" t="s">
        <v>30154</v>
      </c>
      <c r="I9022" t="s">
        <v>30155</v>
      </c>
    </row>
    <row r="9023" spans="1:9">
      <c r="A9023" t="str">
        <f>"0030676 "</f>
        <v xml:space="preserve">0030676 </v>
      </c>
      <c r="B9023" t="s">
        <v>28432</v>
      </c>
      <c r="C9023" t="s">
        <v>30156</v>
      </c>
      <c r="D9023" t="s">
        <v>30157</v>
      </c>
      <c r="E9023">
        <v>1</v>
      </c>
      <c r="F9023" t="s">
        <v>29911</v>
      </c>
      <c r="G9023" t="s">
        <v>28435</v>
      </c>
      <c r="H9023" t="s">
        <v>30158</v>
      </c>
      <c r="I9023" t="s">
        <v>30159</v>
      </c>
    </row>
    <row r="9024" spans="1:9">
      <c r="A9024" t="str">
        <f>"0030683 "</f>
        <v xml:space="preserve">0030683 </v>
      </c>
      <c r="B9024" t="s">
        <v>28432</v>
      </c>
      <c r="C9024" t="s">
        <v>30160</v>
      </c>
      <c r="D9024" t="s">
        <v>30161</v>
      </c>
      <c r="E9024">
        <v>5</v>
      </c>
      <c r="F9024" t="s">
        <v>28935</v>
      </c>
      <c r="G9024" t="s">
        <v>28435</v>
      </c>
      <c r="H9024" t="s">
        <v>30162</v>
      </c>
      <c r="I9024" t="s">
        <v>30163</v>
      </c>
    </row>
    <row r="9025" spans="1:9">
      <c r="A9025" t="str">
        <f>"0030689 "</f>
        <v xml:space="preserve">0030689 </v>
      </c>
      <c r="B9025" t="s">
        <v>28432</v>
      </c>
      <c r="C9025" t="s">
        <v>30164</v>
      </c>
      <c r="D9025" t="s">
        <v>30165</v>
      </c>
      <c r="E9025">
        <v>1</v>
      </c>
      <c r="F9025" t="s">
        <v>30166</v>
      </c>
      <c r="G9025" t="s">
        <v>28435</v>
      </c>
      <c r="H9025" t="s">
        <v>30167</v>
      </c>
      <c r="I9025" t="s">
        <v>30168</v>
      </c>
    </row>
    <row r="9026" spans="1:9">
      <c r="A9026" t="str">
        <f>"0030695 "</f>
        <v xml:space="preserve">0030695 </v>
      </c>
      <c r="B9026" t="s">
        <v>28432</v>
      </c>
      <c r="C9026" t="s">
        <v>30169</v>
      </c>
      <c r="D9026" t="s">
        <v>30170</v>
      </c>
      <c r="E9026">
        <v>1</v>
      </c>
      <c r="F9026" t="s">
        <v>30171</v>
      </c>
      <c r="G9026" t="s">
        <v>28435</v>
      </c>
      <c r="H9026" t="s">
        <v>30172</v>
      </c>
      <c r="I9026" t="s">
        <v>30173</v>
      </c>
    </row>
    <row r="9027" spans="1:9">
      <c r="A9027" t="str">
        <f>"0030698 "</f>
        <v xml:space="preserve">0030698 </v>
      </c>
      <c r="B9027" t="s">
        <v>28432</v>
      </c>
      <c r="C9027" t="s">
        <v>30174</v>
      </c>
      <c r="D9027" t="s">
        <v>30175</v>
      </c>
      <c r="E9027">
        <v>2</v>
      </c>
      <c r="F9027" t="s">
        <v>30176</v>
      </c>
      <c r="G9027" t="s">
        <v>28435</v>
      </c>
      <c r="H9027" t="s">
        <v>30177</v>
      </c>
      <c r="I9027" t="s">
        <v>30178</v>
      </c>
    </row>
    <row r="9028" spans="1:9">
      <c r="A9028" t="str">
        <f>"0030700 "</f>
        <v xml:space="preserve">0030700 </v>
      </c>
      <c r="B9028" t="s">
        <v>28432</v>
      </c>
      <c r="C9028" t="s">
        <v>30179</v>
      </c>
      <c r="D9028" t="s">
        <v>30180</v>
      </c>
      <c r="E9028">
        <v>1</v>
      </c>
      <c r="F9028" t="s">
        <v>28732</v>
      </c>
      <c r="G9028" t="s">
        <v>28435</v>
      </c>
      <c r="H9028" t="s">
        <v>30181</v>
      </c>
      <c r="I9028" t="s">
        <v>30182</v>
      </c>
    </row>
    <row r="9029" spans="1:9">
      <c r="A9029" t="str">
        <f>"0030701 "</f>
        <v xml:space="preserve">0030701 </v>
      </c>
      <c r="B9029" t="s">
        <v>28432</v>
      </c>
      <c r="C9029" t="s">
        <v>30183</v>
      </c>
      <c r="D9029" t="s">
        <v>30184</v>
      </c>
      <c r="E9029">
        <v>1</v>
      </c>
      <c r="F9029" t="s">
        <v>30185</v>
      </c>
      <c r="G9029" t="s">
        <v>28435</v>
      </c>
      <c r="H9029" t="s">
        <v>30186</v>
      </c>
      <c r="I9029" t="s">
        <v>30187</v>
      </c>
    </row>
    <row r="9030" spans="1:9">
      <c r="A9030" t="str">
        <f>"0030708 "</f>
        <v xml:space="preserve">0030708 </v>
      </c>
      <c r="B9030" t="s">
        <v>28432</v>
      </c>
      <c r="C9030" t="s">
        <v>30188</v>
      </c>
      <c r="D9030" t="s">
        <v>30189</v>
      </c>
      <c r="E9030">
        <v>4</v>
      </c>
      <c r="F9030" t="s">
        <v>30190</v>
      </c>
      <c r="G9030" t="s">
        <v>28435</v>
      </c>
      <c r="H9030" t="s">
        <v>30191</v>
      </c>
      <c r="I9030" t="s">
        <v>30192</v>
      </c>
    </row>
    <row r="9031" spans="1:9">
      <c r="A9031" t="str">
        <f>"0030709 "</f>
        <v xml:space="preserve">0030709 </v>
      </c>
      <c r="B9031" t="s">
        <v>28432</v>
      </c>
      <c r="C9031" t="s">
        <v>30193</v>
      </c>
      <c r="D9031" t="s">
        <v>30194</v>
      </c>
      <c r="E9031">
        <v>2</v>
      </c>
      <c r="F9031" t="s">
        <v>30195</v>
      </c>
      <c r="G9031" t="s">
        <v>28435</v>
      </c>
      <c r="H9031" t="s">
        <v>30196</v>
      </c>
      <c r="I9031" t="s">
        <v>30197</v>
      </c>
    </row>
    <row r="9032" spans="1:9">
      <c r="A9032" t="str">
        <f>"0030710 "</f>
        <v xml:space="preserve">0030710 </v>
      </c>
      <c r="B9032" t="s">
        <v>28432</v>
      </c>
      <c r="C9032" t="s">
        <v>30198</v>
      </c>
      <c r="D9032" t="s">
        <v>30199</v>
      </c>
      <c r="E9032">
        <v>2</v>
      </c>
      <c r="F9032" t="s">
        <v>30200</v>
      </c>
      <c r="G9032" t="s">
        <v>28435</v>
      </c>
      <c r="H9032" t="s">
        <v>30201</v>
      </c>
      <c r="I9032" t="s">
        <v>30202</v>
      </c>
    </row>
    <row r="9033" spans="1:9">
      <c r="A9033" t="str">
        <f>"0030715 "</f>
        <v xml:space="preserve">0030715 </v>
      </c>
      <c r="B9033" t="s">
        <v>28432</v>
      </c>
      <c r="C9033" t="s">
        <v>30203</v>
      </c>
      <c r="D9033" t="s">
        <v>30204</v>
      </c>
      <c r="E9033">
        <v>1</v>
      </c>
      <c r="F9033" t="s">
        <v>30205</v>
      </c>
      <c r="G9033" t="s">
        <v>28435</v>
      </c>
      <c r="H9033" t="s">
        <v>30206</v>
      </c>
      <c r="I9033" t="s">
        <v>30207</v>
      </c>
    </row>
    <row r="9034" spans="1:9">
      <c r="A9034" t="str">
        <f>"0030724 "</f>
        <v xml:space="preserve">0030724 </v>
      </c>
      <c r="B9034" t="s">
        <v>28432</v>
      </c>
      <c r="C9034" t="s">
        <v>30208</v>
      </c>
      <c r="D9034" t="s">
        <v>30209</v>
      </c>
      <c r="E9034">
        <v>2</v>
      </c>
      <c r="F9034" t="s">
        <v>29357</v>
      </c>
      <c r="G9034" t="s">
        <v>28435</v>
      </c>
      <c r="H9034" t="s">
        <v>30210</v>
      </c>
      <c r="I9034" t="s">
        <v>30211</v>
      </c>
    </row>
    <row r="9035" spans="1:9">
      <c r="A9035" t="str">
        <f>"0030739 "</f>
        <v xml:space="preserve">0030739 </v>
      </c>
      <c r="B9035" t="s">
        <v>28432</v>
      </c>
      <c r="C9035" t="s">
        <v>30212</v>
      </c>
      <c r="D9035" t="s">
        <v>30213</v>
      </c>
      <c r="E9035">
        <v>2</v>
      </c>
      <c r="F9035" t="s">
        <v>28525</v>
      </c>
      <c r="G9035" t="s">
        <v>28435</v>
      </c>
      <c r="H9035" t="s">
        <v>30214</v>
      </c>
      <c r="I9035" t="s">
        <v>30215</v>
      </c>
    </row>
    <row r="9036" spans="1:9">
      <c r="A9036" t="str">
        <f>"0030741 "</f>
        <v xml:space="preserve">0030741 </v>
      </c>
      <c r="B9036" t="s">
        <v>28432</v>
      </c>
      <c r="C9036" t="s">
        <v>30216</v>
      </c>
      <c r="D9036" t="s">
        <v>30217</v>
      </c>
      <c r="E9036">
        <v>2</v>
      </c>
      <c r="F9036" t="s">
        <v>30218</v>
      </c>
      <c r="G9036" t="s">
        <v>28435</v>
      </c>
      <c r="H9036" t="s">
        <v>30219</v>
      </c>
      <c r="I9036" t="s">
        <v>30220</v>
      </c>
    </row>
    <row r="9037" spans="1:9">
      <c r="A9037" t="str">
        <f>"0030742 "</f>
        <v xml:space="preserve">0030742 </v>
      </c>
      <c r="B9037" t="s">
        <v>28432</v>
      </c>
      <c r="C9037" t="s">
        <v>30221</v>
      </c>
      <c r="D9037" t="s">
        <v>30222</v>
      </c>
      <c r="E9037">
        <v>1</v>
      </c>
      <c r="F9037" t="s">
        <v>30223</v>
      </c>
      <c r="G9037" t="s">
        <v>28435</v>
      </c>
      <c r="H9037" t="s">
        <v>30224</v>
      </c>
      <c r="I9037" t="s">
        <v>30225</v>
      </c>
    </row>
    <row r="9038" spans="1:9">
      <c r="A9038" t="str">
        <f>"0030750 "</f>
        <v xml:space="preserve">0030750 </v>
      </c>
      <c r="B9038" t="s">
        <v>28432</v>
      </c>
      <c r="C9038" t="s">
        <v>30226</v>
      </c>
      <c r="D9038" t="s">
        <v>30227</v>
      </c>
      <c r="E9038">
        <v>1</v>
      </c>
      <c r="F9038" t="s">
        <v>29155</v>
      </c>
      <c r="G9038" t="s">
        <v>28435</v>
      </c>
      <c r="H9038" t="s">
        <v>30228</v>
      </c>
      <c r="I9038" t="s">
        <v>30229</v>
      </c>
    </row>
    <row r="9039" spans="1:9">
      <c r="A9039" t="str">
        <f>"0048770 "</f>
        <v xml:space="preserve">0048770 </v>
      </c>
      <c r="B9039" t="s">
        <v>28432</v>
      </c>
      <c r="C9039" t="s">
        <v>30230</v>
      </c>
      <c r="D9039" t="s">
        <v>30231</v>
      </c>
      <c r="E9039">
        <v>3</v>
      </c>
      <c r="F9039" t="s">
        <v>30232</v>
      </c>
      <c r="G9039" t="s">
        <v>28435</v>
      </c>
      <c r="H9039" t="s">
        <v>30233</v>
      </c>
      <c r="I9039" t="s">
        <v>30234</v>
      </c>
    </row>
    <row r="9040" spans="1:9">
      <c r="A9040" t="str">
        <f>"0030793 "</f>
        <v xml:space="preserve">0030793 </v>
      </c>
      <c r="B9040" t="s">
        <v>28432</v>
      </c>
      <c r="C9040" t="s">
        <v>30235</v>
      </c>
      <c r="D9040" t="s">
        <v>30236</v>
      </c>
      <c r="E9040">
        <v>1</v>
      </c>
      <c r="F9040" t="s">
        <v>30237</v>
      </c>
      <c r="G9040" t="s">
        <v>28435</v>
      </c>
      <c r="H9040" t="s">
        <v>30238</v>
      </c>
      <c r="I9040" t="s">
        <v>30239</v>
      </c>
    </row>
    <row r="9041" spans="1:9">
      <c r="A9041" t="str">
        <f>"0030794 "</f>
        <v xml:space="preserve">0030794 </v>
      </c>
      <c r="B9041" t="s">
        <v>28432</v>
      </c>
      <c r="C9041" t="s">
        <v>30240</v>
      </c>
      <c r="D9041" t="s">
        <v>30241</v>
      </c>
      <c r="E9041">
        <v>1</v>
      </c>
      <c r="F9041" t="s">
        <v>30242</v>
      </c>
      <c r="G9041" t="s">
        <v>28435</v>
      </c>
      <c r="H9041" t="s">
        <v>30243</v>
      </c>
      <c r="I9041" t="s">
        <v>30244</v>
      </c>
    </row>
    <row r="9042" spans="1:9">
      <c r="A9042" t="str">
        <f>"0030796 "</f>
        <v xml:space="preserve">0030796 </v>
      </c>
      <c r="B9042" t="s">
        <v>28432</v>
      </c>
      <c r="C9042" t="s">
        <v>30245</v>
      </c>
      <c r="D9042" t="s">
        <v>30246</v>
      </c>
      <c r="E9042">
        <v>4</v>
      </c>
      <c r="F9042" t="s">
        <v>30247</v>
      </c>
      <c r="G9042" t="s">
        <v>28435</v>
      </c>
      <c r="H9042" t="s">
        <v>30248</v>
      </c>
      <c r="I9042" t="s">
        <v>715</v>
      </c>
    </row>
    <row r="9043" spans="1:9">
      <c r="A9043" t="str">
        <f>"0030797 "</f>
        <v xml:space="preserve">0030797 </v>
      </c>
      <c r="B9043" t="s">
        <v>28432</v>
      </c>
      <c r="C9043" t="s">
        <v>30249</v>
      </c>
      <c r="D9043" t="s">
        <v>30250</v>
      </c>
      <c r="E9043">
        <v>1</v>
      </c>
      <c r="F9043" t="s">
        <v>30251</v>
      </c>
      <c r="G9043" t="s">
        <v>28435</v>
      </c>
      <c r="H9043" t="s">
        <v>30252</v>
      </c>
      <c r="I9043" t="s">
        <v>30253</v>
      </c>
    </row>
    <row r="9044" spans="1:9">
      <c r="A9044" t="str">
        <f>"0030812 "</f>
        <v xml:space="preserve">0030812 </v>
      </c>
      <c r="B9044" t="s">
        <v>28432</v>
      </c>
      <c r="C9044" t="s">
        <v>30254</v>
      </c>
      <c r="D9044" t="s">
        <v>30255</v>
      </c>
      <c r="E9044">
        <v>1</v>
      </c>
      <c r="F9044" t="s">
        <v>30256</v>
      </c>
      <c r="G9044" t="s">
        <v>28435</v>
      </c>
      <c r="H9044" t="s">
        <v>30257</v>
      </c>
      <c r="I9044" t="s">
        <v>30258</v>
      </c>
    </row>
    <row r="9045" spans="1:9">
      <c r="A9045" t="str">
        <f>"0030850 "</f>
        <v xml:space="preserve">0030850 </v>
      </c>
      <c r="B9045" t="s">
        <v>28432</v>
      </c>
      <c r="C9045" t="s">
        <v>30259</v>
      </c>
      <c r="D9045" t="s">
        <v>30260</v>
      </c>
      <c r="E9045">
        <v>1</v>
      </c>
      <c r="F9045" t="s">
        <v>30261</v>
      </c>
      <c r="G9045" t="s">
        <v>28435</v>
      </c>
      <c r="H9045" t="s">
        <v>30262</v>
      </c>
      <c r="I9045" t="s">
        <v>30263</v>
      </c>
    </row>
    <row r="9046" spans="1:9">
      <c r="A9046" t="str">
        <f>"0030852 "</f>
        <v xml:space="preserve">0030852 </v>
      </c>
      <c r="B9046" t="s">
        <v>28432</v>
      </c>
      <c r="C9046" t="s">
        <v>30264</v>
      </c>
      <c r="D9046" t="s">
        <v>30265</v>
      </c>
      <c r="E9046">
        <v>2</v>
      </c>
      <c r="F9046" t="s">
        <v>30266</v>
      </c>
      <c r="G9046" t="s">
        <v>28435</v>
      </c>
      <c r="H9046" t="s">
        <v>30267</v>
      </c>
      <c r="I9046" t="s">
        <v>30268</v>
      </c>
    </row>
    <row r="9047" spans="1:9">
      <c r="A9047" t="str">
        <f>"0116766 "</f>
        <v xml:space="preserve">0116766 </v>
      </c>
      <c r="B9047" t="s">
        <v>28432</v>
      </c>
      <c r="C9047" t="s">
        <v>30269</v>
      </c>
      <c r="D9047" t="s">
        <v>30270</v>
      </c>
      <c r="E9047">
        <v>1</v>
      </c>
      <c r="F9047" t="s">
        <v>30271</v>
      </c>
      <c r="G9047" t="s">
        <v>28435</v>
      </c>
      <c r="H9047" t="s">
        <v>30272</v>
      </c>
      <c r="I9047" t="s">
        <v>30273</v>
      </c>
    </row>
    <row r="9048" spans="1:9">
      <c r="A9048" t="str">
        <f>"0030866 "</f>
        <v xml:space="preserve">0030866 </v>
      </c>
      <c r="B9048" t="s">
        <v>28432</v>
      </c>
      <c r="C9048" t="s">
        <v>30274</v>
      </c>
      <c r="D9048" t="s">
        <v>30275</v>
      </c>
      <c r="E9048">
        <v>1</v>
      </c>
      <c r="F9048" t="s">
        <v>30276</v>
      </c>
      <c r="G9048" t="s">
        <v>28435</v>
      </c>
      <c r="H9048" t="s">
        <v>30277</v>
      </c>
      <c r="I9048" t="s">
        <v>30278</v>
      </c>
    </row>
    <row r="9049" spans="1:9">
      <c r="A9049" t="str">
        <f>"0030872 "</f>
        <v xml:space="preserve">0030872 </v>
      </c>
      <c r="B9049" t="s">
        <v>28432</v>
      </c>
      <c r="C9049" t="s">
        <v>30279</v>
      </c>
      <c r="D9049" t="s">
        <v>30280</v>
      </c>
      <c r="E9049">
        <v>1</v>
      </c>
      <c r="F9049" t="s">
        <v>30281</v>
      </c>
      <c r="G9049" t="s">
        <v>28435</v>
      </c>
      <c r="H9049" t="s">
        <v>30282</v>
      </c>
      <c r="I9049" t="s">
        <v>22503</v>
      </c>
    </row>
    <row r="9050" spans="1:9">
      <c r="A9050" t="str">
        <f>"0030876 "</f>
        <v xml:space="preserve">0030876 </v>
      </c>
      <c r="B9050" t="s">
        <v>28432</v>
      </c>
      <c r="C9050" t="s">
        <v>30283</v>
      </c>
      <c r="D9050" t="s">
        <v>30284</v>
      </c>
      <c r="E9050">
        <v>1</v>
      </c>
      <c r="F9050" t="s">
        <v>2921</v>
      </c>
      <c r="G9050" t="s">
        <v>28435</v>
      </c>
      <c r="H9050" t="s">
        <v>30285</v>
      </c>
      <c r="I9050" t="s">
        <v>30286</v>
      </c>
    </row>
    <row r="9051" spans="1:9">
      <c r="A9051" t="str">
        <f>"0030878 "</f>
        <v xml:space="preserve">0030878 </v>
      </c>
      <c r="B9051" t="s">
        <v>28432</v>
      </c>
      <c r="C9051" t="s">
        <v>30287</v>
      </c>
      <c r="D9051" t="s">
        <v>30288</v>
      </c>
      <c r="E9051">
        <v>1</v>
      </c>
      <c r="F9051" t="s">
        <v>30289</v>
      </c>
      <c r="G9051" t="s">
        <v>28435</v>
      </c>
      <c r="H9051" t="s">
        <v>30290</v>
      </c>
      <c r="I9051" t="s">
        <v>30291</v>
      </c>
    </row>
    <row r="9052" spans="1:9">
      <c r="A9052" t="str">
        <f>"0038186 "</f>
        <v xml:space="preserve">0038186 </v>
      </c>
      <c r="B9052" t="s">
        <v>28432</v>
      </c>
      <c r="C9052" t="s">
        <v>30292</v>
      </c>
      <c r="D9052" t="s">
        <v>30293</v>
      </c>
      <c r="E9052">
        <v>1</v>
      </c>
      <c r="F9052" t="s">
        <v>30294</v>
      </c>
      <c r="G9052" t="s">
        <v>28435</v>
      </c>
      <c r="H9052" t="s">
        <v>30295</v>
      </c>
      <c r="I9052" t="s">
        <v>22762</v>
      </c>
    </row>
    <row r="9053" spans="1:9">
      <c r="A9053" t="str">
        <f>"0116648 "</f>
        <v xml:space="preserve">0116648 </v>
      </c>
      <c r="B9053" t="s">
        <v>28432</v>
      </c>
      <c r="C9053" t="s">
        <v>30296</v>
      </c>
      <c r="D9053" t="s">
        <v>30297</v>
      </c>
      <c r="E9053" t="s">
        <v>16</v>
      </c>
      <c r="F9053" t="s">
        <v>29296</v>
      </c>
      <c r="G9053" t="s">
        <v>28435</v>
      </c>
      <c r="H9053" t="s">
        <v>30298</v>
      </c>
      <c r="I9053" t="s">
        <v>30299</v>
      </c>
    </row>
    <row r="9054" spans="1:9">
      <c r="A9054" t="str">
        <f>"0030892 "</f>
        <v xml:space="preserve">0030892 </v>
      </c>
      <c r="B9054" t="s">
        <v>28432</v>
      </c>
      <c r="C9054" t="s">
        <v>30300</v>
      </c>
      <c r="D9054" t="s">
        <v>30301</v>
      </c>
      <c r="E9054">
        <v>1</v>
      </c>
      <c r="F9054" t="s">
        <v>30302</v>
      </c>
      <c r="G9054" t="s">
        <v>28435</v>
      </c>
      <c r="H9054" t="s">
        <v>30303</v>
      </c>
      <c r="I9054" t="s">
        <v>30304</v>
      </c>
    </row>
    <row r="9055" spans="1:9">
      <c r="A9055" t="str">
        <f>"0030893 "</f>
        <v xml:space="preserve">0030893 </v>
      </c>
      <c r="B9055" t="s">
        <v>28432</v>
      </c>
      <c r="C9055" t="s">
        <v>30305</v>
      </c>
      <c r="D9055" t="s">
        <v>30306</v>
      </c>
      <c r="E9055">
        <v>2</v>
      </c>
      <c r="F9055" t="s">
        <v>30307</v>
      </c>
      <c r="G9055" t="s">
        <v>28435</v>
      </c>
      <c r="H9055" t="s">
        <v>30308</v>
      </c>
      <c r="I9055" t="s">
        <v>30309</v>
      </c>
    </row>
    <row r="9056" spans="1:9">
      <c r="A9056" t="str">
        <f>"0030896 "</f>
        <v xml:space="preserve">0030896 </v>
      </c>
      <c r="B9056" t="s">
        <v>28432</v>
      </c>
      <c r="C9056" t="s">
        <v>30310</v>
      </c>
      <c r="D9056" t="s">
        <v>30311</v>
      </c>
      <c r="E9056" t="s">
        <v>16</v>
      </c>
      <c r="F9056" t="s">
        <v>29831</v>
      </c>
      <c r="G9056" t="s">
        <v>28435</v>
      </c>
      <c r="H9056" t="s">
        <v>30312</v>
      </c>
      <c r="I9056" t="s">
        <v>30313</v>
      </c>
    </row>
    <row r="9057" spans="1:9">
      <c r="A9057" t="str">
        <f>"0030897 "</f>
        <v xml:space="preserve">0030897 </v>
      </c>
      <c r="B9057" t="s">
        <v>28432</v>
      </c>
      <c r="C9057" t="s">
        <v>30314</v>
      </c>
      <c r="D9057" t="s">
        <v>30315</v>
      </c>
      <c r="E9057" t="s">
        <v>16</v>
      </c>
      <c r="F9057" t="s">
        <v>30316</v>
      </c>
      <c r="G9057" t="s">
        <v>28435</v>
      </c>
      <c r="H9057" t="s">
        <v>30317</v>
      </c>
      <c r="I9057" t="s">
        <v>30318</v>
      </c>
    </row>
    <row r="9058" spans="1:9">
      <c r="A9058" t="str">
        <f>"0038187 "</f>
        <v xml:space="preserve">0038187 </v>
      </c>
      <c r="B9058" t="s">
        <v>28432</v>
      </c>
      <c r="C9058" t="s">
        <v>30319</v>
      </c>
      <c r="D9058" t="s">
        <v>30320</v>
      </c>
      <c r="E9058">
        <v>2</v>
      </c>
      <c r="F9058" t="s">
        <v>30321</v>
      </c>
      <c r="G9058" t="s">
        <v>28435</v>
      </c>
      <c r="H9058" t="s">
        <v>30322</v>
      </c>
      <c r="I9058" t="s">
        <v>30323</v>
      </c>
    </row>
    <row r="9059" spans="1:9">
      <c r="A9059" t="str">
        <f>"0030899 "</f>
        <v xml:space="preserve">0030899 </v>
      </c>
      <c r="B9059" t="s">
        <v>28432</v>
      </c>
      <c r="C9059" t="s">
        <v>30324</v>
      </c>
      <c r="D9059" t="s">
        <v>30325</v>
      </c>
      <c r="E9059">
        <v>1</v>
      </c>
      <c r="F9059" t="s">
        <v>30326</v>
      </c>
      <c r="G9059" t="s">
        <v>28435</v>
      </c>
      <c r="H9059" t="s">
        <v>30327</v>
      </c>
      <c r="I9059" t="s">
        <v>30328</v>
      </c>
    </row>
    <row r="9060" spans="1:9">
      <c r="A9060" t="str">
        <f>"0030900 "</f>
        <v xml:space="preserve">0030900 </v>
      </c>
      <c r="B9060" t="s">
        <v>28432</v>
      </c>
      <c r="C9060" t="s">
        <v>30329</v>
      </c>
      <c r="D9060" t="s">
        <v>30330</v>
      </c>
      <c r="E9060" t="s">
        <v>16</v>
      </c>
      <c r="F9060" t="s">
        <v>30331</v>
      </c>
      <c r="G9060" t="s">
        <v>28435</v>
      </c>
      <c r="H9060" t="s">
        <v>30332</v>
      </c>
      <c r="I9060" t="s">
        <v>30333</v>
      </c>
    </row>
    <row r="9061" spans="1:9">
      <c r="A9061" t="str">
        <f>"0030901 "</f>
        <v xml:space="preserve">0030901 </v>
      </c>
      <c r="B9061" t="s">
        <v>28432</v>
      </c>
      <c r="C9061" t="s">
        <v>30334</v>
      </c>
      <c r="D9061" t="s">
        <v>30335</v>
      </c>
      <c r="E9061">
        <v>1</v>
      </c>
      <c r="F9061" t="s">
        <v>30336</v>
      </c>
      <c r="G9061" t="s">
        <v>28435</v>
      </c>
      <c r="H9061" t="s">
        <v>30337</v>
      </c>
      <c r="I9061" t="s">
        <v>30338</v>
      </c>
    </row>
    <row r="9062" spans="1:9">
      <c r="A9062" t="str">
        <f>"0030903 "</f>
        <v xml:space="preserve">0030903 </v>
      </c>
      <c r="B9062" t="s">
        <v>28432</v>
      </c>
      <c r="C9062" t="s">
        <v>30339</v>
      </c>
      <c r="D9062" t="s">
        <v>30340</v>
      </c>
      <c r="E9062">
        <v>1</v>
      </c>
      <c r="F9062" t="s">
        <v>30341</v>
      </c>
      <c r="G9062" t="s">
        <v>28435</v>
      </c>
      <c r="H9062" t="s">
        <v>30342</v>
      </c>
      <c r="I9062" t="s">
        <v>30343</v>
      </c>
    </row>
    <row r="9063" spans="1:9">
      <c r="A9063" t="str">
        <f>"0030904 "</f>
        <v xml:space="preserve">0030904 </v>
      </c>
      <c r="B9063" t="s">
        <v>28432</v>
      </c>
      <c r="C9063" t="s">
        <v>30344</v>
      </c>
      <c r="D9063" t="s">
        <v>30345</v>
      </c>
      <c r="E9063">
        <v>2</v>
      </c>
      <c r="F9063" t="s">
        <v>30346</v>
      </c>
      <c r="G9063" t="s">
        <v>28435</v>
      </c>
      <c r="H9063" t="s">
        <v>30347</v>
      </c>
      <c r="I9063" t="s">
        <v>30348</v>
      </c>
    </row>
    <row r="9064" spans="1:9">
      <c r="A9064" t="str">
        <f>"0030907 "</f>
        <v xml:space="preserve">0030907 </v>
      </c>
      <c r="B9064" t="s">
        <v>28432</v>
      </c>
      <c r="C9064" t="s">
        <v>30349</v>
      </c>
      <c r="D9064" t="s">
        <v>30350</v>
      </c>
      <c r="E9064">
        <v>1</v>
      </c>
      <c r="F9064" t="s">
        <v>30351</v>
      </c>
      <c r="G9064" t="s">
        <v>28435</v>
      </c>
      <c r="H9064" t="s">
        <v>30352</v>
      </c>
      <c r="I9064" t="s">
        <v>30353</v>
      </c>
    </row>
    <row r="9065" spans="1:9">
      <c r="A9065" t="str">
        <f>"0030909 "</f>
        <v xml:space="preserve">0030909 </v>
      </c>
      <c r="B9065" t="s">
        <v>28432</v>
      </c>
      <c r="C9065" t="s">
        <v>30354</v>
      </c>
      <c r="D9065" t="s">
        <v>30355</v>
      </c>
      <c r="E9065">
        <v>4</v>
      </c>
      <c r="F9065" t="s">
        <v>30356</v>
      </c>
      <c r="G9065" t="s">
        <v>28435</v>
      </c>
      <c r="H9065" t="s">
        <v>30357</v>
      </c>
      <c r="I9065" t="s">
        <v>30358</v>
      </c>
    </row>
    <row r="9066" spans="1:9">
      <c r="A9066" t="str">
        <f>"0030910 "</f>
        <v xml:space="preserve">0030910 </v>
      </c>
      <c r="B9066" t="s">
        <v>28432</v>
      </c>
      <c r="C9066" t="s">
        <v>30359</v>
      </c>
      <c r="D9066" t="s">
        <v>30360</v>
      </c>
      <c r="E9066">
        <v>1</v>
      </c>
      <c r="F9066" t="s">
        <v>30361</v>
      </c>
      <c r="G9066" t="s">
        <v>28435</v>
      </c>
      <c r="H9066" t="s">
        <v>30362</v>
      </c>
      <c r="I9066" t="s">
        <v>30363</v>
      </c>
    </row>
    <row r="9067" spans="1:9">
      <c r="A9067" t="str">
        <f>"0030913 "</f>
        <v xml:space="preserve">0030913 </v>
      </c>
      <c r="B9067" t="s">
        <v>28432</v>
      </c>
      <c r="C9067" t="s">
        <v>30364</v>
      </c>
      <c r="D9067" t="s">
        <v>30365</v>
      </c>
      <c r="E9067" t="s">
        <v>16</v>
      </c>
      <c r="F9067" t="s">
        <v>30366</v>
      </c>
      <c r="G9067" t="s">
        <v>28435</v>
      </c>
      <c r="H9067" t="s">
        <v>30367</v>
      </c>
      <c r="I9067" t="s">
        <v>30368</v>
      </c>
    </row>
    <row r="9068" spans="1:9">
      <c r="A9068" t="str">
        <f>"0030915 "</f>
        <v xml:space="preserve">0030915 </v>
      </c>
      <c r="B9068" t="s">
        <v>28432</v>
      </c>
      <c r="C9068" t="s">
        <v>30369</v>
      </c>
      <c r="D9068" t="s">
        <v>30370</v>
      </c>
      <c r="E9068">
        <v>4</v>
      </c>
      <c r="F9068" t="s">
        <v>28986</v>
      </c>
      <c r="G9068" t="s">
        <v>28435</v>
      </c>
      <c r="H9068" t="s">
        <v>30371</v>
      </c>
      <c r="I9068" t="s">
        <v>30372</v>
      </c>
    </row>
    <row r="9069" spans="1:9">
      <c r="A9069" t="str">
        <f>"0030917 "</f>
        <v xml:space="preserve">0030917 </v>
      </c>
      <c r="B9069" t="s">
        <v>28432</v>
      </c>
      <c r="C9069" t="s">
        <v>30373</v>
      </c>
      <c r="D9069" t="s">
        <v>30374</v>
      </c>
      <c r="E9069">
        <v>1</v>
      </c>
      <c r="F9069" t="s">
        <v>30375</v>
      </c>
      <c r="G9069" t="s">
        <v>28435</v>
      </c>
      <c r="H9069" t="s">
        <v>30376</v>
      </c>
      <c r="I9069" t="s">
        <v>30377</v>
      </c>
    </row>
    <row r="9070" spans="1:9">
      <c r="A9070" t="str">
        <f>"0030918 "</f>
        <v xml:space="preserve">0030918 </v>
      </c>
      <c r="B9070" t="s">
        <v>28432</v>
      </c>
      <c r="C9070" t="s">
        <v>30378</v>
      </c>
      <c r="D9070" t="s">
        <v>30379</v>
      </c>
      <c r="E9070">
        <v>3</v>
      </c>
      <c r="F9070" t="s">
        <v>30380</v>
      </c>
      <c r="G9070" t="s">
        <v>28435</v>
      </c>
      <c r="H9070" t="s">
        <v>30381</v>
      </c>
      <c r="I9070" t="s">
        <v>30382</v>
      </c>
    </row>
    <row r="9071" spans="1:9">
      <c r="A9071" t="str">
        <f>"0030919 "</f>
        <v xml:space="preserve">0030919 </v>
      </c>
      <c r="B9071" t="s">
        <v>28432</v>
      </c>
      <c r="C9071" t="s">
        <v>30383</v>
      </c>
      <c r="D9071" t="s">
        <v>30384</v>
      </c>
      <c r="E9071">
        <v>2</v>
      </c>
      <c r="F9071" t="s">
        <v>30385</v>
      </c>
      <c r="G9071" t="s">
        <v>28435</v>
      </c>
      <c r="H9071" t="s">
        <v>30386</v>
      </c>
      <c r="I9071" t="s">
        <v>30387</v>
      </c>
    </row>
    <row r="9072" spans="1:9">
      <c r="A9072" t="str">
        <f>"0030920 "</f>
        <v xml:space="preserve">0030920 </v>
      </c>
      <c r="B9072" t="s">
        <v>28432</v>
      </c>
      <c r="C9072" t="s">
        <v>30388</v>
      </c>
      <c r="D9072" t="s">
        <v>30389</v>
      </c>
      <c r="E9072">
        <v>2</v>
      </c>
      <c r="F9072" t="s">
        <v>30390</v>
      </c>
      <c r="G9072" t="s">
        <v>28435</v>
      </c>
      <c r="H9072" t="s">
        <v>30391</v>
      </c>
      <c r="I9072" t="s">
        <v>30392</v>
      </c>
    </row>
    <row r="9073" spans="1:9">
      <c r="A9073" t="str">
        <f>"0030934 "</f>
        <v xml:space="preserve">0030934 </v>
      </c>
      <c r="B9073" t="s">
        <v>28432</v>
      </c>
      <c r="C9073" t="s">
        <v>30393</v>
      </c>
      <c r="D9073" t="s">
        <v>30394</v>
      </c>
      <c r="E9073">
        <v>1</v>
      </c>
      <c r="F9073" t="s">
        <v>3569</v>
      </c>
      <c r="G9073" t="s">
        <v>28435</v>
      </c>
      <c r="H9073" t="s">
        <v>30395</v>
      </c>
      <c r="I9073" t="s">
        <v>30396</v>
      </c>
    </row>
    <row r="9074" spans="1:9">
      <c r="A9074" t="str">
        <f>"0030938 "</f>
        <v xml:space="preserve">0030938 </v>
      </c>
      <c r="B9074" t="s">
        <v>28432</v>
      </c>
      <c r="C9074" t="s">
        <v>30397</v>
      </c>
      <c r="D9074" t="s">
        <v>30398</v>
      </c>
      <c r="E9074">
        <v>1</v>
      </c>
      <c r="F9074" t="s">
        <v>28459</v>
      </c>
      <c r="G9074" t="s">
        <v>28435</v>
      </c>
      <c r="H9074" t="s">
        <v>30399</v>
      </c>
      <c r="I9074" t="s">
        <v>30400</v>
      </c>
    </row>
    <row r="9075" spans="1:9">
      <c r="A9075" t="str">
        <f>"0030942 "</f>
        <v xml:space="preserve">0030942 </v>
      </c>
      <c r="B9075" t="s">
        <v>28432</v>
      </c>
      <c r="C9075" t="s">
        <v>30401</v>
      </c>
      <c r="D9075" t="s">
        <v>30402</v>
      </c>
      <c r="E9075">
        <v>3</v>
      </c>
      <c r="F9075" t="s">
        <v>30403</v>
      </c>
      <c r="G9075" t="s">
        <v>28435</v>
      </c>
      <c r="H9075" t="s">
        <v>30404</v>
      </c>
      <c r="I9075" t="s">
        <v>30405</v>
      </c>
    </row>
    <row r="9076" spans="1:9">
      <c r="A9076" t="str">
        <f>"0030943 "</f>
        <v xml:space="preserve">0030943 </v>
      </c>
      <c r="B9076" t="s">
        <v>28432</v>
      </c>
      <c r="C9076" t="s">
        <v>30406</v>
      </c>
      <c r="D9076" t="s">
        <v>30407</v>
      </c>
      <c r="E9076">
        <v>2</v>
      </c>
      <c r="F9076" t="s">
        <v>30408</v>
      </c>
      <c r="G9076" t="s">
        <v>28435</v>
      </c>
      <c r="H9076" t="s">
        <v>30409</v>
      </c>
      <c r="I9076" t="s">
        <v>30410</v>
      </c>
    </row>
    <row r="9077" spans="1:9">
      <c r="A9077" t="str">
        <f>"0030945 "</f>
        <v xml:space="preserve">0030945 </v>
      </c>
      <c r="B9077" t="s">
        <v>28432</v>
      </c>
      <c r="C9077" t="s">
        <v>30411</v>
      </c>
      <c r="D9077" t="s">
        <v>30412</v>
      </c>
      <c r="E9077">
        <v>1</v>
      </c>
      <c r="F9077" t="s">
        <v>30413</v>
      </c>
      <c r="G9077" t="s">
        <v>28435</v>
      </c>
      <c r="H9077" t="s">
        <v>30414</v>
      </c>
      <c r="I9077" t="s">
        <v>30415</v>
      </c>
    </row>
    <row r="9078" spans="1:9">
      <c r="A9078" t="str">
        <f>"0030952 "</f>
        <v xml:space="preserve">0030952 </v>
      </c>
      <c r="B9078" t="s">
        <v>28432</v>
      </c>
      <c r="C9078" t="s">
        <v>30416</v>
      </c>
      <c r="D9078" t="s">
        <v>30417</v>
      </c>
      <c r="E9078">
        <v>4</v>
      </c>
      <c r="F9078" t="s">
        <v>30380</v>
      </c>
      <c r="G9078" t="s">
        <v>28435</v>
      </c>
      <c r="H9078" t="s">
        <v>30418</v>
      </c>
      <c r="I9078" t="s">
        <v>30419</v>
      </c>
    </row>
    <row r="9079" spans="1:9">
      <c r="A9079" t="str">
        <f>"0030955 "</f>
        <v xml:space="preserve">0030955 </v>
      </c>
      <c r="B9079" t="s">
        <v>28432</v>
      </c>
      <c r="C9079" t="s">
        <v>30420</v>
      </c>
      <c r="D9079" t="s">
        <v>30421</v>
      </c>
      <c r="E9079">
        <v>2</v>
      </c>
      <c r="F9079" t="s">
        <v>30422</v>
      </c>
      <c r="G9079" t="s">
        <v>28435</v>
      </c>
      <c r="H9079" t="s">
        <v>30423</v>
      </c>
      <c r="I9079" t="s">
        <v>30424</v>
      </c>
    </row>
    <row r="9080" spans="1:9">
      <c r="A9080" t="str">
        <f>"0030972 "</f>
        <v xml:space="preserve">0030972 </v>
      </c>
      <c r="B9080" t="s">
        <v>28432</v>
      </c>
      <c r="C9080" t="s">
        <v>30425</v>
      </c>
      <c r="D9080" t="s">
        <v>30426</v>
      </c>
      <c r="E9080">
        <v>1</v>
      </c>
      <c r="F9080" t="s">
        <v>30427</v>
      </c>
      <c r="G9080" t="s">
        <v>28435</v>
      </c>
      <c r="H9080" t="s">
        <v>30428</v>
      </c>
      <c r="I9080" t="s">
        <v>30429</v>
      </c>
    </row>
    <row r="9081" spans="1:9">
      <c r="A9081" t="str">
        <f>"0030984 "</f>
        <v xml:space="preserve">0030984 </v>
      </c>
      <c r="B9081" t="s">
        <v>28432</v>
      </c>
      <c r="C9081" t="s">
        <v>30430</v>
      </c>
      <c r="D9081" t="s">
        <v>30431</v>
      </c>
      <c r="E9081">
        <v>1</v>
      </c>
      <c r="F9081" t="s">
        <v>30432</v>
      </c>
      <c r="G9081" t="s">
        <v>28435</v>
      </c>
      <c r="H9081" t="s">
        <v>30433</v>
      </c>
      <c r="I9081" t="s">
        <v>30434</v>
      </c>
    </row>
    <row r="9082" spans="1:9">
      <c r="A9082" t="str">
        <f>"0030997 "</f>
        <v xml:space="preserve">0030997 </v>
      </c>
      <c r="B9082" t="s">
        <v>28432</v>
      </c>
      <c r="C9082" t="s">
        <v>30435</v>
      </c>
      <c r="D9082" t="s">
        <v>30436</v>
      </c>
      <c r="E9082" t="s">
        <v>16</v>
      </c>
      <c r="F9082" t="s">
        <v>30437</v>
      </c>
      <c r="G9082" t="s">
        <v>28435</v>
      </c>
      <c r="H9082" t="s">
        <v>30438</v>
      </c>
      <c r="I9082" t="s">
        <v>30439</v>
      </c>
    </row>
    <row r="9083" spans="1:9">
      <c r="A9083" t="str">
        <f>"0030999 "</f>
        <v xml:space="preserve">0030999 </v>
      </c>
      <c r="B9083" t="s">
        <v>28432</v>
      </c>
      <c r="C9083" t="s">
        <v>30440</v>
      </c>
      <c r="D9083" t="s">
        <v>30441</v>
      </c>
      <c r="E9083" t="s">
        <v>16</v>
      </c>
      <c r="F9083" t="s">
        <v>30442</v>
      </c>
      <c r="G9083" t="s">
        <v>28435</v>
      </c>
      <c r="H9083" t="s">
        <v>30443</v>
      </c>
      <c r="I9083" t="s">
        <v>30444</v>
      </c>
    </row>
    <row r="9084" spans="1:9">
      <c r="A9084" t="str">
        <f>"0031000 "</f>
        <v xml:space="preserve">0031000 </v>
      </c>
      <c r="B9084" t="s">
        <v>28432</v>
      </c>
      <c r="C9084" t="s">
        <v>30445</v>
      </c>
      <c r="D9084" t="s">
        <v>30446</v>
      </c>
      <c r="E9084">
        <v>3</v>
      </c>
      <c r="F9084" t="s">
        <v>30447</v>
      </c>
      <c r="G9084" t="s">
        <v>28435</v>
      </c>
      <c r="H9084" t="s">
        <v>30448</v>
      </c>
      <c r="I9084" t="s">
        <v>30449</v>
      </c>
    </row>
    <row r="9085" spans="1:9">
      <c r="A9085" t="str">
        <f>"0031009 "</f>
        <v xml:space="preserve">0031009 </v>
      </c>
      <c r="B9085" t="s">
        <v>28432</v>
      </c>
      <c r="C9085" t="s">
        <v>30450</v>
      </c>
      <c r="D9085" t="s">
        <v>30451</v>
      </c>
      <c r="E9085">
        <v>1</v>
      </c>
      <c r="F9085" t="s">
        <v>30452</v>
      </c>
      <c r="G9085" t="s">
        <v>28435</v>
      </c>
      <c r="H9085" t="s">
        <v>30453</v>
      </c>
      <c r="I9085" t="s">
        <v>30454</v>
      </c>
    </row>
    <row r="9086" spans="1:9">
      <c r="A9086" t="str">
        <f>"0031016 "</f>
        <v xml:space="preserve">0031016 </v>
      </c>
      <c r="B9086" t="s">
        <v>28432</v>
      </c>
      <c r="C9086" t="s">
        <v>30455</v>
      </c>
      <c r="D9086" t="s">
        <v>30456</v>
      </c>
      <c r="E9086">
        <v>1</v>
      </c>
      <c r="F9086" t="s">
        <v>30457</v>
      </c>
      <c r="G9086" t="s">
        <v>28435</v>
      </c>
      <c r="H9086" t="s">
        <v>30458</v>
      </c>
      <c r="I9086" t="s">
        <v>30459</v>
      </c>
    </row>
    <row r="9087" spans="1:9">
      <c r="A9087" t="str">
        <f>"0031018 "</f>
        <v xml:space="preserve">0031018 </v>
      </c>
      <c r="B9087" t="s">
        <v>28432</v>
      </c>
      <c r="C9087" t="s">
        <v>30460</v>
      </c>
      <c r="D9087" t="s">
        <v>30461</v>
      </c>
      <c r="E9087">
        <v>2</v>
      </c>
      <c r="F9087" t="s">
        <v>30462</v>
      </c>
      <c r="G9087" t="s">
        <v>28435</v>
      </c>
      <c r="H9087" t="s">
        <v>30463</v>
      </c>
      <c r="I9087" t="s">
        <v>30464</v>
      </c>
    </row>
    <row r="9088" spans="1:9">
      <c r="A9088" t="str">
        <f>"0031030 "</f>
        <v xml:space="preserve">0031030 </v>
      </c>
      <c r="B9088" t="s">
        <v>28432</v>
      </c>
      <c r="C9088" t="s">
        <v>30465</v>
      </c>
      <c r="D9088" t="s">
        <v>30466</v>
      </c>
      <c r="E9088">
        <v>4</v>
      </c>
      <c r="F9088" t="s">
        <v>30467</v>
      </c>
      <c r="G9088" t="s">
        <v>28435</v>
      </c>
      <c r="H9088" t="s">
        <v>30468</v>
      </c>
      <c r="I9088" t="s">
        <v>30469</v>
      </c>
    </row>
    <row r="9089" spans="1:9">
      <c r="A9089" t="str">
        <f>"0031032 "</f>
        <v xml:space="preserve">0031032 </v>
      </c>
      <c r="B9089" t="s">
        <v>28432</v>
      </c>
      <c r="C9089" t="s">
        <v>30470</v>
      </c>
      <c r="D9089" t="s">
        <v>30471</v>
      </c>
      <c r="E9089">
        <v>1</v>
      </c>
      <c r="F9089" t="s">
        <v>30472</v>
      </c>
      <c r="G9089" t="s">
        <v>28435</v>
      </c>
      <c r="H9089" t="s">
        <v>30473</v>
      </c>
      <c r="I9089" t="s">
        <v>30474</v>
      </c>
    </row>
    <row r="9090" spans="1:9">
      <c r="A9090" t="str">
        <f>"0031049 "</f>
        <v xml:space="preserve">0031049 </v>
      </c>
      <c r="B9090" t="s">
        <v>28432</v>
      </c>
      <c r="C9090" t="s">
        <v>30475</v>
      </c>
      <c r="D9090" t="s">
        <v>30476</v>
      </c>
      <c r="E9090">
        <v>2</v>
      </c>
      <c r="F9090" t="s">
        <v>30477</v>
      </c>
      <c r="G9090" t="s">
        <v>28435</v>
      </c>
      <c r="H9090" t="s">
        <v>30478</v>
      </c>
      <c r="I9090" t="s">
        <v>30479</v>
      </c>
    </row>
    <row r="9091" spans="1:9">
      <c r="A9091" t="str">
        <f>"0031063 "</f>
        <v xml:space="preserve">0031063 </v>
      </c>
      <c r="B9091" t="s">
        <v>28432</v>
      </c>
      <c r="C9091" t="s">
        <v>30480</v>
      </c>
      <c r="D9091" t="s">
        <v>30481</v>
      </c>
      <c r="E9091">
        <v>1</v>
      </c>
      <c r="F9091" t="s">
        <v>30482</v>
      </c>
      <c r="G9091" t="s">
        <v>28435</v>
      </c>
      <c r="H9091" t="s">
        <v>30483</v>
      </c>
      <c r="I9091" t="s">
        <v>727</v>
      </c>
    </row>
    <row r="9092" spans="1:9">
      <c r="A9092" t="str">
        <f>"0031075 "</f>
        <v xml:space="preserve">0031075 </v>
      </c>
      <c r="B9092" t="s">
        <v>28432</v>
      </c>
      <c r="C9092" t="s">
        <v>30484</v>
      </c>
      <c r="D9092" t="s">
        <v>30485</v>
      </c>
      <c r="E9092">
        <v>3</v>
      </c>
      <c r="F9092" t="s">
        <v>30486</v>
      </c>
      <c r="G9092" t="s">
        <v>28435</v>
      </c>
      <c r="H9092" t="s">
        <v>30487</v>
      </c>
      <c r="I9092" t="s">
        <v>30488</v>
      </c>
    </row>
    <row r="9093" spans="1:9">
      <c r="A9093" t="str">
        <f>"0031095 "</f>
        <v xml:space="preserve">0031095 </v>
      </c>
      <c r="B9093" t="s">
        <v>28432</v>
      </c>
      <c r="C9093" t="s">
        <v>30489</v>
      </c>
      <c r="D9093" t="s">
        <v>30490</v>
      </c>
      <c r="E9093" t="s">
        <v>16</v>
      </c>
      <c r="F9093" t="s">
        <v>30491</v>
      </c>
      <c r="G9093" t="s">
        <v>28435</v>
      </c>
      <c r="H9093" t="s">
        <v>30492</v>
      </c>
      <c r="I9093" t="s">
        <v>30318</v>
      </c>
    </row>
    <row r="9094" spans="1:9">
      <c r="A9094" t="str">
        <f>"0031096 "</f>
        <v xml:space="preserve">0031096 </v>
      </c>
      <c r="B9094" t="s">
        <v>28432</v>
      </c>
      <c r="C9094" t="s">
        <v>30493</v>
      </c>
      <c r="D9094" t="s">
        <v>30494</v>
      </c>
      <c r="E9094" t="s">
        <v>16</v>
      </c>
      <c r="F9094" t="s">
        <v>30495</v>
      </c>
      <c r="G9094" t="s">
        <v>28435</v>
      </c>
      <c r="H9094" t="s">
        <v>30496</v>
      </c>
      <c r="I9094" t="s">
        <v>30497</v>
      </c>
    </row>
    <row r="9095" spans="1:9">
      <c r="A9095" t="str">
        <f>"0031097 "</f>
        <v xml:space="preserve">0031097 </v>
      </c>
      <c r="B9095" t="s">
        <v>28432</v>
      </c>
      <c r="C9095" t="s">
        <v>30498</v>
      </c>
      <c r="D9095" t="s">
        <v>30499</v>
      </c>
      <c r="E9095">
        <v>1</v>
      </c>
      <c r="F9095" t="s">
        <v>30500</v>
      </c>
      <c r="G9095" t="s">
        <v>28435</v>
      </c>
      <c r="H9095" t="s">
        <v>30501</v>
      </c>
      <c r="I9095" t="s">
        <v>30502</v>
      </c>
    </row>
    <row r="9096" spans="1:9">
      <c r="A9096" t="str">
        <f>"0031098 "</f>
        <v xml:space="preserve">0031098 </v>
      </c>
      <c r="B9096" t="s">
        <v>28432</v>
      </c>
      <c r="C9096" t="s">
        <v>30503</v>
      </c>
      <c r="D9096" t="s">
        <v>30504</v>
      </c>
      <c r="E9096">
        <v>1</v>
      </c>
      <c r="F9096" t="s">
        <v>30505</v>
      </c>
      <c r="G9096" t="s">
        <v>28435</v>
      </c>
      <c r="H9096" t="s">
        <v>30506</v>
      </c>
      <c r="I9096" t="s">
        <v>30507</v>
      </c>
    </row>
    <row r="9097" spans="1:9">
      <c r="A9097" t="str">
        <f>"0031099 "</f>
        <v xml:space="preserve">0031099 </v>
      </c>
      <c r="B9097" t="s">
        <v>28432</v>
      </c>
      <c r="C9097" t="s">
        <v>30508</v>
      </c>
      <c r="D9097" t="s">
        <v>30509</v>
      </c>
      <c r="E9097">
        <v>1</v>
      </c>
      <c r="F9097" t="s">
        <v>30510</v>
      </c>
      <c r="G9097" t="s">
        <v>28435</v>
      </c>
      <c r="H9097" t="s">
        <v>30511</v>
      </c>
      <c r="I9097" t="s">
        <v>30512</v>
      </c>
    </row>
    <row r="9098" spans="1:9">
      <c r="A9098" t="str">
        <f>"0031101 "</f>
        <v xml:space="preserve">0031101 </v>
      </c>
      <c r="B9098" t="s">
        <v>28432</v>
      </c>
      <c r="C9098" t="s">
        <v>30513</v>
      </c>
      <c r="D9098" t="s">
        <v>30514</v>
      </c>
      <c r="E9098" t="s">
        <v>16</v>
      </c>
      <c r="F9098" t="s">
        <v>30515</v>
      </c>
      <c r="G9098" t="s">
        <v>28435</v>
      </c>
      <c r="H9098" t="s">
        <v>30516</v>
      </c>
      <c r="I9098" t="s">
        <v>30517</v>
      </c>
    </row>
    <row r="9099" spans="1:9">
      <c r="A9099" t="str">
        <f>"0031102 "</f>
        <v xml:space="preserve">0031102 </v>
      </c>
      <c r="B9099" t="s">
        <v>28432</v>
      </c>
      <c r="C9099" t="s">
        <v>30518</v>
      </c>
      <c r="D9099" t="s">
        <v>30519</v>
      </c>
      <c r="E9099">
        <v>1</v>
      </c>
      <c r="F9099" t="s">
        <v>30520</v>
      </c>
      <c r="G9099" t="s">
        <v>28435</v>
      </c>
      <c r="H9099" t="s">
        <v>30521</v>
      </c>
      <c r="I9099" t="s">
        <v>30522</v>
      </c>
    </row>
    <row r="9100" spans="1:9">
      <c r="A9100" t="str">
        <f>"0031103 "</f>
        <v xml:space="preserve">0031103 </v>
      </c>
      <c r="B9100" t="s">
        <v>28432</v>
      </c>
      <c r="C9100" t="s">
        <v>30523</v>
      </c>
      <c r="D9100" t="s">
        <v>30524</v>
      </c>
      <c r="E9100">
        <v>1</v>
      </c>
      <c r="F9100" t="s">
        <v>7612</v>
      </c>
      <c r="G9100" t="s">
        <v>28435</v>
      </c>
      <c r="H9100" t="s">
        <v>30525</v>
      </c>
      <c r="I9100" t="s">
        <v>30526</v>
      </c>
    </row>
    <row r="9101" spans="1:9">
      <c r="A9101" t="str">
        <f>"0031106 "</f>
        <v xml:space="preserve">0031106 </v>
      </c>
      <c r="B9101" t="s">
        <v>28432</v>
      </c>
      <c r="C9101" t="s">
        <v>30527</v>
      </c>
      <c r="D9101" t="s">
        <v>30528</v>
      </c>
      <c r="E9101">
        <v>1</v>
      </c>
      <c r="F9101" t="s">
        <v>30529</v>
      </c>
      <c r="G9101" t="s">
        <v>28435</v>
      </c>
      <c r="H9101" t="s">
        <v>30530</v>
      </c>
      <c r="I9101" t="s">
        <v>30531</v>
      </c>
    </row>
    <row r="9102" spans="1:9">
      <c r="A9102" t="str">
        <f>"0031109 "</f>
        <v xml:space="preserve">0031109 </v>
      </c>
      <c r="B9102" t="s">
        <v>28432</v>
      </c>
      <c r="C9102" t="s">
        <v>30532</v>
      </c>
      <c r="D9102" t="s">
        <v>30533</v>
      </c>
      <c r="E9102" t="s">
        <v>16</v>
      </c>
      <c r="F9102" t="s">
        <v>30534</v>
      </c>
      <c r="G9102" t="s">
        <v>28435</v>
      </c>
      <c r="H9102" t="s">
        <v>30535</v>
      </c>
      <c r="I9102" t="s">
        <v>30536</v>
      </c>
    </row>
    <row r="9103" spans="1:9">
      <c r="A9103" t="str">
        <f>"0048793 "</f>
        <v xml:space="preserve">0048793 </v>
      </c>
      <c r="B9103" t="s">
        <v>28432</v>
      </c>
      <c r="C9103" t="s">
        <v>30537</v>
      </c>
      <c r="D9103" t="s">
        <v>30538</v>
      </c>
      <c r="E9103" t="s">
        <v>16</v>
      </c>
      <c r="F9103" t="s">
        <v>30534</v>
      </c>
      <c r="G9103" t="s">
        <v>28435</v>
      </c>
      <c r="H9103" t="s">
        <v>30539</v>
      </c>
      <c r="I9103" t="s">
        <v>30540</v>
      </c>
    </row>
    <row r="9104" spans="1:9">
      <c r="A9104" t="str">
        <f>"0031114 "</f>
        <v xml:space="preserve">0031114 </v>
      </c>
      <c r="B9104" t="s">
        <v>28432</v>
      </c>
      <c r="C9104" t="s">
        <v>30541</v>
      </c>
      <c r="D9104" t="s">
        <v>30542</v>
      </c>
      <c r="E9104" t="s">
        <v>16</v>
      </c>
      <c r="F9104" t="s">
        <v>30543</v>
      </c>
      <c r="G9104" t="s">
        <v>28435</v>
      </c>
      <c r="H9104" t="s">
        <v>30544</v>
      </c>
      <c r="I9104" t="s">
        <v>30545</v>
      </c>
    </row>
    <row r="9105" spans="1:9">
      <c r="A9105" t="str">
        <f>"0031115 "</f>
        <v xml:space="preserve">0031115 </v>
      </c>
      <c r="B9105" t="s">
        <v>28432</v>
      </c>
      <c r="C9105" t="s">
        <v>30546</v>
      </c>
      <c r="D9105" t="s">
        <v>30547</v>
      </c>
      <c r="E9105" t="s">
        <v>16</v>
      </c>
      <c r="F9105" t="s">
        <v>30548</v>
      </c>
      <c r="G9105" t="s">
        <v>28435</v>
      </c>
      <c r="H9105" t="s">
        <v>30549</v>
      </c>
      <c r="I9105" t="s">
        <v>30550</v>
      </c>
    </row>
    <row r="9106" spans="1:9">
      <c r="A9106" t="str">
        <f>"0031116 "</f>
        <v xml:space="preserve">0031116 </v>
      </c>
      <c r="B9106" t="s">
        <v>28432</v>
      </c>
      <c r="C9106" t="s">
        <v>30551</v>
      </c>
      <c r="D9106" t="s">
        <v>30552</v>
      </c>
      <c r="E9106">
        <v>1</v>
      </c>
      <c r="F9106" t="s">
        <v>29063</v>
      </c>
      <c r="G9106" t="s">
        <v>28435</v>
      </c>
      <c r="H9106" t="s">
        <v>30553</v>
      </c>
      <c r="I9106" t="s">
        <v>30554</v>
      </c>
    </row>
    <row r="9107" spans="1:9">
      <c r="A9107" t="str">
        <f>"0031117 "</f>
        <v xml:space="preserve">0031117 </v>
      </c>
      <c r="B9107" t="s">
        <v>28432</v>
      </c>
      <c r="C9107" t="s">
        <v>30555</v>
      </c>
      <c r="D9107" t="s">
        <v>30556</v>
      </c>
      <c r="E9107" t="s">
        <v>16</v>
      </c>
      <c r="F9107" t="s">
        <v>30247</v>
      </c>
      <c r="G9107" t="s">
        <v>28435</v>
      </c>
      <c r="H9107" t="s">
        <v>30557</v>
      </c>
      <c r="I9107" t="s">
        <v>30558</v>
      </c>
    </row>
    <row r="9108" spans="1:9">
      <c r="A9108" t="str">
        <f>"0031119 "</f>
        <v xml:space="preserve">0031119 </v>
      </c>
      <c r="B9108" t="s">
        <v>28432</v>
      </c>
      <c r="C9108" t="s">
        <v>30559</v>
      </c>
      <c r="D9108" t="s">
        <v>30560</v>
      </c>
      <c r="E9108">
        <v>2</v>
      </c>
      <c r="F9108" t="s">
        <v>20838</v>
      </c>
      <c r="G9108" t="s">
        <v>28435</v>
      </c>
      <c r="H9108" t="s">
        <v>30561</v>
      </c>
      <c r="I9108" t="s">
        <v>30562</v>
      </c>
    </row>
    <row r="9109" spans="1:9">
      <c r="A9109" t="str">
        <f>"0031123 "</f>
        <v xml:space="preserve">0031123 </v>
      </c>
      <c r="B9109" t="s">
        <v>28432</v>
      </c>
      <c r="C9109" t="s">
        <v>30563</v>
      </c>
      <c r="D9109" t="s">
        <v>30564</v>
      </c>
      <c r="E9109">
        <v>1</v>
      </c>
      <c r="F9109" t="s">
        <v>14769</v>
      </c>
      <c r="G9109" t="s">
        <v>28435</v>
      </c>
      <c r="H9109" t="s">
        <v>30565</v>
      </c>
      <c r="I9109" t="s">
        <v>30566</v>
      </c>
    </row>
    <row r="9110" spans="1:9">
      <c r="A9110" t="str">
        <f>"0031125 "</f>
        <v xml:space="preserve">0031125 </v>
      </c>
      <c r="B9110" t="s">
        <v>28432</v>
      </c>
      <c r="C9110" t="s">
        <v>30567</v>
      </c>
      <c r="D9110" t="s">
        <v>30568</v>
      </c>
      <c r="E9110" t="s">
        <v>16</v>
      </c>
      <c r="F9110" t="s">
        <v>28581</v>
      </c>
      <c r="G9110" t="s">
        <v>28435</v>
      </c>
      <c r="H9110" t="s">
        <v>30569</v>
      </c>
      <c r="I9110" t="s">
        <v>30570</v>
      </c>
    </row>
    <row r="9111" spans="1:9">
      <c r="A9111" t="str">
        <f>"0031130 "</f>
        <v xml:space="preserve">0031130 </v>
      </c>
      <c r="B9111" t="s">
        <v>28432</v>
      </c>
      <c r="C9111" t="s">
        <v>30571</v>
      </c>
      <c r="D9111" t="s">
        <v>30572</v>
      </c>
      <c r="E9111">
        <v>1</v>
      </c>
      <c r="F9111" t="s">
        <v>30573</v>
      </c>
      <c r="G9111" t="s">
        <v>28435</v>
      </c>
      <c r="H9111" t="s">
        <v>30574</v>
      </c>
      <c r="I9111" t="s">
        <v>30575</v>
      </c>
    </row>
    <row r="9112" spans="1:9">
      <c r="A9112" t="str">
        <f>"0031833 "</f>
        <v xml:space="preserve">0031833 </v>
      </c>
      <c r="B9112" t="s">
        <v>28432</v>
      </c>
      <c r="C9112" t="s">
        <v>30576</v>
      </c>
      <c r="D9112" t="s">
        <v>30577</v>
      </c>
      <c r="E9112" t="s">
        <v>16</v>
      </c>
      <c r="F9112" t="s">
        <v>30578</v>
      </c>
      <c r="G9112" t="s">
        <v>28435</v>
      </c>
      <c r="H9112" t="s">
        <v>30579</v>
      </c>
      <c r="I9112" t="s">
        <v>30580</v>
      </c>
    </row>
    <row r="9113" spans="1:9">
      <c r="A9113" t="str">
        <f>"0031834 "</f>
        <v xml:space="preserve">0031834 </v>
      </c>
      <c r="B9113" t="s">
        <v>28432</v>
      </c>
      <c r="C9113" t="s">
        <v>30581</v>
      </c>
      <c r="D9113" t="s">
        <v>30582</v>
      </c>
      <c r="E9113" t="s">
        <v>16</v>
      </c>
      <c r="F9113" t="s">
        <v>30583</v>
      </c>
      <c r="G9113" t="s">
        <v>28435</v>
      </c>
      <c r="H9113" t="s">
        <v>30584</v>
      </c>
      <c r="I9113" t="s">
        <v>30585</v>
      </c>
    </row>
    <row r="9114" spans="1:9">
      <c r="A9114" t="str">
        <f>"0031835 "</f>
        <v xml:space="preserve">0031835 </v>
      </c>
      <c r="B9114" t="s">
        <v>28432</v>
      </c>
      <c r="C9114" t="s">
        <v>30586</v>
      </c>
      <c r="D9114" t="s">
        <v>30587</v>
      </c>
      <c r="E9114" t="s">
        <v>16</v>
      </c>
      <c r="F9114" t="s">
        <v>28506</v>
      </c>
      <c r="G9114" t="s">
        <v>28435</v>
      </c>
      <c r="H9114" t="s">
        <v>30588</v>
      </c>
      <c r="I9114" t="s">
        <v>30589</v>
      </c>
    </row>
    <row r="9115" spans="1:9">
      <c r="A9115" t="str">
        <f>"0031836 "</f>
        <v xml:space="preserve">0031836 </v>
      </c>
      <c r="B9115" t="s">
        <v>28432</v>
      </c>
      <c r="C9115" t="s">
        <v>30590</v>
      </c>
      <c r="D9115" t="s">
        <v>30591</v>
      </c>
      <c r="E9115" t="s">
        <v>16</v>
      </c>
      <c r="F9115" t="s">
        <v>30592</v>
      </c>
      <c r="G9115" t="s">
        <v>28435</v>
      </c>
      <c r="H9115" t="s">
        <v>30593</v>
      </c>
      <c r="I9115" t="s">
        <v>30594</v>
      </c>
    </row>
    <row r="9116" spans="1:9">
      <c r="A9116" t="str">
        <f>"0031134 "</f>
        <v xml:space="preserve">0031134 </v>
      </c>
      <c r="B9116" t="s">
        <v>28432</v>
      </c>
      <c r="C9116" t="s">
        <v>30595</v>
      </c>
      <c r="D9116" t="s">
        <v>30596</v>
      </c>
      <c r="E9116" t="s">
        <v>16</v>
      </c>
      <c r="F9116" t="s">
        <v>30597</v>
      </c>
      <c r="G9116" t="s">
        <v>28435</v>
      </c>
      <c r="H9116" t="s">
        <v>30598</v>
      </c>
      <c r="I9116" t="s">
        <v>12400</v>
      </c>
    </row>
    <row r="9117" spans="1:9">
      <c r="A9117" t="str">
        <f>"0031137 "</f>
        <v xml:space="preserve">0031137 </v>
      </c>
      <c r="B9117" t="s">
        <v>28432</v>
      </c>
      <c r="C9117" t="s">
        <v>30599</v>
      </c>
      <c r="D9117" t="s">
        <v>30600</v>
      </c>
      <c r="E9117">
        <v>4</v>
      </c>
      <c r="F9117" t="s">
        <v>30601</v>
      </c>
      <c r="G9117" t="s">
        <v>28435</v>
      </c>
      <c r="H9117" t="s">
        <v>30602</v>
      </c>
      <c r="I9117" t="s">
        <v>12407</v>
      </c>
    </row>
    <row r="9118" spans="1:9">
      <c r="A9118" t="str">
        <f>"0031138 "</f>
        <v xml:space="preserve">0031138 </v>
      </c>
      <c r="B9118" t="s">
        <v>28432</v>
      </c>
      <c r="C9118" t="s">
        <v>30603</v>
      </c>
      <c r="D9118" t="s">
        <v>30604</v>
      </c>
      <c r="E9118">
        <v>1</v>
      </c>
      <c r="F9118" t="s">
        <v>30605</v>
      </c>
      <c r="G9118" t="s">
        <v>28435</v>
      </c>
      <c r="H9118" t="s">
        <v>30606</v>
      </c>
      <c r="I9118" t="s">
        <v>30607</v>
      </c>
    </row>
    <row r="9119" spans="1:9">
      <c r="A9119" t="str">
        <f>"0031140 "</f>
        <v xml:space="preserve">0031140 </v>
      </c>
      <c r="B9119" t="s">
        <v>28432</v>
      </c>
      <c r="C9119" t="s">
        <v>30608</v>
      </c>
      <c r="D9119" t="s">
        <v>30609</v>
      </c>
      <c r="E9119">
        <v>1</v>
      </c>
      <c r="F9119" t="s">
        <v>30610</v>
      </c>
      <c r="G9119" t="s">
        <v>28435</v>
      </c>
      <c r="H9119" t="s">
        <v>30611</v>
      </c>
      <c r="I9119" t="s">
        <v>30612</v>
      </c>
    </row>
    <row r="9120" spans="1:9">
      <c r="A9120" t="str">
        <f>"0031141 "</f>
        <v xml:space="preserve">0031141 </v>
      </c>
      <c r="B9120" t="s">
        <v>28432</v>
      </c>
      <c r="C9120" t="s">
        <v>30613</v>
      </c>
      <c r="D9120" t="s">
        <v>30614</v>
      </c>
      <c r="E9120" t="s">
        <v>16</v>
      </c>
      <c r="F9120" t="s">
        <v>30615</v>
      </c>
      <c r="G9120" t="s">
        <v>28435</v>
      </c>
      <c r="H9120" t="s">
        <v>30616</v>
      </c>
      <c r="I9120" t="s">
        <v>30617</v>
      </c>
    </row>
    <row r="9121" spans="1:9">
      <c r="A9121" t="str">
        <f>"0031142 "</f>
        <v xml:space="preserve">0031142 </v>
      </c>
      <c r="B9121" t="s">
        <v>28432</v>
      </c>
      <c r="C9121" t="s">
        <v>30618</v>
      </c>
      <c r="D9121" t="s">
        <v>30619</v>
      </c>
      <c r="E9121">
        <v>1</v>
      </c>
      <c r="F9121" t="s">
        <v>30620</v>
      </c>
      <c r="G9121" t="s">
        <v>28435</v>
      </c>
      <c r="H9121" t="s">
        <v>30621</v>
      </c>
      <c r="I9121" t="s">
        <v>30622</v>
      </c>
    </row>
    <row r="9122" spans="1:9">
      <c r="A9122" t="str">
        <f>"0031144 "</f>
        <v xml:space="preserve">0031144 </v>
      </c>
      <c r="B9122" t="s">
        <v>28432</v>
      </c>
      <c r="C9122" t="s">
        <v>30623</v>
      </c>
      <c r="D9122" t="s">
        <v>30624</v>
      </c>
      <c r="E9122" t="s">
        <v>16</v>
      </c>
      <c r="F9122" t="s">
        <v>28848</v>
      </c>
      <c r="G9122" t="s">
        <v>28435</v>
      </c>
      <c r="H9122" t="s">
        <v>30625</v>
      </c>
      <c r="I9122" t="s">
        <v>23400</v>
      </c>
    </row>
    <row r="9123" spans="1:9">
      <c r="A9123" t="str">
        <f>"0031145 "</f>
        <v xml:space="preserve">0031145 </v>
      </c>
      <c r="B9123" t="s">
        <v>28432</v>
      </c>
      <c r="C9123" t="s">
        <v>30626</v>
      </c>
      <c r="D9123" t="s">
        <v>30627</v>
      </c>
      <c r="E9123">
        <v>1</v>
      </c>
      <c r="F9123" t="s">
        <v>3569</v>
      </c>
      <c r="G9123" t="s">
        <v>28435</v>
      </c>
      <c r="H9123" t="s">
        <v>30628</v>
      </c>
      <c r="I9123" t="s">
        <v>30629</v>
      </c>
    </row>
    <row r="9124" spans="1:9">
      <c r="A9124" t="str">
        <f>"0031147 "</f>
        <v xml:space="preserve">0031147 </v>
      </c>
      <c r="B9124" t="s">
        <v>28432</v>
      </c>
      <c r="C9124" t="s">
        <v>30630</v>
      </c>
      <c r="D9124" t="s">
        <v>30631</v>
      </c>
      <c r="E9124" t="s">
        <v>16</v>
      </c>
      <c r="F9124" t="s">
        <v>30632</v>
      </c>
      <c r="G9124" t="s">
        <v>28435</v>
      </c>
      <c r="H9124" t="s">
        <v>30633</v>
      </c>
      <c r="I9124" t="s">
        <v>30634</v>
      </c>
    </row>
    <row r="9125" spans="1:9">
      <c r="A9125" t="str">
        <f>"0031148 "</f>
        <v xml:space="preserve">0031148 </v>
      </c>
      <c r="B9125" t="s">
        <v>28432</v>
      </c>
      <c r="C9125" t="s">
        <v>30635</v>
      </c>
      <c r="D9125" t="s">
        <v>30636</v>
      </c>
      <c r="E9125" t="s">
        <v>16</v>
      </c>
      <c r="F9125" t="s">
        <v>30637</v>
      </c>
      <c r="G9125" t="s">
        <v>28435</v>
      </c>
      <c r="H9125" t="s">
        <v>30638</v>
      </c>
      <c r="I9125" t="s">
        <v>23452</v>
      </c>
    </row>
    <row r="9126" spans="1:9">
      <c r="A9126" t="str">
        <f>"0031149 "</f>
        <v xml:space="preserve">0031149 </v>
      </c>
      <c r="B9126" t="s">
        <v>28432</v>
      </c>
      <c r="C9126" t="s">
        <v>30639</v>
      </c>
      <c r="D9126" t="s">
        <v>30640</v>
      </c>
      <c r="E9126" t="s">
        <v>16</v>
      </c>
      <c r="F9126" t="s">
        <v>19338</v>
      </c>
      <c r="G9126" t="s">
        <v>28435</v>
      </c>
      <c r="H9126" t="s">
        <v>30641</v>
      </c>
      <c r="I9126" t="s">
        <v>30642</v>
      </c>
    </row>
    <row r="9127" spans="1:9">
      <c r="A9127" t="str">
        <f>"0031150 "</f>
        <v xml:space="preserve">0031150 </v>
      </c>
      <c r="B9127" t="s">
        <v>28432</v>
      </c>
      <c r="C9127" t="s">
        <v>30643</v>
      </c>
      <c r="D9127" t="s">
        <v>30644</v>
      </c>
      <c r="E9127" t="s">
        <v>16</v>
      </c>
      <c r="F9127" t="s">
        <v>30645</v>
      </c>
      <c r="G9127" t="s">
        <v>28435</v>
      </c>
      <c r="H9127" t="s">
        <v>30646</v>
      </c>
      <c r="I9127" t="s">
        <v>30647</v>
      </c>
    </row>
    <row r="9128" spans="1:9">
      <c r="A9128" t="str">
        <f>"0031153 "</f>
        <v xml:space="preserve">0031153 </v>
      </c>
      <c r="B9128" t="s">
        <v>28432</v>
      </c>
      <c r="C9128" t="s">
        <v>30648</v>
      </c>
      <c r="D9128" t="s">
        <v>30649</v>
      </c>
      <c r="E9128">
        <v>3</v>
      </c>
      <c r="F9128" t="s">
        <v>12237</v>
      </c>
      <c r="G9128" t="s">
        <v>28435</v>
      </c>
      <c r="H9128" t="s">
        <v>30650</v>
      </c>
      <c r="I9128" t="s">
        <v>30651</v>
      </c>
    </row>
    <row r="9129" spans="1:9">
      <c r="A9129" t="str">
        <f>"0031154 "</f>
        <v xml:space="preserve">0031154 </v>
      </c>
      <c r="B9129" t="s">
        <v>28432</v>
      </c>
      <c r="C9129" t="s">
        <v>30652</v>
      </c>
      <c r="D9129" t="s">
        <v>30653</v>
      </c>
      <c r="E9129">
        <v>5</v>
      </c>
      <c r="F9129" t="s">
        <v>29101</v>
      </c>
      <c r="G9129" t="s">
        <v>28435</v>
      </c>
      <c r="H9129" t="s">
        <v>30654</v>
      </c>
      <c r="I9129" t="s">
        <v>30655</v>
      </c>
    </row>
    <row r="9130" spans="1:9">
      <c r="A9130" t="str">
        <f>"0038194 "</f>
        <v xml:space="preserve">0038194 </v>
      </c>
      <c r="B9130" t="s">
        <v>28432</v>
      </c>
      <c r="C9130" t="s">
        <v>30656</v>
      </c>
      <c r="D9130" t="s">
        <v>30657</v>
      </c>
      <c r="E9130">
        <v>5</v>
      </c>
      <c r="F9130" t="s">
        <v>28459</v>
      </c>
      <c r="G9130" t="s">
        <v>28435</v>
      </c>
      <c r="H9130" t="s">
        <v>30658</v>
      </c>
      <c r="I9130" t="s">
        <v>30659</v>
      </c>
    </row>
    <row r="9131" spans="1:9">
      <c r="A9131" t="str">
        <f>"0031155 "</f>
        <v xml:space="preserve">0031155 </v>
      </c>
      <c r="B9131" t="s">
        <v>28432</v>
      </c>
      <c r="C9131" t="s">
        <v>30660</v>
      </c>
      <c r="D9131" t="s">
        <v>30661</v>
      </c>
      <c r="E9131" t="s">
        <v>16</v>
      </c>
      <c r="F9131" t="s">
        <v>30662</v>
      </c>
      <c r="G9131" t="s">
        <v>28435</v>
      </c>
      <c r="H9131" t="s">
        <v>30663</v>
      </c>
      <c r="I9131" t="s">
        <v>23452</v>
      </c>
    </row>
    <row r="9132" spans="1:9">
      <c r="A9132" t="str">
        <f>"0031159 "</f>
        <v xml:space="preserve">0031159 </v>
      </c>
      <c r="B9132" t="s">
        <v>28432</v>
      </c>
      <c r="C9132" t="s">
        <v>30664</v>
      </c>
      <c r="D9132" t="s">
        <v>30665</v>
      </c>
      <c r="E9132">
        <v>2</v>
      </c>
      <c r="F9132" t="s">
        <v>30666</v>
      </c>
      <c r="G9132" t="s">
        <v>28435</v>
      </c>
      <c r="H9132" t="s">
        <v>30667</v>
      </c>
      <c r="I9132" t="s">
        <v>30668</v>
      </c>
    </row>
    <row r="9133" spans="1:9">
      <c r="A9133" t="str">
        <f>"0031160 "</f>
        <v xml:space="preserve">0031160 </v>
      </c>
      <c r="B9133" t="s">
        <v>28432</v>
      </c>
      <c r="C9133" t="s">
        <v>30669</v>
      </c>
      <c r="D9133" t="s">
        <v>30670</v>
      </c>
      <c r="E9133">
        <v>5</v>
      </c>
      <c r="F9133" t="s">
        <v>28739</v>
      </c>
      <c r="G9133" t="s">
        <v>28435</v>
      </c>
      <c r="H9133" t="s">
        <v>30671</v>
      </c>
      <c r="I9133" t="s">
        <v>30672</v>
      </c>
    </row>
    <row r="9134" spans="1:9">
      <c r="A9134" t="str">
        <f>"0031161 "</f>
        <v xml:space="preserve">0031161 </v>
      </c>
      <c r="B9134" t="s">
        <v>28432</v>
      </c>
      <c r="C9134" t="s">
        <v>30673</v>
      </c>
      <c r="D9134" t="s">
        <v>30674</v>
      </c>
      <c r="E9134" t="s">
        <v>16</v>
      </c>
      <c r="F9134" t="s">
        <v>30675</v>
      </c>
      <c r="G9134" t="s">
        <v>28435</v>
      </c>
      <c r="H9134" t="s">
        <v>30676</v>
      </c>
      <c r="I9134" t="s">
        <v>30677</v>
      </c>
    </row>
    <row r="9135" spans="1:9">
      <c r="A9135" t="str">
        <f>"0031162 "</f>
        <v xml:space="preserve">0031162 </v>
      </c>
      <c r="B9135" t="s">
        <v>28432</v>
      </c>
      <c r="C9135" t="s">
        <v>30678</v>
      </c>
      <c r="D9135" t="s">
        <v>30679</v>
      </c>
      <c r="E9135" t="s">
        <v>16</v>
      </c>
      <c r="F9135" t="s">
        <v>30680</v>
      </c>
      <c r="G9135" t="s">
        <v>28435</v>
      </c>
      <c r="H9135" t="s">
        <v>30681</v>
      </c>
      <c r="I9135" t="s">
        <v>30682</v>
      </c>
    </row>
    <row r="9136" spans="1:9">
      <c r="A9136" t="str">
        <f>"0031163 "</f>
        <v xml:space="preserve">0031163 </v>
      </c>
      <c r="B9136" t="s">
        <v>28432</v>
      </c>
      <c r="C9136" t="s">
        <v>30683</v>
      </c>
      <c r="D9136" t="s">
        <v>30684</v>
      </c>
      <c r="E9136">
        <v>2</v>
      </c>
      <c r="F9136" t="s">
        <v>28521</v>
      </c>
      <c r="G9136" t="s">
        <v>28435</v>
      </c>
      <c r="H9136" t="s">
        <v>30685</v>
      </c>
      <c r="I9136" t="s">
        <v>30686</v>
      </c>
    </row>
    <row r="9137" spans="1:9">
      <c r="A9137" t="str">
        <f>"0031164 "</f>
        <v xml:space="preserve">0031164 </v>
      </c>
      <c r="B9137" t="s">
        <v>28432</v>
      </c>
      <c r="C9137" t="s">
        <v>30687</v>
      </c>
      <c r="D9137" t="s">
        <v>30688</v>
      </c>
      <c r="E9137">
        <v>2</v>
      </c>
      <c r="F9137" t="s">
        <v>30573</v>
      </c>
      <c r="G9137" t="s">
        <v>28435</v>
      </c>
      <c r="H9137" t="s">
        <v>30689</v>
      </c>
      <c r="I9137" t="s">
        <v>23396</v>
      </c>
    </row>
    <row r="9138" spans="1:9">
      <c r="A9138" t="str">
        <f>"0031165 "</f>
        <v xml:space="preserve">0031165 </v>
      </c>
      <c r="B9138" t="s">
        <v>28432</v>
      </c>
      <c r="C9138" t="s">
        <v>30690</v>
      </c>
      <c r="D9138" t="s">
        <v>30691</v>
      </c>
      <c r="E9138">
        <v>2</v>
      </c>
      <c r="F9138" t="s">
        <v>28757</v>
      </c>
      <c r="G9138" t="s">
        <v>28435</v>
      </c>
      <c r="H9138" t="s">
        <v>30692</v>
      </c>
      <c r="I9138" t="s">
        <v>30693</v>
      </c>
    </row>
    <row r="9139" spans="1:9">
      <c r="A9139" t="str">
        <f>"0031166 "</f>
        <v xml:space="preserve">0031166 </v>
      </c>
      <c r="B9139" t="s">
        <v>28432</v>
      </c>
      <c r="C9139" t="s">
        <v>30694</v>
      </c>
      <c r="D9139" t="s">
        <v>30695</v>
      </c>
      <c r="E9139" t="s">
        <v>16</v>
      </c>
      <c r="F9139" t="s">
        <v>29767</v>
      </c>
      <c r="G9139" t="s">
        <v>28435</v>
      </c>
      <c r="H9139" t="s">
        <v>30696</v>
      </c>
      <c r="I9139" t="s">
        <v>30697</v>
      </c>
    </row>
    <row r="9140" spans="1:9">
      <c r="A9140" t="str">
        <f>"0031167 "</f>
        <v xml:space="preserve">0031167 </v>
      </c>
      <c r="B9140" t="s">
        <v>28432</v>
      </c>
      <c r="C9140" t="s">
        <v>30698</v>
      </c>
      <c r="D9140" t="s">
        <v>30699</v>
      </c>
      <c r="E9140">
        <v>4</v>
      </c>
      <c r="F9140" t="s">
        <v>28829</v>
      </c>
      <c r="G9140" t="s">
        <v>28435</v>
      </c>
      <c r="H9140" t="s">
        <v>30700</v>
      </c>
      <c r="I9140" t="s">
        <v>30701</v>
      </c>
    </row>
    <row r="9141" spans="1:9">
      <c r="A9141" t="str">
        <f>"0031168 "</f>
        <v xml:space="preserve">0031168 </v>
      </c>
      <c r="B9141" t="s">
        <v>28432</v>
      </c>
      <c r="C9141" t="s">
        <v>30702</v>
      </c>
      <c r="D9141" t="s">
        <v>30703</v>
      </c>
      <c r="E9141" t="s">
        <v>16</v>
      </c>
      <c r="F9141" t="s">
        <v>30704</v>
      </c>
      <c r="G9141" t="s">
        <v>28435</v>
      </c>
      <c r="H9141" t="s">
        <v>30705</v>
      </c>
      <c r="I9141" t="s">
        <v>30706</v>
      </c>
    </row>
    <row r="9142" spans="1:9">
      <c r="A9142" t="str">
        <f>"0031169 "</f>
        <v xml:space="preserve">0031169 </v>
      </c>
      <c r="B9142" t="s">
        <v>28432</v>
      </c>
      <c r="C9142" t="s">
        <v>30707</v>
      </c>
      <c r="D9142" t="s">
        <v>30708</v>
      </c>
      <c r="E9142">
        <v>2</v>
      </c>
      <c r="F9142" t="s">
        <v>30709</v>
      </c>
      <c r="G9142" t="s">
        <v>28435</v>
      </c>
      <c r="H9142" t="s">
        <v>30710</v>
      </c>
      <c r="I9142" t="s">
        <v>30711</v>
      </c>
    </row>
    <row r="9143" spans="1:9">
      <c r="A9143" t="str">
        <f>"0031170 "</f>
        <v xml:space="preserve">0031170 </v>
      </c>
      <c r="B9143" t="s">
        <v>28432</v>
      </c>
      <c r="C9143" t="s">
        <v>30712</v>
      </c>
      <c r="D9143" t="s">
        <v>30713</v>
      </c>
      <c r="E9143">
        <v>1</v>
      </c>
      <c r="F9143" t="s">
        <v>19342</v>
      </c>
      <c r="G9143" t="s">
        <v>28435</v>
      </c>
      <c r="H9143" t="s">
        <v>30714</v>
      </c>
      <c r="I9143" t="s">
        <v>30715</v>
      </c>
    </row>
    <row r="9144" spans="1:9">
      <c r="A9144" t="str">
        <f>"0031171 "</f>
        <v xml:space="preserve">0031171 </v>
      </c>
      <c r="B9144" t="s">
        <v>28432</v>
      </c>
      <c r="C9144" t="s">
        <v>30716</v>
      </c>
      <c r="D9144" t="s">
        <v>30717</v>
      </c>
      <c r="E9144">
        <v>4</v>
      </c>
      <c r="F9144" t="s">
        <v>30718</v>
      </c>
      <c r="G9144" t="s">
        <v>28435</v>
      </c>
      <c r="H9144" t="s">
        <v>30719</v>
      </c>
      <c r="I9144" t="s">
        <v>30720</v>
      </c>
    </row>
    <row r="9145" spans="1:9">
      <c r="A9145" t="str">
        <f>"0031172 "</f>
        <v xml:space="preserve">0031172 </v>
      </c>
      <c r="B9145" t="s">
        <v>28432</v>
      </c>
      <c r="C9145" t="s">
        <v>30721</v>
      </c>
      <c r="D9145" t="s">
        <v>30722</v>
      </c>
      <c r="E9145" t="s">
        <v>16</v>
      </c>
      <c r="F9145" t="s">
        <v>30723</v>
      </c>
      <c r="G9145" t="s">
        <v>28435</v>
      </c>
      <c r="H9145" t="s">
        <v>30724</v>
      </c>
      <c r="I9145" t="s">
        <v>30725</v>
      </c>
    </row>
    <row r="9146" spans="1:9">
      <c r="A9146" t="str">
        <f>"0031173 "</f>
        <v xml:space="preserve">0031173 </v>
      </c>
      <c r="B9146" t="s">
        <v>28432</v>
      </c>
      <c r="C9146" t="s">
        <v>30726</v>
      </c>
      <c r="D9146" t="s">
        <v>30727</v>
      </c>
      <c r="E9146">
        <v>5</v>
      </c>
      <c r="F9146" t="s">
        <v>30728</v>
      </c>
      <c r="G9146" t="s">
        <v>28435</v>
      </c>
      <c r="H9146" t="s">
        <v>30729</v>
      </c>
      <c r="I9146" t="s">
        <v>30730</v>
      </c>
    </row>
    <row r="9147" spans="1:9">
      <c r="A9147" t="str">
        <f>"0031174 "</f>
        <v xml:space="preserve">0031174 </v>
      </c>
      <c r="B9147" t="s">
        <v>28432</v>
      </c>
      <c r="C9147" t="s">
        <v>30731</v>
      </c>
      <c r="D9147" t="s">
        <v>30732</v>
      </c>
      <c r="E9147" t="s">
        <v>16</v>
      </c>
      <c r="F9147" t="s">
        <v>30733</v>
      </c>
      <c r="G9147" t="s">
        <v>28435</v>
      </c>
      <c r="H9147" t="s">
        <v>30734</v>
      </c>
      <c r="I9147" t="s">
        <v>30735</v>
      </c>
    </row>
    <row r="9148" spans="1:9">
      <c r="A9148" t="str">
        <f>"0031175 "</f>
        <v xml:space="preserve">0031175 </v>
      </c>
      <c r="B9148" t="s">
        <v>28432</v>
      </c>
      <c r="C9148" t="s">
        <v>30736</v>
      </c>
      <c r="D9148" t="s">
        <v>30737</v>
      </c>
      <c r="E9148" t="s">
        <v>16</v>
      </c>
      <c r="F9148" t="s">
        <v>30185</v>
      </c>
      <c r="G9148" t="s">
        <v>28435</v>
      </c>
      <c r="H9148" t="s">
        <v>30738</v>
      </c>
      <c r="I9148" t="s">
        <v>30739</v>
      </c>
    </row>
    <row r="9149" spans="1:9">
      <c r="A9149" t="str">
        <f>"0031176 "</f>
        <v xml:space="preserve">0031176 </v>
      </c>
      <c r="B9149" t="s">
        <v>28432</v>
      </c>
      <c r="C9149" t="s">
        <v>30740</v>
      </c>
      <c r="D9149" t="s">
        <v>30741</v>
      </c>
      <c r="E9149">
        <v>2</v>
      </c>
      <c r="F9149" t="s">
        <v>28657</v>
      </c>
      <c r="G9149" t="s">
        <v>28435</v>
      </c>
      <c r="H9149" t="s">
        <v>30742</v>
      </c>
      <c r="I9149" t="s">
        <v>1591</v>
      </c>
    </row>
    <row r="9150" spans="1:9">
      <c r="A9150" t="str">
        <f>"0031177 "</f>
        <v xml:space="preserve">0031177 </v>
      </c>
      <c r="B9150" t="s">
        <v>28432</v>
      </c>
      <c r="C9150" t="s">
        <v>30743</v>
      </c>
      <c r="D9150" t="s">
        <v>30744</v>
      </c>
      <c r="E9150">
        <v>5</v>
      </c>
      <c r="F9150" t="s">
        <v>30718</v>
      </c>
      <c r="G9150" t="s">
        <v>28435</v>
      </c>
      <c r="H9150" t="s">
        <v>30745</v>
      </c>
      <c r="I9150" t="s">
        <v>30746</v>
      </c>
    </row>
    <row r="9151" spans="1:9">
      <c r="A9151" t="str">
        <f>"0031178 "</f>
        <v xml:space="preserve">0031178 </v>
      </c>
      <c r="B9151" t="s">
        <v>28432</v>
      </c>
      <c r="C9151" t="s">
        <v>30747</v>
      </c>
      <c r="D9151" t="s">
        <v>30748</v>
      </c>
      <c r="E9151" t="s">
        <v>16</v>
      </c>
      <c r="F9151" t="s">
        <v>30749</v>
      </c>
      <c r="G9151" t="s">
        <v>28435</v>
      </c>
      <c r="H9151" t="s">
        <v>30750</v>
      </c>
      <c r="I9151" t="s">
        <v>30751</v>
      </c>
    </row>
    <row r="9152" spans="1:9">
      <c r="A9152" t="str">
        <f>"0031179 "</f>
        <v xml:space="preserve">0031179 </v>
      </c>
      <c r="B9152" t="s">
        <v>28432</v>
      </c>
      <c r="C9152" t="s">
        <v>30752</v>
      </c>
      <c r="D9152" t="s">
        <v>30753</v>
      </c>
      <c r="E9152">
        <v>4</v>
      </c>
      <c r="F9152" t="s">
        <v>30733</v>
      </c>
      <c r="G9152" t="s">
        <v>28435</v>
      </c>
      <c r="H9152" t="s">
        <v>30754</v>
      </c>
      <c r="I9152" t="s">
        <v>1554</v>
      </c>
    </row>
    <row r="9153" spans="1:9">
      <c r="A9153" t="str">
        <f>"0031180 "</f>
        <v xml:space="preserve">0031180 </v>
      </c>
      <c r="B9153" t="s">
        <v>28432</v>
      </c>
      <c r="C9153" t="s">
        <v>30755</v>
      </c>
      <c r="D9153" t="s">
        <v>30756</v>
      </c>
      <c r="E9153">
        <v>1</v>
      </c>
      <c r="F9153" t="s">
        <v>30704</v>
      </c>
      <c r="G9153" t="s">
        <v>28435</v>
      </c>
      <c r="H9153" t="s">
        <v>30757</v>
      </c>
      <c r="I9153" t="s">
        <v>30758</v>
      </c>
    </row>
    <row r="9154" spans="1:9">
      <c r="A9154" t="str">
        <f>"0031184 "</f>
        <v xml:space="preserve">0031184 </v>
      </c>
      <c r="B9154" t="s">
        <v>28432</v>
      </c>
      <c r="C9154" t="s">
        <v>30759</v>
      </c>
      <c r="D9154" t="s">
        <v>30760</v>
      </c>
      <c r="E9154">
        <v>1</v>
      </c>
      <c r="F9154" t="s">
        <v>30761</v>
      </c>
      <c r="G9154" t="s">
        <v>28435</v>
      </c>
      <c r="H9154" t="s">
        <v>30762</v>
      </c>
      <c r="I9154" t="s">
        <v>30763</v>
      </c>
    </row>
    <row r="9155" spans="1:9">
      <c r="A9155" t="str">
        <f>"0031185 "</f>
        <v xml:space="preserve">0031185 </v>
      </c>
      <c r="B9155" t="s">
        <v>28432</v>
      </c>
      <c r="C9155" t="s">
        <v>30764</v>
      </c>
      <c r="D9155" t="s">
        <v>30765</v>
      </c>
      <c r="E9155" t="s">
        <v>16</v>
      </c>
      <c r="F9155" t="s">
        <v>30766</v>
      </c>
      <c r="G9155" t="s">
        <v>28435</v>
      </c>
      <c r="H9155" t="s">
        <v>30767</v>
      </c>
      <c r="I9155" t="s">
        <v>30768</v>
      </c>
    </row>
    <row r="9156" spans="1:9">
      <c r="A9156" t="str">
        <f>"0031186 "</f>
        <v xml:space="preserve">0031186 </v>
      </c>
      <c r="B9156" t="s">
        <v>28432</v>
      </c>
      <c r="C9156" t="s">
        <v>30769</v>
      </c>
      <c r="D9156" t="s">
        <v>30770</v>
      </c>
      <c r="E9156" t="s">
        <v>16</v>
      </c>
      <c r="F9156" t="s">
        <v>30771</v>
      </c>
      <c r="G9156" t="s">
        <v>28435</v>
      </c>
      <c r="H9156" t="s">
        <v>30772</v>
      </c>
      <c r="I9156" t="s">
        <v>30773</v>
      </c>
    </row>
    <row r="9157" spans="1:9">
      <c r="A9157" t="str">
        <f>"0031189 "</f>
        <v xml:space="preserve">0031189 </v>
      </c>
      <c r="B9157" t="s">
        <v>28432</v>
      </c>
      <c r="C9157" t="s">
        <v>30774</v>
      </c>
      <c r="D9157" t="s">
        <v>30775</v>
      </c>
      <c r="E9157">
        <v>1</v>
      </c>
      <c r="F9157" t="s">
        <v>6174</v>
      </c>
      <c r="G9157" t="s">
        <v>28435</v>
      </c>
      <c r="H9157" t="s">
        <v>30776</v>
      </c>
      <c r="I9157" t="s">
        <v>30777</v>
      </c>
    </row>
    <row r="9158" spans="1:9">
      <c r="A9158" t="str">
        <f>"0031193 "</f>
        <v xml:space="preserve">0031193 </v>
      </c>
      <c r="B9158" t="s">
        <v>28432</v>
      </c>
      <c r="C9158" t="s">
        <v>30778</v>
      </c>
      <c r="D9158" t="s">
        <v>30779</v>
      </c>
      <c r="E9158">
        <v>1</v>
      </c>
      <c r="F9158" t="s">
        <v>1886</v>
      </c>
      <c r="G9158" t="s">
        <v>28435</v>
      </c>
      <c r="H9158" t="s">
        <v>30780</v>
      </c>
      <c r="I9158" t="s">
        <v>30781</v>
      </c>
    </row>
    <row r="9159" spans="1:9">
      <c r="A9159" t="str">
        <f>"0031194 "</f>
        <v xml:space="preserve">0031194 </v>
      </c>
      <c r="B9159" t="s">
        <v>28432</v>
      </c>
      <c r="C9159" t="s">
        <v>30782</v>
      </c>
      <c r="D9159" t="s">
        <v>30783</v>
      </c>
      <c r="E9159" t="s">
        <v>16</v>
      </c>
      <c r="F9159" t="s">
        <v>30784</v>
      </c>
      <c r="G9159" t="s">
        <v>28435</v>
      </c>
      <c r="H9159" t="s">
        <v>30785</v>
      </c>
      <c r="I9159" t="s">
        <v>30786</v>
      </c>
    </row>
    <row r="9160" spans="1:9">
      <c r="A9160" t="str">
        <f>"0031195 "</f>
        <v xml:space="preserve">0031195 </v>
      </c>
      <c r="B9160" t="s">
        <v>28432</v>
      </c>
      <c r="C9160" t="s">
        <v>30787</v>
      </c>
      <c r="D9160" t="s">
        <v>30788</v>
      </c>
      <c r="E9160">
        <v>3</v>
      </c>
      <c r="F9160" t="s">
        <v>28728</v>
      </c>
      <c r="G9160" t="s">
        <v>28435</v>
      </c>
      <c r="H9160" t="s">
        <v>30789</v>
      </c>
      <c r="I9160" t="s">
        <v>30790</v>
      </c>
    </row>
    <row r="9161" spans="1:9">
      <c r="A9161" t="str">
        <f>"0031197 "</f>
        <v xml:space="preserve">0031197 </v>
      </c>
      <c r="B9161" t="s">
        <v>28432</v>
      </c>
      <c r="C9161" t="s">
        <v>30791</v>
      </c>
      <c r="D9161" t="s">
        <v>30792</v>
      </c>
      <c r="E9161">
        <v>3</v>
      </c>
      <c r="F9161" t="s">
        <v>28697</v>
      </c>
      <c r="G9161" t="s">
        <v>28435</v>
      </c>
      <c r="H9161" t="s">
        <v>30793</v>
      </c>
      <c r="I9161" t="s">
        <v>1599</v>
      </c>
    </row>
    <row r="9162" spans="1:9">
      <c r="A9162" t="str">
        <f>"0031200 "</f>
        <v xml:space="preserve">0031200 </v>
      </c>
      <c r="B9162" t="s">
        <v>28432</v>
      </c>
      <c r="C9162" t="s">
        <v>30794</v>
      </c>
      <c r="D9162" t="s">
        <v>30795</v>
      </c>
      <c r="E9162">
        <v>1</v>
      </c>
      <c r="F9162" t="s">
        <v>30637</v>
      </c>
      <c r="G9162" t="s">
        <v>28435</v>
      </c>
      <c r="H9162" t="s">
        <v>30796</v>
      </c>
      <c r="I9162" t="s">
        <v>30797</v>
      </c>
    </row>
    <row r="9163" spans="1:9">
      <c r="A9163" t="str">
        <f>"0031201 "</f>
        <v xml:space="preserve">0031201 </v>
      </c>
      <c r="B9163" t="s">
        <v>28432</v>
      </c>
      <c r="C9163" t="s">
        <v>30798</v>
      </c>
      <c r="D9163" t="s">
        <v>30799</v>
      </c>
      <c r="E9163">
        <v>2</v>
      </c>
      <c r="F9163" t="s">
        <v>28439</v>
      </c>
      <c r="G9163" t="s">
        <v>28435</v>
      </c>
      <c r="H9163" t="s">
        <v>30800</v>
      </c>
      <c r="I9163" t="s">
        <v>30801</v>
      </c>
    </row>
    <row r="9164" spans="1:9">
      <c r="A9164" t="str">
        <f>"0048799 "</f>
        <v xml:space="preserve">0048799 </v>
      </c>
      <c r="B9164" t="s">
        <v>28432</v>
      </c>
      <c r="C9164" t="s">
        <v>30802</v>
      </c>
      <c r="D9164" t="s">
        <v>30803</v>
      </c>
      <c r="E9164">
        <v>1</v>
      </c>
      <c r="F9164" t="s">
        <v>30804</v>
      </c>
      <c r="G9164" t="s">
        <v>28435</v>
      </c>
      <c r="H9164" t="s">
        <v>30805</v>
      </c>
      <c r="I9164" t="s">
        <v>30806</v>
      </c>
    </row>
    <row r="9165" spans="1:9">
      <c r="A9165" t="str">
        <f>"0031203 "</f>
        <v xml:space="preserve">0031203 </v>
      </c>
      <c r="B9165" t="s">
        <v>28432</v>
      </c>
      <c r="C9165" t="s">
        <v>30807</v>
      </c>
      <c r="D9165" t="s">
        <v>30808</v>
      </c>
      <c r="E9165" t="s">
        <v>16</v>
      </c>
      <c r="F9165" t="s">
        <v>6459</v>
      </c>
      <c r="G9165" t="s">
        <v>28435</v>
      </c>
      <c r="H9165" t="s">
        <v>30809</v>
      </c>
      <c r="I9165" t="s">
        <v>30810</v>
      </c>
    </row>
    <row r="9166" spans="1:9">
      <c r="A9166" t="str">
        <f>"0031204 "</f>
        <v xml:space="preserve">0031204 </v>
      </c>
      <c r="B9166" t="s">
        <v>28432</v>
      </c>
      <c r="C9166" t="s">
        <v>30811</v>
      </c>
      <c r="D9166" t="s">
        <v>30812</v>
      </c>
      <c r="E9166">
        <v>1</v>
      </c>
      <c r="F9166" t="s">
        <v>29767</v>
      </c>
      <c r="G9166" t="s">
        <v>28435</v>
      </c>
      <c r="H9166" t="s">
        <v>30813</v>
      </c>
      <c r="I9166" t="s">
        <v>23418</v>
      </c>
    </row>
    <row r="9167" spans="1:9">
      <c r="A9167" t="str">
        <f>"0031209 "</f>
        <v xml:space="preserve">0031209 </v>
      </c>
      <c r="B9167" t="s">
        <v>28432</v>
      </c>
      <c r="C9167" t="s">
        <v>30814</v>
      </c>
      <c r="D9167" t="s">
        <v>30815</v>
      </c>
      <c r="E9167">
        <v>3</v>
      </c>
      <c r="F9167" t="s">
        <v>30816</v>
      </c>
      <c r="G9167" t="s">
        <v>28435</v>
      </c>
      <c r="H9167" t="s">
        <v>30817</v>
      </c>
      <c r="I9167" t="s">
        <v>30818</v>
      </c>
    </row>
    <row r="9168" spans="1:9">
      <c r="A9168" t="str">
        <f>"0031210 "</f>
        <v xml:space="preserve">0031210 </v>
      </c>
      <c r="B9168" t="s">
        <v>28432</v>
      </c>
      <c r="C9168" t="s">
        <v>30819</v>
      </c>
      <c r="D9168" t="s">
        <v>30820</v>
      </c>
      <c r="E9168">
        <v>2</v>
      </c>
      <c r="F9168" t="s">
        <v>29942</v>
      </c>
      <c r="G9168" t="s">
        <v>28435</v>
      </c>
      <c r="H9168" t="s">
        <v>30821</v>
      </c>
      <c r="I9168" t="s">
        <v>30822</v>
      </c>
    </row>
    <row r="9169" spans="1:9">
      <c r="A9169" t="str">
        <f>"0048800 "</f>
        <v xml:space="preserve">0048800 </v>
      </c>
      <c r="B9169" t="s">
        <v>28432</v>
      </c>
      <c r="C9169" t="s">
        <v>30823</v>
      </c>
      <c r="D9169" t="s">
        <v>30824</v>
      </c>
      <c r="E9169" t="s">
        <v>16</v>
      </c>
      <c r="F9169" t="s">
        <v>29942</v>
      </c>
      <c r="G9169" t="s">
        <v>28435</v>
      </c>
      <c r="H9169" t="s">
        <v>30825</v>
      </c>
      <c r="I9169" t="s">
        <v>30826</v>
      </c>
    </row>
    <row r="9170" spans="1:9">
      <c r="A9170" t="str">
        <f>"0031211 "</f>
        <v xml:space="preserve">0031211 </v>
      </c>
      <c r="B9170" t="s">
        <v>28432</v>
      </c>
      <c r="C9170" t="s">
        <v>30827</v>
      </c>
      <c r="D9170" t="s">
        <v>30828</v>
      </c>
      <c r="E9170" t="s">
        <v>16</v>
      </c>
      <c r="F9170" t="s">
        <v>30829</v>
      </c>
      <c r="G9170" t="s">
        <v>28435</v>
      </c>
      <c r="H9170" t="s">
        <v>30830</v>
      </c>
      <c r="I9170" t="s">
        <v>30831</v>
      </c>
    </row>
    <row r="9171" spans="1:9">
      <c r="A9171" t="str">
        <f>"0031212 "</f>
        <v xml:space="preserve">0031212 </v>
      </c>
      <c r="B9171" t="s">
        <v>28432</v>
      </c>
      <c r="C9171" t="s">
        <v>30832</v>
      </c>
      <c r="D9171" t="s">
        <v>30833</v>
      </c>
      <c r="E9171">
        <v>3</v>
      </c>
      <c r="F9171" t="s">
        <v>30834</v>
      </c>
      <c r="G9171" t="s">
        <v>28435</v>
      </c>
      <c r="H9171" t="s">
        <v>30835</v>
      </c>
      <c r="I9171" t="s">
        <v>30836</v>
      </c>
    </row>
    <row r="9172" spans="1:9">
      <c r="A9172" t="str">
        <f>"0031213 "</f>
        <v xml:space="preserve">0031213 </v>
      </c>
      <c r="B9172" t="s">
        <v>28432</v>
      </c>
      <c r="C9172" t="s">
        <v>30837</v>
      </c>
      <c r="D9172" t="s">
        <v>30838</v>
      </c>
      <c r="E9172" t="s">
        <v>16</v>
      </c>
      <c r="F9172" t="s">
        <v>30839</v>
      </c>
      <c r="G9172" t="s">
        <v>28435</v>
      </c>
      <c r="H9172" t="s">
        <v>30840</v>
      </c>
      <c r="I9172" t="s">
        <v>30831</v>
      </c>
    </row>
    <row r="9173" spans="1:9">
      <c r="A9173" t="str">
        <f>"0031214 "</f>
        <v xml:space="preserve">0031214 </v>
      </c>
      <c r="B9173" t="s">
        <v>28432</v>
      </c>
      <c r="C9173" t="s">
        <v>30841</v>
      </c>
      <c r="D9173" t="s">
        <v>30842</v>
      </c>
      <c r="E9173">
        <v>1</v>
      </c>
      <c r="F9173" t="s">
        <v>30843</v>
      </c>
      <c r="G9173" t="s">
        <v>28435</v>
      </c>
      <c r="H9173" t="s">
        <v>30844</v>
      </c>
      <c r="I9173" t="s">
        <v>30845</v>
      </c>
    </row>
    <row r="9174" spans="1:9">
      <c r="A9174" t="str">
        <f>"0031215 "</f>
        <v xml:space="preserve">0031215 </v>
      </c>
      <c r="B9174" t="s">
        <v>28432</v>
      </c>
      <c r="C9174" t="s">
        <v>30846</v>
      </c>
      <c r="D9174" t="s">
        <v>30847</v>
      </c>
      <c r="E9174" t="s">
        <v>16</v>
      </c>
      <c r="F9174" t="s">
        <v>30848</v>
      </c>
      <c r="G9174" t="s">
        <v>28435</v>
      </c>
      <c r="H9174" t="s">
        <v>30849</v>
      </c>
      <c r="I9174" t="s">
        <v>30850</v>
      </c>
    </row>
    <row r="9175" spans="1:9">
      <c r="A9175" t="str">
        <f>"0031216 "</f>
        <v xml:space="preserve">0031216 </v>
      </c>
      <c r="B9175" t="s">
        <v>28432</v>
      </c>
      <c r="C9175" t="s">
        <v>30851</v>
      </c>
      <c r="D9175" t="s">
        <v>30852</v>
      </c>
      <c r="E9175" t="s">
        <v>16</v>
      </c>
      <c r="F9175" t="s">
        <v>28998</v>
      </c>
      <c r="G9175" t="s">
        <v>28435</v>
      </c>
      <c r="H9175" t="s">
        <v>30853</v>
      </c>
      <c r="I9175" t="s">
        <v>30854</v>
      </c>
    </row>
    <row r="9176" spans="1:9">
      <c r="A9176" t="str">
        <f>"0031218 "</f>
        <v xml:space="preserve">0031218 </v>
      </c>
      <c r="B9176" t="s">
        <v>28432</v>
      </c>
      <c r="C9176" t="s">
        <v>30855</v>
      </c>
      <c r="D9176" t="s">
        <v>30856</v>
      </c>
      <c r="E9176" t="s">
        <v>16</v>
      </c>
      <c r="F9176" t="s">
        <v>30857</v>
      </c>
      <c r="G9176" t="s">
        <v>28435</v>
      </c>
      <c r="H9176" t="s">
        <v>30858</v>
      </c>
      <c r="I9176" t="s">
        <v>30859</v>
      </c>
    </row>
    <row r="9177" spans="1:9">
      <c r="A9177" t="str">
        <f>"0031220 "</f>
        <v xml:space="preserve">0031220 </v>
      </c>
      <c r="B9177" t="s">
        <v>28432</v>
      </c>
      <c r="C9177" t="s">
        <v>30860</v>
      </c>
      <c r="D9177" t="s">
        <v>30861</v>
      </c>
      <c r="E9177" t="s">
        <v>16</v>
      </c>
      <c r="F9177" t="s">
        <v>30862</v>
      </c>
      <c r="G9177" t="s">
        <v>28435</v>
      </c>
      <c r="H9177" t="s">
        <v>30863</v>
      </c>
      <c r="I9177" t="s">
        <v>30864</v>
      </c>
    </row>
    <row r="9178" spans="1:9">
      <c r="A9178" t="str">
        <f>"0031221 "</f>
        <v xml:space="preserve">0031221 </v>
      </c>
      <c r="B9178" t="s">
        <v>28432</v>
      </c>
      <c r="C9178" t="s">
        <v>30865</v>
      </c>
      <c r="D9178" t="s">
        <v>30866</v>
      </c>
      <c r="E9178" t="s">
        <v>16</v>
      </c>
      <c r="F9178" t="s">
        <v>10600</v>
      </c>
      <c r="G9178" t="s">
        <v>28435</v>
      </c>
      <c r="H9178" t="s">
        <v>30867</v>
      </c>
      <c r="I9178" t="s">
        <v>30868</v>
      </c>
    </row>
    <row r="9179" spans="1:9">
      <c r="A9179" t="str">
        <f>"0031222 "</f>
        <v xml:space="preserve">0031222 </v>
      </c>
      <c r="B9179" t="s">
        <v>28432</v>
      </c>
      <c r="C9179" t="s">
        <v>30869</v>
      </c>
      <c r="D9179" t="s">
        <v>30870</v>
      </c>
      <c r="E9179">
        <v>2</v>
      </c>
      <c r="F9179" t="s">
        <v>28498</v>
      </c>
      <c r="G9179" t="s">
        <v>28435</v>
      </c>
      <c r="H9179" t="s">
        <v>30871</v>
      </c>
      <c r="I9179" t="s">
        <v>30872</v>
      </c>
    </row>
    <row r="9180" spans="1:9">
      <c r="A9180" t="str">
        <f>"0031223 "</f>
        <v xml:space="preserve">0031223 </v>
      </c>
      <c r="B9180" t="s">
        <v>28432</v>
      </c>
      <c r="C9180" t="s">
        <v>30873</v>
      </c>
      <c r="D9180" t="s">
        <v>30874</v>
      </c>
      <c r="E9180">
        <v>4</v>
      </c>
      <c r="F9180" t="s">
        <v>30261</v>
      </c>
      <c r="G9180" t="s">
        <v>28435</v>
      </c>
      <c r="H9180" t="s">
        <v>30875</v>
      </c>
      <c r="I9180" t="s">
        <v>30876</v>
      </c>
    </row>
    <row r="9181" spans="1:9">
      <c r="A9181" t="str">
        <f>"0031228 "</f>
        <v xml:space="preserve">0031228 </v>
      </c>
      <c r="B9181" t="s">
        <v>28432</v>
      </c>
      <c r="C9181" t="s">
        <v>30877</v>
      </c>
      <c r="D9181" t="s">
        <v>30878</v>
      </c>
      <c r="E9181">
        <v>1</v>
      </c>
      <c r="F9181" t="s">
        <v>30879</v>
      </c>
      <c r="G9181" t="s">
        <v>28435</v>
      </c>
      <c r="H9181" t="s">
        <v>30880</v>
      </c>
      <c r="I9181" t="s">
        <v>30881</v>
      </c>
    </row>
    <row r="9182" spans="1:9">
      <c r="A9182" t="str">
        <f>"0031232 "</f>
        <v xml:space="preserve">0031232 </v>
      </c>
      <c r="B9182" t="s">
        <v>28432</v>
      </c>
      <c r="C9182" t="s">
        <v>30882</v>
      </c>
      <c r="D9182" t="s">
        <v>30883</v>
      </c>
      <c r="E9182">
        <v>2</v>
      </c>
      <c r="F9182" t="s">
        <v>14769</v>
      </c>
      <c r="G9182" t="s">
        <v>28435</v>
      </c>
      <c r="H9182" t="s">
        <v>30884</v>
      </c>
      <c r="I9182" t="s">
        <v>30885</v>
      </c>
    </row>
    <row r="9183" spans="1:9">
      <c r="A9183" t="str">
        <f>"0031235 "</f>
        <v xml:space="preserve">0031235 </v>
      </c>
      <c r="B9183" t="s">
        <v>28432</v>
      </c>
      <c r="C9183" t="s">
        <v>30886</v>
      </c>
      <c r="D9183" t="s">
        <v>30887</v>
      </c>
      <c r="E9183" t="s">
        <v>16</v>
      </c>
      <c r="F9183" t="s">
        <v>30888</v>
      </c>
      <c r="G9183" t="s">
        <v>28435</v>
      </c>
      <c r="H9183" t="s">
        <v>30889</v>
      </c>
      <c r="I9183" t="s">
        <v>30890</v>
      </c>
    </row>
    <row r="9184" spans="1:9">
      <c r="A9184" t="str">
        <f>"0031239 "</f>
        <v xml:space="preserve">0031239 </v>
      </c>
      <c r="B9184" t="s">
        <v>28432</v>
      </c>
      <c r="C9184" t="s">
        <v>30891</v>
      </c>
      <c r="D9184" t="s">
        <v>30892</v>
      </c>
      <c r="E9184">
        <v>2</v>
      </c>
      <c r="F9184" t="s">
        <v>30893</v>
      </c>
      <c r="G9184" t="s">
        <v>28435</v>
      </c>
      <c r="H9184" t="s">
        <v>30894</v>
      </c>
      <c r="I9184" t="s">
        <v>30895</v>
      </c>
    </row>
    <row r="9185" spans="1:9">
      <c r="A9185" t="str">
        <f>"0031241 "</f>
        <v xml:space="preserve">0031241 </v>
      </c>
      <c r="B9185" t="s">
        <v>28432</v>
      </c>
      <c r="C9185" t="s">
        <v>30896</v>
      </c>
      <c r="D9185" t="s">
        <v>30897</v>
      </c>
      <c r="E9185" t="s">
        <v>16</v>
      </c>
      <c r="F9185" t="s">
        <v>30898</v>
      </c>
      <c r="G9185" t="s">
        <v>28435</v>
      </c>
      <c r="H9185" t="s">
        <v>30899</v>
      </c>
      <c r="I9185" t="s">
        <v>30900</v>
      </c>
    </row>
    <row r="9186" spans="1:9">
      <c r="A9186" t="str">
        <f>"0031248 "</f>
        <v xml:space="preserve">0031248 </v>
      </c>
      <c r="B9186" t="s">
        <v>28432</v>
      </c>
      <c r="C9186" t="s">
        <v>30901</v>
      </c>
      <c r="D9186" t="s">
        <v>30902</v>
      </c>
      <c r="E9186">
        <v>4</v>
      </c>
      <c r="F9186" t="s">
        <v>30903</v>
      </c>
      <c r="G9186" t="s">
        <v>28435</v>
      </c>
      <c r="H9186" t="s">
        <v>30904</v>
      </c>
      <c r="I9186" t="s">
        <v>30905</v>
      </c>
    </row>
    <row r="9187" spans="1:9">
      <c r="A9187" t="str">
        <f>"0031250 "</f>
        <v xml:space="preserve">0031250 </v>
      </c>
      <c r="B9187" t="s">
        <v>28432</v>
      </c>
      <c r="C9187" t="s">
        <v>30906</v>
      </c>
      <c r="D9187" t="s">
        <v>30907</v>
      </c>
      <c r="E9187">
        <v>1</v>
      </c>
      <c r="F9187" t="s">
        <v>27948</v>
      </c>
      <c r="G9187" t="s">
        <v>28435</v>
      </c>
      <c r="H9187" t="s">
        <v>30908</v>
      </c>
      <c r="I9187" t="s">
        <v>30909</v>
      </c>
    </row>
    <row r="9188" spans="1:9">
      <c r="A9188" t="str">
        <f>"0031251 "</f>
        <v xml:space="preserve">0031251 </v>
      </c>
      <c r="B9188" t="s">
        <v>28432</v>
      </c>
      <c r="C9188" t="s">
        <v>30910</v>
      </c>
      <c r="D9188" t="s">
        <v>30911</v>
      </c>
      <c r="E9188">
        <v>3</v>
      </c>
      <c r="F9188" t="s">
        <v>29073</v>
      </c>
      <c r="G9188" t="s">
        <v>28435</v>
      </c>
      <c r="H9188" t="s">
        <v>30912</v>
      </c>
      <c r="I9188" t="s">
        <v>30668</v>
      </c>
    </row>
    <row r="9189" spans="1:9">
      <c r="A9189" t="str">
        <f>"0031252 "</f>
        <v xml:space="preserve">0031252 </v>
      </c>
      <c r="B9189" t="s">
        <v>28432</v>
      </c>
      <c r="C9189" t="s">
        <v>30913</v>
      </c>
      <c r="D9189" t="s">
        <v>30914</v>
      </c>
      <c r="E9189">
        <v>4</v>
      </c>
      <c r="F9189" t="s">
        <v>30915</v>
      </c>
      <c r="G9189" t="s">
        <v>28435</v>
      </c>
      <c r="H9189" t="s">
        <v>30916</v>
      </c>
      <c r="I9189" t="s">
        <v>30917</v>
      </c>
    </row>
    <row r="9190" spans="1:9">
      <c r="A9190" t="str">
        <f>"0031256 "</f>
        <v xml:space="preserve">0031256 </v>
      </c>
      <c r="B9190" t="s">
        <v>28432</v>
      </c>
      <c r="C9190" t="s">
        <v>30918</v>
      </c>
      <c r="D9190" t="s">
        <v>30919</v>
      </c>
      <c r="E9190">
        <v>5</v>
      </c>
      <c r="F9190" t="s">
        <v>30920</v>
      </c>
      <c r="G9190" t="s">
        <v>28435</v>
      </c>
      <c r="H9190" t="s">
        <v>30921</v>
      </c>
      <c r="I9190" t="s">
        <v>30922</v>
      </c>
    </row>
    <row r="9191" spans="1:9">
      <c r="A9191" t="str">
        <f>"0031257 "</f>
        <v xml:space="preserve">0031257 </v>
      </c>
      <c r="B9191" t="s">
        <v>28432</v>
      </c>
      <c r="C9191" t="s">
        <v>30923</v>
      </c>
      <c r="D9191" t="s">
        <v>30924</v>
      </c>
      <c r="E9191">
        <v>2</v>
      </c>
      <c r="F9191" t="s">
        <v>30925</v>
      </c>
      <c r="G9191" t="s">
        <v>28435</v>
      </c>
      <c r="H9191" t="s">
        <v>30926</v>
      </c>
      <c r="I9191" t="s">
        <v>18872</v>
      </c>
    </row>
    <row r="9192" spans="1:9">
      <c r="A9192" t="str">
        <f>"0031258 "</f>
        <v xml:space="preserve">0031258 </v>
      </c>
      <c r="B9192" t="s">
        <v>28432</v>
      </c>
      <c r="C9192" t="s">
        <v>30927</v>
      </c>
      <c r="D9192" t="s">
        <v>30928</v>
      </c>
      <c r="E9192">
        <v>3</v>
      </c>
      <c r="F9192" t="s">
        <v>30929</v>
      </c>
      <c r="G9192" t="s">
        <v>28435</v>
      </c>
      <c r="H9192" t="s">
        <v>30930</v>
      </c>
      <c r="I9192" t="s">
        <v>30931</v>
      </c>
    </row>
    <row r="9193" spans="1:9">
      <c r="A9193" t="str">
        <f>"0031261 "</f>
        <v xml:space="preserve">0031261 </v>
      </c>
      <c r="B9193" t="s">
        <v>28432</v>
      </c>
      <c r="C9193" t="s">
        <v>30932</v>
      </c>
      <c r="D9193" t="s">
        <v>30933</v>
      </c>
      <c r="E9193">
        <v>1</v>
      </c>
      <c r="F9193" t="s">
        <v>30934</v>
      </c>
      <c r="G9193" t="s">
        <v>28435</v>
      </c>
      <c r="H9193" t="s">
        <v>30935</v>
      </c>
      <c r="I9193" t="s">
        <v>30936</v>
      </c>
    </row>
    <row r="9194" spans="1:9">
      <c r="A9194" t="str">
        <f>"0031262 "</f>
        <v xml:space="preserve">0031262 </v>
      </c>
      <c r="B9194" t="s">
        <v>28432</v>
      </c>
      <c r="C9194" t="s">
        <v>30937</v>
      </c>
      <c r="D9194" t="s">
        <v>30938</v>
      </c>
      <c r="E9194">
        <v>1</v>
      </c>
      <c r="F9194" t="s">
        <v>30939</v>
      </c>
      <c r="G9194" t="s">
        <v>28435</v>
      </c>
      <c r="H9194" t="s">
        <v>30940</v>
      </c>
      <c r="I9194" t="s">
        <v>30941</v>
      </c>
    </row>
    <row r="9195" spans="1:9">
      <c r="A9195" t="str">
        <f>"0048801 "</f>
        <v xml:space="preserve">0048801 </v>
      </c>
      <c r="B9195" t="s">
        <v>28432</v>
      </c>
      <c r="C9195" t="s">
        <v>30942</v>
      </c>
      <c r="D9195" t="s">
        <v>30943</v>
      </c>
      <c r="E9195">
        <v>1</v>
      </c>
      <c r="F9195" t="s">
        <v>24076</v>
      </c>
      <c r="G9195" t="s">
        <v>28435</v>
      </c>
      <c r="H9195" t="s">
        <v>30944</v>
      </c>
      <c r="I9195" t="s">
        <v>30945</v>
      </c>
    </row>
    <row r="9196" spans="1:9">
      <c r="A9196" t="str">
        <f>"0031264 "</f>
        <v xml:space="preserve">0031264 </v>
      </c>
      <c r="B9196" t="s">
        <v>28432</v>
      </c>
      <c r="C9196" t="s">
        <v>30946</v>
      </c>
      <c r="D9196" t="s">
        <v>30947</v>
      </c>
      <c r="E9196">
        <v>1</v>
      </c>
      <c r="F9196" t="s">
        <v>30948</v>
      </c>
      <c r="G9196" t="s">
        <v>28435</v>
      </c>
      <c r="H9196" t="s">
        <v>30949</v>
      </c>
      <c r="I9196" t="s">
        <v>30950</v>
      </c>
    </row>
    <row r="9197" spans="1:9">
      <c r="A9197" t="str">
        <f>"0031265 "</f>
        <v xml:space="preserve">0031265 </v>
      </c>
      <c r="B9197" t="s">
        <v>28432</v>
      </c>
      <c r="C9197" t="s">
        <v>30951</v>
      </c>
      <c r="D9197" t="s">
        <v>30952</v>
      </c>
      <c r="E9197">
        <v>1</v>
      </c>
      <c r="F9197" t="s">
        <v>30953</v>
      </c>
      <c r="G9197" t="s">
        <v>28435</v>
      </c>
      <c r="H9197" t="s">
        <v>30954</v>
      </c>
      <c r="I9197" t="s">
        <v>30955</v>
      </c>
    </row>
    <row r="9198" spans="1:9">
      <c r="A9198" t="str">
        <f>"0031267 "</f>
        <v xml:space="preserve">0031267 </v>
      </c>
      <c r="B9198" t="s">
        <v>28432</v>
      </c>
      <c r="C9198" t="s">
        <v>30956</v>
      </c>
      <c r="D9198" t="s">
        <v>30957</v>
      </c>
      <c r="E9198" t="s">
        <v>16</v>
      </c>
      <c r="F9198" t="s">
        <v>4305</v>
      </c>
      <c r="G9198" t="s">
        <v>28435</v>
      </c>
      <c r="H9198" t="s">
        <v>30958</v>
      </c>
      <c r="I9198" t="s">
        <v>23406</v>
      </c>
    </row>
    <row r="9199" spans="1:9">
      <c r="A9199" t="str">
        <f>"0031268 "</f>
        <v xml:space="preserve">0031268 </v>
      </c>
      <c r="B9199" t="s">
        <v>28432</v>
      </c>
      <c r="C9199" t="s">
        <v>30959</v>
      </c>
      <c r="D9199" t="s">
        <v>30960</v>
      </c>
      <c r="E9199" t="s">
        <v>16</v>
      </c>
      <c r="F9199" t="s">
        <v>30961</v>
      </c>
      <c r="G9199" t="s">
        <v>28435</v>
      </c>
      <c r="H9199" t="s">
        <v>30962</v>
      </c>
      <c r="I9199" t="s">
        <v>30963</v>
      </c>
    </row>
    <row r="9200" spans="1:9">
      <c r="A9200" t="str">
        <f>"0031270 "</f>
        <v xml:space="preserve">0031270 </v>
      </c>
      <c r="B9200" t="s">
        <v>28432</v>
      </c>
      <c r="C9200" t="s">
        <v>30964</v>
      </c>
      <c r="D9200" t="s">
        <v>30965</v>
      </c>
      <c r="E9200" t="s">
        <v>16</v>
      </c>
      <c r="F9200" t="s">
        <v>30966</v>
      </c>
      <c r="G9200" t="s">
        <v>28435</v>
      </c>
      <c r="H9200" t="s">
        <v>30967</v>
      </c>
      <c r="I9200" t="s">
        <v>30968</v>
      </c>
    </row>
    <row r="9201" spans="1:9">
      <c r="A9201" t="str">
        <f>"0031271 "</f>
        <v xml:space="preserve">0031271 </v>
      </c>
      <c r="B9201" t="s">
        <v>28432</v>
      </c>
      <c r="C9201" t="s">
        <v>30969</v>
      </c>
      <c r="D9201" t="s">
        <v>30970</v>
      </c>
      <c r="E9201">
        <v>1</v>
      </c>
      <c r="F9201" t="s">
        <v>30971</v>
      </c>
      <c r="G9201" t="s">
        <v>28435</v>
      </c>
      <c r="H9201" t="s">
        <v>30972</v>
      </c>
      <c r="I9201" t="s">
        <v>30973</v>
      </c>
    </row>
    <row r="9202" spans="1:9">
      <c r="A9202" t="str">
        <f>"0031272 "</f>
        <v xml:space="preserve">0031272 </v>
      </c>
      <c r="B9202" t="s">
        <v>28432</v>
      </c>
      <c r="C9202" t="s">
        <v>30974</v>
      </c>
      <c r="D9202" t="s">
        <v>30975</v>
      </c>
      <c r="E9202">
        <v>4</v>
      </c>
      <c r="F9202" t="s">
        <v>30976</v>
      </c>
      <c r="G9202" t="s">
        <v>28435</v>
      </c>
      <c r="H9202" t="s">
        <v>30977</v>
      </c>
      <c r="I9202" t="s">
        <v>30978</v>
      </c>
    </row>
    <row r="9203" spans="1:9">
      <c r="A9203" t="str">
        <f>"0031273 "</f>
        <v xml:space="preserve">0031273 </v>
      </c>
      <c r="B9203" t="s">
        <v>28432</v>
      </c>
      <c r="C9203" t="s">
        <v>30979</v>
      </c>
      <c r="D9203" t="s">
        <v>30980</v>
      </c>
      <c r="E9203">
        <v>1</v>
      </c>
      <c r="F9203" t="s">
        <v>30981</v>
      </c>
      <c r="G9203" t="s">
        <v>28435</v>
      </c>
      <c r="H9203" t="s">
        <v>30982</v>
      </c>
      <c r="I9203" t="s">
        <v>30983</v>
      </c>
    </row>
    <row r="9204" spans="1:9">
      <c r="A9204" t="str">
        <f>"0048783 "</f>
        <v xml:space="preserve">0048783 </v>
      </c>
      <c r="B9204" t="s">
        <v>28432</v>
      </c>
      <c r="C9204" t="s">
        <v>30984</v>
      </c>
      <c r="D9204" t="s">
        <v>30985</v>
      </c>
      <c r="E9204">
        <v>1</v>
      </c>
      <c r="F9204" t="s">
        <v>29574</v>
      </c>
      <c r="G9204" t="s">
        <v>28435</v>
      </c>
      <c r="H9204" t="s">
        <v>30986</v>
      </c>
      <c r="I9204" t="s">
        <v>30987</v>
      </c>
    </row>
    <row r="9205" spans="1:9">
      <c r="A9205" t="str">
        <f>"0031274 "</f>
        <v xml:space="preserve">0031274 </v>
      </c>
      <c r="B9205" t="s">
        <v>28432</v>
      </c>
      <c r="C9205" t="s">
        <v>30988</v>
      </c>
      <c r="D9205" t="s">
        <v>30989</v>
      </c>
      <c r="E9205" t="s">
        <v>16</v>
      </c>
      <c r="F9205" t="s">
        <v>29574</v>
      </c>
      <c r="G9205" t="s">
        <v>28435</v>
      </c>
      <c r="H9205" t="s">
        <v>30990</v>
      </c>
      <c r="I9205" t="s">
        <v>30987</v>
      </c>
    </row>
    <row r="9206" spans="1:9">
      <c r="A9206" t="str">
        <f>"0031275 "</f>
        <v xml:space="preserve">0031275 </v>
      </c>
      <c r="B9206" t="s">
        <v>28432</v>
      </c>
      <c r="C9206" t="s">
        <v>30991</v>
      </c>
      <c r="D9206" t="s">
        <v>30992</v>
      </c>
      <c r="E9206">
        <v>5</v>
      </c>
      <c r="F9206" t="s">
        <v>29244</v>
      </c>
      <c r="G9206" t="s">
        <v>28435</v>
      </c>
      <c r="H9206" t="s">
        <v>30993</v>
      </c>
      <c r="I9206" t="s">
        <v>30994</v>
      </c>
    </row>
    <row r="9207" spans="1:9">
      <c r="A9207" t="str">
        <f>"0031276 "</f>
        <v xml:space="preserve">0031276 </v>
      </c>
      <c r="B9207" t="s">
        <v>28432</v>
      </c>
      <c r="C9207" t="s">
        <v>30995</v>
      </c>
      <c r="D9207" t="s">
        <v>30996</v>
      </c>
      <c r="E9207" t="s">
        <v>16</v>
      </c>
      <c r="F9207" t="s">
        <v>30077</v>
      </c>
      <c r="G9207" t="s">
        <v>28435</v>
      </c>
      <c r="H9207" t="s">
        <v>30997</v>
      </c>
      <c r="I9207" t="s">
        <v>30998</v>
      </c>
    </row>
    <row r="9208" spans="1:9">
      <c r="A9208" t="str">
        <f>"0031278 "</f>
        <v xml:space="preserve">0031278 </v>
      </c>
      <c r="B9208" t="s">
        <v>28432</v>
      </c>
      <c r="C9208" t="s">
        <v>30999</v>
      </c>
      <c r="D9208" t="s">
        <v>31000</v>
      </c>
      <c r="E9208">
        <v>2</v>
      </c>
      <c r="F9208" t="s">
        <v>4438</v>
      </c>
      <c r="G9208" t="s">
        <v>28435</v>
      </c>
      <c r="H9208" t="s">
        <v>31001</v>
      </c>
      <c r="I9208" t="s">
        <v>31002</v>
      </c>
    </row>
    <row r="9209" spans="1:9">
      <c r="A9209" t="str">
        <f>"0031279 "</f>
        <v xml:space="preserve">0031279 </v>
      </c>
      <c r="B9209" t="s">
        <v>28432</v>
      </c>
      <c r="C9209" t="s">
        <v>31003</v>
      </c>
      <c r="D9209" t="s">
        <v>31004</v>
      </c>
      <c r="E9209" t="s">
        <v>16</v>
      </c>
      <c r="F9209" t="s">
        <v>8515</v>
      </c>
      <c r="G9209" t="s">
        <v>28435</v>
      </c>
      <c r="H9209" t="s">
        <v>31005</v>
      </c>
      <c r="I9209" t="s">
        <v>1680</v>
      </c>
    </row>
    <row r="9210" spans="1:9">
      <c r="A9210" t="str">
        <f>"0031283 "</f>
        <v xml:space="preserve">0031283 </v>
      </c>
      <c r="B9210" t="s">
        <v>28432</v>
      </c>
      <c r="C9210" t="s">
        <v>31006</v>
      </c>
      <c r="D9210" t="s">
        <v>31007</v>
      </c>
      <c r="E9210">
        <v>2</v>
      </c>
      <c r="F9210" t="s">
        <v>30888</v>
      </c>
      <c r="G9210" t="s">
        <v>28435</v>
      </c>
      <c r="H9210" t="s">
        <v>31008</v>
      </c>
      <c r="I9210" t="s">
        <v>1580</v>
      </c>
    </row>
    <row r="9211" spans="1:9">
      <c r="A9211" t="str">
        <f>"0031284 "</f>
        <v xml:space="preserve">0031284 </v>
      </c>
      <c r="B9211" t="s">
        <v>28432</v>
      </c>
      <c r="C9211" t="s">
        <v>31009</v>
      </c>
      <c r="D9211" t="s">
        <v>31010</v>
      </c>
      <c r="E9211">
        <v>2</v>
      </c>
      <c r="F9211" t="s">
        <v>31011</v>
      </c>
      <c r="G9211" t="s">
        <v>28435</v>
      </c>
      <c r="H9211" t="s">
        <v>31012</v>
      </c>
      <c r="I9211" t="s">
        <v>31013</v>
      </c>
    </row>
    <row r="9212" spans="1:9">
      <c r="A9212" t="str">
        <f>"0031285 "</f>
        <v xml:space="preserve">0031285 </v>
      </c>
      <c r="B9212" t="s">
        <v>28432</v>
      </c>
      <c r="C9212" t="s">
        <v>31014</v>
      </c>
      <c r="D9212" t="s">
        <v>31015</v>
      </c>
      <c r="E9212">
        <v>4</v>
      </c>
      <c r="F9212" t="s">
        <v>2813</v>
      </c>
      <c r="G9212" t="s">
        <v>28435</v>
      </c>
      <c r="H9212" t="s">
        <v>31016</v>
      </c>
      <c r="I9212" t="s">
        <v>31017</v>
      </c>
    </row>
    <row r="9213" spans="1:9">
      <c r="A9213" t="str">
        <f>"0031287 "</f>
        <v xml:space="preserve">0031287 </v>
      </c>
      <c r="B9213" t="s">
        <v>28432</v>
      </c>
      <c r="C9213" t="s">
        <v>31018</v>
      </c>
      <c r="D9213" t="s">
        <v>31019</v>
      </c>
      <c r="E9213" t="s">
        <v>16</v>
      </c>
      <c r="F9213" t="s">
        <v>10600</v>
      </c>
      <c r="G9213" t="s">
        <v>28435</v>
      </c>
      <c r="H9213" t="s">
        <v>31020</v>
      </c>
      <c r="I9213" t="s">
        <v>31021</v>
      </c>
    </row>
    <row r="9214" spans="1:9">
      <c r="A9214" t="str">
        <f>"0031288 "</f>
        <v xml:space="preserve">0031288 </v>
      </c>
      <c r="B9214" t="s">
        <v>28432</v>
      </c>
      <c r="C9214" t="s">
        <v>31022</v>
      </c>
      <c r="D9214" t="s">
        <v>31023</v>
      </c>
      <c r="E9214">
        <v>2</v>
      </c>
      <c r="F9214" t="s">
        <v>4438</v>
      </c>
      <c r="G9214" t="s">
        <v>28435</v>
      </c>
      <c r="H9214" t="s">
        <v>31024</v>
      </c>
      <c r="I9214" t="s">
        <v>31025</v>
      </c>
    </row>
    <row r="9215" spans="1:9">
      <c r="A9215" t="str">
        <f>"0161235 "</f>
        <v xml:space="preserve">0161235 </v>
      </c>
      <c r="B9215" t="s">
        <v>28432</v>
      </c>
      <c r="C9215" t="s">
        <v>31026</v>
      </c>
      <c r="D9215" t="s">
        <v>31027</v>
      </c>
      <c r="E9215">
        <v>1</v>
      </c>
      <c r="F9215" t="s">
        <v>31028</v>
      </c>
      <c r="G9215" t="s">
        <v>28435</v>
      </c>
      <c r="H9215" t="s">
        <v>31029</v>
      </c>
      <c r="I9215" t="s">
        <v>31030</v>
      </c>
    </row>
    <row r="9216" spans="1:9">
      <c r="A9216" t="str">
        <f>"0031289 "</f>
        <v xml:space="preserve">0031289 </v>
      </c>
      <c r="B9216" t="s">
        <v>28432</v>
      </c>
      <c r="C9216" t="s">
        <v>31031</v>
      </c>
      <c r="D9216" t="s">
        <v>31032</v>
      </c>
      <c r="E9216" t="s">
        <v>16</v>
      </c>
      <c r="F9216" t="s">
        <v>31033</v>
      </c>
      <c r="G9216" t="s">
        <v>28435</v>
      </c>
      <c r="H9216" t="s">
        <v>31034</v>
      </c>
      <c r="I9216" t="s">
        <v>31035</v>
      </c>
    </row>
    <row r="9217" spans="1:9">
      <c r="A9217" t="str">
        <f>"0188089 "</f>
        <v xml:space="preserve">0188089 </v>
      </c>
      <c r="B9217" t="s">
        <v>28432</v>
      </c>
      <c r="C9217" t="s">
        <v>31036</v>
      </c>
      <c r="D9217" t="s">
        <v>31037</v>
      </c>
      <c r="E9217">
        <v>1</v>
      </c>
      <c r="F9217" t="s">
        <v>31038</v>
      </c>
      <c r="G9217" t="s">
        <v>28435</v>
      </c>
      <c r="H9217" t="s">
        <v>31039</v>
      </c>
      <c r="I9217" t="s">
        <v>31040</v>
      </c>
    </row>
    <row r="9218" spans="1:9">
      <c r="A9218" t="str">
        <f>"0031290 "</f>
        <v xml:space="preserve">0031290 </v>
      </c>
      <c r="B9218" t="s">
        <v>28432</v>
      </c>
      <c r="C9218" t="s">
        <v>31041</v>
      </c>
      <c r="D9218" t="s">
        <v>31042</v>
      </c>
      <c r="E9218" t="s">
        <v>16</v>
      </c>
      <c r="F9218" t="s">
        <v>31043</v>
      </c>
      <c r="G9218" t="s">
        <v>28435</v>
      </c>
      <c r="H9218" t="s">
        <v>31044</v>
      </c>
      <c r="I9218" t="s">
        <v>31045</v>
      </c>
    </row>
    <row r="9219" spans="1:9">
      <c r="A9219" t="str">
        <f>"0031294 "</f>
        <v xml:space="preserve">0031294 </v>
      </c>
      <c r="B9219" t="s">
        <v>28432</v>
      </c>
      <c r="C9219" t="s">
        <v>31046</v>
      </c>
      <c r="D9219" t="s">
        <v>31047</v>
      </c>
      <c r="E9219">
        <v>2</v>
      </c>
      <c r="F9219" t="s">
        <v>31048</v>
      </c>
      <c r="G9219" t="s">
        <v>28435</v>
      </c>
      <c r="H9219" t="s">
        <v>31049</v>
      </c>
      <c r="I9219" t="s">
        <v>31050</v>
      </c>
    </row>
    <row r="9220" spans="1:9">
      <c r="A9220" t="str">
        <f>"0031296 "</f>
        <v xml:space="preserve">0031296 </v>
      </c>
      <c r="B9220" t="s">
        <v>28432</v>
      </c>
      <c r="C9220" t="s">
        <v>31051</v>
      </c>
      <c r="D9220" t="s">
        <v>31052</v>
      </c>
      <c r="E9220" t="s">
        <v>16</v>
      </c>
      <c r="F9220" t="s">
        <v>78</v>
      </c>
      <c r="G9220" t="s">
        <v>28435</v>
      </c>
      <c r="H9220" t="s">
        <v>31053</v>
      </c>
      <c r="I9220" t="s">
        <v>30895</v>
      </c>
    </row>
    <row r="9221" spans="1:9">
      <c r="A9221" t="str">
        <f>"0031297 "</f>
        <v xml:space="preserve">0031297 </v>
      </c>
      <c r="B9221" t="s">
        <v>28432</v>
      </c>
      <c r="C9221" t="s">
        <v>31054</v>
      </c>
      <c r="D9221" t="s">
        <v>31055</v>
      </c>
      <c r="E9221">
        <v>1</v>
      </c>
      <c r="F9221" t="s">
        <v>29253</v>
      </c>
      <c r="G9221" t="s">
        <v>28435</v>
      </c>
      <c r="H9221" t="s">
        <v>31056</v>
      </c>
      <c r="I9221" t="s">
        <v>31057</v>
      </c>
    </row>
    <row r="9222" spans="1:9">
      <c r="A9222" t="str">
        <f>"0031298 "</f>
        <v xml:space="preserve">0031298 </v>
      </c>
      <c r="B9222" t="s">
        <v>28432</v>
      </c>
      <c r="C9222" t="s">
        <v>31058</v>
      </c>
      <c r="D9222" t="s">
        <v>31059</v>
      </c>
      <c r="E9222">
        <v>1</v>
      </c>
      <c r="F9222" t="s">
        <v>690</v>
      </c>
      <c r="G9222" t="s">
        <v>28435</v>
      </c>
      <c r="H9222" t="s">
        <v>31060</v>
      </c>
      <c r="I9222" t="s">
        <v>31061</v>
      </c>
    </row>
    <row r="9223" spans="1:9">
      <c r="A9223" t="str">
        <f>"0031299 "</f>
        <v xml:space="preserve">0031299 </v>
      </c>
      <c r="B9223" t="s">
        <v>28432</v>
      </c>
      <c r="C9223" t="s">
        <v>31062</v>
      </c>
      <c r="D9223" t="s">
        <v>31063</v>
      </c>
      <c r="E9223" t="s">
        <v>16</v>
      </c>
      <c r="F9223" t="s">
        <v>31064</v>
      </c>
      <c r="G9223" t="s">
        <v>28435</v>
      </c>
      <c r="H9223" t="s">
        <v>31065</v>
      </c>
      <c r="I9223" t="s">
        <v>31066</v>
      </c>
    </row>
    <row r="9224" spans="1:9">
      <c r="A9224" t="str">
        <f>"0031300 "</f>
        <v xml:space="preserve">0031300 </v>
      </c>
      <c r="B9224" t="s">
        <v>28432</v>
      </c>
      <c r="C9224" t="s">
        <v>31067</v>
      </c>
      <c r="D9224" t="s">
        <v>31068</v>
      </c>
      <c r="E9224">
        <v>1</v>
      </c>
      <c r="F9224" t="s">
        <v>16248</v>
      </c>
      <c r="G9224" t="s">
        <v>28435</v>
      </c>
      <c r="H9224" t="s">
        <v>31069</v>
      </c>
      <c r="I9224" t="s">
        <v>31070</v>
      </c>
    </row>
    <row r="9225" spans="1:9">
      <c r="A9225" t="str">
        <f>"0031301 "</f>
        <v xml:space="preserve">0031301 </v>
      </c>
      <c r="B9225" t="s">
        <v>28432</v>
      </c>
      <c r="C9225" t="s">
        <v>31071</v>
      </c>
      <c r="D9225" t="s">
        <v>31072</v>
      </c>
      <c r="E9225">
        <v>2</v>
      </c>
      <c r="F9225" t="s">
        <v>31073</v>
      </c>
      <c r="G9225" t="s">
        <v>28435</v>
      </c>
      <c r="H9225" t="s">
        <v>31074</v>
      </c>
      <c r="I9225" t="s">
        <v>31075</v>
      </c>
    </row>
    <row r="9226" spans="1:9">
      <c r="A9226" t="str">
        <f>"0031304 "</f>
        <v xml:space="preserve">0031304 </v>
      </c>
      <c r="B9226" t="s">
        <v>28432</v>
      </c>
      <c r="C9226" t="s">
        <v>31076</v>
      </c>
      <c r="D9226" t="s">
        <v>31077</v>
      </c>
      <c r="E9226">
        <v>1</v>
      </c>
      <c r="F9226" t="s">
        <v>28833</v>
      </c>
      <c r="G9226" t="s">
        <v>28435</v>
      </c>
      <c r="H9226" t="s">
        <v>31078</v>
      </c>
      <c r="I9226" t="s">
        <v>31079</v>
      </c>
    </row>
    <row r="9227" spans="1:9">
      <c r="A9227" t="str">
        <f>"0031305 "</f>
        <v xml:space="preserve">0031305 </v>
      </c>
      <c r="B9227" t="s">
        <v>28432</v>
      </c>
      <c r="C9227" t="s">
        <v>31080</v>
      </c>
      <c r="D9227" t="s">
        <v>31081</v>
      </c>
      <c r="E9227">
        <v>2</v>
      </c>
      <c r="F9227" t="s">
        <v>1056</v>
      </c>
      <c r="G9227" t="s">
        <v>28435</v>
      </c>
      <c r="H9227" t="s">
        <v>31082</v>
      </c>
      <c r="I9227" t="s">
        <v>31083</v>
      </c>
    </row>
    <row r="9228" spans="1:9">
      <c r="A9228" t="str">
        <f>"0031306 "</f>
        <v xml:space="preserve">0031306 </v>
      </c>
      <c r="B9228" t="s">
        <v>28432</v>
      </c>
      <c r="C9228" t="s">
        <v>31084</v>
      </c>
      <c r="D9228" t="s">
        <v>31085</v>
      </c>
      <c r="E9228">
        <v>3</v>
      </c>
      <c r="F9228" t="s">
        <v>31086</v>
      </c>
      <c r="G9228" t="s">
        <v>28435</v>
      </c>
      <c r="H9228" t="s">
        <v>31087</v>
      </c>
      <c r="I9228" t="s">
        <v>31088</v>
      </c>
    </row>
    <row r="9229" spans="1:9">
      <c r="A9229" t="str">
        <f>"0031307 "</f>
        <v xml:space="preserve">0031307 </v>
      </c>
      <c r="B9229" t="s">
        <v>28432</v>
      </c>
      <c r="C9229" t="s">
        <v>31089</v>
      </c>
      <c r="D9229" t="s">
        <v>31090</v>
      </c>
      <c r="E9229" t="s">
        <v>16</v>
      </c>
      <c r="F9229" t="s">
        <v>8515</v>
      </c>
      <c r="G9229" t="s">
        <v>28435</v>
      </c>
      <c r="H9229" t="s">
        <v>31091</v>
      </c>
      <c r="I9229" t="s">
        <v>31092</v>
      </c>
    </row>
    <row r="9230" spans="1:9">
      <c r="A9230" t="str">
        <f>"0202092 "</f>
        <v xml:space="preserve">0202092 </v>
      </c>
      <c r="B9230" t="s">
        <v>28432</v>
      </c>
      <c r="C9230" t="s">
        <v>31093</v>
      </c>
      <c r="D9230" t="s">
        <v>31094</v>
      </c>
      <c r="E9230">
        <v>1</v>
      </c>
      <c r="F9230" t="s">
        <v>28650</v>
      </c>
      <c r="G9230" t="s">
        <v>28435</v>
      </c>
      <c r="H9230" t="s">
        <v>31095</v>
      </c>
      <c r="I9230" t="s">
        <v>31096</v>
      </c>
    </row>
    <row r="9231" spans="1:9">
      <c r="A9231" t="str">
        <f>"0031308 "</f>
        <v xml:space="preserve">0031308 </v>
      </c>
      <c r="B9231" t="s">
        <v>28432</v>
      </c>
      <c r="C9231" t="s">
        <v>31097</v>
      </c>
      <c r="D9231" t="s">
        <v>31098</v>
      </c>
      <c r="E9231" t="s">
        <v>16</v>
      </c>
      <c r="F9231" t="s">
        <v>31099</v>
      </c>
      <c r="G9231" t="s">
        <v>28435</v>
      </c>
      <c r="H9231" t="s">
        <v>31100</v>
      </c>
      <c r="I9231" t="s">
        <v>31088</v>
      </c>
    </row>
    <row r="9232" spans="1:9">
      <c r="A9232" t="str">
        <f>"0031310 "</f>
        <v xml:space="preserve">0031310 </v>
      </c>
      <c r="B9232" t="s">
        <v>28432</v>
      </c>
      <c r="C9232" t="s">
        <v>31101</v>
      </c>
      <c r="D9232" t="s">
        <v>31102</v>
      </c>
      <c r="E9232">
        <v>5</v>
      </c>
      <c r="F9232" t="s">
        <v>31103</v>
      </c>
      <c r="G9232" t="s">
        <v>28435</v>
      </c>
      <c r="H9232" t="s">
        <v>31104</v>
      </c>
      <c r="I9232" t="s">
        <v>31105</v>
      </c>
    </row>
    <row r="9233" spans="1:9">
      <c r="A9233" t="str">
        <f>"0031314 "</f>
        <v xml:space="preserve">0031314 </v>
      </c>
      <c r="B9233" t="s">
        <v>28432</v>
      </c>
      <c r="C9233" t="s">
        <v>31106</v>
      </c>
      <c r="D9233" t="s">
        <v>31107</v>
      </c>
      <c r="E9233">
        <v>2</v>
      </c>
      <c r="F9233" t="s">
        <v>31108</v>
      </c>
      <c r="G9233" t="s">
        <v>28435</v>
      </c>
      <c r="H9233" t="s">
        <v>31109</v>
      </c>
      <c r="I9233" t="s">
        <v>31110</v>
      </c>
    </row>
    <row r="9234" spans="1:9">
      <c r="A9234" t="str">
        <f>"0031316 "</f>
        <v xml:space="preserve">0031316 </v>
      </c>
      <c r="B9234" t="s">
        <v>28432</v>
      </c>
      <c r="C9234" t="s">
        <v>31111</v>
      </c>
      <c r="D9234" t="s">
        <v>31112</v>
      </c>
      <c r="E9234">
        <v>1</v>
      </c>
      <c r="F9234" t="s">
        <v>29117</v>
      </c>
      <c r="G9234" t="s">
        <v>28435</v>
      </c>
      <c r="H9234" t="s">
        <v>31113</v>
      </c>
      <c r="I9234" t="s">
        <v>31114</v>
      </c>
    </row>
    <row r="9235" spans="1:9">
      <c r="A9235" t="str">
        <f>"0031317 "</f>
        <v xml:space="preserve">0031317 </v>
      </c>
      <c r="B9235" t="s">
        <v>28432</v>
      </c>
      <c r="C9235" t="s">
        <v>31115</v>
      </c>
      <c r="D9235" t="s">
        <v>31116</v>
      </c>
      <c r="E9235">
        <v>1</v>
      </c>
      <c r="F9235" t="s">
        <v>9802</v>
      </c>
      <c r="G9235" t="s">
        <v>28435</v>
      </c>
      <c r="H9235" t="s">
        <v>31117</v>
      </c>
      <c r="I9235" t="s">
        <v>31118</v>
      </c>
    </row>
    <row r="9236" spans="1:9">
      <c r="A9236" t="str">
        <f>"0031318 "</f>
        <v xml:space="preserve">0031318 </v>
      </c>
      <c r="B9236" t="s">
        <v>28432</v>
      </c>
      <c r="C9236" t="s">
        <v>31119</v>
      </c>
      <c r="D9236" t="s">
        <v>31120</v>
      </c>
      <c r="E9236">
        <v>1</v>
      </c>
      <c r="F9236" t="s">
        <v>28443</v>
      </c>
      <c r="G9236" t="s">
        <v>28435</v>
      </c>
      <c r="H9236" t="s">
        <v>31121</v>
      </c>
      <c r="I9236" t="s">
        <v>31122</v>
      </c>
    </row>
    <row r="9237" spans="1:9">
      <c r="A9237" t="str">
        <f>"0031321 "</f>
        <v xml:space="preserve">0031321 </v>
      </c>
      <c r="B9237" t="s">
        <v>28432</v>
      </c>
      <c r="C9237" t="s">
        <v>31123</v>
      </c>
      <c r="D9237" t="s">
        <v>31124</v>
      </c>
      <c r="E9237">
        <v>2</v>
      </c>
      <c r="F9237" t="s">
        <v>31125</v>
      </c>
      <c r="G9237" t="s">
        <v>28435</v>
      </c>
      <c r="H9237" t="s">
        <v>31126</v>
      </c>
      <c r="I9237" t="s">
        <v>23480</v>
      </c>
    </row>
    <row r="9238" spans="1:9">
      <c r="A9238" t="str">
        <f>"0031322 "</f>
        <v xml:space="preserve">0031322 </v>
      </c>
      <c r="B9238" t="s">
        <v>28432</v>
      </c>
      <c r="C9238" t="s">
        <v>31127</v>
      </c>
      <c r="D9238" t="s">
        <v>31128</v>
      </c>
      <c r="E9238">
        <v>1</v>
      </c>
      <c r="F9238" t="s">
        <v>29968</v>
      </c>
      <c r="G9238" t="s">
        <v>28435</v>
      </c>
      <c r="H9238" t="s">
        <v>31129</v>
      </c>
      <c r="I9238" t="s">
        <v>31130</v>
      </c>
    </row>
    <row r="9239" spans="1:9">
      <c r="A9239" t="str">
        <f>"0031328 "</f>
        <v xml:space="preserve">0031328 </v>
      </c>
      <c r="B9239" t="s">
        <v>28432</v>
      </c>
      <c r="C9239" t="s">
        <v>31131</v>
      </c>
      <c r="D9239" t="s">
        <v>31132</v>
      </c>
      <c r="E9239" t="s">
        <v>16</v>
      </c>
      <c r="F9239" t="s">
        <v>31133</v>
      </c>
      <c r="G9239" t="s">
        <v>28435</v>
      </c>
      <c r="H9239" t="s">
        <v>31134</v>
      </c>
      <c r="I9239" t="s">
        <v>12261</v>
      </c>
    </row>
    <row r="9240" spans="1:9">
      <c r="A9240" t="str">
        <f>"0031329 "</f>
        <v xml:space="preserve">0031329 </v>
      </c>
      <c r="B9240" t="s">
        <v>28432</v>
      </c>
      <c r="C9240" t="s">
        <v>31135</v>
      </c>
      <c r="D9240" t="s">
        <v>31136</v>
      </c>
      <c r="E9240">
        <v>1</v>
      </c>
      <c r="F9240" t="s">
        <v>31137</v>
      </c>
      <c r="G9240" t="s">
        <v>28435</v>
      </c>
      <c r="H9240" t="s">
        <v>31138</v>
      </c>
      <c r="I9240" t="s">
        <v>31139</v>
      </c>
    </row>
    <row r="9241" spans="1:9">
      <c r="A9241" t="str">
        <f>"0031330 "</f>
        <v xml:space="preserve">0031330 </v>
      </c>
      <c r="B9241" t="s">
        <v>28432</v>
      </c>
      <c r="C9241" t="s">
        <v>31140</v>
      </c>
      <c r="D9241" t="s">
        <v>31141</v>
      </c>
      <c r="E9241" t="s">
        <v>16</v>
      </c>
      <c r="F9241" t="s">
        <v>28657</v>
      </c>
      <c r="G9241" t="s">
        <v>28435</v>
      </c>
      <c r="H9241" t="s">
        <v>31142</v>
      </c>
      <c r="I9241" t="s">
        <v>31143</v>
      </c>
    </row>
    <row r="9242" spans="1:9">
      <c r="A9242" t="str">
        <f>"0031331 "</f>
        <v xml:space="preserve">0031331 </v>
      </c>
      <c r="B9242" t="s">
        <v>28432</v>
      </c>
      <c r="C9242" t="s">
        <v>31144</v>
      </c>
      <c r="D9242" t="s">
        <v>31145</v>
      </c>
      <c r="E9242">
        <v>2</v>
      </c>
      <c r="F9242" t="s">
        <v>29377</v>
      </c>
      <c r="G9242" t="s">
        <v>28435</v>
      </c>
      <c r="H9242" t="s">
        <v>31146</v>
      </c>
      <c r="I9242" t="s">
        <v>1635</v>
      </c>
    </row>
    <row r="9243" spans="1:9">
      <c r="A9243" t="str">
        <f>"0031332 "</f>
        <v xml:space="preserve">0031332 </v>
      </c>
      <c r="B9243" t="s">
        <v>28432</v>
      </c>
      <c r="C9243" t="s">
        <v>31147</v>
      </c>
      <c r="D9243" t="s">
        <v>31148</v>
      </c>
      <c r="E9243" t="s">
        <v>16</v>
      </c>
      <c r="F9243" t="s">
        <v>29932</v>
      </c>
      <c r="G9243" t="s">
        <v>28435</v>
      </c>
      <c r="H9243" t="s">
        <v>31149</v>
      </c>
      <c r="I9243" t="s">
        <v>31150</v>
      </c>
    </row>
    <row r="9244" spans="1:9">
      <c r="A9244" t="str">
        <f>"0031333 "</f>
        <v xml:space="preserve">0031333 </v>
      </c>
      <c r="B9244" t="s">
        <v>28432</v>
      </c>
      <c r="C9244" t="s">
        <v>31151</v>
      </c>
      <c r="D9244" t="s">
        <v>31152</v>
      </c>
      <c r="E9244">
        <v>1</v>
      </c>
      <c r="F9244" t="s">
        <v>31153</v>
      </c>
      <c r="G9244" t="s">
        <v>28435</v>
      </c>
      <c r="H9244" t="s">
        <v>31154</v>
      </c>
      <c r="I9244" t="s">
        <v>31155</v>
      </c>
    </row>
    <row r="9245" spans="1:9">
      <c r="A9245" t="str">
        <f>"0031334 "</f>
        <v xml:space="preserve">0031334 </v>
      </c>
      <c r="B9245" t="s">
        <v>28432</v>
      </c>
      <c r="C9245" t="s">
        <v>31156</v>
      </c>
      <c r="D9245" t="s">
        <v>31157</v>
      </c>
      <c r="E9245">
        <v>2</v>
      </c>
      <c r="F9245" t="s">
        <v>30804</v>
      </c>
      <c r="G9245" t="s">
        <v>28435</v>
      </c>
      <c r="H9245" t="s">
        <v>31158</v>
      </c>
      <c r="I9245" t="s">
        <v>12317</v>
      </c>
    </row>
    <row r="9246" spans="1:9">
      <c r="A9246" t="str">
        <f>"0031337 "</f>
        <v xml:space="preserve">0031337 </v>
      </c>
      <c r="B9246" t="s">
        <v>28432</v>
      </c>
      <c r="C9246" t="s">
        <v>31159</v>
      </c>
      <c r="D9246" t="s">
        <v>31160</v>
      </c>
      <c r="E9246" t="s">
        <v>16</v>
      </c>
      <c r="F9246" t="s">
        <v>31161</v>
      </c>
      <c r="G9246" t="s">
        <v>28435</v>
      </c>
      <c r="H9246" t="s">
        <v>31162</v>
      </c>
      <c r="I9246" t="s">
        <v>31021</v>
      </c>
    </row>
    <row r="9247" spans="1:9">
      <c r="A9247" t="str">
        <f>"0038197 "</f>
        <v xml:space="preserve">0038197 </v>
      </c>
      <c r="B9247" t="s">
        <v>28432</v>
      </c>
      <c r="C9247" t="s">
        <v>31163</v>
      </c>
      <c r="D9247" t="s">
        <v>31164</v>
      </c>
      <c r="E9247">
        <v>2</v>
      </c>
      <c r="F9247" t="s">
        <v>31165</v>
      </c>
      <c r="G9247" t="s">
        <v>28435</v>
      </c>
      <c r="H9247" t="s">
        <v>31166</v>
      </c>
      <c r="I9247" t="s">
        <v>31167</v>
      </c>
    </row>
    <row r="9248" spans="1:9">
      <c r="A9248" t="str">
        <f>"0116727 "</f>
        <v xml:space="preserve">0116727 </v>
      </c>
      <c r="B9248" t="s">
        <v>28432</v>
      </c>
      <c r="C9248" t="s">
        <v>31168</v>
      </c>
      <c r="D9248" t="s">
        <v>31169</v>
      </c>
      <c r="E9248">
        <v>3</v>
      </c>
      <c r="F9248" t="s">
        <v>30427</v>
      </c>
      <c r="G9248" t="s">
        <v>28435</v>
      </c>
      <c r="H9248" t="s">
        <v>31170</v>
      </c>
      <c r="I9248" t="s">
        <v>31171</v>
      </c>
    </row>
    <row r="9249" spans="1:9">
      <c r="A9249" t="str">
        <f>"0031339 "</f>
        <v xml:space="preserve">0031339 </v>
      </c>
      <c r="B9249" t="s">
        <v>28432</v>
      </c>
      <c r="C9249" t="s">
        <v>31172</v>
      </c>
      <c r="D9249" t="s">
        <v>31173</v>
      </c>
      <c r="E9249">
        <v>3</v>
      </c>
      <c r="F9249" t="s">
        <v>29377</v>
      </c>
      <c r="G9249" t="s">
        <v>28435</v>
      </c>
      <c r="H9249" t="s">
        <v>31174</v>
      </c>
      <c r="I9249" t="s">
        <v>31175</v>
      </c>
    </row>
    <row r="9250" spans="1:9">
      <c r="A9250" t="str">
        <f>"0031341 "</f>
        <v xml:space="preserve">0031341 </v>
      </c>
      <c r="B9250" t="s">
        <v>28432</v>
      </c>
      <c r="C9250" t="s">
        <v>31176</v>
      </c>
      <c r="D9250" t="s">
        <v>31177</v>
      </c>
      <c r="E9250" t="s">
        <v>16</v>
      </c>
      <c r="F9250" t="s">
        <v>19342</v>
      </c>
      <c r="G9250" t="s">
        <v>28435</v>
      </c>
      <c r="H9250" t="s">
        <v>31178</v>
      </c>
      <c r="I9250" t="s">
        <v>31179</v>
      </c>
    </row>
    <row r="9251" spans="1:9">
      <c r="A9251" t="str">
        <f>"0031342 "</f>
        <v xml:space="preserve">0031342 </v>
      </c>
      <c r="B9251" t="s">
        <v>28432</v>
      </c>
      <c r="C9251" t="s">
        <v>31180</v>
      </c>
      <c r="D9251" t="s">
        <v>31181</v>
      </c>
      <c r="E9251">
        <v>1</v>
      </c>
      <c r="F9251" t="s">
        <v>31182</v>
      </c>
      <c r="G9251" t="s">
        <v>28435</v>
      </c>
      <c r="H9251" t="s">
        <v>31183</v>
      </c>
      <c r="I9251" t="s">
        <v>31184</v>
      </c>
    </row>
    <row r="9252" spans="1:9">
      <c r="A9252" t="str">
        <f>"0031344 "</f>
        <v xml:space="preserve">0031344 </v>
      </c>
      <c r="B9252" t="s">
        <v>28432</v>
      </c>
      <c r="C9252" t="s">
        <v>31185</v>
      </c>
      <c r="D9252" t="s">
        <v>31186</v>
      </c>
      <c r="E9252">
        <v>1</v>
      </c>
      <c r="F9252" t="s">
        <v>31187</v>
      </c>
      <c r="G9252" t="s">
        <v>28435</v>
      </c>
      <c r="H9252" t="s">
        <v>31188</v>
      </c>
      <c r="I9252" t="s">
        <v>31189</v>
      </c>
    </row>
    <row r="9253" spans="1:9">
      <c r="A9253" t="str">
        <f>"0031345 "</f>
        <v xml:space="preserve">0031345 </v>
      </c>
      <c r="B9253" t="s">
        <v>28432</v>
      </c>
      <c r="C9253" t="s">
        <v>31190</v>
      </c>
      <c r="D9253" t="s">
        <v>31191</v>
      </c>
      <c r="E9253">
        <v>3</v>
      </c>
      <c r="F9253" t="s">
        <v>27444</v>
      </c>
      <c r="G9253" t="s">
        <v>28435</v>
      </c>
      <c r="H9253" t="s">
        <v>31192</v>
      </c>
      <c r="I9253" t="s">
        <v>31193</v>
      </c>
    </row>
    <row r="9254" spans="1:9">
      <c r="A9254" t="str">
        <f>"0031346 "</f>
        <v xml:space="preserve">0031346 </v>
      </c>
      <c r="B9254" t="s">
        <v>28432</v>
      </c>
      <c r="C9254" t="s">
        <v>31194</v>
      </c>
      <c r="D9254" t="s">
        <v>31195</v>
      </c>
      <c r="E9254">
        <v>4</v>
      </c>
      <c r="F9254" t="s">
        <v>28557</v>
      </c>
      <c r="G9254" t="s">
        <v>28435</v>
      </c>
      <c r="H9254" t="s">
        <v>31196</v>
      </c>
      <c r="I9254" t="s">
        <v>18923</v>
      </c>
    </row>
    <row r="9255" spans="1:9">
      <c r="A9255" t="str">
        <f>"0031347 "</f>
        <v xml:space="preserve">0031347 </v>
      </c>
      <c r="B9255" t="s">
        <v>28432</v>
      </c>
      <c r="C9255" t="s">
        <v>31197</v>
      </c>
      <c r="D9255" t="s">
        <v>31198</v>
      </c>
      <c r="E9255">
        <v>1</v>
      </c>
      <c r="F9255" t="s">
        <v>31199</v>
      </c>
      <c r="G9255" t="s">
        <v>28435</v>
      </c>
      <c r="H9255" t="s">
        <v>31200</v>
      </c>
      <c r="I9255" t="s">
        <v>31201</v>
      </c>
    </row>
    <row r="9256" spans="1:9">
      <c r="A9256" t="str">
        <f>"0031348 "</f>
        <v xml:space="preserve">0031348 </v>
      </c>
      <c r="B9256" t="s">
        <v>28432</v>
      </c>
      <c r="C9256" t="s">
        <v>31202</v>
      </c>
      <c r="D9256" t="s">
        <v>31203</v>
      </c>
      <c r="E9256">
        <v>2</v>
      </c>
      <c r="F9256" t="s">
        <v>31204</v>
      </c>
      <c r="G9256" t="s">
        <v>28435</v>
      </c>
      <c r="H9256" t="s">
        <v>31205</v>
      </c>
      <c r="I9256" t="s">
        <v>31206</v>
      </c>
    </row>
    <row r="9257" spans="1:9">
      <c r="A9257" t="str">
        <f>"0031354 "</f>
        <v xml:space="preserve">0031354 </v>
      </c>
      <c r="B9257" t="s">
        <v>28432</v>
      </c>
      <c r="C9257" t="s">
        <v>31207</v>
      </c>
      <c r="D9257" t="s">
        <v>31208</v>
      </c>
      <c r="E9257" t="s">
        <v>16</v>
      </c>
      <c r="F9257" t="s">
        <v>31209</v>
      </c>
      <c r="G9257" t="s">
        <v>28435</v>
      </c>
      <c r="H9257" t="s">
        <v>31210</v>
      </c>
      <c r="I9257" t="s">
        <v>31211</v>
      </c>
    </row>
    <row r="9258" spans="1:9">
      <c r="A9258" t="str">
        <f>"0031355 "</f>
        <v xml:space="preserve">0031355 </v>
      </c>
      <c r="B9258" t="s">
        <v>28432</v>
      </c>
      <c r="C9258" t="s">
        <v>31212</v>
      </c>
      <c r="D9258" t="s">
        <v>31213</v>
      </c>
      <c r="E9258">
        <v>3</v>
      </c>
      <c r="F9258" t="s">
        <v>31214</v>
      </c>
      <c r="G9258" t="s">
        <v>28435</v>
      </c>
      <c r="H9258" t="s">
        <v>31215</v>
      </c>
      <c r="I9258" t="s">
        <v>12280</v>
      </c>
    </row>
    <row r="9259" spans="1:9">
      <c r="A9259" t="str">
        <f>"0031357 "</f>
        <v xml:space="preserve">0031357 </v>
      </c>
      <c r="B9259" t="s">
        <v>28432</v>
      </c>
      <c r="C9259" t="s">
        <v>31216</v>
      </c>
      <c r="D9259" t="s">
        <v>31217</v>
      </c>
      <c r="E9259" t="s">
        <v>16</v>
      </c>
      <c r="F9259" t="s">
        <v>30067</v>
      </c>
      <c r="G9259" t="s">
        <v>28435</v>
      </c>
      <c r="H9259" t="s">
        <v>31218</v>
      </c>
      <c r="I9259" t="s">
        <v>12342</v>
      </c>
    </row>
    <row r="9260" spans="1:9">
      <c r="A9260" t="str">
        <f>"0031358 "</f>
        <v xml:space="preserve">0031358 </v>
      </c>
      <c r="B9260" t="s">
        <v>28432</v>
      </c>
      <c r="C9260" t="s">
        <v>31219</v>
      </c>
      <c r="D9260" t="s">
        <v>31220</v>
      </c>
      <c r="E9260">
        <v>4</v>
      </c>
      <c r="F9260" t="s">
        <v>29063</v>
      </c>
      <c r="G9260" t="s">
        <v>28435</v>
      </c>
      <c r="H9260" t="s">
        <v>31221</v>
      </c>
      <c r="I9260" t="s">
        <v>1694</v>
      </c>
    </row>
    <row r="9261" spans="1:9">
      <c r="A9261" t="str">
        <f>"0031359 "</f>
        <v xml:space="preserve">0031359 </v>
      </c>
      <c r="B9261" t="s">
        <v>28432</v>
      </c>
      <c r="C9261" t="s">
        <v>31222</v>
      </c>
      <c r="D9261" t="s">
        <v>31223</v>
      </c>
      <c r="E9261">
        <v>1</v>
      </c>
      <c r="F9261" t="s">
        <v>30915</v>
      </c>
      <c r="G9261" t="s">
        <v>28435</v>
      </c>
      <c r="H9261" t="s">
        <v>31224</v>
      </c>
      <c r="I9261" t="s">
        <v>31225</v>
      </c>
    </row>
    <row r="9262" spans="1:9">
      <c r="A9262" t="str">
        <f>"0031360 "</f>
        <v xml:space="preserve">0031360 </v>
      </c>
      <c r="B9262" t="s">
        <v>28432</v>
      </c>
      <c r="C9262" t="s">
        <v>31226</v>
      </c>
      <c r="D9262" t="s">
        <v>31227</v>
      </c>
      <c r="E9262" t="s">
        <v>16</v>
      </c>
      <c r="F9262" t="s">
        <v>30242</v>
      </c>
      <c r="G9262" t="s">
        <v>28435</v>
      </c>
      <c r="H9262" t="s">
        <v>31228</v>
      </c>
      <c r="I9262" t="s">
        <v>31229</v>
      </c>
    </row>
    <row r="9263" spans="1:9">
      <c r="A9263" t="str">
        <f>"0031361 "</f>
        <v xml:space="preserve">0031361 </v>
      </c>
      <c r="B9263" t="s">
        <v>28432</v>
      </c>
      <c r="C9263" t="s">
        <v>31230</v>
      </c>
      <c r="D9263" t="s">
        <v>31231</v>
      </c>
      <c r="E9263">
        <v>1</v>
      </c>
      <c r="F9263" t="s">
        <v>28862</v>
      </c>
      <c r="G9263" t="s">
        <v>28435</v>
      </c>
      <c r="H9263" t="s">
        <v>31232</v>
      </c>
      <c r="I9263" t="s">
        <v>31233</v>
      </c>
    </row>
    <row r="9264" spans="1:9">
      <c r="A9264" t="str">
        <f>"0031362 "</f>
        <v xml:space="preserve">0031362 </v>
      </c>
      <c r="B9264" t="s">
        <v>28432</v>
      </c>
      <c r="C9264" t="s">
        <v>31234</v>
      </c>
      <c r="D9264" t="s">
        <v>31235</v>
      </c>
      <c r="E9264" t="s">
        <v>16</v>
      </c>
      <c r="F9264" t="s">
        <v>30879</v>
      </c>
      <c r="G9264" t="s">
        <v>28435</v>
      </c>
      <c r="H9264" t="s">
        <v>31236</v>
      </c>
      <c r="I9264" t="s">
        <v>12288</v>
      </c>
    </row>
    <row r="9265" spans="1:9">
      <c r="A9265" t="str">
        <f>"0031363 "</f>
        <v xml:space="preserve">0031363 </v>
      </c>
      <c r="B9265" t="s">
        <v>28432</v>
      </c>
      <c r="C9265" t="s">
        <v>31237</v>
      </c>
      <c r="D9265" t="s">
        <v>31238</v>
      </c>
      <c r="E9265" t="s">
        <v>16</v>
      </c>
      <c r="F9265" t="s">
        <v>31239</v>
      </c>
      <c r="G9265" t="s">
        <v>28435</v>
      </c>
      <c r="H9265" t="s">
        <v>31240</v>
      </c>
      <c r="I9265" t="s">
        <v>31241</v>
      </c>
    </row>
    <row r="9266" spans="1:9">
      <c r="A9266" t="str">
        <f>"0031364 "</f>
        <v xml:space="preserve">0031364 </v>
      </c>
      <c r="B9266" t="s">
        <v>28432</v>
      </c>
      <c r="C9266" t="s">
        <v>31242</v>
      </c>
      <c r="D9266" t="s">
        <v>31243</v>
      </c>
      <c r="E9266">
        <v>1</v>
      </c>
      <c r="F9266" t="s">
        <v>28535</v>
      </c>
      <c r="G9266" t="s">
        <v>28435</v>
      </c>
      <c r="H9266" t="s">
        <v>31244</v>
      </c>
      <c r="I9266" t="s">
        <v>31245</v>
      </c>
    </row>
    <row r="9267" spans="1:9">
      <c r="A9267" t="str">
        <f>"0031365 "</f>
        <v xml:space="preserve">0031365 </v>
      </c>
      <c r="B9267" t="s">
        <v>28432</v>
      </c>
      <c r="C9267" t="s">
        <v>31246</v>
      </c>
      <c r="D9267" t="s">
        <v>31247</v>
      </c>
      <c r="E9267">
        <v>1</v>
      </c>
      <c r="F9267" t="s">
        <v>31248</v>
      </c>
      <c r="G9267" t="s">
        <v>28435</v>
      </c>
      <c r="H9267" t="s">
        <v>31249</v>
      </c>
      <c r="I9267" t="s">
        <v>12269</v>
      </c>
    </row>
    <row r="9268" spans="1:9">
      <c r="A9268" t="str">
        <f>"0031366 "</f>
        <v xml:space="preserve">0031366 </v>
      </c>
      <c r="B9268" t="s">
        <v>28432</v>
      </c>
      <c r="C9268" t="s">
        <v>31250</v>
      </c>
      <c r="D9268" t="s">
        <v>31251</v>
      </c>
      <c r="E9268">
        <v>2</v>
      </c>
      <c r="F9268" t="s">
        <v>28525</v>
      </c>
      <c r="G9268" t="s">
        <v>28435</v>
      </c>
      <c r="H9268" t="s">
        <v>31252</v>
      </c>
      <c r="I9268" t="s">
        <v>31253</v>
      </c>
    </row>
    <row r="9269" spans="1:9">
      <c r="A9269" t="str">
        <f>"0031367 "</f>
        <v xml:space="preserve">0031367 </v>
      </c>
      <c r="B9269" t="s">
        <v>28432</v>
      </c>
      <c r="C9269" t="s">
        <v>31254</v>
      </c>
      <c r="D9269" t="s">
        <v>31255</v>
      </c>
      <c r="E9269">
        <v>2</v>
      </c>
      <c r="F9269" t="s">
        <v>29693</v>
      </c>
      <c r="G9269" t="s">
        <v>28435</v>
      </c>
      <c r="H9269" t="s">
        <v>31256</v>
      </c>
      <c r="I9269" t="s">
        <v>12292</v>
      </c>
    </row>
    <row r="9270" spans="1:9">
      <c r="A9270" t="str">
        <f>"0031370 "</f>
        <v xml:space="preserve">0031370 </v>
      </c>
      <c r="B9270" t="s">
        <v>28432</v>
      </c>
      <c r="C9270" t="s">
        <v>31257</v>
      </c>
      <c r="D9270" t="s">
        <v>31258</v>
      </c>
      <c r="E9270">
        <v>1</v>
      </c>
      <c r="F9270" t="s">
        <v>29891</v>
      </c>
      <c r="G9270" t="s">
        <v>28435</v>
      </c>
      <c r="H9270" t="s">
        <v>31259</v>
      </c>
      <c r="I9270" t="s">
        <v>31260</v>
      </c>
    </row>
    <row r="9271" spans="1:9">
      <c r="A9271" t="str">
        <f>"0031373 "</f>
        <v xml:space="preserve">0031373 </v>
      </c>
      <c r="B9271" t="s">
        <v>28432</v>
      </c>
      <c r="C9271" t="s">
        <v>31261</v>
      </c>
      <c r="D9271" t="s">
        <v>31262</v>
      </c>
      <c r="E9271" t="s">
        <v>16</v>
      </c>
      <c r="F9271" t="s">
        <v>28525</v>
      </c>
      <c r="G9271" t="s">
        <v>28435</v>
      </c>
      <c r="H9271" t="s">
        <v>31263</v>
      </c>
      <c r="I9271" t="s">
        <v>12321</v>
      </c>
    </row>
    <row r="9272" spans="1:9">
      <c r="A9272" t="str">
        <f>"0031374 "</f>
        <v xml:space="preserve">0031374 </v>
      </c>
      <c r="B9272" t="s">
        <v>28432</v>
      </c>
      <c r="C9272" t="s">
        <v>31264</v>
      </c>
      <c r="D9272" t="s">
        <v>31265</v>
      </c>
      <c r="E9272">
        <v>1</v>
      </c>
      <c r="F9272" t="s">
        <v>31266</v>
      </c>
      <c r="G9272" t="s">
        <v>28435</v>
      </c>
      <c r="H9272" t="s">
        <v>31267</v>
      </c>
      <c r="I9272" t="s">
        <v>31268</v>
      </c>
    </row>
    <row r="9273" spans="1:9">
      <c r="A9273" t="str">
        <f>"0031375 "</f>
        <v xml:space="preserve">0031375 </v>
      </c>
      <c r="B9273" t="s">
        <v>28432</v>
      </c>
      <c r="C9273" t="s">
        <v>31269</v>
      </c>
      <c r="D9273" t="s">
        <v>31270</v>
      </c>
      <c r="E9273">
        <v>1</v>
      </c>
      <c r="F9273" t="s">
        <v>31271</v>
      </c>
      <c r="G9273" t="s">
        <v>28435</v>
      </c>
      <c r="H9273" t="s">
        <v>31272</v>
      </c>
      <c r="I9273" t="s">
        <v>31273</v>
      </c>
    </row>
    <row r="9274" spans="1:9">
      <c r="A9274" t="str">
        <f>"0116717 "</f>
        <v xml:space="preserve">0116717 </v>
      </c>
      <c r="B9274" t="s">
        <v>28432</v>
      </c>
      <c r="C9274" t="s">
        <v>31274</v>
      </c>
      <c r="D9274" t="s">
        <v>31275</v>
      </c>
      <c r="E9274">
        <v>1</v>
      </c>
      <c r="F9274" t="s">
        <v>31276</v>
      </c>
      <c r="G9274" t="s">
        <v>28435</v>
      </c>
      <c r="H9274" t="s">
        <v>31277</v>
      </c>
      <c r="I9274" t="s">
        <v>31278</v>
      </c>
    </row>
    <row r="9275" spans="1:9">
      <c r="A9275" t="str">
        <f>"0031377 "</f>
        <v xml:space="preserve">0031377 </v>
      </c>
      <c r="B9275" t="s">
        <v>28432</v>
      </c>
      <c r="C9275" t="s">
        <v>31279</v>
      </c>
      <c r="D9275" t="s">
        <v>31280</v>
      </c>
      <c r="E9275">
        <v>1</v>
      </c>
      <c r="F9275" t="s">
        <v>29707</v>
      </c>
      <c r="G9275" t="s">
        <v>28435</v>
      </c>
      <c r="H9275" t="s">
        <v>31281</v>
      </c>
      <c r="I9275" t="s">
        <v>31282</v>
      </c>
    </row>
    <row r="9276" spans="1:9">
      <c r="A9276" t="str">
        <f>"0031378 "</f>
        <v xml:space="preserve">0031378 </v>
      </c>
      <c r="B9276" t="s">
        <v>28432</v>
      </c>
      <c r="C9276" t="s">
        <v>31283</v>
      </c>
      <c r="D9276" t="s">
        <v>31284</v>
      </c>
      <c r="E9276">
        <v>3</v>
      </c>
      <c r="F9276" t="s">
        <v>2028</v>
      </c>
      <c r="G9276" t="s">
        <v>28435</v>
      </c>
      <c r="H9276" t="s">
        <v>31285</v>
      </c>
      <c r="I9276" t="s">
        <v>11681</v>
      </c>
    </row>
    <row r="9277" spans="1:9">
      <c r="A9277" t="str">
        <f>"0031381 "</f>
        <v xml:space="preserve">0031381 </v>
      </c>
      <c r="B9277" t="s">
        <v>28432</v>
      </c>
      <c r="C9277" t="s">
        <v>31286</v>
      </c>
      <c r="D9277" t="s">
        <v>31287</v>
      </c>
      <c r="E9277">
        <v>2</v>
      </c>
      <c r="F9277" t="s">
        <v>29078</v>
      </c>
      <c r="G9277" t="s">
        <v>28435</v>
      </c>
      <c r="H9277" t="s">
        <v>31288</v>
      </c>
      <c r="I9277" t="s">
        <v>31289</v>
      </c>
    </row>
    <row r="9278" spans="1:9">
      <c r="A9278" t="str">
        <f>"0031384 "</f>
        <v xml:space="preserve">0031384 </v>
      </c>
      <c r="B9278" t="s">
        <v>28432</v>
      </c>
      <c r="C9278" t="s">
        <v>31290</v>
      </c>
      <c r="D9278" t="s">
        <v>31291</v>
      </c>
      <c r="E9278">
        <v>2</v>
      </c>
      <c r="F9278" t="s">
        <v>31292</v>
      </c>
      <c r="G9278" t="s">
        <v>28435</v>
      </c>
      <c r="H9278" t="s">
        <v>31293</v>
      </c>
      <c r="I9278" t="s">
        <v>31294</v>
      </c>
    </row>
    <row r="9279" spans="1:9">
      <c r="A9279" t="str">
        <f>"0031394 "</f>
        <v xml:space="preserve">0031394 </v>
      </c>
      <c r="B9279" t="s">
        <v>28432</v>
      </c>
      <c r="C9279" t="s">
        <v>31295</v>
      </c>
      <c r="D9279" t="s">
        <v>31296</v>
      </c>
      <c r="E9279">
        <v>1</v>
      </c>
      <c r="F9279" t="s">
        <v>28626</v>
      </c>
      <c r="G9279" t="s">
        <v>28435</v>
      </c>
      <c r="H9279" t="s">
        <v>31297</v>
      </c>
      <c r="I9279" t="s">
        <v>12265</v>
      </c>
    </row>
    <row r="9280" spans="1:9">
      <c r="A9280" t="str">
        <f>"0031395 "</f>
        <v xml:space="preserve">0031395 </v>
      </c>
      <c r="B9280" t="s">
        <v>28432</v>
      </c>
      <c r="C9280" t="s">
        <v>31298</v>
      </c>
      <c r="D9280" t="s">
        <v>31299</v>
      </c>
      <c r="E9280">
        <v>2</v>
      </c>
      <c r="F9280" t="s">
        <v>31300</v>
      </c>
      <c r="G9280" t="s">
        <v>28435</v>
      </c>
      <c r="H9280" t="s">
        <v>31301</v>
      </c>
      <c r="I9280" t="s">
        <v>31302</v>
      </c>
    </row>
    <row r="9281" spans="1:9">
      <c r="A9281" t="str">
        <f>"0031399 "</f>
        <v xml:space="preserve">0031399 </v>
      </c>
      <c r="B9281" t="s">
        <v>28432</v>
      </c>
      <c r="C9281" t="s">
        <v>31303</v>
      </c>
      <c r="D9281" t="s">
        <v>31304</v>
      </c>
      <c r="E9281">
        <v>1</v>
      </c>
      <c r="F9281" t="s">
        <v>31305</v>
      </c>
      <c r="G9281" t="s">
        <v>28435</v>
      </c>
      <c r="H9281" t="s">
        <v>31306</v>
      </c>
      <c r="I9281" t="s">
        <v>31307</v>
      </c>
    </row>
    <row r="9282" spans="1:9">
      <c r="A9282" t="str">
        <f>"0031400 "</f>
        <v xml:space="preserve">0031400 </v>
      </c>
      <c r="B9282" t="s">
        <v>28432</v>
      </c>
      <c r="C9282" t="s">
        <v>31308</v>
      </c>
      <c r="D9282" t="s">
        <v>31309</v>
      </c>
      <c r="E9282" t="s">
        <v>16</v>
      </c>
      <c r="F9282" t="s">
        <v>29932</v>
      </c>
      <c r="G9282" t="s">
        <v>28435</v>
      </c>
      <c r="H9282" t="s">
        <v>31310</v>
      </c>
      <c r="I9282" t="s">
        <v>1687</v>
      </c>
    </row>
    <row r="9283" spans="1:9">
      <c r="A9283" t="str">
        <f>"0031402 "</f>
        <v xml:space="preserve">0031402 </v>
      </c>
      <c r="B9283" t="s">
        <v>28432</v>
      </c>
      <c r="C9283" t="s">
        <v>31311</v>
      </c>
      <c r="D9283" t="s">
        <v>31312</v>
      </c>
      <c r="E9283">
        <v>1</v>
      </c>
      <c r="F9283" t="s">
        <v>30218</v>
      </c>
      <c r="G9283" t="s">
        <v>28435</v>
      </c>
      <c r="H9283" t="s">
        <v>31313</v>
      </c>
      <c r="I9283" t="s">
        <v>31314</v>
      </c>
    </row>
    <row r="9284" spans="1:9">
      <c r="A9284" t="str">
        <f>"0031403 "</f>
        <v xml:space="preserve">0031403 </v>
      </c>
      <c r="B9284" t="s">
        <v>28432</v>
      </c>
      <c r="C9284" t="s">
        <v>31315</v>
      </c>
      <c r="D9284" t="s">
        <v>31316</v>
      </c>
      <c r="E9284">
        <v>5</v>
      </c>
      <c r="F9284" t="s">
        <v>31317</v>
      </c>
      <c r="G9284" t="s">
        <v>28435</v>
      </c>
      <c r="H9284" t="s">
        <v>31318</v>
      </c>
      <c r="I9284" t="s">
        <v>31319</v>
      </c>
    </row>
    <row r="9285" spans="1:9">
      <c r="A9285" t="str">
        <f>"0031404 "</f>
        <v xml:space="preserve">0031404 </v>
      </c>
      <c r="B9285" t="s">
        <v>28432</v>
      </c>
      <c r="C9285" t="s">
        <v>31320</v>
      </c>
      <c r="D9285" t="s">
        <v>31321</v>
      </c>
      <c r="E9285" t="s">
        <v>16</v>
      </c>
      <c r="F9285" t="s">
        <v>28732</v>
      </c>
      <c r="G9285" t="s">
        <v>28435</v>
      </c>
      <c r="H9285" t="s">
        <v>31322</v>
      </c>
      <c r="I9285" t="s">
        <v>31323</v>
      </c>
    </row>
    <row r="9286" spans="1:9">
      <c r="A9286" t="str">
        <f>"0031405 "</f>
        <v xml:space="preserve">0031405 </v>
      </c>
      <c r="B9286" t="s">
        <v>28432</v>
      </c>
      <c r="C9286" t="s">
        <v>31324</v>
      </c>
      <c r="D9286" t="s">
        <v>31325</v>
      </c>
      <c r="E9286" t="s">
        <v>16</v>
      </c>
      <c r="F9286" t="s">
        <v>31305</v>
      </c>
      <c r="G9286" t="s">
        <v>28435</v>
      </c>
      <c r="H9286" t="s">
        <v>31326</v>
      </c>
      <c r="I9286" t="s">
        <v>31327</v>
      </c>
    </row>
    <row r="9287" spans="1:9">
      <c r="A9287" t="str">
        <f>"0031408 "</f>
        <v xml:space="preserve">0031408 </v>
      </c>
      <c r="B9287" t="s">
        <v>28432</v>
      </c>
      <c r="C9287" t="s">
        <v>31328</v>
      </c>
      <c r="D9287" t="s">
        <v>31329</v>
      </c>
      <c r="E9287">
        <v>1</v>
      </c>
      <c r="F9287" t="s">
        <v>31330</v>
      </c>
      <c r="G9287" t="s">
        <v>28435</v>
      </c>
      <c r="H9287" t="s">
        <v>31331</v>
      </c>
      <c r="I9287" t="s">
        <v>31332</v>
      </c>
    </row>
    <row r="9288" spans="1:9">
      <c r="A9288" t="str">
        <f>"0031412 "</f>
        <v xml:space="preserve">0031412 </v>
      </c>
      <c r="B9288" t="s">
        <v>28432</v>
      </c>
      <c r="C9288" t="s">
        <v>31333</v>
      </c>
      <c r="D9288" t="s">
        <v>31334</v>
      </c>
      <c r="E9288" t="s">
        <v>16</v>
      </c>
      <c r="F9288" t="s">
        <v>28998</v>
      </c>
      <c r="G9288" t="s">
        <v>28435</v>
      </c>
      <c r="H9288" t="s">
        <v>31335</v>
      </c>
      <c r="I9288" t="s">
        <v>31336</v>
      </c>
    </row>
    <row r="9289" spans="1:9">
      <c r="A9289" t="str">
        <f>"0031414 "</f>
        <v xml:space="preserve">0031414 </v>
      </c>
      <c r="B9289" t="s">
        <v>28432</v>
      </c>
      <c r="C9289" t="s">
        <v>31337</v>
      </c>
      <c r="D9289" t="s">
        <v>31338</v>
      </c>
      <c r="E9289" t="s">
        <v>16</v>
      </c>
      <c r="F9289" t="s">
        <v>31339</v>
      </c>
      <c r="G9289" t="s">
        <v>28435</v>
      </c>
      <c r="H9289" t="s">
        <v>31340</v>
      </c>
      <c r="I9289" t="s">
        <v>31341</v>
      </c>
    </row>
    <row r="9290" spans="1:9">
      <c r="A9290" t="str">
        <f>"0116720 "</f>
        <v xml:space="preserve">0116720 </v>
      </c>
      <c r="B9290" t="s">
        <v>28432</v>
      </c>
      <c r="C9290" t="s">
        <v>31342</v>
      </c>
      <c r="D9290" t="s">
        <v>31343</v>
      </c>
      <c r="E9290">
        <v>1</v>
      </c>
      <c r="F9290" t="s">
        <v>31344</v>
      </c>
      <c r="G9290" t="s">
        <v>28435</v>
      </c>
      <c r="H9290" t="s">
        <v>31345</v>
      </c>
      <c r="I9290" t="s">
        <v>31346</v>
      </c>
    </row>
    <row r="9291" spans="1:9">
      <c r="A9291" t="str">
        <f>"0031418 "</f>
        <v xml:space="preserve">0031418 </v>
      </c>
      <c r="B9291" t="s">
        <v>28432</v>
      </c>
      <c r="C9291" t="s">
        <v>31347</v>
      </c>
      <c r="D9291" t="s">
        <v>31348</v>
      </c>
      <c r="E9291">
        <v>1</v>
      </c>
      <c r="F9291" t="s">
        <v>29533</v>
      </c>
      <c r="G9291" t="s">
        <v>28435</v>
      </c>
      <c r="H9291" t="s">
        <v>31349</v>
      </c>
      <c r="I9291" t="s">
        <v>31350</v>
      </c>
    </row>
    <row r="9292" spans="1:9">
      <c r="A9292" t="str">
        <f>"0031419 "</f>
        <v xml:space="preserve">0031419 </v>
      </c>
      <c r="B9292" t="s">
        <v>28432</v>
      </c>
      <c r="C9292" t="s">
        <v>31351</v>
      </c>
      <c r="D9292" t="s">
        <v>31352</v>
      </c>
      <c r="E9292" t="s">
        <v>16</v>
      </c>
      <c r="F9292" t="s">
        <v>30077</v>
      </c>
      <c r="G9292" t="s">
        <v>28435</v>
      </c>
      <c r="H9292" t="s">
        <v>31353</v>
      </c>
      <c r="I9292" t="s">
        <v>31354</v>
      </c>
    </row>
    <row r="9293" spans="1:9">
      <c r="A9293" t="str">
        <f>"0031420 "</f>
        <v xml:space="preserve">0031420 </v>
      </c>
      <c r="B9293" t="s">
        <v>28432</v>
      </c>
      <c r="C9293" t="s">
        <v>31355</v>
      </c>
      <c r="D9293" t="s">
        <v>31356</v>
      </c>
      <c r="E9293">
        <v>1</v>
      </c>
      <c r="F9293" t="s">
        <v>28998</v>
      </c>
      <c r="G9293" t="s">
        <v>28435</v>
      </c>
      <c r="H9293" t="s">
        <v>31357</v>
      </c>
      <c r="I9293" t="s">
        <v>31358</v>
      </c>
    </row>
    <row r="9294" spans="1:9">
      <c r="A9294" t="str">
        <f>"0038203 "</f>
        <v xml:space="preserve">0038203 </v>
      </c>
      <c r="B9294" t="s">
        <v>28432</v>
      </c>
      <c r="C9294" t="s">
        <v>31359</v>
      </c>
      <c r="D9294" t="s">
        <v>31360</v>
      </c>
      <c r="E9294">
        <v>2</v>
      </c>
      <c r="F9294" t="s">
        <v>28802</v>
      </c>
      <c r="G9294" t="s">
        <v>28435</v>
      </c>
      <c r="H9294" t="s">
        <v>31361</v>
      </c>
      <c r="I9294" t="s">
        <v>31362</v>
      </c>
    </row>
    <row r="9295" spans="1:9">
      <c r="A9295" t="str">
        <f>"0048788 "</f>
        <v xml:space="preserve">0048788 </v>
      </c>
      <c r="B9295" t="s">
        <v>28432</v>
      </c>
      <c r="C9295" t="s">
        <v>31363</v>
      </c>
      <c r="D9295" t="s">
        <v>31364</v>
      </c>
      <c r="E9295">
        <v>3</v>
      </c>
      <c r="F9295" t="s">
        <v>31365</v>
      </c>
      <c r="G9295" t="s">
        <v>28435</v>
      </c>
      <c r="H9295" t="s">
        <v>31366</v>
      </c>
      <c r="I9295" t="s">
        <v>31367</v>
      </c>
    </row>
    <row r="9296" spans="1:9">
      <c r="A9296" t="str">
        <f>"0048789 "</f>
        <v xml:space="preserve">0048789 </v>
      </c>
      <c r="B9296" t="s">
        <v>28432</v>
      </c>
      <c r="C9296" t="s">
        <v>31368</v>
      </c>
      <c r="D9296" t="s">
        <v>31369</v>
      </c>
      <c r="E9296">
        <v>1</v>
      </c>
      <c r="F9296" t="s">
        <v>31370</v>
      </c>
      <c r="G9296" t="s">
        <v>28435</v>
      </c>
      <c r="H9296" t="s">
        <v>31371</v>
      </c>
      <c r="I9296" t="s">
        <v>31372</v>
      </c>
    </row>
    <row r="9297" spans="1:9">
      <c r="A9297" t="str">
        <f>"0031425 "</f>
        <v xml:space="preserve">0031425 </v>
      </c>
      <c r="B9297" t="s">
        <v>28432</v>
      </c>
      <c r="C9297" t="s">
        <v>31373</v>
      </c>
      <c r="D9297" t="s">
        <v>31374</v>
      </c>
      <c r="E9297">
        <v>2</v>
      </c>
      <c r="F9297" t="s">
        <v>31375</v>
      </c>
      <c r="G9297" t="s">
        <v>28435</v>
      </c>
      <c r="H9297" t="s">
        <v>31376</v>
      </c>
      <c r="I9297" t="s">
        <v>31377</v>
      </c>
    </row>
    <row r="9298" spans="1:9">
      <c r="A9298" t="str">
        <f>"0031427 "</f>
        <v xml:space="preserve">0031427 </v>
      </c>
      <c r="B9298" t="s">
        <v>28432</v>
      </c>
      <c r="C9298" t="s">
        <v>31378</v>
      </c>
      <c r="D9298" t="s">
        <v>31379</v>
      </c>
      <c r="E9298">
        <v>2</v>
      </c>
      <c r="F9298" t="s">
        <v>31380</v>
      </c>
      <c r="G9298" t="s">
        <v>28435</v>
      </c>
      <c r="H9298" t="s">
        <v>31381</v>
      </c>
      <c r="I9298" t="s">
        <v>1698</v>
      </c>
    </row>
    <row r="9299" spans="1:9">
      <c r="A9299" t="str">
        <f>"0038204 "</f>
        <v xml:space="preserve">0038204 </v>
      </c>
      <c r="B9299" t="s">
        <v>28432</v>
      </c>
      <c r="C9299" t="s">
        <v>31382</v>
      </c>
      <c r="D9299" t="s">
        <v>31383</v>
      </c>
      <c r="E9299">
        <v>3</v>
      </c>
      <c r="F9299" t="s">
        <v>28838</v>
      </c>
      <c r="G9299" t="s">
        <v>28435</v>
      </c>
      <c r="H9299" t="s">
        <v>31384</v>
      </c>
      <c r="I9299" t="s">
        <v>1719</v>
      </c>
    </row>
    <row r="9300" spans="1:9">
      <c r="A9300" t="str">
        <f>"0031432 "</f>
        <v xml:space="preserve">0031432 </v>
      </c>
      <c r="B9300" t="s">
        <v>28432</v>
      </c>
      <c r="C9300" t="s">
        <v>31385</v>
      </c>
      <c r="D9300" t="s">
        <v>31386</v>
      </c>
      <c r="E9300" t="s">
        <v>16</v>
      </c>
      <c r="F9300" t="s">
        <v>10309</v>
      </c>
      <c r="G9300" t="s">
        <v>28435</v>
      </c>
      <c r="H9300" t="s">
        <v>31387</v>
      </c>
      <c r="I9300" t="s">
        <v>31388</v>
      </c>
    </row>
    <row r="9301" spans="1:9">
      <c r="A9301" t="str">
        <f>"0031434 "</f>
        <v xml:space="preserve">0031434 </v>
      </c>
      <c r="B9301" t="s">
        <v>28432</v>
      </c>
      <c r="C9301" t="s">
        <v>31389</v>
      </c>
      <c r="D9301" t="s">
        <v>31390</v>
      </c>
      <c r="E9301">
        <v>2</v>
      </c>
      <c r="F9301" t="s">
        <v>31391</v>
      </c>
      <c r="G9301" t="s">
        <v>28435</v>
      </c>
      <c r="H9301" t="s">
        <v>31392</v>
      </c>
      <c r="I9301" t="s">
        <v>31393</v>
      </c>
    </row>
    <row r="9302" spans="1:9">
      <c r="A9302" t="str">
        <f>"0038205 "</f>
        <v xml:space="preserve">0038205 </v>
      </c>
      <c r="B9302" t="s">
        <v>28432</v>
      </c>
      <c r="C9302" t="s">
        <v>31394</v>
      </c>
      <c r="D9302" t="s">
        <v>31395</v>
      </c>
      <c r="E9302">
        <v>2</v>
      </c>
      <c r="F9302" t="s">
        <v>31396</v>
      </c>
      <c r="G9302" t="s">
        <v>28435</v>
      </c>
      <c r="H9302" t="s">
        <v>31397</v>
      </c>
      <c r="I9302" t="s">
        <v>31398</v>
      </c>
    </row>
    <row r="9303" spans="1:9">
      <c r="A9303" t="str">
        <f>"0116723 "</f>
        <v xml:space="preserve">0116723 </v>
      </c>
      <c r="B9303" t="s">
        <v>28432</v>
      </c>
      <c r="C9303" t="s">
        <v>31399</v>
      </c>
      <c r="D9303" t="s">
        <v>31400</v>
      </c>
      <c r="E9303">
        <v>1</v>
      </c>
      <c r="F9303" t="s">
        <v>31401</v>
      </c>
      <c r="G9303" t="s">
        <v>28435</v>
      </c>
      <c r="H9303" t="s">
        <v>31402</v>
      </c>
      <c r="I9303" t="s">
        <v>31403</v>
      </c>
    </row>
    <row r="9304" spans="1:9">
      <c r="A9304" t="str">
        <f>"0031438 "</f>
        <v xml:space="preserve">0031438 </v>
      </c>
      <c r="B9304" t="s">
        <v>28432</v>
      </c>
      <c r="C9304" t="s">
        <v>31404</v>
      </c>
      <c r="D9304" t="s">
        <v>31405</v>
      </c>
      <c r="E9304">
        <v>1</v>
      </c>
      <c r="F9304" t="s">
        <v>3566</v>
      </c>
      <c r="G9304" t="s">
        <v>28435</v>
      </c>
      <c r="H9304" t="s">
        <v>31406</v>
      </c>
      <c r="I9304" t="s">
        <v>31407</v>
      </c>
    </row>
    <row r="9305" spans="1:9">
      <c r="A9305" t="str">
        <f>"0031439 "</f>
        <v xml:space="preserve">0031439 </v>
      </c>
      <c r="B9305" t="s">
        <v>28432</v>
      </c>
      <c r="C9305" t="s">
        <v>31408</v>
      </c>
      <c r="D9305" t="s">
        <v>31409</v>
      </c>
      <c r="E9305">
        <v>4</v>
      </c>
      <c r="F9305" t="s">
        <v>31410</v>
      </c>
      <c r="G9305" t="s">
        <v>28435</v>
      </c>
      <c r="H9305" t="s">
        <v>31411</v>
      </c>
      <c r="I9305" t="s">
        <v>31412</v>
      </c>
    </row>
    <row r="9306" spans="1:9">
      <c r="A9306" t="str">
        <f>"0048790 "</f>
        <v xml:space="preserve">0048790 </v>
      </c>
      <c r="B9306" t="s">
        <v>28432</v>
      </c>
      <c r="C9306" t="s">
        <v>31413</v>
      </c>
      <c r="D9306" t="s">
        <v>31414</v>
      </c>
      <c r="E9306">
        <v>2</v>
      </c>
      <c r="F9306" t="s">
        <v>31415</v>
      </c>
      <c r="G9306" t="s">
        <v>28435</v>
      </c>
      <c r="H9306" t="s">
        <v>31416</v>
      </c>
      <c r="I9306" t="s">
        <v>31417</v>
      </c>
    </row>
    <row r="9307" spans="1:9">
      <c r="A9307" t="str">
        <f>"0038207 "</f>
        <v xml:space="preserve">0038207 </v>
      </c>
      <c r="B9307" t="s">
        <v>28432</v>
      </c>
      <c r="C9307" t="s">
        <v>31418</v>
      </c>
      <c r="D9307" t="s">
        <v>31419</v>
      </c>
      <c r="E9307">
        <v>2</v>
      </c>
      <c r="F9307" t="s">
        <v>30637</v>
      </c>
      <c r="G9307" t="s">
        <v>28435</v>
      </c>
      <c r="H9307" t="s">
        <v>31420</v>
      </c>
      <c r="I9307" t="s">
        <v>31421</v>
      </c>
    </row>
    <row r="9308" spans="1:9">
      <c r="A9308" t="str">
        <f>"0048792 "</f>
        <v xml:space="preserve">0048792 </v>
      </c>
      <c r="B9308" t="s">
        <v>28432</v>
      </c>
      <c r="C9308" t="s">
        <v>31422</v>
      </c>
      <c r="D9308" t="s">
        <v>31423</v>
      </c>
      <c r="E9308" t="s">
        <v>16</v>
      </c>
      <c r="F9308" t="s">
        <v>30834</v>
      </c>
      <c r="G9308" t="s">
        <v>28435</v>
      </c>
      <c r="H9308" t="s">
        <v>31424</v>
      </c>
      <c r="I9308" t="s">
        <v>31425</v>
      </c>
    </row>
    <row r="9309" spans="1:9">
      <c r="A9309" t="str">
        <f>"0159235 "</f>
        <v xml:space="preserve">0159235 </v>
      </c>
      <c r="B9309" t="s">
        <v>28432</v>
      </c>
      <c r="C9309" t="s">
        <v>31426</v>
      </c>
      <c r="D9309" t="s">
        <v>31427</v>
      </c>
      <c r="E9309">
        <v>2</v>
      </c>
      <c r="F9309" t="s">
        <v>31428</v>
      </c>
      <c r="G9309" t="s">
        <v>28435</v>
      </c>
      <c r="H9309" t="s">
        <v>31429</v>
      </c>
      <c r="I9309" t="s">
        <v>31430</v>
      </c>
    </row>
    <row r="9310" spans="1:9">
      <c r="A9310" t="str">
        <f>"0031444 "</f>
        <v xml:space="preserve">0031444 </v>
      </c>
      <c r="B9310" t="s">
        <v>28432</v>
      </c>
      <c r="C9310" t="s">
        <v>31431</v>
      </c>
      <c r="D9310" t="s">
        <v>31432</v>
      </c>
      <c r="E9310" t="s">
        <v>16</v>
      </c>
      <c r="F9310" t="s">
        <v>28463</v>
      </c>
      <c r="G9310" t="s">
        <v>28435</v>
      </c>
      <c r="H9310" t="s">
        <v>31433</v>
      </c>
      <c r="I9310" t="s">
        <v>31434</v>
      </c>
    </row>
    <row r="9311" spans="1:9">
      <c r="A9311" t="str">
        <f>"0031445 "</f>
        <v xml:space="preserve">0031445 </v>
      </c>
      <c r="B9311" t="s">
        <v>28432</v>
      </c>
      <c r="C9311" t="s">
        <v>31435</v>
      </c>
      <c r="D9311" t="s">
        <v>31436</v>
      </c>
      <c r="E9311">
        <v>5</v>
      </c>
      <c r="F9311" t="s">
        <v>31437</v>
      </c>
      <c r="G9311" t="s">
        <v>28435</v>
      </c>
      <c r="H9311" t="s">
        <v>31438</v>
      </c>
      <c r="I9311" t="s">
        <v>31439</v>
      </c>
    </row>
    <row r="9312" spans="1:9">
      <c r="A9312" t="str">
        <f>"0031446 "</f>
        <v xml:space="preserve">0031446 </v>
      </c>
      <c r="B9312" t="s">
        <v>28432</v>
      </c>
      <c r="C9312" t="s">
        <v>31440</v>
      </c>
      <c r="D9312" t="s">
        <v>31441</v>
      </c>
      <c r="E9312">
        <v>1</v>
      </c>
      <c r="F9312" t="s">
        <v>31442</v>
      </c>
      <c r="G9312" t="s">
        <v>28435</v>
      </c>
      <c r="H9312" t="s">
        <v>31443</v>
      </c>
      <c r="I9312" t="s">
        <v>31444</v>
      </c>
    </row>
    <row r="9313" spans="1:9">
      <c r="A9313" t="str">
        <f>"0031447 "</f>
        <v xml:space="preserve">0031447 </v>
      </c>
      <c r="B9313" t="s">
        <v>28432</v>
      </c>
      <c r="C9313" t="s">
        <v>31445</v>
      </c>
      <c r="D9313" t="s">
        <v>31446</v>
      </c>
      <c r="E9313">
        <v>2</v>
      </c>
      <c r="F9313" t="s">
        <v>31447</v>
      </c>
      <c r="G9313" t="s">
        <v>28435</v>
      </c>
      <c r="H9313" t="s">
        <v>31448</v>
      </c>
      <c r="I9313" t="s">
        <v>31449</v>
      </c>
    </row>
    <row r="9314" spans="1:9">
      <c r="A9314" t="str">
        <f>"0031449 "</f>
        <v xml:space="preserve">0031449 </v>
      </c>
      <c r="B9314" t="s">
        <v>28432</v>
      </c>
      <c r="C9314" t="s">
        <v>31450</v>
      </c>
      <c r="D9314" t="s">
        <v>31451</v>
      </c>
      <c r="E9314">
        <v>1</v>
      </c>
      <c r="F9314" t="s">
        <v>19612</v>
      </c>
      <c r="G9314" t="s">
        <v>28435</v>
      </c>
      <c r="H9314" t="s">
        <v>31452</v>
      </c>
      <c r="I9314" t="s">
        <v>31453</v>
      </c>
    </row>
    <row r="9315" spans="1:9">
      <c r="A9315" t="str">
        <f>"0031454 "</f>
        <v xml:space="preserve">0031454 </v>
      </c>
      <c r="B9315" t="s">
        <v>28432</v>
      </c>
      <c r="C9315" t="s">
        <v>31454</v>
      </c>
      <c r="D9315" t="s">
        <v>31455</v>
      </c>
      <c r="E9315">
        <v>1</v>
      </c>
      <c r="F9315" t="s">
        <v>31456</v>
      </c>
      <c r="G9315" t="s">
        <v>28435</v>
      </c>
      <c r="H9315" t="s">
        <v>31457</v>
      </c>
      <c r="I9315" t="s">
        <v>31458</v>
      </c>
    </row>
    <row r="9316" spans="1:9">
      <c r="A9316" t="str">
        <f>"0031455 "</f>
        <v xml:space="preserve">0031455 </v>
      </c>
      <c r="B9316" t="s">
        <v>28432</v>
      </c>
      <c r="C9316" t="s">
        <v>31459</v>
      </c>
      <c r="D9316" t="s">
        <v>31460</v>
      </c>
      <c r="E9316">
        <v>1</v>
      </c>
      <c r="F9316" t="s">
        <v>31461</v>
      </c>
      <c r="G9316" t="s">
        <v>28435</v>
      </c>
      <c r="H9316" t="s">
        <v>31462</v>
      </c>
      <c r="I9316" t="s">
        <v>31463</v>
      </c>
    </row>
    <row r="9317" spans="1:9">
      <c r="A9317" t="str">
        <f>"0088083 "</f>
        <v xml:space="preserve">0088083 </v>
      </c>
      <c r="B9317" t="s">
        <v>28432</v>
      </c>
      <c r="C9317" t="s">
        <v>31464</v>
      </c>
      <c r="D9317" t="s">
        <v>31465</v>
      </c>
      <c r="E9317">
        <v>1</v>
      </c>
      <c r="F9317" t="s">
        <v>31466</v>
      </c>
      <c r="G9317" t="s">
        <v>28435</v>
      </c>
      <c r="H9317" t="s">
        <v>31467</v>
      </c>
      <c r="I9317" t="s">
        <v>31468</v>
      </c>
    </row>
    <row r="9318" spans="1:9">
      <c r="A9318" t="str">
        <f>"0088086 "</f>
        <v xml:space="preserve">0088086 </v>
      </c>
      <c r="B9318" t="s">
        <v>28432</v>
      </c>
      <c r="C9318" t="s">
        <v>31469</v>
      </c>
      <c r="D9318" t="s">
        <v>31470</v>
      </c>
      <c r="E9318">
        <v>1</v>
      </c>
      <c r="F9318" t="s">
        <v>31471</v>
      </c>
      <c r="G9318" t="s">
        <v>28435</v>
      </c>
      <c r="H9318" t="s">
        <v>31472</v>
      </c>
      <c r="I9318" t="s">
        <v>31473</v>
      </c>
    </row>
    <row r="9319" spans="1:9">
      <c r="A9319" t="str">
        <f>"0031458 "</f>
        <v xml:space="preserve">0031458 </v>
      </c>
      <c r="B9319" t="s">
        <v>28432</v>
      </c>
      <c r="C9319" t="s">
        <v>31474</v>
      </c>
      <c r="D9319" t="s">
        <v>31475</v>
      </c>
      <c r="E9319">
        <v>1</v>
      </c>
      <c r="F9319" t="s">
        <v>31476</v>
      </c>
      <c r="G9319" t="s">
        <v>28435</v>
      </c>
      <c r="H9319" t="s">
        <v>31477</v>
      </c>
      <c r="I9319" t="s">
        <v>31478</v>
      </c>
    </row>
    <row r="9320" spans="1:9">
      <c r="A9320" t="str">
        <f>"0031461 "</f>
        <v xml:space="preserve">0031461 </v>
      </c>
      <c r="B9320" t="s">
        <v>28432</v>
      </c>
      <c r="C9320" t="s">
        <v>31479</v>
      </c>
      <c r="D9320" t="s">
        <v>31480</v>
      </c>
      <c r="E9320" t="s">
        <v>16</v>
      </c>
      <c r="F9320" t="s">
        <v>31481</v>
      </c>
      <c r="G9320" t="s">
        <v>28435</v>
      </c>
      <c r="H9320" t="s">
        <v>31482</v>
      </c>
      <c r="I9320" t="s">
        <v>31483</v>
      </c>
    </row>
    <row r="9321" spans="1:9">
      <c r="A9321" t="str">
        <f>"0031464 "</f>
        <v xml:space="preserve">0031464 </v>
      </c>
      <c r="B9321" t="s">
        <v>28432</v>
      </c>
      <c r="C9321" t="s">
        <v>31484</v>
      </c>
      <c r="D9321" t="s">
        <v>31485</v>
      </c>
      <c r="E9321" t="s">
        <v>16</v>
      </c>
      <c r="F9321" t="s">
        <v>31486</v>
      </c>
      <c r="G9321" t="s">
        <v>28435</v>
      </c>
      <c r="H9321" t="s">
        <v>31487</v>
      </c>
      <c r="I9321" t="s">
        <v>31488</v>
      </c>
    </row>
    <row r="9322" spans="1:9">
      <c r="A9322" t="str">
        <f>"0031465 "</f>
        <v xml:space="preserve">0031465 </v>
      </c>
      <c r="B9322" t="s">
        <v>28432</v>
      </c>
      <c r="C9322" t="s">
        <v>31489</v>
      </c>
      <c r="D9322" t="s">
        <v>31490</v>
      </c>
      <c r="E9322">
        <v>3</v>
      </c>
      <c r="F9322" t="s">
        <v>30784</v>
      </c>
      <c r="G9322" t="s">
        <v>28435</v>
      </c>
      <c r="H9322" t="s">
        <v>31491</v>
      </c>
      <c r="I9322" t="s">
        <v>31492</v>
      </c>
    </row>
    <row r="9323" spans="1:9">
      <c r="A9323" t="str">
        <f>"0031468 "</f>
        <v xml:space="preserve">0031468 </v>
      </c>
      <c r="B9323" t="s">
        <v>28432</v>
      </c>
      <c r="C9323" t="s">
        <v>31493</v>
      </c>
      <c r="D9323" t="s">
        <v>31494</v>
      </c>
      <c r="E9323">
        <v>2</v>
      </c>
      <c r="F9323" t="s">
        <v>31495</v>
      </c>
      <c r="G9323" t="s">
        <v>28435</v>
      </c>
      <c r="H9323" t="s">
        <v>31496</v>
      </c>
      <c r="I9323" t="s">
        <v>31497</v>
      </c>
    </row>
    <row r="9324" spans="1:9">
      <c r="A9324" t="str">
        <f>"0031469 "</f>
        <v xml:space="preserve">0031469 </v>
      </c>
      <c r="B9324" t="s">
        <v>28432</v>
      </c>
      <c r="C9324" t="s">
        <v>31498</v>
      </c>
      <c r="D9324" t="s">
        <v>31499</v>
      </c>
      <c r="E9324">
        <v>1</v>
      </c>
      <c r="F9324" t="s">
        <v>31500</v>
      </c>
      <c r="G9324" t="s">
        <v>28435</v>
      </c>
      <c r="H9324" t="s">
        <v>31501</v>
      </c>
      <c r="I9324" t="s">
        <v>31497</v>
      </c>
    </row>
    <row r="9325" spans="1:9">
      <c r="A9325" t="str">
        <f>"0031470 "</f>
        <v xml:space="preserve">0031470 </v>
      </c>
      <c r="B9325" t="s">
        <v>28432</v>
      </c>
      <c r="C9325" t="s">
        <v>31502</v>
      </c>
      <c r="D9325" t="s">
        <v>31503</v>
      </c>
      <c r="E9325">
        <v>4</v>
      </c>
      <c r="F9325" t="s">
        <v>30966</v>
      </c>
      <c r="G9325" t="s">
        <v>28435</v>
      </c>
      <c r="H9325" t="s">
        <v>31504</v>
      </c>
      <c r="I9325" t="s">
        <v>31505</v>
      </c>
    </row>
    <row r="9326" spans="1:9">
      <c r="A9326" t="str">
        <f>"0031471 "</f>
        <v xml:space="preserve">0031471 </v>
      </c>
      <c r="B9326" t="s">
        <v>28432</v>
      </c>
      <c r="C9326" t="s">
        <v>31506</v>
      </c>
      <c r="D9326" t="s">
        <v>31507</v>
      </c>
      <c r="E9326">
        <v>4</v>
      </c>
      <c r="F9326" t="s">
        <v>30834</v>
      </c>
      <c r="G9326" t="s">
        <v>28435</v>
      </c>
      <c r="H9326" t="s">
        <v>31508</v>
      </c>
      <c r="I9326" t="s">
        <v>31509</v>
      </c>
    </row>
    <row r="9327" spans="1:9">
      <c r="A9327" t="str">
        <f>"0031472 "</f>
        <v xml:space="preserve">0031472 </v>
      </c>
      <c r="B9327" t="s">
        <v>28432</v>
      </c>
      <c r="C9327" t="s">
        <v>31510</v>
      </c>
      <c r="D9327" t="s">
        <v>31511</v>
      </c>
      <c r="E9327" t="s">
        <v>16</v>
      </c>
      <c r="F9327" t="s">
        <v>31512</v>
      </c>
      <c r="G9327" t="s">
        <v>28435</v>
      </c>
      <c r="H9327" t="s">
        <v>31513</v>
      </c>
      <c r="I9327" t="s">
        <v>11685</v>
      </c>
    </row>
    <row r="9328" spans="1:9">
      <c r="A9328" t="str">
        <f>"0031474 "</f>
        <v xml:space="preserve">0031474 </v>
      </c>
      <c r="B9328" t="s">
        <v>28432</v>
      </c>
      <c r="C9328" t="s">
        <v>31514</v>
      </c>
      <c r="D9328" t="s">
        <v>31515</v>
      </c>
      <c r="E9328">
        <v>3</v>
      </c>
      <c r="F9328" t="s">
        <v>31292</v>
      </c>
      <c r="G9328" t="s">
        <v>28435</v>
      </c>
      <c r="H9328" t="s">
        <v>31516</v>
      </c>
      <c r="I9328" t="s">
        <v>31517</v>
      </c>
    </row>
    <row r="9329" spans="1:9">
      <c r="A9329" t="str">
        <f>"0031475 "</f>
        <v xml:space="preserve">0031475 </v>
      </c>
      <c r="B9329" t="s">
        <v>28432</v>
      </c>
      <c r="C9329" t="s">
        <v>31518</v>
      </c>
      <c r="D9329" t="s">
        <v>31519</v>
      </c>
      <c r="E9329">
        <v>2</v>
      </c>
      <c r="F9329" t="s">
        <v>28732</v>
      </c>
      <c r="G9329" t="s">
        <v>28435</v>
      </c>
      <c r="H9329" t="s">
        <v>31520</v>
      </c>
      <c r="I9329" t="s">
        <v>31521</v>
      </c>
    </row>
    <row r="9330" spans="1:9">
      <c r="A9330" t="str">
        <f>"0031477 "</f>
        <v xml:space="preserve">0031477 </v>
      </c>
      <c r="B9330" t="s">
        <v>28432</v>
      </c>
      <c r="C9330" t="s">
        <v>31522</v>
      </c>
      <c r="D9330" t="s">
        <v>31523</v>
      </c>
      <c r="E9330" t="s">
        <v>16</v>
      </c>
      <c r="F9330" t="s">
        <v>19312</v>
      </c>
      <c r="G9330" t="s">
        <v>28435</v>
      </c>
      <c r="H9330" t="s">
        <v>31524</v>
      </c>
      <c r="I9330" t="s">
        <v>31525</v>
      </c>
    </row>
    <row r="9331" spans="1:9">
      <c r="A9331" t="str">
        <f>"0031478 "</f>
        <v xml:space="preserve">0031478 </v>
      </c>
      <c r="B9331" t="s">
        <v>28432</v>
      </c>
      <c r="C9331" t="s">
        <v>31526</v>
      </c>
      <c r="D9331" t="s">
        <v>31527</v>
      </c>
      <c r="E9331" t="s">
        <v>16</v>
      </c>
      <c r="F9331" t="s">
        <v>1056</v>
      </c>
      <c r="G9331" t="s">
        <v>28435</v>
      </c>
      <c r="H9331" t="s">
        <v>31528</v>
      </c>
      <c r="I9331" t="s">
        <v>31529</v>
      </c>
    </row>
    <row r="9332" spans="1:9">
      <c r="A9332" t="str">
        <f>"0031479 "</f>
        <v xml:space="preserve">0031479 </v>
      </c>
      <c r="B9332" t="s">
        <v>28432</v>
      </c>
      <c r="C9332" t="s">
        <v>31530</v>
      </c>
      <c r="D9332" t="s">
        <v>31531</v>
      </c>
      <c r="E9332">
        <v>1</v>
      </c>
      <c r="F9332" t="s">
        <v>31532</v>
      </c>
      <c r="G9332" t="s">
        <v>28435</v>
      </c>
      <c r="H9332" t="s">
        <v>31533</v>
      </c>
      <c r="I9332" t="s">
        <v>31534</v>
      </c>
    </row>
    <row r="9333" spans="1:9">
      <c r="A9333" t="str">
        <f>"0031480 "</f>
        <v xml:space="preserve">0031480 </v>
      </c>
      <c r="B9333" t="s">
        <v>28432</v>
      </c>
      <c r="C9333" t="s">
        <v>31535</v>
      </c>
      <c r="D9333" t="s">
        <v>31536</v>
      </c>
      <c r="E9333">
        <v>1</v>
      </c>
      <c r="F9333" t="s">
        <v>11165</v>
      </c>
      <c r="G9333" t="s">
        <v>28435</v>
      </c>
      <c r="H9333" t="s">
        <v>31537</v>
      </c>
      <c r="I9333" t="s">
        <v>31538</v>
      </c>
    </row>
    <row r="9334" spans="1:9">
      <c r="A9334" t="str">
        <f>"0031481 "</f>
        <v xml:space="preserve">0031481 </v>
      </c>
      <c r="B9334" t="s">
        <v>28432</v>
      </c>
      <c r="C9334" t="s">
        <v>31539</v>
      </c>
      <c r="D9334" t="s">
        <v>31540</v>
      </c>
      <c r="E9334" t="s">
        <v>16</v>
      </c>
      <c r="F9334" t="s">
        <v>2806</v>
      </c>
      <c r="G9334" t="s">
        <v>28435</v>
      </c>
      <c r="H9334" t="s">
        <v>31541</v>
      </c>
      <c r="I9334" t="s">
        <v>11645</v>
      </c>
    </row>
    <row r="9335" spans="1:9">
      <c r="A9335" t="str">
        <f>"0031482 "</f>
        <v xml:space="preserve">0031482 </v>
      </c>
      <c r="B9335" t="s">
        <v>28432</v>
      </c>
      <c r="C9335" t="s">
        <v>31542</v>
      </c>
      <c r="D9335" t="s">
        <v>31543</v>
      </c>
      <c r="E9335" t="s">
        <v>16</v>
      </c>
      <c r="F9335" t="s">
        <v>29244</v>
      </c>
      <c r="G9335" t="s">
        <v>28435</v>
      </c>
      <c r="H9335" t="s">
        <v>31544</v>
      </c>
      <c r="I9335" t="s">
        <v>1377</v>
      </c>
    </row>
    <row r="9336" spans="1:9">
      <c r="A9336" t="str">
        <f>"0031483 "</f>
        <v xml:space="preserve">0031483 </v>
      </c>
      <c r="B9336" t="s">
        <v>28432</v>
      </c>
      <c r="C9336" t="s">
        <v>31545</v>
      </c>
      <c r="D9336" t="s">
        <v>31546</v>
      </c>
      <c r="E9336">
        <v>1</v>
      </c>
      <c r="F9336" t="s">
        <v>31547</v>
      </c>
      <c r="G9336" t="s">
        <v>28435</v>
      </c>
      <c r="H9336" t="s">
        <v>31548</v>
      </c>
      <c r="I9336" t="s">
        <v>1381</v>
      </c>
    </row>
    <row r="9337" spans="1:9">
      <c r="A9337" t="str">
        <f>"0031484 "</f>
        <v xml:space="preserve">0031484 </v>
      </c>
      <c r="B9337" t="s">
        <v>28432</v>
      </c>
      <c r="C9337" t="s">
        <v>31549</v>
      </c>
      <c r="D9337" t="s">
        <v>31550</v>
      </c>
      <c r="E9337">
        <v>3</v>
      </c>
      <c r="F9337" t="s">
        <v>31551</v>
      </c>
      <c r="G9337" t="s">
        <v>28435</v>
      </c>
      <c r="H9337" t="s">
        <v>31552</v>
      </c>
      <c r="I9337" t="s">
        <v>18705</v>
      </c>
    </row>
    <row r="9338" spans="1:9">
      <c r="A9338" t="str">
        <f>"0086622 "</f>
        <v xml:space="preserve">0086622 </v>
      </c>
      <c r="B9338" t="s">
        <v>28432</v>
      </c>
      <c r="C9338" t="s">
        <v>31553</v>
      </c>
      <c r="D9338" t="s">
        <v>31554</v>
      </c>
      <c r="E9338">
        <v>1</v>
      </c>
      <c r="F9338" t="s">
        <v>6036</v>
      </c>
      <c r="G9338" t="s">
        <v>28435</v>
      </c>
      <c r="H9338" t="s">
        <v>31555</v>
      </c>
      <c r="I9338" t="s">
        <v>31556</v>
      </c>
    </row>
    <row r="9339" spans="1:9">
      <c r="A9339" t="str">
        <f>"0031487 "</f>
        <v xml:space="preserve">0031487 </v>
      </c>
      <c r="B9339" t="s">
        <v>28432</v>
      </c>
      <c r="C9339" t="s">
        <v>31557</v>
      </c>
      <c r="D9339" t="s">
        <v>31558</v>
      </c>
      <c r="E9339">
        <v>1</v>
      </c>
      <c r="F9339" t="s">
        <v>19342</v>
      </c>
      <c r="G9339" t="s">
        <v>28435</v>
      </c>
      <c r="H9339" t="s">
        <v>31559</v>
      </c>
      <c r="I9339" t="s">
        <v>31560</v>
      </c>
    </row>
    <row r="9340" spans="1:9">
      <c r="A9340" t="str">
        <f>"0031492 "</f>
        <v xml:space="preserve">0031492 </v>
      </c>
      <c r="B9340" t="s">
        <v>28432</v>
      </c>
      <c r="C9340" t="s">
        <v>31561</v>
      </c>
      <c r="D9340" t="s">
        <v>31562</v>
      </c>
      <c r="E9340">
        <v>4</v>
      </c>
      <c r="F9340" t="s">
        <v>31563</v>
      </c>
      <c r="G9340" t="s">
        <v>28435</v>
      </c>
      <c r="H9340" t="s">
        <v>31564</v>
      </c>
      <c r="I9340" t="s">
        <v>31565</v>
      </c>
    </row>
    <row r="9341" spans="1:9">
      <c r="A9341" t="str">
        <f>"0031493 "</f>
        <v xml:space="preserve">0031493 </v>
      </c>
      <c r="B9341" t="s">
        <v>28432</v>
      </c>
      <c r="C9341" t="s">
        <v>31566</v>
      </c>
      <c r="D9341" t="s">
        <v>31567</v>
      </c>
      <c r="E9341" t="s">
        <v>16</v>
      </c>
      <c r="F9341" t="s">
        <v>31568</v>
      </c>
      <c r="G9341" t="s">
        <v>28435</v>
      </c>
      <c r="H9341" t="s">
        <v>31569</v>
      </c>
      <c r="I9341" t="s">
        <v>1310</v>
      </c>
    </row>
    <row r="9342" spans="1:9">
      <c r="A9342" t="str">
        <f>"0031494 "</f>
        <v xml:space="preserve">0031494 </v>
      </c>
      <c r="B9342" t="s">
        <v>28432</v>
      </c>
      <c r="C9342" t="s">
        <v>31570</v>
      </c>
      <c r="D9342" t="s">
        <v>31571</v>
      </c>
      <c r="E9342" t="s">
        <v>16</v>
      </c>
      <c r="F9342" t="s">
        <v>31572</v>
      </c>
      <c r="G9342" t="s">
        <v>28435</v>
      </c>
      <c r="H9342" t="s">
        <v>31573</v>
      </c>
      <c r="I9342" t="s">
        <v>31574</v>
      </c>
    </row>
    <row r="9343" spans="1:9">
      <c r="A9343" t="str">
        <f>"0031497 "</f>
        <v xml:space="preserve">0031497 </v>
      </c>
      <c r="B9343" t="s">
        <v>28432</v>
      </c>
      <c r="C9343" t="s">
        <v>31575</v>
      </c>
      <c r="D9343" t="s">
        <v>31576</v>
      </c>
      <c r="E9343">
        <v>1</v>
      </c>
      <c r="F9343" t="s">
        <v>29579</v>
      </c>
      <c r="G9343" t="s">
        <v>28435</v>
      </c>
      <c r="H9343" t="s">
        <v>31577</v>
      </c>
      <c r="I9343" t="s">
        <v>31578</v>
      </c>
    </row>
    <row r="9344" spans="1:9">
      <c r="A9344" t="str">
        <f>"0031500 "</f>
        <v xml:space="preserve">0031500 </v>
      </c>
      <c r="B9344" t="s">
        <v>28432</v>
      </c>
      <c r="C9344" t="s">
        <v>31579</v>
      </c>
      <c r="D9344" t="s">
        <v>31580</v>
      </c>
      <c r="E9344">
        <v>2</v>
      </c>
      <c r="F9344" t="s">
        <v>31581</v>
      </c>
      <c r="G9344" t="s">
        <v>28435</v>
      </c>
      <c r="H9344" t="s">
        <v>31582</v>
      </c>
      <c r="I9344" t="s">
        <v>31583</v>
      </c>
    </row>
    <row r="9345" spans="1:9">
      <c r="A9345" t="str">
        <f>"0031502 "</f>
        <v xml:space="preserve">0031502 </v>
      </c>
      <c r="B9345" t="s">
        <v>28432</v>
      </c>
      <c r="C9345" t="s">
        <v>31584</v>
      </c>
      <c r="D9345" t="s">
        <v>31585</v>
      </c>
      <c r="E9345">
        <v>1</v>
      </c>
      <c r="F9345" t="s">
        <v>29514</v>
      </c>
      <c r="G9345" t="s">
        <v>28435</v>
      </c>
      <c r="H9345" t="s">
        <v>31586</v>
      </c>
      <c r="I9345" t="s">
        <v>31587</v>
      </c>
    </row>
    <row r="9346" spans="1:9">
      <c r="A9346" t="str">
        <f>"0031507 "</f>
        <v xml:space="preserve">0031507 </v>
      </c>
      <c r="B9346" t="s">
        <v>28432</v>
      </c>
      <c r="C9346" t="s">
        <v>31588</v>
      </c>
      <c r="D9346" t="s">
        <v>31589</v>
      </c>
      <c r="E9346" t="s">
        <v>16</v>
      </c>
      <c r="F9346" t="s">
        <v>31590</v>
      </c>
      <c r="G9346" t="s">
        <v>28435</v>
      </c>
      <c r="H9346" t="s">
        <v>31591</v>
      </c>
      <c r="I9346" t="s">
        <v>31592</v>
      </c>
    </row>
    <row r="9347" spans="1:9">
      <c r="A9347" t="str">
        <f>"0031508 "</f>
        <v xml:space="preserve">0031508 </v>
      </c>
      <c r="B9347" t="s">
        <v>28432</v>
      </c>
      <c r="C9347" t="s">
        <v>31593</v>
      </c>
      <c r="D9347" t="s">
        <v>31594</v>
      </c>
      <c r="E9347" t="s">
        <v>16</v>
      </c>
      <c r="F9347" t="s">
        <v>1715</v>
      </c>
      <c r="G9347" t="s">
        <v>28435</v>
      </c>
      <c r="H9347" t="s">
        <v>31595</v>
      </c>
      <c r="I9347" t="s">
        <v>31596</v>
      </c>
    </row>
    <row r="9348" spans="1:9">
      <c r="A9348" t="str">
        <f>"0031510 "</f>
        <v xml:space="preserve">0031510 </v>
      </c>
      <c r="B9348" t="s">
        <v>28432</v>
      </c>
      <c r="C9348" t="s">
        <v>31597</v>
      </c>
      <c r="D9348" t="s">
        <v>31598</v>
      </c>
      <c r="E9348">
        <v>2</v>
      </c>
      <c r="F9348" t="s">
        <v>31599</v>
      </c>
      <c r="G9348" t="s">
        <v>28435</v>
      </c>
      <c r="H9348" t="s">
        <v>31600</v>
      </c>
      <c r="I9348" t="s">
        <v>23152</v>
      </c>
    </row>
    <row r="9349" spans="1:9">
      <c r="A9349" t="str">
        <f>"0031516 "</f>
        <v xml:space="preserve">0031516 </v>
      </c>
      <c r="B9349" t="s">
        <v>28432</v>
      </c>
      <c r="C9349" t="s">
        <v>31601</v>
      </c>
      <c r="D9349" t="s">
        <v>31602</v>
      </c>
      <c r="E9349">
        <v>1</v>
      </c>
      <c r="F9349" t="s">
        <v>31603</v>
      </c>
      <c r="G9349" t="s">
        <v>28435</v>
      </c>
      <c r="H9349" t="s">
        <v>31604</v>
      </c>
      <c r="I9349" t="s">
        <v>31605</v>
      </c>
    </row>
    <row r="9350" spans="1:9">
      <c r="A9350" t="str">
        <f>"0031517 "</f>
        <v xml:space="preserve">0031517 </v>
      </c>
      <c r="B9350" t="s">
        <v>28432</v>
      </c>
      <c r="C9350" t="s">
        <v>31606</v>
      </c>
      <c r="D9350" t="s">
        <v>31607</v>
      </c>
      <c r="E9350">
        <v>2</v>
      </c>
      <c r="F9350" t="s">
        <v>29862</v>
      </c>
      <c r="G9350" t="s">
        <v>28435</v>
      </c>
      <c r="H9350" t="s">
        <v>31608</v>
      </c>
      <c r="I9350" t="s">
        <v>31609</v>
      </c>
    </row>
    <row r="9351" spans="1:9">
      <c r="A9351" t="str">
        <f>"0031518 "</f>
        <v xml:space="preserve">0031518 </v>
      </c>
      <c r="B9351" t="s">
        <v>28432</v>
      </c>
      <c r="C9351" t="s">
        <v>31610</v>
      </c>
      <c r="D9351" t="s">
        <v>31611</v>
      </c>
      <c r="E9351" t="s">
        <v>16</v>
      </c>
      <c r="F9351" t="s">
        <v>31612</v>
      </c>
      <c r="G9351" t="s">
        <v>28435</v>
      </c>
      <c r="H9351" t="s">
        <v>31613</v>
      </c>
      <c r="I9351" t="s">
        <v>31614</v>
      </c>
    </row>
    <row r="9352" spans="1:9">
      <c r="A9352" t="str">
        <f>"0031519 "</f>
        <v xml:space="preserve">0031519 </v>
      </c>
      <c r="B9352" t="s">
        <v>28432</v>
      </c>
      <c r="C9352" t="s">
        <v>31615</v>
      </c>
      <c r="D9352" t="s">
        <v>31616</v>
      </c>
      <c r="E9352" t="s">
        <v>16</v>
      </c>
      <c r="F9352" t="s">
        <v>10403</v>
      </c>
      <c r="G9352" t="s">
        <v>28435</v>
      </c>
      <c r="H9352" t="s">
        <v>31617</v>
      </c>
      <c r="I9352" t="s">
        <v>31618</v>
      </c>
    </row>
    <row r="9353" spans="1:9">
      <c r="A9353" t="str">
        <f>"0031520 "</f>
        <v xml:space="preserve">0031520 </v>
      </c>
      <c r="B9353" t="s">
        <v>28432</v>
      </c>
      <c r="C9353" t="s">
        <v>31619</v>
      </c>
      <c r="D9353" t="s">
        <v>31620</v>
      </c>
      <c r="E9353">
        <v>3</v>
      </c>
      <c r="F9353" t="s">
        <v>31621</v>
      </c>
      <c r="G9353" t="s">
        <v>28435</v>
      </c>
      <c r="H9353" t="s">
        <v>31622</v>
      </c>
      <c r="I9353" t="s">
        <v>31623</v>
      </c>
    </row>
    <row r="9354" spans="1:9">
      <c r="A9354" t="str">
        <f>"0031521 "</f>
        <v xml:space="preserve">0031521 </v>
      </c>
      <c r="B9354" t="s">
        <v>28432</v>
      </c>
      <c r="C9354" t="s">
        <v>31624</v>
      </c>
      <c r="D9354" t="s">
        <v>31625</v>
      </c>
      <c r="E9354">
        <v>3</v>
      </c>
      <c r="F9354" t="s">
        <v>31626</v>
      </c>
      <c r="G9354" t="s">
        <v>28435</v>
      </c>
      <c r="H9354" t="s">
        <v>31627</v>
      </c>
      <c r="I9354" t="s">
        <v>31628</v>
      </c>
    </row>
    <row r="9355" spans="1:9">
      <c r="A9355" t="str">
        <f>"0031522 "</f>
        <v xml:space="preserve">0031522 </v>
      </c>
      <c r="B9355" t="s">
        <v>28432</v>
      </c>
      <c r="C9355" t="s">
        <v>31629</v>
      </c>
      <c r="D9355" t="s">
        <v>31630</v>
      </c>
      <c r="E9355">
        <v>4</v>
      </c>
      <c r="F9355" t="s">
        <v>31631</v>
      </c>
      <c r="G9355" t="s">
        <v>28435</v>
      </c>
      <c r="H9355" t="s">
        <v>31632</v>
      </c>
      <c r="I9355" t="s">
        <v>31633</v>
      </c>
    </row>
    <row r="9356" spans="1:9">
      <c r="A9356" t="str">
        <f>"0048810 "</f>
        <v xml:space="preserve">0048810 </v>
      </c>
      <c r="B9356" t="s">
        <v>28432</v>
      </c>
      <c r="C9356" t="s">
        <v>31634</v>
      </c>
      <c r="D9356" t="s">
        <v>31635</v>
      </c>
      <c r="E9356">
        <v>2</v>
      </c>
      <c r="F9356" t="s">
        <v>31636</v>
      </c>
      <c r="G9356" t="s">
        <v>28435</v>
      </c>
      <c r="H9356" t="s">
        <v>31637</v>
      </c>
      <c r="I9356" t="s">
        <v>31638</v>
      </c>
    </row>
    <row r="9357" spans="1:9">
      <c r="A9357" t="str">
        <f>"0031525 "</f>
        <v xml:space="preserve">0031525 </v>
      </c>
      <c r="B9357" t="s">
        <v>28432</v>
      </c>
      <c r="C9357" t="s">
        <v>31639</v>
      </c>
      <c r="D9357" t="s">
        <v>31640</v>
      </c>
      <c r="E9357" t="s">
        <v>16</v>
      </c>
      <c r="F9357" t="s">
        <v>31636</v>
      </c>
      <c r="G9357" t="s">
        <v>28435</v>
      </c>
      <c r="H9357" t="s">
        <v>31641</v>
      </c>
      <c r="I9357" t="s">
        <v>31642</v>
      </c>
    </row>
    <row r="9358" spans="1:9">
      <c r="A9358" t="str">
        <f>"0031526 "</f>
        <v xml:space="preserve">0031526 </v>
      </c>
      <c r="B9358" t="s">
        <v>28432</v>
      </c>
      <c r="C9358" t="s">
        <v>31643</v>
      </c>
      <c r="D9358" t="s">
        <v>31644</v>
      </c>
      <c r="E9358" t="s">
        <v>16</v>
      </c>
      <c r="F9358" t="s">
        <v>11949</v>
      </c>
      <c r="G9358" t="s">
        <v>28435</v>
      </c>
      <c r="H9358" t="s">
        <v>31645</v>
      </c>
      <c r="I9358" t="s">
        <v>31646</v>
      </c>
    </row>
    <row r="9359" spans="1:9">
      <c r="A9359" t="str">
        <f>"0031527 "</f>
        <v xml:space="preserve">0031527 </v>
      </c>
      <c r="B9359" t="s">
        <v>28432</v>
      </c>
      <c r="C9359" t="s">
        <v>31647</v>
      </c>
      <c r="D9359" t="s">
        <v>31648</v>
      </c>
      <c r="E9359" t="s">
        <v>16</v>
      </c>
      <c r="F9359" t="s">
        <v>31649</v>
      </c>
      <c r="G9359" t="s">
        <v>28435</v>
      </c>
      <c r="H9359" t="s">
        <v>31650</v>
      </c>
      <c r="I9359" t="s">
        <v>31651</v>
      </c>
    </row>
    <row r="9360" spans="1:9">
      <c r="A9360" t="str">
        <f>"0031531 "</f>
        <v xml:space="preserve">0031531 </v>
      </c>
      <c r="B9360" t="s">
        <v>28432</v>
      </c>
      <c r="C9360" t="s">
        <v>31652</v>
      </c>
      <c r="D9360" t="s">
        <v>31653</v>
      </c>
      <c r="E9360">
        <v>4</v>
      </c>
      <c r="F9360" t="s">
        <v>31654</v>
      </c>
      <c r="G9360" t="s">
        <v>28435</v>
      </c>
      <c r="H9360" t="s">
        <v>31655</v>
      </c>
      <c r="I9360" t="s">
        <v>31656</v>
      </c>
    </row>
    <row r="9361" spans="1:9">
      <c r="A9361" t="str">
        <f>"0031532 "</f>
        <v xml:space="preserve">0031532 </v>
      </c>
      <c r="B9361" t="s">
        <v>28432</v>
      </c>
      <c r="C9361" t="s">
        <v>31657</v>
      </c>
      <c r="D9361" t="s">
        <v>31658</v>
      </c>
      <c r="E9361">
        <v>1</v>
      </c>
      <c r="F9361" t="s">
        <v>31375</v>
      </c>
      <c r="G9361" t="s">
        <v>28435</v>
      </c>
      <c r="H9361" t="s">
        <v>31659</v>
      </c>
      <c r="I9361" t="s">
        <v>31660</v>
      </c>
    </row>
    <row r="9362" spans="1:9">
      <c r="A9362" t="str">
        <f>"0031533 "</f>
        <v xml:space="preserve">0031533 </v>
      </c>
      <c r="B9362" t="s">
        <v>28432</v>
      </c>
      <c r="C9362" t="s">
        <v>31661</v>
      </c>
      <c r="D9362" t="s">
        <v>31662</v>
      </c>
      <c r="E9362" t="s">
        <v>16</v>
      </c>
      <c r="F9362" t="s">
        <v>30256</v>
      </c>
      <c r="G9362" t="s">
        <v>28435</v>
      </c>
      <c r="H9362" t="s">
        <v>31663</v>
      </c>
      <c r="I9362" t="s">
        <v>11601</v>
      </c>
    </row>
    <row r="9363" spans="1:9">
      <c r="A9363" t="str">
        <f>"0031534 "</f>
        <v xml:space="preserve">0031534 </v>
      </c>
      <c r="B9363" t="s">
        <v>28432</v>
      </c>
      <c r="C9363" t="s">
        <v>31664</v>
      </c>
      <c r="D9363" t="s">
        <v>31665</v>
      </c>
      <c r="E9363" t="s">
        <v>16</v>
      </c>
      <c r="F9363" t="s">
        <v>31666</v>
      </c>
      <c r="G9363" t="s">
        <v>28435</v>
      </c>
      <c r="H9363" t="s">
        <v>31667</v>
      </c>
      <c r="I9363" t="s">
        <v>31668</v>
      </c>
    </row>
    <row r="9364" spans="1:9">
      <c r="A9364" t="str">
        <f>"0031535 "</f>
        <v xml:space="preserve">0031535 </v>
      </c>
      <c r="B9364" t="s">
        <v>28432</v>
      </c>
      <c r="C9364" t="s">
        <v>31669</v>
      </c>
      <c r="D9364" t="s">
        <v>31670</v>
      </c>
      <c r="E9364">
        <v>1</v>
      </c>
      <c r="F9364" t="s">
        <v>31671</v>
      </c>
      <c r="G9364" t="s">
        <v>28435</v>
      </c>
      <c r="H9364" t="s">
        <v>31672</v>
      </c>
      <c r="I9364" t="s">
        <v>31673</v>
      </c>
    </row>
    <row r="9365" spans="1:9">
      <c r="A9365" t="str">
        <f>"0031538 "</f>
        <v xml:space="preserve">0031538 </v>
      </c>
      <c r="B9365" t="s">
        <v>28432</v>
      </c>
      <c r="C9365" t="s">
        <v>31674</v>
      </c>
      <c r="D9365" t="s">
        <v>31675</v>
      </c>
      <c r="E9365">
        <v>2</v>
      </c>
      <c r="F9365" t="s">
        <v>31676</v>
      </c>
      <c r="G9365" t="s">
        <v>28435</v>
      </c>
      <c r="H9365" t="s">
        <v>31677</v>
      </c>
      <c r="I9365" t="s">
        <v>1396</v>
      </c>
    </row>
    <row r="9366" spans="1:9">
      <c r="A9366" t="str">
        <f>"0031540 "</f>
        <v xml:space="preserve">0031540 </v>
      </c>
      <c r="B9366" t="s">
        <v>28432</v>
      </c>
      <c r="C9366" t="s">
        <v>31678</v>
      </c>
      <c r="D9366" t="s">
        <v>31679</v>
      </c>
      <c r="E9366">
        <v>1</v>
      </c>
      <c r="F9366" t="s">
        <v>21682</v>
      </c>
      <c r="G9366" t="s">
        <v>28435</v>
      </c>
      <c r="H9366" t="s">
        <v>31680</v>
      </c>
      <c r="I9366" t="s">
        <v>31681</v>
      </c>
    </row>
    <row r="9367" spans="1:9">
      <c r="A9367" t="str">
        <f>"0031544 "</f>
        <v xml:space="preserve">0031544 </v>
      </c>
      <c r="B9367" t="s">
        <v>28432</v>
      </c>
      <c r="C9367" t="s">
        <v>31682</v>
      </c>
      <c r="D9367" t="s">
        <v>31683</v>
      </c>
      <c r="E9367" t="s">
        <v>16</v>
      </c>
      <c r="F9367" t="s">
        <v>19342</v>
      </c>
      <c r="G9367" t="s">
        <v>28435</v>
      </c>
      <c r="H9367" t="s">
        <v>31684</v>
      </c>
      <c r="I9367" t="s">
        <v>31685</v>
      </c>
    </row>
    <row r="9368" spans="1:9">
      <c r="A9368" t="str">
        <f>"0031545 "</f>
        <v xml:space="preserve">0031545 </v>
      </c>
      <c r="B9368" t="s">
        <v>28432</v>
      </c>
      <c r="C9368" t="s">
        <v>31686</v>
      </c>
      <c r="D9368" t="s">
        <v>31687</v>
      </c>
      <c r="E9368" t="s">
        <v>16</v>
      </c>
      <c r="F9368" t="s">
        <v>28502</v>
      </c>
      <c r="G9368" t="s">
        <v>28435</v>
      </c>
      <c r="H9368" t="s">
        <v>31688</v>
      </c>
      <c r="I9368" t="s">
        <v>31689</v>
      </c>
    </row>
    <row r="9369" spans="1:9">
      <c r="A9369" t="str">
        <f>"0031546 "</f>
        <v xml:space="preserve">0031546 </v>
      </c>
      <c r="B9369" t="s">
        <v>28432</v>
      </c>
      <c r="C9369" t="s">
        <v>31690</v>
      </c>
      <c r="D9369" t="s">
        <v>31691</v>
      </c>
      <c r="E9369" t="s">
        <v>16</v>
      </c>
      <c r="F9369" t="s">
        <v>31692</v>
      </c>
      <c r="G9369" t="s">
        <v>28435</v>
      </c>
      <c r="H9369" t="s">
        <v>31693</v>
      </c>
      <c r="I9369" t="s">
        <v>31694</v>
      </c>
    </row>
    <row r="9370" spans="1:9">
      <c r="A9370" t="str">
        <f>"0031547 "</f>
        <v xml:space="preserve">0031547 </v>
      </c>
      <c r="B9370" t="s">
        <v>28432</v>
      </c>
      <c r="C9370" t="s">
        <v>31695</v>
      </c>
      <c r="D9370" t="s">
        <v>31696</v>
      </c>
      <c r="E9370">
        <v>1</v>
      </c>
      <c r="F9370" t="s">
        <v>31697</v>
      </c>
      <c r="G9370" t="s">
        <v>28435</v>
      </c>
      <c r="H9370" t="s">
        <v>31698</v>
      </c>
      <c r="I9370" t="s">
        <v>31699</v>
      </c>
    </row>
    <row r="9371" spans="1:9">
      <c r="A9371" t="str">
        <f>"0031551 "</f>
        <v xml:space="preserve">0031551 </v>
      </c>
      <c r="B9371" t="s">
        <v>28432</v>
      </c>
      <c r="C9371" t="s">
        <v>31700</v>
      </c>
      <c r="D9371" t="s">
        <v>31701</v>
      </c>
      <c r="E9371">
        <v>3</v>
      </c>
      <c r="F9371" t="s">
        <v>31702</v>
      </c>
      <c r="G9371" t="s">
        <v>28435</v>
      </c>
      <c r="H9371" t="s">
        <v>31703</v>
      </c>
      <c r="I9371" t="s">
        <v>31704</v>
      </c>
    </row>
    <row r="9372" spans="1:9">
      <c r="A9372" t="str">
        <f>"0039054 "</f>
        <v xml:space="preserve">0039054 </v>
      </c>
      <c r="B9372" t="s">
        <v>28432</v>
      </c>
      <c r="C9372" t="s">
        <v>31705</v>
      </c>
      <c r="D9372" t="s">
        <v>31706</v>
      </c>
      <c r="E9372">
        <v>1</v>
      </c>
      <c r="F9372" t="s">
        <v>31707</v>
      </c>
      <c r="G9372" t="s">
        <v>28435</v>
      </c>
      <c r="H9372" t="s">
        <v>31708</v>
      </c>
      <c r="I9372" t="s">
        <v>31709</v>
      </c>
    </row>
    <row r="9373" spans="1:9">
      <c r="A9373" t="str">
        <f>"0031552 "</f>
        <v xml:space="preserve">0031552 </v>
      </c>
      <c r="B9373" t="s">
        <v>28432</v>
      </c>
      <c r="C9373" t="s">
        <v>31710</v>
      </c>
      <c r="D9373" t="s">
        <v>31711</v>
      </c>
      <c r="E9373">
        <v>2</v>
      </c>
      <c r="F9373" t="s">
        <v>31712</v>
      </c>
      <c r="G9373" t="s">
        <v>28435</v>
      </c>
      <c r="H9373" t="s">
        <v>31713</v>
      </c>
      <c r="I9373" t="s">
        <v>31714</v>
      </c>
    </row>
    <row r="9374" spans="1:9">
      <c r="A9374" t="str">
        <f>"0031553 "</f>
        <v xml:space="preserve">0031553 </v>
      </c>
      <c r="B9374" t="s">
        <v>28432</v>
      </c>
      <c r="C9374" t="s">
        <v>31715</v>
      </c>
      <c r="D9374" t="s">
        <v>31716</v>
      </c>
      <c r="E9374">
        <v>2</v>
      </c>
      <c r="F9374" t="s">
        <v>29484</v>
      </c>
      <c r="G9374" t="s">
        <v>28435</v>
      </c>
      <c r="H9374" t="s">
        <v>31717</v>
      </c>
      <c r="I9374" t="s">
        <v>31718</v>
      </c>
    </row>
    <row r="9375" spans="1:9">
      <c r="A9375" t="str">
        <f>"0031554 "</f>
        <v xml:space="preserve">0031554 </v>
      </c>
      <c r="B9375" t="s">
        <v>28432</v>
      </c>
      <c r="C9375" t="s">
        <v>31719</v>
      </c>
      <c r="D9375" t="s">
        <v>31720</v>
      </c>
      <c r="E9375">
        <v>1</v>
      </c>
      <c r="F9375" t="s">
        <v>29579</v>
      </c>
      <c r="G9375" t="s">
        <v>28435</v>
      </c>
      <c r="H9375" t="s">
        <v>31721</v>
      </c>
      <c r="I9375" t="s">
        <v>31722</v>
      </c>
    </row>
    <row r="9376" spans="1:9">
      <c r="A9376" t="str">
        <f>"0038684 "</f>
        <v xml:space="preserve">0038684 </v>
      </c>
      <c r="B9376" t="s">
        <v>28432</v>
      </c>
      <c r="C9376" t="s">
        <v>31723</v>
      </c>
      <c r="D9376" t="s">
        <v>31724</v>
      </c>
      <c r="E9376">
        <v>4</v>
      </c>
      <c r="F9376" t="s">
        <v>29579</v>
      </c>
      <c r="G9376" t="s">
        <v>28435</v>
      </c>
      <c r="H9376" t="s">
        <v>31725</v>
      </c>
      <c r="I9376" t="s">
        <v>31722</v>
      </c>
    </row>
    <row r="9377" spans="1:9">
      <c r="A9377" t="str">
        <f>"0031556 "</f>
        <v xml:space="preserve">0031556 </v>
      </c>
      <c r="B9377" t="s">
        <v>28432</v>
      </c>
      <c r="C9377" t="s">
        <v>31726</v>
      </c>
      <c r="D9377" t="s">
        <v>31727</v>
      </c>
      <c r="E9377">
        <v>1</v>
      </c>
      <c r="F9377" t="s">
        <v>29693</v>
      </c>
      <c r="G9377" t="s">
        <v>28435</v>
      </c>
      <c r="H9377" t="s">
        <v>31728</v>
      </c>
      <c r="I9377" t="s">
        <v>31729</v>
      </c>
    </row>
    <row r="9378" spans="1:9">
      <c r="A9378" t="str">
        <f>"0031557 "</f>
        <v xml:space="preserve">0031557 </v>
      </c>
      <c r="B9378" t="s">
        <v>28432</v>
      </c>
      <c r="C9378" t="s">
        <v>31730</v>
      </c>
      <c r="D9378" t="s">
        <v>31731</v>
      </c>
      <c r="E9378">
        <v>1</v>
      </c>
      <c r="F9378" t="s">
        <v>28697</v>
      </c>
      <c r="G9378" t="s">
        <v>28435</v>
      </c>
      <c r="H9378" t="s">
        <v>31732</v>
      </c>
      <c r="I9378" t="s">
        <v>31733</v>
      </c>
    </row>
    <row r="9379" spans="1:9">
      <c r="A9379" t="str">
        <f>"0031560 "</f>
        <v xml:space="preserve">0031560 </v>
      </c>
      <c r="B9379" t="s">
        <v>28432</v>
      </c>
      <c r="C9379" t="s">
        <v>31734</v>
      </c>
      <c r="D9379" t="s">
        <v>31735</v>
      </c>
      <c r="E9379">
        <v>3</v>
      </c>
      <c r="F9379" t="s">
        <v>29258</v>
      </c>
      <c r="G9379" t="s">
        <v>28435</v>
      </c>
      <c r="H9379" t="s">
        <v>31736</v>
      </c>
      <c r="I9379" t="s">
        <v>31737</v>
      </c>
    </row>
    <row r="9380" spans="1:9">
      <c r="A9380" t="str">
        <f>"0031561 "</f>
        <v xml:space="preserve">0031561 </v>
      </c>
      <c r="B9380" t="s">
        <v>28432</v>
      </c>
      <c r="C9380" t="s">
        <v>31738</v>
      </c>
      <c r="D9380" t="s">
        <v>31739</v>
      </c>
      <c r="E9380" t="s">
        <v>16</v>
      </c>
      <c r="F9380" t="s">
        <v>25756</v>
      </c>
      <c r="G9380" t="s">
        <v>28435</v>
      </c>
      <c r="H9380" t="s">
        <v>31740</v>
      </c>
      <c r="I9380" t="s">
        <v>31741</v>
      </c>
    </row>
    <row r="9381" spans="1:9">
      <c r="A9381" t="str">
        <f>"0031562 "</f>
        <v xml:space="preserve">0031562 </v>
      </c>
      <c r="B9381" t="s">
        <v>28432</v>
      </c>
      <c r="C9381" t="s">
        <v>31742</v>
      </c>
      <c r="D9381" t="s">
        <v>31743</v>
      </c>
      <c r="E9381" t="s">
        <v>16</v>
      </c>
      <c r="F9381" t="s">
        <v>31744</v>
      </c>
      <c r="G9381" t="s">
        <v>28435</v>
      </c>
      <c r="H9381" t="s">
        <v>31745</v>
      </c>
      <c r="I9381" t="s">
        <v>31746</v>
      </c>
    </row>
    <row r="9382" spans="1:9">
      <c r="A9382" t="str">
        <f>"0031563 "</f>
        <v xml:space="preserve">0031563 </v>
      </c>
      <c r="B9382" t="s">
        <v>28432</v>
      </c>
      <c r="C9382" t="s">
        <v>31747</v>
      </c>
      <c r="D9382" t="s">
        <v>31748</v>
      </c>
      <c r="E9382">
        <v>2</v>
      </c>
      <c r="F9382" t="s">
        <v>31749</v>
      </c>
      <c r="G9382" t="s">
        <v>28435</v>
      </c>
      <c r="H9382" t="s">
        <v>31750</v>
      </c>
      <c r="I9382" t="s">
        <v>31751</v>
      </c>
    </row>
    <row r="9383" spans="1:9">
      <c r="A9383" t="str">
        <f>"0031564 "</f>
        <v xml:space="preserve">0031564 </v>
      </c>
      <c r="B9383" t="s">
        <v>28432</v>
      </c>
      <c r="C9383" t="s">
        <v>31752</v>
      </c>
      <c r="D9383" t="s">
        <v>31753</v>
      </c>
      <c r="E9383">
        <v>1</v>
      </c>
      <c r="F9383" t="s">
        <v>31754</v>
      </c>
      <c r="G9383" t="s">
        <v>28435</v>
      </c>
      <c r="H9383" t="s">
        <v>31755</v>
      </c>
      <c r="I9383" t="s">
        <v>31756</v>
      </c>
    </row>
    <row r="9384" spans="1:9">
      <c r="A9384" t="str">
        <f>"0031566 "</f>
        <v xml:space="preserve">0031566 </v>
      </c>
      <c r="B9384" t="s">
        <v>28432</v>
      </c>
      <c r="C9384" t="s">
        <v>31757</v>
      </c>
      <c r="D9384" t="s">
        <v>31758</v>
      </c>
      <c r="E9384" t="s">
        <v>16</v>
      </c>
      <c r="F9384" t="s">
        <v>31759</v>
      </c>
      <c r="G9384" t="s">
        <v>28435</v>
      </c>
      <c r="H9384" t="s">
        <v>31760</v>
      </c>
      <c r="I9384" t="s">
        <v>31761</v>
      </c>
    </row>
    <row r="9385" spans="1:9">
      <c r="A9385" t="str">
        <f>"0031567 "</f>
        <v xml:space="preserve">0031567 </v>
      </c>
      <c r="B9385" t="s">
        <v>28432</v>
      </c>
      <c r="C9385" t="s">
        <v>31762</v>
      </c>
      <c r="D9385" t="s">
        <v>31763</v>
      </c>
      <c r="E9385">
        <v>2</v>
      </c>
      <c r="F9385" t="s">
        <v>31764</v>
      </c>
      <c r="G9385" t="s">
        <v>28435</v>
      </c>
      <c r="H9385" t="s">
        <v>31765</v>
      </c>
      <c r="I9385" t="s">
        <v>31766</v>
      </c>
    </row>
    <row r="9386" spans="1:9">
      <c r="A9386" t="str">
        <f>"0031568 "</f>
        <v xml:space="preserve">0031568 </v>
      </c>
      <c r="B9386" t="s">
        <v>28432</v>
      </c>
      <c r="C9386" t="s">
        <v>31767</v>
      </c>
      <c r="D9386" t="s">
        <v>31768</v>
      </c>
      <c r="E9386">
        <v>2</v>
      </c>
      <c r="F9386" t="s">
        <v>31769</v>
      </c>
      <c r="G9386" t="s">
        <v>28435</v>
      </c>
      <c r="H9386" t="s">
        <v>31770</v>
      </c>
      <c r="I9386" t="s">
        <v>31771</v>
      </c>
    </row>
    <row r="9387" spans="1:9">
      <c r="A9387" t="str">
        <f>"0031572 "</f>
        <v xml:space="preserve">0031572 </v>
      </c>
      <c r="B9387" t="s">
        <v>28432</v>
      </c>
      <c r="C9387" t="s">
        <v>31772</v>
      </c>
      <c r="D9387" t="s">
        <v>31773</v>
      </c>
      <c r="E9387" t="s">
        <v>16</v>
      </c>
      <c r="F9387" t="s">
        <v>31774</v>
      </c>
      <c r="G9387" t="s">
        <v>28435</v>
      </c>
      <c r="H9387" t="s">
        <v>31775</v>
      </c>
      <c r="I9387" t="s">
        <v>31776</v>
      </c>
    </row>
    <row r="9388" spans="1:9">
      <c r="A9388" t="str">
        <f>"0031574 "</f>
        <v xml:space="preserve">0031574 </v>
      </c>
      <c r="B9388" t="s">
        <v>28432</v>
      </c>
      <c r="C9388" t="s">
        <v>31777</v>
      </c>
      <c r="D9388" t="s">
        <v>31778</v>
      </c>
      <c r="E9388">
        <v>1</v>
      </c>
      <c r="F9388" t="s">
        <v>31779</v>
      </c>
      <c r="G9388" t="s">
        <v>28435</v>
      </c>
      <c r="H9388" t="s">
        <v>31780</v>
      </c>
      <c r="I9388" t="s">
        <v>31781</v>
      </c>
    </row>
    <row r="9389" spans="1:9">
      <c r="A9389" t="str">
        <f>"0031577 "</f>
        <v xml:space="preserve">0031577 </v>
      </c>
      <c r="B9389" t="s">
        <v>28432</v>
      </c>
      <c r="C9389" t="s">
        <v>31782</v>
      </c>
      <c r="D9389" t="s">
        <v>31783</v>
      </c>
      <c r="E9389">
        <v>1</v>
      </c>
      <c r="F9389" t="s">
        <v>29405</v>
      </c>
      <c r="G9389" t="s">
        <v>28435</v>
      </c>
      <c r="H9389" t="s">
        <v>31784</v>
      </c>
      <c r="I9389" t="s">
        <v>1345</v>
      </c>
    </row>
    <row r="9390" spans="1:9">
      <c r="A9390" t="str">
        <f>"0031581 "</f>
        <v xml:space="preserve">0031581 </v>
      </c>
      <c r="B9390" t="s">
        <v>28432</v>
      </c>
      <c r="C9390" t="s">
        <v>31785</v>
      </c>
      <c r="D9390" t="s">
        <v>31786</v>
      </c>
      <c r="E9390">
        <v>2</v>
      </c>
      <c r="F9390" t="s">
        <v>31581</v>
      </c>
      <c r="G9390" t="s">
        <v>28435</v>
      </c>
      <c r="H9390" t="s">
        <v>31787</v>
      </c>
      <c r="I9390" t="s">
        <v>31788</v>
      </c>
    </row>
    <row r="9391" spans="1:9">
      <c r="A9391" t="str">
        <f>"0031582 "</f>
        <v xml:space="preserve">0031582 </v>
      </c>
      <c r="B9391" t="s">
        <v>28432</v>
      </c>
      <c r="C9391" t="s">
        <v>31789</v>
      </c>
      <c r="D9391" t="s">
        <v>31790</v>
      </c>
      <c r="E9391">
        <v>1</v>
      </c>
      <c r="F9391" t="s">
        <v>31791</v>
      </c>
      <c r="G9391" t="s">
        <v>28435</v>
      </c>
      <c r="H9391" t="s">
        <v>31792</v>
      </c>
      <c r="I9391" t="s">
        <v>31793</v>
      </c>
    </row>
    <row r="9392" spans="1:9">
      <c r="A9392" t="str">
        <f>"0159229 "</f>
        <v xml:space="preserve">0159229 </v>
      </c>
      <c r="B9392" t="s">
        <v>28432</v>
      </c>
      <c r="C9392" t="s">
        <v>31794</v>
      </c>
      <c r="D9392" t="s">
        <v>31795</v>
      </c>
      <c r="E9392">
        <v>1</v>
      </c>
      <c r="F9392" t="s">
        <v>31796</v>
      </c>
      <c r="G9392" t="s">
        <v>28435</v>
      </c>
      <c r="H9392" t="s">
        <v>31797</v>
      </c>
      <c r="I9392" t="s">
        <v>31798</v>
      </c>
    </row>
    <row r="9393" spans="1:9">
      <c r="A9393" t="str">
        <f>"0031583 "</f>
        <v xml:space="preserve">0031583 </v>
      </c>
      <c r="B9393" t="s">
        <v>28432</v>
      </c>
      <c r="C9393" t="s">
        <v>31799</v>
      </c>
      <c r="D9393" t="s">
        <v>31800</v>
      </c>
      <c r="E9393">
        <v>2</v>
      </c>
      <c r="F9393" t="s">
        <v>31161</v>
      </c>
      <c r="G9393" t="s">
        <v>28435</v>
      </c>
      <c r="H9393" t="s">
        <v>31801</v>
      </c>
      <c r="I9393" t="s">
        <v>11677</v>
      </c>
    </row>
    <row r="9394" spans="1:9">
      <c r="A9394" t="str">
        <f>"0031588 "</f>
        <v xml:space="preserve">0031588 </v>
      </c>
      <c r="B9394" t="s">
        <v>28432</v>
      </c>
      <c r="C9394" t="s">
        <v>31802</v>
      </c>
      <c r="D9394" t="s">
        <v>31803</v>
      </c>
      <c r="E9394">
        <v>2</v>
      </c>
      <c r="F9394" t="s">
        <v>31636</v>
      </c>
      <c r="G9394" t="s">
        <v>28435</v>
      </c>
      <c r="H9394" t="s">
        <v>31804</v>
      </c>
      <c r="I9394" t="s">
        <v>31805</v>
      </c>
    </row>
    <row r="9395" spans="1:9">
      <c r="A9395" t="str">
        <f>"0031590 "</f>
        <v xml:space="preserve">0031590 </v>
      </c>
      <c r="B9395" t="s">
        <v>28432</v>
      </c>
      <c r="C9395" t="s">
        <v>31806</v>
      </c>
      <c r="D9395" t="s">
        <v>31807</v>
      </c>
      <c r="E9395">
        <v>4</v>
      </c>
      <c r="F9395" t="s">
        <v>31808</v>
      </c>
      <c r="G9395" t="s">
        <v>28435</v>
      </c>
      <c r="H9395" t="s">
        <v>31809</v>
      </c>
      <c r="I9395" t="s">
        <v>31070</v>
      </c>
    </row>
    <row r="9396" spans="1:9">
      <c r="A9396" t="str">
        <f>"0031592 "</f>
        <v xml:space="preserve">0031592 </v>
      </c>
      <c r="B9396" t="s">
        <v>28432</v>
      </c>
      <c r="C9396" t="s">
        <v>31810</v>
      </c>
      <c r="D9396" t="s">
        <v>31811</v>
      </c>
      <c r="E9396">
        <v>2</v>
      </c>
      <c r="F9396" t="s">
        <v>28618</v>
      </c>
      <c r="G9396" t="s">
        <v>28435</v>
      </c>
      <c r="H9396" t="s">
        <v>31812</v>
      </c>
      <c r="I9396" t="s">
        <v>31813</v>
      </c>
    </row>
    <row r="9397" spans="1:9">
      <c r="A9397" t="str">
        <f>"0031594 "</f>
        <v xml:space="preserve">0031594 </v>
      </c>
      <c r="B9397" t="s">
        <v>28432</v>
      </c>
      <c r="C9397" t="s">
        <v>31814</v>
      </c>
      <c r="D9397" t="s">
        <v>31815</v>
      </c>
      <c r="E9397" t="s">
        <v>16</v>
      </c>
      <c r="F9397" t="s">
        <v>31769</v>
      </c>
      <c r="G9397" t="s">
        <v>28435</v>
      </c>
      <c r="H9397" t="s">
        <v>31816</v>
      </c>
      <c r="I9397" t="s">
        <v>31079</v>
      </c>
    </row>
    <row r="9398" spans="1:9">
      <c r="A9398" t="str">
        <f>"0031601 "</f>
        <v xml:space="preserve">0031601 </v>
      </c>
      <c r="B9398" t="s">
        <v>28432</v>
      </c>
      <c r="C9398" t="s">
        <v>31817</v>
      </c>
      <c r="D9398" t="s">
        <v>31818</v>
      </c>
      <c r="E9398">
        <v>2</v>
      </c>
      <c r="F9398" t="s">
        <v>29078</v>
      </c>
      <c r="G9398" t="s">
        <v>28435</v>
      </c>
      <c r="H9398" t="s">
        <v>31819</v>
      </c>
      <c r="I9398" t="s">
        <v>1363</v>
      </c>
    </row>
    <row r="9399" spans="1:9">
      <c r="A9399" t="str">
        <f>"0031603 "</f>
        <v xml:space="preserve">0031603 </v>
      </c>
      <c r="B9399" t="s">
        <v>28432</v>
      </c>
      <c r="C9399" t="s">
        <v>31820</v>
      </c>
      <c r="D9399" t="s">
        <v>31821</v>
      </c>
      <c r="E9399">
        <v>2</v>
      </c>
      <c r="F9399" t="s">
        <v>1355</v>
      </c>
      <c r="G9399" t="s">
        <v>28435</v>
      </c>
      <c r="H9399" t="s">
        <v>31822</v>
      </c>
      <c r="I9399" t="s">
        <v>23161</v>
      </c>
    </row>
    <row r="9400" spans="1:9">
      <c r="A9400" t="str">
        <f>"0031605 "</f>
        <v xml:space="preserve">0031605 </v>
      </c>
      <c r="B9400" t="s">
        <v>28432</v>
      </c>
      <c r="C9400" t="s">
        <v>31823</v>
      </c>
      <c r="D9400" t="s">
        <v>31824</v>
      </c>
      <c r="E9400">
        <v>2</v>
      </c>
      <c r="F9400" t="s">
        <v>31825</v>
      </c>
      <c r="G9400" t="s">
        <v>28435</v>
      </c>
      <c r="H9400" t="s">
        <v>31826</v>
      </c>
      <c r="I9400" t="s">
        <v>31827</v>
      </c>
    </row>
    <row r="9401" spans="1:9">
      <c r="A9401" t="str">
        <f>"0031606 "</f>
        <v xml:space="preserve">0031606 </v>
      </c>
      <c r="B9401" t="s">
        <v>28432</v>
      </c>
      <c r="C9401" t="s">
        <v>31828</v>
      </c>
      <c r="D9401" t="s">
        <v>31829</v>
      </c>
      <c r="E9401">
        <v>1</v>
      </c>
      <c r="F9401" t="s">
        <v>30077</v>
      </c>
      <c r="G9401" t="s">
        <v>28435</v>
      </c>
      <c r="H9401" t="s">
        <v>31830</v>
      </c>
      <c r="I9401" t="s">
        <v>31831</v>
      </c>
    </row>
    <row r="9402" spans="1:9">
      <c r="A9402" t="str">
        <f>"0031630 "</f>
        <v xml:space="preserve">0031630 </v>
      </c>
      <c r="B9402" t="s">
        <v>28432</v>
      </c>
      <c r="C9402" t="s">
        <v>31832</v>
      </c>
      <c r="D9402" t="s">
        <v>31833</v>
      </c>
      <c r="E9402">
        <v>1</v>
      </c>
      <c r="F9402" t="s">
        <v>25938</v>
      </c>
      <c r="G9402" t="s">
        <v>28435</v>
      </c>
      <c r="H9402" t="s">
        <v>31834</v>
      </c>
      <c r="I9402" t="s">
        <v>31835</v>
      </c>
    </row>
    <row r="9403" spans="1:9">
      <c r="A9403" t="str">
        <f>"0031633 "</f>
        <v xml:space="preserve">0031633 </v>
      </c>
      <c r="B9403" t="s">
        <v>28432</v>
      </c>
      <c r="C9403" t="s">
        <v>31836</v>
      </c>
      <c r="D9403" t="s">
        <v>31837</v>
      </c>
      <c r="E9403">
        <v>2</v>
      </c>
      <c r="F9403" t="s">
        <v>31838</v>
      </c>
      <c r="G9403" t="s">
        <v>28435</v>
      </c>
      <c r="H9403" t="s">
        <v>31839</v>
      </c>
      <c r="I9403" t="s">
        <v>31840</v>
      </c>
    </row>
    <row r="9404" spans="1:9">
      <c r="A9404" t="str">
        <f>"0031658 "</f>
        <v xml:space="preserve">0031658 </v>
      </c>
      <c r="B9404" t="s">
        <v>28432</v>
      </c>
      <c r="C9404" t="s">
        <v>31841</v>
      </c>
      <c r="D9404" t="s">
        <v>31842</v>
      </c>
      <c r="E9404">
        <v>1</v>
      </c>
      <c r="F9404" t="s">
        <v>4738</v>
      </c>
      <c r="G9404" t="s">
        <v>28435</v>
      </c>
      <c r="H9404" t="s">
        <v>31843</v>
      </c>
      <c r="I9404" t="s">
        <v>31844</v>
      </c>
    </row>
    <row r="9405" spans="1:9">
      <c r="A9405" t="str">
        <f>"0031660 "</f>
        <v xml:space="preserve">0031660 </v>
      </c>
      <c r="B9405" t="s">
        <v>28432</v>
      </c>
      <c r="C9405" t="s">
        <v>31845</v>
      </c>
      <c r="D9405" t="s">
        <v>31846</v>
      </c>
      <c r="E9405" t="s">
        <v>16</v>
      </c>
      <c r="F9405" t="s">
        <v>690</v>
      </c>
      <c r="G9405" t="s">
        <v>28435</v>
      </c>
      <c r="H9405" t="s">
        <v>31847</v>
      </c>
      <c r="I9405" t="s">
        <v>31848</v>
      </c>
    </row>
    <row r="9406" spans="1:9">
      <c r="A9406" t="str">
        <f>"0031662 "</f>
        <v xml:space="preserve">0031662 </v>
      </c>
      <c r="B9406" t="s">
        <v>28432</v>
      </c>
      <c r="C9406" t="s">
        <v>31849</v>
      </c>
      <c r="D9406" t="s">
        <v>31850</v>
      </c>
      <c r="E9406">
        <v>2</v>
      </c>
      <c r="F9406" t="s">
        <v>30675</v>
      </c>
      <c r="G9406" t="s">
        <v>28435</v>
      </c>
      <c r="H9406" t="s">
        <v>31851</v>
      </c>
      <c r="I9406" t="s">
        <v>31852</v>
      </c>
    </row>
    <row r="9407" spans="1:9">
      <c r="A9407" t="str">
        <f>"0031685 "</f>
        <v xml:space="preserve">0031685 </v>
      </c>
      <c r="B9407" t="s">
        <v>28432</v>
      </c>
      <c r="C9407" t="s">
        <v>31853</v>
      </c>
      <c r="D9407" t="s">
        <v>31854</v>
      </c>
      <c r="E9407">
        <v>1</v>
      </c>
      <c r="F9407" t="s">
        <v>31855</v>
      </c>
      <c r="G9407" t="s">
        <v>28435</v>
      </c>
      <c r="H9407" t="s">
        <v>31856</v>
      </c>
      <c r="I9407" t="s">
        <v>31857</v>
      </c>
    </row>
    <row r="9408" spans="1:9">
      <c r="A9408" t="str">
        <f>"0031686 "</f>
        <v xml:space="preserve">0031686 </v>
      </c>
      <c r="B9408" t="s">
        <v>28432</v>
      </c>
      <c r="C9408" t="s">
        <v>31858</v>
      </c>
      <c r="D9408" t="s">
        <v>31859</v>
      </c>
      <c r="E9408">
        <v>4</v>
      </c>
      <c r="F9408" t="s">
        <v>31860</v>
      </c>
      <c r="G9408" t="s">
        <v>28435</v>
      </c>
      <c r="H9408" t="s">
        <v>31861</v>
      </c>
      <c r="I9408" t="s">
        <v>31862</v>
      </c>
    </row>
    <row r="9409" spans="1:9">
      <c r="A9409" t="str">
        <f>"0031703 "</f>
        <v xml:space="preserve">0031703 </v>
      </c>
      <c r="B9409" t="s">
        <v>28432</v>
      </c>
      <c r="C9409" t="s">
        <v>31863</v>
      </c>
      <c r="D9409" t="s">
        <v>31864</v>
      </c>
      <c r="E9409">
        <v>1</v>
      </c>
      <c r="F9409" t="s">
        <v>31865</v>
      </c>
      <c r="G9409" t="s">
        <v>28435</v>
      </c>
      <c r="H9409" t="s">
        <v>31866</v>
      </c>
      <c r="I9409" t="s">
        <v>31867</v>
      </c>
    </row>
    <row r="9410" spans="1:9">
      <c r="A9410" t="str">
        <f>"0031704 "</f>
        <v xml:space="preserve">0031704 </v>
      </c>
      <c r="B9410" t="s">
        <v>28432</v>
      </c>
      <c r="C9410" t="s">
        <v>31868</v>
      </c>
      <c r="D9410" t="s">
        <v>31869</v>
      </c>
      <c r="E9410">
        <v>3</v>
      </c>
      <c r="F9410" t="s">
        <v>31870</v>
      </c>
      <c r="G9410" t="s">
        <v>28435</v>
      </c>
      <c r="H9410" t="s">
        <v>31871</v>
      </c>
      <c r="I9410" t="s">
        <v>11681</v>
      </c>
    </row>
    <row r="9411" spans="1:9">
      <c r="A9411" t="str">
        <f>"0031705 "</f>
        <v xml:space="preserve">0031705 </v>
      </c>
      <c r="B9411" t="s">
        <v>28432</v>
      </c>
      <c r="C9411" t="s">
        <v>31872</v>
      </c>
      <c r="D9411" t="s">
        <v>31873</v>
      </c>
      <c r="E9411">
        <v>1</v>
      </c>
      <c r="F9411" t="s">
        <v>28824</v>
      </c>
      <c r="G9411" t="s">
        <v>28435</v>
      </c>
      <c r="H9411" t="s">
        <v>31874</v>
      </c>
      <c r="I9411" t="s">
        <v>23051</v>
      </c>
    </row>
    <row r="9412" spans="1:9">
      <c r="A9412" t="str">
        <f>"0086626 "</f>
        <v xml:space="preserve">0086626 </v>
      </c>
      <c r="B9412" t="s">
        <v>28432</v>
      </c>
      <c r="C9412" t="s">
        <v>31875</v>
      </c>
      <c r="D9412" t="s">
        <v>31876</v>
      </c>
      <c r="E9412">
        <v>1</v>
      </c>
      <c r="F9412" t="s">
        <v>31877</v>
      </c>
      <c r="G9412" t="s">
        <v>28435</v>
      </c>
      <c r="H9412" t="s">
        <v>31878</v>
      </c>
      <c r="I9412" t="s">
        <v>31879</v>
      </c>
    </row>
    <row r="9413" spans="1:9">
      <c r="A9413" t="str">
        <f>"0031706 "</f>
        <v xml:space="preserve">0031706 </v>
      </c>
      <c r="B9413" t="s">
        <v>28432</v>
      </c>
      <c r="C9413" t="s">
        <v>31880</v>
      </c>
      <c r="D9413" t="s">
        <v>31881</v>
      </c>
      <c r="E9413" t="s">
        <v>16</v>
      </c>
      <c r="F9413" t="s">
        <v>31882</v>
      </c>
      <c r="G9413" t="s">
        <v>28435</v>
      </c>
      <c r="H9413" t="s">
        <v>31883</v>
      </c>
      <c r="I9413" t="s">
        <v>31884</v>
      </c>
    </row>
    <row r="9414" spans="1:9">
      <c r="A9414" t="str">
        <f>"0031707 "</f>
        <v xml:space="preserve">0031707 </v>
      </c>
      <c r="B9414" t="s">
        <v>28432</v>
      </c>
      <c r="C9414" t="s">
        <v>31885</v>
      </c>
      <c r="D9414" t="s">
        <v>31886</v>
      </c>
      <c r="E9414">
        <v>2</v>
      </c>
      <c r="F9414" t="s">
        <v>29646</v>
      </c>
      <c r="G9414" t="s">
        <v>28435</v>
      </c>
      <c r="H9414" t="s">
        <v>31887</v>
      </c>
      <c r="I9414" t="s">
        <v>31888</v>
      </c>
    </row>
    <row r="9415" spans="1:9">
      <c r="A9415" t="str">
        <f>"0031713 "</f>
        <v xml:space="preserve">0031713 </v>
      </c>
      <c r="B9415" t="s">
        <v>28432</v>
      </c>
      <c r="C9415" t="s">
        <v>31889</v>
      </c>
      <c r="D9415" t="s">
        <v>31890</v>
      </c>
      <c r="E9415">
        <v>1</v>
      </c>
      <c r="F9415" t="s">
        <v>31891</v>
      </c>
      <c r="G9415" t="s">
        <v>28435</v>
      </c>
      <c r="H9415" t="s">
        <v>31892</v>
      </c>
      <c r="I9415" t="s">
        <v>11512</v>
      </c>
    </row>
    <row r="9416" spans="1:9">
      <c r="A9416" t="str">
        <f>"0031716 "</f>
        <v xml:space="preserve">0031716 </v>
      </c>
      <c r="B9416" t="s">
        <v>28432</v>
      </c>
      <c r="C9416" t="s">
        <v>31893</v>
      </c>
      <c r="D9416" t="s">
        <v>31894</v>
      </c>
      <c r="E9416" t="s">
        <v>16</v>
      </c>
      <c r="F9416" t="s">
        <v>30495</v>
      </c>
      <c r="G9416" t="s">
        <v>28435</v>
      </c>
      <c r="H9416" t="s">
        <v>31895</v>
      </c>
      <c r="I9416" t="s">
        <v>31896</v>
      </c>
    </row>
    <row r="9417" spans="1:9">
      <c r="A9417" t="str">
        <f>"0031719 "</f>
        <v xml:space="preserve">0031719 </v>
      </c>
      <c r="B9417" t="s">
        <v>28432</v>
      </c>
      <c r="C9417" t="s">
        <v>31897</v>
      </c>
      <c r="D9417" t="s">
        <v>31898</v>
      </c>
      <c r="E9417">
        <v>1</v>
      </c>
      <c r="F9417" t="s">
        <v>31899</v>
      </c>
      <c r="G9417" t="s">
        <v>28435</v>
      </c>
      <c r="H9417" t="s">
        <v>31900</v>
      </c>
      <c r="I9417" t="s">
        <v>31901</v>
      </c>
    </row>
    <row r="9418" spans="1:9">
      <c r="A9418" t="str">
        <f>"0031723 "</f>
        <v xml:space="preserve">0031723 </v>
      </c>
      <c r="B9418" t="s">
        <v>28432</v>
      </c>
      <c r="C9418" t="s">
        <v>31902</v>
      </c>
      <c r="D9418" t="s">
        <v>31903</v>
      </c>
      <c r="E9418">
        <v>1</v>
      </c>
      <c r="F9418" t="s">
        <v>31904</v>
      </c>
      <c r="G9418" t="s">
        <v>28435</v>
      </c>
      <c r="H9418" t="s">
        <v>31905</v>
      </c>
      <c r="I9418" t="s">
        <v>31906</v>
      </c>
    </row>
    <row r="9419" spans="1:9">
      <c r="A9419" t="str">
        <f>"0031731 "</f>
        <v xml:space="preserve">0031731 </v>
      </c>
      <c r="B9419" t="s">
        <v>28432</v>
      </c>
      <c r="C9419" t="s">
        <v>31907</v>
      </c>
      <c r="D9419" t="s">
        <v>31908</v>
      </c>
      <c r="E9419">
        <v>1</v>
      </c>
      <c r="F9419" t="s">
        <v>31909</v>
      </c>
      <c r="G9419" t="s">
        <v>28435</v>
      </c>
      <c r="H9419" t="s">
        <v>31910</v>
      </c>
      <c r="I9419" t="s">
        <v>31911</v>
      </c>
    </row>
    <row r="9420" spans="1:9">
      <c r="A9420" t="str">
        <f>"0031738 "</f>
        <v xml:space="preserve">0031738 </v>
      </c>
      <c r="B9420" t="s">
        <v>28432</v>
      </c>
      <c r="C9420" t="s">
        <v>31912</v>
      </c>
      <c r="D9420" t="s">
        <v>31913</v>
      </c>
      <c r="E9420">
        <v>1</v>
      </c>
      <c r="F9420" t="s">
        <v>18365</v>
      </c>
      <c r="G9420" t="s">
        <v>28435</v>
      </c>
      <c r="H9420" t="s">
        <v>31914</v>
      </c>
      <c r="I9420" t="s">
        <v>31915</v>
      </c>
    </row>
    <row r="9421" spans="1:9">
      <c r="A9421" t="str">
        <f>"0031741 "</f>
        <v xml:space="preserve">0031741 </v>
      </c>
      <c r="B9421" t="s">
        <v>28432</v>
      </c>
      <c r="C9421" t="s">
        <v>31916</v>
      </c>
      <c r="D9421" t="s">
        <v>31917</v>
      </c>
      <c r="E9421">
        <v>2</v>
      </c>
      <c r="F9421" t="s">
        <v>31918</v>
      </c>
      <c r="G9421" t="s">
        <v>28435</v>
      </c>
      <c r="H9421" t="s">
        <v>31919</v>
      </c>
      <c r="I9421" t="s">
        <v>11689</v>
      </c>
    </row>
    <row r="9422" spans="1:9">
      <c r="A9422" t="str">
        <f>"0031742 "</f>
        <v xml:space="preserve">0031742 </v>
      </c>
      <c r="B9422" t="s">
        <v>28432</v>
      </c>
      <c r="C9422" t="s">
        <v>31920</v>
      </c>
      <c r="D9422" t="s">
        <v>31921</v>
      </c>
      <c r="E9422">
        <v>3</v>
      </c>
      <c r="F9422" t="s">
        <v>29891</v>
      </c>
      <c r="G9422" t="s">
        <v>28435</v>
      </c>
      <c r="H9422" t="s">
        <v>31922</v>
      </c>
      <c r="I9422" t="s">
        <v>31923</v>
      </c>
    </row>
    <row r="9423" spans="1:9">
      <c r="A9423" t="str">
        <f>"0031745 "</f>
        <v xml:space="preserve">0031745 </v>
      </c>
      <c r="B9423" t="s">
        <v>28432</v>
      </c>
      <c r="C9423" t="s">
        <v>31924</v>
      </c>
      <c r="D9423" t="s">
        <v>31925</v>
      </c>
      <c r="E9423">
        <v>2</v>
      </c>
      <c r="F9423" t="s">
        <v>31926</v>
      </c>
      <c r="G9423" t="s">
        <v>28435</v>
      </c>
      <c r="H9423" t="s">
        <v>31927</v>
      </c>
      <c r="I9423" t="s">
        <v>31928</v>
      </c>
    </row>
    <row r="9424" spans="1:9">
      <c r="A9424" t="str">
        <f>"0031746 "</f>
        <v xml:space="preserve">0031746 </v>
      </c>
      <c r="B9424" t="s">
        <v>28432</v>
      </c>
      <c r="C9424" t="s">
        <v>31929</v>
      </c>
      <c r="D9424" t="s">
        <v>31930</v>
      </c>
      <c r="E9424">
        <v>4</v>
      </c>
      <c r="F9424" t="s">
        <v>31931</v>
      </c>
      <c r="G9424" t="s">
        <v>28435</v>
      </c>
      <c r="H9424" t="s">
        <v>31932</v>
      </c>
      <c r="I9424" t="s">
        <v>11457</v>
      </c>
    </row>
    <row r="9425" spans="1:9">
      <c r="A9425" t="str">
        <f>"0031747 "</f>
        <v xml:space="preserve">0031747 </v>
      </c>
      <c r="B9425" t="s">
        <v>28432</v>
      </c>
      <c r="C9425" t="s">
        <v>31933</v>
      </c>
      <c r="D9425" t="s">
        <v>31934</v>
      </c>
      <c r="E9425">
        <v>1</v>
      </c>
      <c r="F9425" t="s">
        <v>31935</v>
      </c>
      <c r="G9425" t="s">
        <v>28435</v>
      </c>
      <c r="H9425" t="s">
        <v>31936</v>
      </c>
      <c r="I9425" t="s">
        <v>31937</v>
      </c>
    </row>
    <row r="9426" spans="1:9">
      <c r="A9426" t="str">
        <f>"0038221 "</f>
        <v xml:space="preserve">0038221 </v>
      </c>
      <c r="B9426" t="s">
        <v>28432</v>
      </c>
      <c r="C9426" t="s">
        <v>31938</v>
      </c>
      <c r="D9426" t="s">
        <v>31939</v>
      </c>
      <c r="E9426">
        <v>1</v>
      </c>
      <c r="F9426" t="s">
        <v>31940</v>
      </c>
      <c r="G9426" t="s">
        <v>28435</v>
      </c>
      <c r="H9426" t="s">
        <v>31941</v>
      </c>
      <c r="I9426" t="s">
        <v>31942</v>
      </c>
    </row>
    <row r="9427" spans="1:9">
      <c r="A9427" t="str">
        <f>"0031750 "</f>
        <v xml:space="preserve">0031750 </v>
      </c>
      <c r="B9427" t="s">
        <v>28432</v>
      </c>
      <c r="C9427" t="s">
        <v>31943</v>
      </c>
      <c r="D9427" t="s">
        <v>31944</v>
      </c>
      <c r="E9427">
        <v>1</v>
      </c>
      <c r="F9427" t="s">
        <v>31945</v>
      </c>
      <c r="G9427" t="s">
        <v>28435</v>
      </c>
      <c r="H9427" t="s">
        <v>31946</v>
      </c>
      <c r="I9427" t="s">
        <v>31947</v>
      </c>
    </row>
    <row r="9428" spans="1:9">
      <c r="A9428" t="str">
        <f>"0031751 "</f>
        <v xml:space="preserve">0031751 </v>
      </c>
      <c r="B9428" t="s">
        <v>28432</v>
      </c>
      <c r="C9428" t="s">
        <v>31948</v>
      </c>
      <c r="D9428" t="s">
        <v>31949</v>
      </c>
      <c r="E9428">
        <v>1</v>
      </c>
      <c r="F9428" t="s">
        <v>31950</v>
      </c>
      <c r="G9428" t="s">
        <v>28435</v>
      </c>
      <c r="H9428" t="s">
        <v>31951</v>
      </c>
      <c r="I9428" t="s">
        <v>31952</v>
      </c>
    </row>
    <row r="9429" spans="1:9">
      <c r="A9429" t="str">
        <f>"0031752 "</f>
        <v xml:space="preserve">0031752 </v>
      </c>
      <c r="B9429" t="s">
        <v>28432</v>
      </c>
      <c r="C9429" t="s">
        <v>31953</v>
      </c>
      <c r="D9429" t="s">
        <v>31954</v>
      </c>
      <c r="E9429">
        <v>1</v>
      </c>
      <c r="F9429" t="s">
        <v>31955</v>
      </c>
      <c r="G9429" t="s">
        <v>28435</v>
      </c>
      <c r="H9429" t="s">
        <v>31956</v>
      </c>
      <c r="I9429" t="s">
        <v>31957</v>
      </c>
    </row>
    <row r="9430" spans="1:9">
      <c r="A9430" t="str">
        <f>"0031753 "</f>
        <v xml:space="preserve">0031753 </v>
      </c>
      <c r="B9430" t="s">
        <v>28432</v>
      </c>
      <c r="C9430" t="s">
        <v>31958</v>
      </c>
      <c r="D9430" t="s">
        <v>31959</v>
      </c>
      <c r="E9430">
        <v>1</v>
      </c>
      <c r="F9430" t="s">
        <v>31960</v>
      </c>
      <c r="G9430" t="s">
        <v>28435</v>
      </c>
      <c r="H9430" t="s">
        <v>31961</v>
      </c>
      <c r="I9430" t="s">
        <v>31962</v>
      </c>
    </row>
    <row r="9431" spans="1:9">
      <c r="A9431" t="str">
        <f>"0031754 "</f>
        <v xml:space="preserve">0031754 </v>
      </c>
      <c r="B9431" t="s">
        <v>28432</v>
      </c>
      <c r="C9431" t="s">
        <v>31963</v>
      </c>
      <c r="D9431" t="s">
        <v>31964</v>
      </c>
      <c r="E9431">
        <v>1</v>
      </c>
      <c r="F9431" t="s">
        <v>29569</v>
      </c>
      <c r="G9431" t="s">
        <v>28435</v>
      </c>
      <c r="H9431" t="s">
        <v>31965</v>
      </c>
      <c r="I9431" t="s">
        <v>31966</v>
      </c>
    </row>
    <row r="9432" spans="1:9">
      <c r="A9432" t="str">
        <f>"0031756 "</f>
        <v xml:space="preserve">0031756 </v>
      </c>
      <c r="B9432" t="s">
        <v>28432</v>
      </c>
      <c r="C9432" t="s">
        <v>31967</v>
      </c>
      <c r="D9432" t="s">
        <v>31968</v>
      </c>
      <c r="E9432">
        <v>1</v>
      </c>
      <c r="F9432" t="s">
        <v>31960</v>
      </c>
      <c r="G9432" t="s">
        <v>28435</v>
      </c>
      <c r="H9432" t="s">
        <v>31969</v>
      </c>
      <c r="I9432" t="s">
        <v>31970</v>
      </c>
    </row>
    <row r="9433" spans="1:9">
      <c r="A9433" t="str">
        <f>"0031760 "</f>
        <v xml:space="preserve">0031760 </v>
      </c>
      <c r="B9433" t="s">
        <v>28432</v>
      </c>
      <c r="C9433" t="s">
        <v>31971</v>
      </c>
      <c r="D9433" t="s">
        <v>31972</v>
      </c>
      <c r="E9433" t="s">
        <v>16</v>
      </c>
      <c r="F9433" t="s">
        <v>28867</v>
      </c>
      <c r="G9433" t="s">
        <v>28435</v>
      </c>
      <c r="H9433" t="s">
        <v>31973</v>
      </c>
      <c r="I9433" t="s">
        <v>31974</v>
      </c>
    </row>
    <row r="9434" spans="1:9">
      <c r="A9434" t="str">
        <f>"0031761 "</f>
        <v xml:space="preserve">0031761 </v>
      </c>
      <c r="B9434" t="s">
        <v>28432</v>
      </c>
      <c r="C9434" t="s">
        <v>31975</v>
      </c>
      <c r="D9434" t="s">
        <v>31976</v>
      </c>
      <c r="E9434">
        <v>2</v>
      </c>
      <c r="F9434" t="s">
        <v>31977</v>
      </c>
      <c r="G9434" t="s">
        <v>28435</v>
      </c>
      <c r="H9434" t="s">
        <v>31978</v>
      </c>
      <c r="I9434" t="s">
        <v>31979</v>
      </c>
    </row>
    <row r="9435" spans="1:9">
      <c r="A9435" t="str">
        <f>"0031765 "</f>
        <v xml:space="preserve">0031765 </v>
      </c>
      <c r="B9435" t="s">
        <v>28432</v>
      </c>
      <c r="C9435" t="s">
        <v>31980</v>
      </c>
      <c r="D9435" t="s">
        <v>31981</v>
      </c>
      <c r="E9435">
        <v>2</v>
      </c>
      <c r="F9435" t="s">
        <v>31982</v>
      </c>
      <c r="G9435" t="s">
        <v>28435</v>
      </c>
      <c r="H9435" t="s">
        <v>31983</v>
      </c>
      <c r="I9435" t="s">
        <v>1433</v>
      </c>
    </row>
    <row r="9436" spans="1:9">
      <c r="A9436" t="str">
        <f>"0031766 "</f>
        <v xml:space="preserve">0031766 </v>
      </c>
      <c r="B9436" t="s">
        <v>28432</v>
      </c>
      <c r="C9436" t="s">
        <v>31984</v>
      </c>
      <c r="D9436" t="s">
        <v>31985</v>
      </c>
      <c r="E9436">
        <v>1</v>
      </c>
      <c r="F9436" t="s">
        <v>31986</v>
      </c>
      <c r="G9436" t="s">
        <v>28435</v>
      </c>
      <c r="H9436" t="s">
        <v>31987</v>
      </c>
      <c r="I9436" t="s">
        <v>31988</v>
      </c>
    </row>
    <row r="9437" spans="1:9">
      <c r="A9437" t="str">
        <f>"0031767 "</f>
        <v xml:space="preserve">0031767 </v>
      </c>
      <c r="B9437" t="s">
        <v>28432</v>
      </c>
      <c r="C9437" t="s">
        <v>31989</v>
      </c>
      <c r="D9437" t="s">
        <v>31990</v>
      </c>
      <c r="E9437">
        <v>1</v>
      </c>
      <c r="F9437" t="s">
        <v>31991</v>
      </c>
      <c r="G9437" t="s">
        <v>28435</v>
      </c>
      <c r="H9437" t="s">
        <v>31992</v>
      </c>
      <c r="I9437" t="s">
        <v>11665</v>
      </c>
    </row>
    <row r="9438" spans="1:9">
      <c r="A9438" t="str">
        <f>"0031768 "</f>
        <v xml:space="preserve">0031768 </v>
      </c>
      <c r="B9438" t="s">
        <v>28432</v>
      </c>
      <c r="C9438" t="s">
        <v>31993</v>
      </c>
      <c r="D9438" t="s">
        <v>31994</v>
      </c>
      <c r="E9438" t="s">
        <v>16</v>
      </c>
      <c r="F9438" t="s">
        <v>31995</v>
      </c>
      <c r="G9438" t="s">
        <v>28435</v>
      </c>
      <c r="H9438" t="s">
        <v>31996</v>
      </c>
      <c r="I9438" t="s">
        <v>31997</v>
      </c>
    </row>
    <row r="9439" spans="1:9">
      <c r="A9439" t="str">
        <f>"0031769 "</f>
        <v xml:space="preserve">0031769 </v>
      </c>
      <c r="B9439" t="s">
        <v>28432</v>
      </c>
      <c r="C9439" t="s">
        <v>31998</v>
      </c>
      <c r="D9439" t="s">
        <v>31999</v>
      </c>
      <c r="E9439" t="s">
        <v>16</v>
      </c>
      <c r="F9439" t="s">
        <v>30026</v>
      </c>
      <c r="G9439" t="s">
        <v>28435</v>
      </c>
      <c r="H9439" t="s">
        <v>32000</v>
      </c>
      <c r="I9439" t="s">
        <v>32001</v>
      </c>
    </row>
    <row r="9440" spans="1:9">
      <c r="A9440" t="str">
        <f>"0116729 "</f>
        <v xml:space="preserve">0116729 </v>
      </c>
      <c r="B9440" t="s">
        <v>28432</v>
      </c>
      <c r="C9440" t="s">
        <v>32002</v>
      </c>
      <c r="D9440" t="s">
        <v>32003</v>
      </c>
      <c r="E9440">
        <v>1</v>
      </c>
      <c r="F9440" t="s">
        <v>32004</v>
      </c>
      <c r="G9440" t="s">
        <v>28435</v>
      </c>
      <c r="H9440" t="s">
        <v>32005</v>
      </c>
      <c r="I9440" t="s">
        <v>32006</v>
      </c>
    </row>
    <row r="9441" spans="1:9">
      <c r="A9441" t="str">
        <f>"0116730 "</f>
        <v xml:space="preserve">0116730 </v>
      </c>
      <c r="B9441" t="s">
        <v>28432</v>
      </c>
      <c r="C9441" t="s">
        <v>32007</v>
      </c>
      <c r="D9441" t="s">
        <v>32008</v>
      </c>
      <c r="E9441">
        <v>1</v>
      </c>
      <c r="F9441" t="s">
        <v>32009</v>
      </c>
      <c r="G9441" t="s">
        <v>28435</v>
      </c>
      <c r="H9441" t="s">
        <v>32010</v>
      </c>
      <c r="I9441" t="s">
        <v>32011</v>
      </c>
    </row>
    <row r="9442" spans="1:9">
      <c r="A9442" t="str">
        <f>"0031771 "</f>
        <v xml:space="preserve">0031771 </v>
      </c>
      <c r="B9442" t="s">
        <v>28432</v>
      </c>
      <c r="C9442" t="s">
        <v>32012</v>
      </c>
      <c r="D9442" t="s">
        <v>32013</v>
      </c>
      <c r="E9442">
        <v>1</v>
      </c>
      <c r="F9442" t="s">
        <v>32014</v>
      </c>
      <c r="G9442" t="s">
        <v>28435</v>
      </c>
      <c r="H9442" t="s">
        <v>32015</v>
      </c>
      <c r="I9442" t="s">
        <v>32016</v>
      </c>
    </row>
    <row r="9443" spans="1:9">
      <c r="A9443" t="str">
        <f>"0031772 "</f>
        <v xml:space="preserve">0031772 </v>
      </c>
      <c r="B9443" t="s">
        <v>28432</v>
      </c>
      <c r="C9443" t="s">
        <v>32017</v>
      </c>
      <c r="D9443" t="s">
        <v>32018</v>
      </c>
      <c r="E9443">
        <v>2</v>
      </c>
      <c r="F9443" t="s">
        <v>32019</v>
      </c>
      <c r="G9443" t="s">
        <v>28435</v>
      </c>
      <c r="H9443" t="s">
        <v>32020</v>
      </c>
      <c r="I9443" t="s">
        <v>32021</v>
      </c>
    </row>
    <row r="9444" spans="1:9">
      <c r="A9444" t="str">
        <f>"0031774 "</f>
        <v xml:space="preserve">0031774 </v>
      </c>
      <c r="B9444" t="s">
        <v>28432</v>
      </c>
      <c r="C9444" t="s">
        <v>32022</v>
      </c>
      <c r="D9444" t="s">
        <v>32023</v>
      </c>
      <c r="E9444">
        <v>1</v>
      </c>
      <c r="F9444" t="s">
        <v>31702</v>
      </c>
      <c r="G9444" t="s">
        <v>28435</v>
      </c>
      <c r="H9444" t="s">
        <v>32024</v>
      </c>
      <c r="I9444" t="s">
        <v>32025</v>
      </c>
    </row>
    <row r="9445" spans="1:9">
      <c r="A9445" t="str">
        <f>"0031775 "</f>
        <v xml:space="preserve">0031775 </v>
      </c>
      <c r="B9445" t="s">
        <v>28432</v>
      </c>
      <c r="C9445" t="s">
        <v>32026</v>
      </c>
      <c r="D9445" t="s">
        <v>32027</v>
      </c>
      <c r="E9445">
        <v>1</v>
      </c>
      <c r="F9445" t="s">
        <v>16248</v>
      </c>
      <c r="G9445" t="s">
        <v>28435</v>
      </c>
      <c r="H9445" t="s">
        <v>32028</v>
      </c>
      <c r="I9445" t="s">
        <v>32029</v>
      </c>
    </row>
    <row r="9446" spans="1:9">
      <c r="A9446" t="str">
        <f>"0031776 "</f>
        <v xml:space="preserve">0031776 </v>
      </c>
      <c r="B9446" t="s">
        <v>28432</v>
      </c>
      <c r="C9446" t="s">
        <v>32030</v>
      </c>
      <c r="D9446" t="s">
        <v>32031</v>
      </c>
      <c r="E9446">
        <v>1</v>
      </c>
      <c r="F9446" t="s">
        <v>32032</v>
      </c>
      <c r="G9446" t="s">
        <v>28435</v>
      </c>
      <c r="H9446" t="s">
        <v>32033</v>
      </c>
      <c r="I9446" t="s">
        <v>32034</v>
      </c>
    </row>
    <row r="9447" spans="1:9">
      <c r="A9447" t="str">
        <f>"0031779 "</f>
        <v xml:space="preserve">0031779 </v>
      </c>
      <c r="B9447" t="s">
        <v>28432</v>
      </c>
      <c r="C9447" t="s">
        <v>32035</v>
      </c>
      <c r="D9447" t="s">
        <v>32036</v>
      </c>
      <c r="E9447">
        <v>1</v>
      </c>
      <c r="F9447" t="s">
        <v>32037</v>
      </c>
      <c r="G9447" t="s">
        <v>28435</v>
      </c>
      <c r="H9447" t="s">
        <v>32038</v>
      </c>
      <c r="I9447" t="s">
        <v>32039</v>
      </c>
    </row>
    <row r="9448" spans="1:9">
      <c r="A9448" t="str">
        <f>"0031780 "</f>
        <v xml:space="preserve">0031780 </v>
      </c>
      <c r="B9448" t="s">
        <v>28432</v>
      </c>
      <c r="C9448" t="s">
        <v>32040</v>
      </c>
      <c r="D9448" t="s">
        <v>32041</v>
      </c>
      <c r="E9448">
        <v>1</v>
      </c>
      <c r="F9448" t="s">
        <v>32042</v>
      </c>
      <c r="G9448" t="s">
        <v>28435</v>
      </c>
      <c r="H9448" t="s">
        <v>32043</v>
      </c>
      <c r="I9448" t="s">
        <v>32044</v>
      </c>
    </row>
    <row r="9449" spans="1:9">
      <c r="A9449" t="str">
        <f>"0031781 "</f>
        <v xml:space="preserve">0031781 </v>
      </c>
      <c r="B9449" t="s">
        <v>28432</v>
      </c>
      <c r="C9449" t="s">
        <v>32045</v>
      </c>
      <c r="D9449" t="s">
        <v>32046</v>
      </c>
      <c r="E9449">
        <v>2</v>
      </c>
      <c r="F9449" t="s">
        <v>32047</v>
      </c>
      <c r="G9449" t="s">
        <v>28435</v>
      </c>
      <c r="H9449" t="s">
        <v>32048</v>
      </c>
      <c r="I9449" t="s">
        <v>32049</v>
      </c>
    </row>
    <row r="9450" spans="1:9">
      <c r="A9450" t="str">
        <f>"0031786 "</f>
        <v xml:space="preserve">0031786 </v>
      </c>
      <c r="B9450" t="s">
        <v>28432</v>
      </c>
      <c r="C9450" t="s">
        <v>32050</v>
      </c>
      <c r="D9450" t="s">
        <v>32051</v>
      </c>
      <c r="E9450">
        <v>2</v>
      </c>
      <c r="F9450" t="s">
        <v>25131</v>
      </c>
      <c r="G9450" t="s">
        <v>28435</v>
      </c>
      <c r="H9450" t="s">
        <v>32052</v>
      </c>
      <c r="I9450" t="s">
        <v>32053</v>
      </c>
    </row>
    <row r="9451" spans="1:9">
      <c r="A9451" t="str">
        <f>"0031788 "</f>
        <v xml:space="preserve">0031788 </v>
      </c>
      <c r="B9451" t="s">
        <v>28432</v>
      </c>
      <c r="C9451" t="s">
        <v>32054</v>
      </c>
      <c r="D9451" t="s">
        <v>32055</v>
      </c>
      <c r="E9451">
        <v>1</v>
      </c>
      <c r="F9451" t="s">
        <v>32056</v>
      </c>
      <c r="G9451" t="s">
        <v>28435</v>
      </c>
      <c r="H9451" t="s">
        <v>32057</v>
      </c>
      <c r="I9451" t="s">
        <v>32058</v>
      </c>
    </row>
    <row r="9452" spans="1:9">
      <c r="A9452" t="str">
        <f>"0031791 "</f>
        <v xml:space="preserve">0031791 </v>
      </c>
      <c r="B9452" t="s">
        <v>28432</v>
      </c>
      <c r="C9452" t="s">
        <v>32059</v>
      </c>
      <c r="D9452" t="s">
        <v>32060</v>
      </c>
      <c r="E9452">
        <v>2</v>
      </c>
      <c r="F9452" t="s">
        <v>32061</v>
      </c>
      <c r="G9452" t="s">
        <v>28435</v>
      </c>
      <c r="H9452" t="s">
        <v>32062</v>
      </c>
      <c r="I9452" t="s">
        <v>32063</v>
      </c>
    </row>
    <row r="9453" spans="1:9">
      <c r="A9453" t="str">
        <f>"0116731 "</f>
        <v xml:space="preserve">0116731 </v>
      </c>
      <c r="B9453" t="s">
        <v>28432</v>
      </c>
      <c r="C9453" t="s">
        <v>32064</v>
      </c>
      <c r="D9453" t="s">
        <v>32065</v>
      </c>
      <c r="E9453">
        <v>1</v>
      </c>
      <c r="F9453" t="s">
        <v>28601</v>
      </c>
      <c r="G9453" t="s">
        <v>28435</v>
      </c>
      <c r="H9453" t="s">
        <v>32066</v>
      </c>
      <c r="I9453" t="s">
        <v>32067</v>
      </c>
    </row>
    <row r="9454" spans="1:9">
      <c r="A9454" t="str">
        <f>"0031801 "</f>
        <v xml:space="preserve">0031801 </v>
      </c>
      <c r="B9454" t="s">
        <v>28432</v>
      </c>
      <c r="C9454" t="s">
        <v>32068</v>
      </c>
      <c r="D9454" t="s">
        <v>32069</v>
      </c>
      <c r="E9454" t="s">
        <v>16</v>
      </c>
      <c r="F9454" t="s">
        <v>32070</v>
      </c>
      <c r="G9454" t="s">
        <v>28435</v>
      </c>
      <c r="H9454" t="s">
        <v>32071</v>
      </c>
      <c r="I9454" t="s">
        <v>32072</v>
      </c>
    </row>
    <row r="9455" spans="1:9">
      <c r="A9455" t="str">
        <f>"0031802 "</f>
        <v xml:space="preserve">0031802 </v>
      </c>
      <c r="B9455" t="s">
        <v>28432</v>
      </c>
      <c r="C9455" t="s">
        <v>32073</v>
      </c>
      <c r="D9455" t="s">
        <v>32074</v>
      </c>
      <c r="E9455">
        <v>2</v>
      </c>
      <c r="F9455" t="s">
        <v>32075</v>
      </c>
      <c r="G9455" t="s">
        <v>28435</v>
      </c>
      <c r="H9455" t="s">
        <v>32076</v>
      </c>
      <c r="I9455" t="s">
        <v>32077</v>
      </c>
    </row>
    <row r="9456" spans="1:9">
      <c r="A9456" t="str">
        <f>"0031803 "</f>
        <v xml:space="preserve">0031803 </v>
      </c>
      <c r="B9456" t="s">
        <v>28432</v>
      </c>
      <c r="C9456" t="s">
        <v>32078</v>
      </c>
      <c r="D9456" t="s">
        <v>32079</v>
      </c>
      <c r="E9456">
        <v>1</v>
      </c>
      <c r="F9456" t="s">
        <v>32080</v>
      </c>
      <c r="G9456" t="s">
        <v>28435</v>
      </c>
      <c r="H9456" t="s">
        <v>32081</v>
      </c>
      <c r="I9456" t="s">
        <v>32082</v>
      </c>
    </row>
    <row r="9457" spans="1:9">
      <c r="A9457" t="str">
        <f>"0031804 "</f>
        <v xml:space="preserve">0031804 </v>
      </c>
      <c r="B9457" t="s">
        <v>28432</v>
      </c>
      <c r="C9457" t="s">
        <v>32083</v>
      </c>
      <c r="D9457" t="s">
        <v>32084</v>
      </c>
      <c r="E9457">
        <v>1</v>
      </c>
      <c r="F9457" t="s">
        <v>7419</v>
      </c>
      <c r="G9457" t="s">
        <v>28435</v>
      </c>
      <c r="H9457" t="s">
        <v>32085</v>
      </c>
      <c r="I9457" t="s">
        <v>32086</v>
      </c>
    </row>
    <row r="9458" spans="1:9">
      <c r="A9458" t="str">
        <f>"0031805 "</f>
        <v xml:space="preserve">0031805 </v>
      </c>
      <c r="B9458" t="s">
        <v>28432</v>
      </c>
      <c r="C9458" t="s">
        <v>32087</v>
      </c>
      <c r="D9458" t="s">
        <v>32088</v>
      </c>
      <c r="E9458" t="s">
        <v>16</v>
      </c>
      <c r="F9458" t="s">
        <v>32089</v>
      </c>
      <c r="G9458" t="s">
        <v>28435</v>
      </c>
      <c r="H9458" t="s">
        <v>32090</v>
      </c>
      <c r="I9458" t="s">
        <v>32091</v>
      </c>
    </row>
    <row r="9459" spans="1:9">
      <c r="A9459" t="str">
        <f>"0161239 "</f>
        <v xml:space="preserve">0161239 </v>
      </c>
      <c r="B9459" t="s">
        <v>28432</v>
      </c>
      <c r="C9459" t="s">
        <v>32092</v>
      </c>
      <c r="D9459" t="s">
        <v>32093</v>
      </c>
      <c r="E9459">
        <v>2</v>
      </c>
      <c r="F9459" t="s">
        <v>32094</v>
      </c>
      <c r="G9459" t="s">
        <v>28435</v>
      </c>
      <c r="H9459" t="s">
        <v>32095</v>
      </c>
      <c r="I9459" t="s">
        <v>32096</v>
      </c>
    </row>
    <row r="9460" spans="1:9">
      <c r="A9460" t="str">
        <f>"0031806 "</f>
        <v xml:space="preserve">0031806 </v>
      </c>
      <c r="B9460" t="s">
        <v>28432</v>
      </c>
      <c r="C9460" t="s">
        <v>32097</v>
      </c>
      <c r="D9460" t="s">
        <v>32098</v>
      </c>
      <c r="E9460">
        <v>1</v>
      </c>
      <c r="F9460" t="s">
        <v>32099</v>
      </c>
      <c r="G9460" t="s">
        <v>28435</v>
      </c>
      <c r="H9460" t="s">
        <v>32100</v>
      </c>
      <c r="I9460" t="s">
        <v>32101</v>
      </c>
    </row>
    <row r="9461" spans="1:9">
      <c r="A9461" t="str">
        <f>"0031810 "</f>
        <v xml:space="preserve">0031810 </v>
      </c>
      <c r="B9461" t="s">
        <v>28432</v>
      </c>
      <c r="C9461" t="s">
        <v>32102</v>
      </c>
      <c r="D9461" t="s">
        <v>32103</v>
      </c>
      <c r="E9461">
        <v>1</v>
      </c>
      <c r="F9461" t="s">
        <v>32104</v>
      </c>
      <c r="G9461" t="s">
        <v>28435</v>
      </c>
      <c r="H9461" t="s">
        <v>32105</v>
      </c>
      <c r="I9461" t="s">
        <v>32106</v>
      </c>
    </row>
    <row r="9462" spans="1:9">
      <c r="A9462" t="str">
        <f>"0116604 "</f>
        <v xml:space="preserve">0116604 </v>
      </c>
      <c r="B9462" t="s">
        <v>28432</v>
      </c>
      <c r="C9462" t="s">
        <v>32107</v>
      </c>
      <c r="D9462" t="s">
        <v>32108</v>
      </c>
      <c r="E9462">
        <v>2</v>
      </c>
      <c r="F9462" t="s">
        <v>32109</v>
      </c>
      <c r="G9462" t="s">
        <v>28435</v>
      </c>
      <c r="H9462" t="s">
        <v>32110</v>
      </c>
      <c r="I9462" t="s">
        <v>32111</v>
      </c>
    </row>
    <row r="9463" spans="1:9">
      <c r="A9463" t="str">
        <f>"0031813 "</f>
        <v xml:space="preserve">0031813 </v>
      </c>
      <c r="B9463" t="s">
        <v>28432</v>
      </c>
      <c r="C9463" t="s">
        <v>32112</v>
      </c>
      <c r="D9463" t="s">
        <v>32113</v>
      </c>
      <c r="E9463" t="s">
        <v>16</v>
      </c>
      <c r="F9463" t="s">
        <v>32114</v>
      </c>
      <c r="G9463" t="s">
        <v>28435</v>
      </c>
      <c r="H9463" t="s">
        <v>32115</v>
      </c>
      <c r="I9463" t="s">
        <v>32116</v>
      </c>
    </row>
    <row r="9464" spans="1:9">
      <c r="A9464" t="str">
        <f>"0031814 "</f>
        <v xml:space="preserve">0031814 </v>
      </c>
      <c r="B9464" t="s">
        <v>28432</v>
      </c>
      <c r="C9464" t="s">
        <v>32117</v>
      </c>
      <c r="D9464" t="s">
        <v>32118</v>
      </c>
      <c r="E9464">
        <v>2</v>
      </c>
      <c r="F9464" t="s">
        <v>32119</v>
      </c>
      <c r="G9464" t="s">
        <v>28435</v>
      </c>
      <c r="H9464" t="s">
        <v>32120</v>
      </c>
      <c r="I9464" t="s">
        <v>32121</v>
      </c>
    </row>
    <row r="9465" spans="1:9">
      <c r="A9465" t="str">
        <f>"0031817 "</f>
        <v xml:space="preserve">0031817 </v>
      </c>
      <c r="B9465" t="s">
        <v>28432</v>
      </c>
      <c r="C9465" t="s">
        <v>32122</v>
      </c>
      <c r="D9465" t="s">
        <v>32123</v>
      </c>
      <c r="E9465" t="s">
        <v>16</v>
      </c>
      <c r="F9465" t="s">
        <v>31572</v>
      </c>
      <c r="G9465" t="s">
        <v>28435</v>
      </c>
      <c r="H9465" t="s">
        <v>32124</v>
      </c>
      <c r="I9465" t="s">
        <v>32125</v>
      </c>
    </row>
    <row r="9466" spans="1:9">
      <c r="A9466" t="str">
        <f>"0031820 "</f>
        <v xml:space="preserve">0031820 </v>
      </c>
      <c r="B9466" t="s">
        <v>28432</v>
      </c>
      <c r="C9466" t="s">
        <v>32126</v>
      </c>
      <c r="D9466" t="s">
        <v>32127</v>
      </c>
      <c r="E9466">
        <v>1</v>
      </c>
      <c r="F9466" t="s">
        <v>30888</v>
      </c>
      <c r="G9466" t="s">
        <v>28435</v>
      </c>
      <c r="H9466" t="s">
        <v>32128</v>
      </c>
      <c r="I9466" t="s">
        <v>32129</v>
      </c>
    </row>
    <row r="9467" spans="1:9">
      <c r="A9467" t="str">
        <f>"0031821 "</f>
        <v xml:space="preserve">0031821 </v>
      </c>
      <c r="B9467" t="s">
        <v>28432</v>
      </c>
      <c r="C9467" t="s">
        <v>32130</v>
      </c>
      <c r="D9467" t="s">
        <v>32131</v>
      </c>
      <c r="E9467">
        <v>2</v>
      </c>
      <c r="F9467" s="3">
        <v>18902</v>
      </c>
      <c r="G9467" t="s">
        <v>28435</v>
      </c>
      <c r="H9467" t="s">
        <v>32132</v>
      </c>
      <c r="I9467" t="s">
        <v>32133</v>
      </c>
    </row>
    <row r="9468" spans="1:9">
      <c r="A9468" t="str">
        <f>"0031822 "</f>
        <v xml:space="preserve">0031822 </v>
      </c>
      <c r="B9468" t="s">
        <v>28432</v>
      </c>
      <c r="C9468" t="s">
        <v>32134</v>
      </c>
      <c r="D9468" t="s">
        <v>32135</v>
      </c>
      <c r="E9468" t="s">
        <v>16</v>
      </c>
      <c r="F9468" t="s">
        <v>32136</v>
      </c>
      <c r="G9468" t="s">
        <v>28435</v>
      </c>
      <c r="H9468" t="s">
        <v>32137</v>
      </c>
      <c r="I9468" t="s">
        <v>32138</v>
      </c>
    </row>
    <row r="9469" spans="1:9">
      <c r="A9469" t="str">
        <f>"0031823 "</f>
        <v xml:space="preserve">0031823 </v>
      </c>
      <c r="B9469" t="s">
        <v>28432</v>
      </c>
      <c r="C9469" t="s">
        <v>32139</v>
      </c>
      <c r="D9469" t="s">
        <v>32140</v>
      </c>
      <c r="E9469">
        <v>2</v>
      </c>
      <c r="F9469" s="1">
        <v>42855</v>
      </c>
      <c r="G9469" t="s">
        <v>28435</v>
      </c>
      <c r="H9469" t="s">
        <v>32141</v>
      </c>
      <c r="I9469" t="s">
        <v>32142</v>
      </c>
    </row>
    <row r="9470" spans="1:9">
      <c r="A9470" t="str">
        <f>"0031824 "</f>
        <v xml:space="preserve">0031824 </v>
      </c>
      <c r="B9470" t="s">
        <v>28432</v>
      </c>
      <c r="C9470" t="s">
        <v>32143</v>
      </c>
      <c r="D9470" t="s">
        <v>32144</v>
      </c>
      <c r="E9470">
        <v>2</v>
      </c>
      <c r="F9470" t="s">
        <v>6072</v>
      </c>
      <c r="G9470" t="s">
        <v>28435</v>
      </c>
      <c r="H9470" t="s">
        <v>32145</v>
      </c>
      <c r="I9470" t="s">
        <v>32146</v>
      </c>
    </row>
    <row r="9471" spans="1:9">
      <c r="A9471" t="str">
        <f>"0031825 "</f>
        <v xml:space="preserve">0031825 </v>
      </c>
      <c r="B9471" t="s">
        <v>28432</v>
      </c>
      <c r="C9471" t="s">
        <v>32147</v>
      </c>
      <c r="D9471" t="s">
        <v>32148</v>
      </c>
      <c r="E9471" t="s">
        <v>16</v>
      </c>
      <c r="F9471" t="s">
        <v>32149</v>
      </c>
      <c r="G9471" t="s">
        <v>28435</v>
      </c>
      <c r="H9471" t="s">
        <v>32150</v>
      </c>
      <c r="I9471" t="s">
        <v>32151</v>
      </c>
    </row>
    <row r="9472" spans="1:9">
      <c r="A9472" t="str">
        <f>"0031826 "</f>
        <v xml:space="preserve">0031826 </v>
      </c>
      <c r="B9472" t="s">
        <v>28432</v>
      </c>
      <c r="C9472" t="s">
        <v>32152</v>
      </c>
      <c r="D9472" t="s">
        <v>32153</v>
      </c>
      <c r="E9472">
        <v>1</v>
      </c>
      <c r="F9472" t="s">
        <v>32154</v>
      </c>
      <c r="G9472" t="s">
        <v>28435</v>
      </c>
      <c r="H9472" t="s">
        <v>32155</v>
      </c>
      <c r="I9472" t="s">
        <v>32156</v>
      </c>
    </row>
    <row r="9473" spans="1:9">
      <c r="A9473" t="str">
        <f>"0031827 "</f>
        <v xml:space="preserve">0031827 </v>
      </c>
      <c r="B9473" t="s">
        <v>28432</v>
      </c>
      <c r="C9473" t="s">
        <v>32157</v>
      </c>
      <c r="D9473" t="s">
        <v>32158</v>
      </c>
      <c r="E9473">
        <v>1</v>
      </c>
      <c r="F9473" t="s">
        <v>32159</v>
      </c>
      <c r="G9473" t="s">
        <v>28435</v>
      </c>
      <c r="H9473" t="s">
        <v>32160</v>
      </c>
      <c r="I9473" t="s">
        <v>32161</v>
      </c>
    </row>
    <row r="9474" spans="1:9">
      <c r="A9474" t="str">
        <f>"0031828 "</f>
        <v xml:space="preserve">0031828 </v>
      </c>
      <c r="B9474" t="s">
        <v>28432</v>
      </c>
      <c r="C9474" t="s">
        <v>32162</v>
      </c>
      <c r="D9474" t="s">
        <v>32163</v>
      </c>
      <c r="E9474">
        <v>1</v>
      </c>
      <c r="F9474" s="1">
        <v>42852</v>
      </c>
      <c r="G9474" t="s">
        <v>28435</v>
      </c>
      <c r="H9474" t="s">
        <v>32164</v>
      </c>
      <c r="I9474" t="s">
        <v>32165</v>
      </c>
    </row>
    <row r="9475" spans="1:9">
      <c r="A9475" t="str">
        <f>"0269414 "</f>
        <v xml:space="preserve">0269414 </v>
      </c>
      <c r="B9475" t="s">
        <v>28432</v>
      </c>
      <c r="C9475" t="s">
        <v>32166</v>
      </c>
      <c r="D9475" t="s">
        <v>32166</v>
      </c>
      <c r="E9475" t="s">
        <v>16</v>
      </c>
      <c r="F9475" t="s">
        <v>32167</v>
      </c>
      <c r="G9475" t="s">
        <v>28435</v>
      </c>
      <c r="H9475" t="s">
        <v>32166</v>
      </c>
      <c r="I9475" t="s">
        <v>32168</v>
      </c>
    </row>
    <row r="9476" spans="1:9">
      <c r="A9476" t="str">
        <f>"0269415 "</f>
        <v xml:space="preserve">0269415 </v>
      </c>
      <c r="B9476" t="s">
        <v>28432</v>
      </c>
      <c r="C9476" t="s">
        <v>32169</v>
      </c>
      <c r="D9476" t="s">
        <v>32169</v>
      </c>
      <c r="E9476" t="s">
        <v>16</v>
      </c>
      <c r="F9476" t="s">
        <v>15117</v>
      </c>
      <c r="G9476" t="s">
        <v>28435</v>
      </c>
      <c r="H9476" t="s">
        <v>32169</v>
      </c>
      <c r="I9476" t="s">
        <v>32170</v>
      </c>
    </row>
    <row r="9477" spans="1:9">
      <c r="A9477" t="str">
        <f>"0269416 "</f>
        <v xml:space="preserve">0269416 </v>
      </c>
      <c r="B9477" t="s">
        <v>28432</v>
      </c>
      <c r="C9477" t="s">
        <v>32171</v>
      </c>
      <c r="D9477" t="s">
        <v>32171</v>
      </c>
      <c r="E9477" t="s">
        <v>16</v>
      </c>
      <c r="F9477" t="s">
        <v>32172</v>
      </c>
      <c r="G9477" t="s">
        <v>28435</v>
      </c>
      <c r="H9477" t="s">
        <v>32171</v>
      </c>
      <c r="I9477" t="s">
        <v>32173</v>
      </c>
    </row>
    <row r="9478" spans="1:9">
      <c r="A9478" t="str">
        <f>"0269417 "</f>
        <v xml:space="preserve">0269417 </v>
      </c>
      <c r="B9478" t="s">
        <v>28432</v>
      </c>
      <c r="C9478" t="s">
        <v>32174</v>
      </c>
      <c r="D9478" t="s">
        <v>32174</v>
      </c>
      <c r="E9478" t="s">
        <v>16</v>
      </c>
      <c r="F9478" t="s">
        <v>32175</v>
      </c>
      <c r="G9478" t="s">
        <v>28435</v>
      </c>
      <c r="H9478" t="s">
        <v>32174</v>
      </c>
      <c r="I9478" t="s">
        <v>32176</v>
      </c>
    </row>
    <row r="9479" spans="1:9">
      <c r="A9479" t="str">
        <f>"0269418 "</f>
        <v xml:space="preserve">0269418 </v>
      </c>
      <c r="B9479" t="s">
        <v>28432</v>
      </c>
      <c r="C9479" t="s">
        <v>32177</v>
      </c>
      <c r="D9479" t="s">
        <v>32177</v>
      </c>
      <c r="E9479" t="s">
        <v>16</v>
      </c>
      <c r="F9479" t="s">
        <v>32178</v>
      </c>
      <c r="G9479" t="s">
        <v>28435</v>
      </c>
      <c r="H9479" t="s">
        <v>32177</v>
      </c>
      <c r="I9479" t="s">
        <v>32179</v>
      </c>
    </row>
    <row r="9480" spans="1:9">
      <c r="A9480" t="str">
        <f>"0231739 "</f>
        <v xml:space="preserve">0231739 </v>
      </c>
      <c r="B9480" t="s">
        <v>32180</v>
      </c>
      <c r="C9480">
        <v>8300011</v>
      </c>
      <c r="D9480" t="s">
        <v>32181</v>
      </c>
      <c r="E9480">
        <v>1</v>
      </c>
      <c r="F9480" t="s">
        <v>32182</v>
      </c>
      <c r="G9480" t="s">
        <v>32180</v>
      </c>
      <c r="H9480">
        <v>8300011</v>
      </c>
      <c r="I9480" t="s">
        <v>32183</v>
      </c>
    </row>
    <row r="9481" spans="1:9">
      <c r="A9481" t="str">
        <f>"0232040 "</f>
        <v xml:space="preserve">0232040 </v>
      </c>
      <c r="B9481" t="s">
        <v>32180</v>
      </c>
      <c r="C9481">
        <v>8300622</v>
      </c>
      <c r="D9481" t="s">
        <v>32184</v>
      </c>
      <c r="E9481" t="s">
        <v>16</v>
      </c>
      <c r="F9481" t="s">
        <v>32185</v>
      </c>
      <c r="G9481" t="s">
        <v>32180</v>
      </c>
      <c r="H9481">
        <v>8300622</v>
      </c>
      <c r="I9481" t="s">
        <v>32186</v>
      </c>
    </row>
    <row r="9482" spans="1:9">
      <c r="A9482" t="str">
        <f>"0231921 "</f>
        <v xml:space="preserve">0231921 </v>
      </c>
      <c r="B9482" t="s">
        <v>32180</v>
      </c>
      <c r="C9482">
        <v>8301117</v>
      </c>
      <c r="D9482" t="s">
        <v>32187</v>
      </c>
      <c r="E9482">
        <v>2</v>
      </c>
      <c r="F9482" t="s">
        <v>32188</v>
      </c>
      <c r="G9482" t="s">
        <v>32180</v>
      </c>
      <c r="H9482">
        <v>8301117</v>
      </c>
      <c r="I9482" t="s">
        <v>32189</v>
      </c>
    </row>
    <row r="9483" spans="1:9">
      <c r="A9483" t="str">
        <f>"0232359 "</f>
        <v xml:space="preserve">0232359 </v>
      </c>
      <c r="B9483" t="s">
        <v>32180</v>
      </c>
      <c r="C9483">
        <v>8301803</v>
      </c>
      <c r="D9483" t="s">
        <v>32190</v>
      </c>
      <c r="E9483" t="s">
        <v>16</v>
      </c>
      <c r="F9483" t="s">
        <v>20</v>
      </c>
      <c r="G9483" t="s">
        <v>32180</v>
      </c>
      <c r="H9483">
        <v>8301803</v>
      </c>
      <c r="I9483" t="s">
        <v>32191</v>
      </c>
    </row>
    <row r="9484" spans="1:9">
      <c r="A9484" t="str">
        <f>"0232293 "</f>
        <v xml:space="preserve">0232293 </v>
      </c>
      <c r="B9484" t="s">
        <v>32180</v>
      </c>
      <c r="C9484">
        <v>8302008</v>
      </c>
      <c r="D9484" t="s">
        <v>32192</v>
      </c>
      <c r="E9484" t="s">
        <v>16</v>
      </c>
      <c r="F9484" t="s">
        <v>32193</v>
      </c>
      <c r="G9484" t="s">
        <v>32180</v>
      </c>
      <c r="H9484">
        <v>8302008</v>
      </c>
      <c r="I9484" t="s">
        <v>32194</v>
      </c>
    </row>
    <row r="9485" spans="1:9">
      <c r="A9485" t="str">
        <f>"0232073 "</f>
        <v xml:space="preserve">0232073 </v>
      </c>
      <c r="B9485" t="s">
        <v>32180</v>
      </c>
      <c r="C9485">
        <v>8302268</v>
      </c>
      <c r="D9485" t="s">
        <v>32195</v>
      </c>
      <c r="E9485">
        <v>2</v>
      </c>
      <c r="F9485" t="s">
        <v>32196</v>
      </c>
      <c r="G9485" t="s">
        <v>32180</v>
      </c>
      <c r="H9485">
        <v>8302268</v>
      </c>
      <c r="I9485" t="s">
        <v>32197</v>
      </c>
    </row>
    <row r="9486" spans="1:9">
      <c r="A9486" t="str">
        <f>"0232283 "</f>
        <v xml:space="preserve">0232283 </v>
      </c>
      <c r="B9486" t="s">
        <v>32180</v>
      </c>
      <c r="C9486">
        <v>8302305</v>
      </c>
      <c r="D9486" t="s">
        <v>32198</v>
      </c>
      <c r="E9486" t="s">
        <v>16</v>
      </c>
      <c r="F9486" t="s">
        <v>7601</v>
      </c>
      <c r="G9486" t="s">
        <v>32180</v>
      </c>
      <c r="H9486">
        <v>8302305</v>
      </c>
      <c r="I9486" t="s">
        <v>32199</v>
      </c>
    </row>
    <row r="9487" spans="1:9">
      <c r="A9487" t="str">
        <f>"0231743 "</f>
        <v xml:space="preserve">0231743 </v>
      </c>
      <c r="B9487" t="s">
        <v>32180</v>
      </c>
      <c r="C9487">
        <v>8302510</v>
      </c>
      <c r="D9487" t="s">
        <v>32200</v>
      </c>
      <c r="E9487" t="s">
        <v>16</v>
      </c>
      <c r="F9487" t="s">
        <v>7609</v>
      </c>
      <c r="G9487" t="s">
        <v>32180</v>
      </c>
      <c r="H9487">
        <v>8302510</v>
      </c>
      <c r="I9487" t="s">
        <v>32201</v>
      </c>
    </row>
    <row r="9488" spans="1:9">
      <c r="A9488" t="str">
        <f>"0231744 "</f>
        <v xml:space="preserve">0231744 </v>
      </c>
      <c r="B9488" t="s">
        <v>32180</v>
      </c>
      <c r="C9488">
        <v>8302619</v>
      </c>
      <c r="D9488" t="s">
        <v>32202</v>
      </c>
      <c r="E9488" t="s">
        <v>16</v>
      </c>
      <c r="F9488" t="s">
        <v>32203</v>
      </c>
      <c r="G9488" t="s">
        <v>32180</v>
      </c>
      <c r="H9488">
        <v>8302619</v>
      </c>
      <c r="I9488" t="s">
        <v>32201</v>
      </c>
    </row>
    <row r="9489" spans="1:9">
      <c r="A9489" t="str">
        <f>"0231754 "</f>
        <v xml:space="preserve">0231754 </v>
      </c>
      <c r="B9489" t="s">
        <v>32180</v>
      </c>
      <c r="C9489">
        <v>8302817</v>
      </c>
      <c r="D9489" t="s">
        <v>32204</v>
      </c>
      <c r="E9489" t="s">
        <v>16</v>
      </c>
      <c r="F9489" t="s">
        <v>32205</v>
      </c>
      <c r="G9489" t="s">
        <v>32180</v>
      </c>
      <c r="H9489">
        <v>8302817</v>
      </c>
      <c r="I9489" t="s">
        <v>32206</v>
      </c>
    </row>
    <row r="9490" spans="1:9">
      <c r="A9490" t="str">
        <f>"0232033 "</f>
        <v xml:space="preserve">0232033 </v>
      </c>
      <c r="B9490" t="s">
        <v>32180</v>
      </c>
      <c r="C9490">
        <v>8302862</v>
      </c>
      <c r="D9490" t="s">
        <v>32207</v>
      </c>
      <c r="E9490">
        <v>1</v>
      </c>
      <c r="F9490" t="s">
        <v>32208</v>
      </c>
      <c r="G9490" t="s">
        <v>32180</v>
      </c>
      <c r="H9490">
        <v>8302862</v>
      </c>
      <c r="I9490" t="s">
        <v>32209</v>
      </c>
    </row>
    <row r="9491" spans="1:9">
      <c r="A9491" t="str">
        <f>"0231755 "</f>
        <v xml:space="preserve">0231755 </v>
      </c>
      <c r="B9491" t="s">
        <v>32180</v>
      </c>
      <c r="C9491">
        <v>8302916</v>
      </c>
      <c r="D9491" t="s">
        <v>32210</v>
      </c>
      <c r="E9491" t="s">
        <v>16</v>
      </c>
      <c r="F9491" t="s">
        <v>32211</v>
      </c>
      <c r="G9491" t="s">
        <v>32180</v>
      </c>
      <c r="H9491">
        <v>8302916</v>
      </c>
      <c r="I9491" t="s">
        <v>32206</v>
      </c>
    </row>
    <row r="9492" spans="1:9">
      <c r="A9492" t="str">
        <f>"0231756 "</f>
        <v xml:space="preserve">0231756 </v>
      </c>
      <c r="B9492" t="s">
        <v>32180</v>
      </c>
      <c r="C9492">
        <v>8303012</v>
      </c>
      <c r="D9492" t="s">
        <v>32212</v>
      </c>
      <c r="E9492">
        <v>3</v>
      </c>
      <c r="F9492" t="s">
        <v>32213</v>
      </c>
      <c r="G9492" t="s">
        <v>32180</v>
      </c>
      <c r="H9492">
        <v>8303012</v>
      </c>
      <c r="I9492" t="s">
        <v>32206</v>
      </c>
    </row>
    <row r="9493" spans="1:9">
      <c r="A9493" t="str">
        <f>"0232076 "</f>
        <v xml:space="preserve">0232076 </v>
      </c>
      <c r="B9493" t="s">
        <v>32180</v>
      </c>
      <c r="C9493">
        <v>8303104</v>
      </c>
      <c r="D9493" t="s">
        <v>32214</v>
      </c>
      <c r="E9493" t="s">
        <v>16</v>
      </c>
      <c r="F9493" t="s">
        <v>19595</v>
      </c>
      <c r="G9493" t="s">
        <v>32180</v>
      </c>
      <c r="H9493">
        <v>8303104</v>
      </c>
      <c r="I9493" t="s">
        <v>32215</v>
      </c>
    </row>
    <row r="9494" spans="1:9">
      <c r="A9494" t="str">
        <f>"0232051 "</f>
        <v xml:space="preserve">0232051 </v>
      </c>
      <c r="B9494" t="s">
        <v>32180</v>
      </c>
      <c r="C9494">
        <v>8303302</v>
      </c>
      <c r="D9494" t="s">
        <v>32216</v>
      </c>
      <c r="E9494" t="s">
        <v>16</v>
      </c>
      <c r="F9494" t="s">
        <v>32217</v>
      </c>
      <c r="G9494" t="s">
        <v>32180</v>
      </c>
      <c r="H9494">
        <v>8303302</v>
      </c>
      <c r="I9494" t="s">
        <v>32218</v>
      </c>
    </row>
    <row r="9495" spans="1:9">
      <c r="A9495" t="str">
        <f>"0231813 "</f>
        <v xml:space="preserve">0231813 </v>
      </c>
      <c r="B9495" t="s">
        <v>32180</v>
      </c>
      <c r="C9495">
        <v>8303517</v>
      </c>
      <c r="D9495" t="s">
        <v>32219</v>
      </c>
      <c r="E9495" t="s">
        <v>16</v>
      </c>
      <c r="F9495" t="s">
        <v>32220</v>
      </c>
      <c r="G9495" t="s">
        <v>32180</v>
      </c>
      <c r="H9495">
        <v>8303517</v>
      </c>
      <c r="I9495" t="s">
        <v>32221</v>
      </c>
    </row>
    <row r="9496" spans="1:9">
      <c r="A9496" t="str">
        <f>"0232018 "</f>
        <v xml:space="preserve">0232018 </v>
      </c>
      <c r="B9496" t="s">
        <v>32180</v>
      </c>
      <c r="C9496">
        <v>8303609</v>
      </c>
      <c r="D9496" t="s">
        <v>32222</v>
      </c>
      <c r="E9496" t="s">
        <v>16</v>
      </c>
      <c r="F9496" t="s">
        <v>32223</v>
      </c>
      <c r="G9496" t="s">
        <v>32180</v>
      </c>
      <c r="H9496">
        <v>8303609</v>
      </c>
      <c r="I9496" t="s">
        <v>32224</v>
      </c>
    </row>
    <row r="9497" spans="1:9">
      <c r="A9497" t="str">
        <f>"0231807 "</f>
        <v xml:space="preserve">0231807 </v>
      </c>
      <c r="B9497" t="s">
        <v>32180</v>
      </c>
      <c r="C9497">
        <v>8303616</v>
      </c>
      <c r="D9497" t="s">
        <v>32225</v>
      </c>
      <c r="E9497" t="s">
        <v>16</v>
      </c>
      <c r="F9497" t="s">
        <v>32226</v>
      </c>
      <c r="G9497" t="s">
        <v>32180</v>
      </c>
      <c r="H9497">
        <v>8303616</v>
      </c>
      <c r="I9497" t="s">
        <v>32227</v>
      </c>
    </row>
    <row r="9498" spans="1:9">
      <c r="A9498" t="str">
        <f>"0231814 "</f>
        <v xml:space="preserve">0231814 </v>
      </c>
      <c r="B9498" t="s">
        <v>32180</v>
      </c>
      <c r="C9498">
        <v>8303715</v>
      </c>
      <c r="D9498" t="s">
        <v>32228</v>
      </c>
      <c r="E9498" t="s">
        <v>16</v>
      </c>
      <c r="F9498" t="s">
        <v>32229</v>
      </c>
      <c r="G9498" t="s">
        <v>32180</v>
      </c>
      <c r="H9498">
        <v>8303715</v>
      </c>
      <c r="I9498" t="s">
        <v>32221</v>
      </c>
    </row>
    <row r="9499" spans="1:9">
      <c r="A9499" t="str">
        <f>"0231808 "</f>
        <v xml:space="preserve">0231808 </v>
      </c>
      <c r="B9499" t="s">
        <v>32180</v>
      </c>
      <c r="C9499">
        <v>8303814</v>
      </c>
      <c r="D9499" t="s">
        <v>32230</v>
      </c>
      <c r="E9499" t="s">
        <v>16</v>
      </c>
      <c r="F9499" t="s">
        <v>32231</v>
      </c>
      <c r="G9499" t="s">
        <v>32180</v>
      </c>
      <c r="H9499">
        <v>8303814</v>
      </c>
      <c r="I9499" t="s">
        <v>32227</v>
      </c>
    </row>
    <row r="9500" spans="1:9">
      <c r="A9500" t="str">
        <f>"0232012 "</f>
        <v xml:space="preserve">0232012 </v>
      </c>
      <c r="B9500" t="s">
        <v>32180</v>
      </c>
      <c r="C9500">
        <v>8303906</v>
      </c>
      <c r="D9500" t="s">
        <v>32232</v>
      </c>
      <c r="E9500" t="s">
        <v>16</v>
      </c>
      <c r="F9500" t="s">
        <v>32233</v>
      </c>
      <c r="G9500" t="s">
        <v>32180</v>
      </c>
      <c r="H9500">
        <v>8303906</v>
      </c>
      <c r="I9500" t="s">
        <v>32234</v>
      </c>
    </row>
    <row r="9501" spans="1:9">
      <c r="A9501" t="str">
        <f>"0231815 "</f>
        <v xml:space="preserve">0231815 </v>
      </c>
      <c r="B9501" t="s">
        <v>32180</v>
      </c>
      <c r="C9501">
        <v>8303913</v>
      </c>
      <c r="D9501" t="s">
        <v>32235</v>
      </c>
      <c r="E9501" t="s">
        <v>16</v>
      </c>
      <c r="F9501" t="s">
        <v>32236</v>
      </c>
      <c r="G9501" t="s">
        <v>32180</v>
      </c>
      <c r="H9501">
        <v>8303913</v>
      </c>
      <c r="I9501" t="s">
        <v>32221</v>
      </c>
    </row>
    <row r="9502" spans="1:9">
      <c r="A9502" t="str">
        <f>"0231809 "</f>
        <v xml:space="preserve">0231809 </v>
      </c>
      <c r="B9502" t="s">
        <v>32180</v>
      </c>
      <c r="C9502">
        <v>8304019</v>
      </c>
      <c r="D9502" t="s">
        <v>32237</v>
      </c>
      <c r="E9502" t="s">
        <v>16</v>
      </c>
      <c r="F9502" t="s">
        <v>32238</v>
      </c>
      <c r="G9502" t="s">
        <v>32180</v>
      </c>
      <c r="H9502">
        <v>8304019</v>
      </c>
      <c r="I9502" t="s">
        <v>32227</v>
      </c>
    </row>
    <row r="9503" spans="1:9">
      <c r="A9503" t="str">
        <f>"0231959 "</f>
        <v xml:space="preserve">0231959 </v>
      </c>
      <c r="B9503" t="s">
        <v>32180</v>
      </c>
      <c r="C9503">
        <v>8304101</v>
      </c>
      <c r="D9503" t="s">
        <v>32239</v>
      </c>
      <c r="E9503" t="s">
        <v>16</v>
      </c>
      <c r="F9503" t="s">
        <v>32240</v>
      </c>
      <c r="G9503" t="s">
        <v>32180</v>
      </c>
      <c r="H9503">
        <v>8304101</v>
      </c>
      <c r="I9503" t="s">
        <v>32241</v>
      </c>
    </row>
    <row r="9504" spans="1:9">
      <c r="A9504" t="str">
        <f>"0231963 "</f>
        <v xml:space="preserve">0231963 </v>
      </c>
      <c r="B9504" t="s">
        <v>32180</v>
      </c>
      <c r="C9504">
        <v>8304200</v>
      </c>
      <c r="D9504" t="s">
        <v>32242</v>
      </c>
      <c r="E9504" t="s">
        <v>16</v>
      </c>
      <c r="F9504" t="s">
        <v>32243</v>
      </c>
      <c r="G9504" t="s">
        <v>32180</v>
      </c>
      <c r="H9504">
        <v>8304200</v>
      </c>
      <c r="I9504" t="s">
        <v>32244</v>
      </c>
    </row>
    <row r="9505" spans="1:9">
      <c r="A9505" t="str">
        <f>"0232057 "</f>
        <v xml:space="preserve">0232057 </v>
      </c>
      <c r="B9505" t="s">
        <v>32180</v>
      </c>
      <c r="C9505">
        <v>8304309</v>
      </c>
      <c r="D9505" t="s">
        <v>32245</v>
      </c>
      <c r="E9505" t="s">
        <v>16</v>
      </c>
      <c r="F9505" t="s">
        <v>32246</v>
      </c>
      <c r="G9505" t="s">
        <v>32180</v>
      </c>
      <c r="H9505">
        <v>8304309</v>
      </c>
      <c r="I9505" t="s">
        <v>32247</v>
      </c>
    </row>
    <row r="9506" spans="1:9">
      <c r="A9506" t="str">
        <f>"0232071 "</f>
        <v xml:space="preserve">0232071 </v>
      </c>
      <c r="B9506" t="s">
        <v>32180</v>
      </c>
      <c r="C9506">
        <v>8305108</v>
      </c>
      <c r="D9506" t="s">
        <v>32248</v>
      </c>
      <c r="E9506" t="s">
        <v>16</v>
      </c>
      <c r="F9506" t="s">
        <v>32249</v>
      </c>
      <c r="G9506" t="s">
        <v>32180</v>
      </c>
      <c r="H9506">
        <v>8305108</v>
      </c>
      <c r="I9506" t="s">
        <v>32197</v>
      </c>
    </row>
    <row r="9507" spans="1:9">
      <c r="A9507" t="str">
        <f>"0232031 "</f>
        <v xml:space="preserve">0232031 </v>
      </c>
      <c r="B9507" t="s">
        <v>32180</v>
      </c>
      <c r="C9507">
        <v>8305306</v>
      </c>
      <c r="D9507" t="s">
        <v>32250</v>
      </c>
      <c r="E9507" t="s">
        <v>16</v>
      </c>
      <c r="F9507" t="s">
        <v>30948</v>
      </c>
      <c r="G9507" t="s">
        <v>32180</v>
      </c>
      <c r="H9507">
        <v>8305306</v>
      </c>
      <c r="I9507" t="s">
        <v>32209</v>
      </c>
    </row>
    <row r="9508" spans="1:9">
      <c r="A9508" t="str">
        <f>"0231985 "</f>
        <v xml:space="preserve">0231985 </v>
      </c>
      <c r="B9508" t="s">
        <v>32180</v>
      </c>
      <c r="C9508">
        <v>8305504</v>
      </c>
      <c r="D9508" t="s">
        <v>32251</v>
      </c>
      <c r="E9508" t="s">
        <v>16</v>
      </c>
      <c r="F9508" t="s">
        <v>32252</v>
      </c>
      <c r="G9508" t="s">
        <v>32180</v>
      </c>
      <c r="H9508">
        <v>8305504</v>
      </c>
      <c r="I9508" t="s">
        <v>32253</v>
      </c>
    </row>
    <row r="9509" spans="1:9">
      <c r="A9509" t="str">
        <f>"0232026 "</f>
        <v xml:space="preserve">0232026 </v>
      </c>
      <c r="B9509" t="s">
        <v>32180</v>
      </c>
      <c r="C9509">
        <v>8305603</v>
      </c>
      <c r="D9509" t="s">
        <v>32254</v>
      </c>
      <c r="E9509" t="s">
        <v>16</v>
      </c>
      <c r="F9509" t="s">
        <v>5274</v>
      </c>
      <c r="G9509" t="s">
        <v>32180</v>
      </c>
      <c r="H9509">
        <v>8305603</v>
      </c>
      <c r="I9509" t="s">
        <v>32255</v>
      </c>
    </row>
    <row r="9510" spans="1:9">
      <c r="A9510" t="str">
        <f>"0232060 "</f>
        <v xml:space="preserve">0232060 </v>
      </c>
      <c r="B9510" t="s">
        <v>32180</v>
      </c>
      <c r="C9510">
        <v>8306259</v>
      </c>
      <c r="D9510" t="s">
        <v>32256</v>
      </c>
      <c r="E9510">
        <v>1</v>
      </c>
      <c r="F9510" t="s">
        <v>32257</v>
      </c>
      <c r="G9510" t="s">
        <v>32180</v>
      </c>
      <c r="H9510">
        <v>8306259</v>
      </c>
      <c r="I9510" t="s">
        <v>32247</v>
      </c>
    </row>
    <row r="9511" spans="1:9">
      <c r="A9511" t="str">
        <f>"0231692 "</f>
        <v xml:space="preserve">0231692 </v>
      </c>
      <c r="B9511" t="s">
        <v>32180</v>
      </c>
      <c r="C9511">
        <v>8307416</v>
      </c>
      <c r="D9511" t="s">
        <v>32258</v>
      </c>
      <c r="E9511" t="s">
        <v>16</v>
      </c>
      <c r="F9511" t="s">
        <v>32259</v>
      </c>
      <c r="G9511" t="s">
        <v>32180</v>
      </c>
      <c r="H9511">
        <v>8307416</v>
      </c>
      <c r="I9511" t="s">
        <v>32260</v>
      </c>
    </row>
    <row r="9512" spans="1:9">
      <c r="A9512" t="str">
        <f>"0231693 "</f>
        <v xml:space="preserve">0231693 </v>
      </c>
      <c r="B9512" t="s">
        <v>32180</v>
      </c>
      <c r="C9512">
        <v>8307515</v>
      </c>
      <c r="D9512" t="s">
        <v>32261</v>
      </c>
      <c r="E9512" t="s">
        <v>16</v>
      </c>
      <c r="F9512" t="s">
        <v>32262</v>
      </c>
      <c r="G9512" t="s">
        <v>32180</v>
      </c>
      <c r="H9512">
        <v>8307515</v>
      </c>
      <c r="I9512" t="s">
        <v>32260</v>
      </c>
    </row>
    <row r="9513" spans="1:9">
      <c r="A9513" t="str">
        <f>"0231694 "</f>
        <v xml:space="preserve">0231694 </v>
      </c>
      <c r="B9513" t="s">
        <v>32180</v>
      </c>
      <c r="C9513">
        <v>8307614</v>
      </c>
      <c r="D9513" t="s">
        <v>32263</v>
      </c>
      <c r="E9513" t="s">
        <v>16</v>
      </c>
      <c r="F9513" t="s">
        <v>32264</v>
      </c>
      <c r="G9513" t="s">
        <v>32180</v>
      </c>
      <c r="H9513">
        <v>8307614</v>
      </c>
      <c r="I9513" t="s">
        <v>32260</v>
      </c>
    </row>
    <row r="9514" spans="1:9">
      <c r="A9514" t="str">
        <f>"0231680 "</f>
        <v xml:space="preserve">0231680 </v>
      </c>
      <c r="B9514" t="s">
        <v>32180</v>
      </c>
      <c r="C9514">
        <v>8308017</v>
      </c>
      <c r="D9514" t="s">
        <v>32265</v>
      </c>
      <c r="E9514" t="s">
        <v>16</v>
      </c>
      <c r="F9514" t="s">
        <v>32266</v>
      </c>
      <c r="G9514" t="s">
        <v>32180</v>
      </c>
      <c r="H9514">
        <v>8308017</v>
      </c>
      <c r="I9514" t="s">
        <v>32267</v>
      </c>
    </row>
    <row r="9515" spans="1:9">
      <c r="A9515" t="str">
        <f>"0231681 "</f>
        <v xml:space="preserve">0231681 </v>
      </c>
      <c r="B9515" t="s">
        <v>32180</v>
      </c>
      <c r="C9515">
        <v>8308116</v>
      </c>
      <c r="D9515" t="s">
        <v>32268</v>
      </c>
      <c r="E9515" t="s">
        <v>16</v>
      </c>
      <c r="F9515" t="s">
        <v>32269</v>
      </c>
      <c r="G9515" t="s">
        <v>32180</v>
      </c>
      <c r="H9515">
        <v>8308116</v>
      </c>
      <c r="I9515" t="s">
        <v>32267</v>
      </c>
    </row>
    <row r="9516" spans="1:9">
      <c r="A9516" t="str">
        <f>"0270396 "</f>
        <v xml:space="preserve">0270396 </v>
      </c>
      <c r="B9516" t="s">
        <v>32180</v>
      </c>
      <c r="C9516" t="s">
        <v>32270</v>
      </c>
      <c r="D9516" t="s">
        <v>32271</v>
      </c>
      <c r="E9516">
        <v>3</v>
      </c>
      <c r="F9516" t="s">
        <v>32269</v>
      </c>
      <c r="G9516" t="s">
        <v>32180</v>
      </c>
      <c r="H9516" t="s">
        <v>32270</v>
      </c>
      <c r="I9516" t="s">
        <v>32267</v>
      </c>
    </row>
    <row r="9517" spans="1:9">
      <c r="A9517" t="str">
        <f>"0231682 "</f>
        <v xml:space="preserve">0231682 </v>
      </c>
      <c r="B9517" t="s">
        <v>32180</v>
      </c>
      <c r="C9517">
        <v>8308215</v>
      </c>
      <c r="D9517" t="s">
        <v>32272</v>
      </c>
      <c r="E9517" t="s">
        <v>16</v>
      </c>
      <c r="F9517" t="s">
        <v>32273</v>
      </c>
      <c r="G9517" t="s">
        <v>32180</v>
      </c>
      <c r="H9517">
        <v>8308215</v>
      </c>
      <c r="I9517" t="s">
        <v>32267</v>
      </c>
    </row>
    <row r="9518" spans="1:9">
      <c r="A9518" t="str">
        <f>"0270397 "</f>
        <v xml:space="preserve">0270397 </v>
      </c>
      <c r="B9518" t="s">
        <v>32180</v>
      </c>
      <c r="C9518" t="s">
        <v>32274</v>
      </c>
      <c r="D9518" t="s">
        <v>32275</v>
      </c>
      <c r="E9518">
        <v>5</v>
      </c>
      <c r="F9518" t="s">
        <v>32273</v>
      </c>
      <c r="G9518" t="s">
        <v>32180</v>
      </c>
      <c r="H9518" t="s">
        <v>32274</v>
      </c>
      <c r="I9518" t="s">
        <v>32267</v>
      </c>
    </row>
    <row r="9519" spans="1:9">
      <c r="A9519" t="str">
        <f>"0231686 "</f>
        <v xml:space="preserve">0231686 </v>
      </c>
      <c r="B9519" t="s">
        <v>32180</v>
      </c>
      <c r="C9519">
        <v>8308314</v>
      </c>
      <c r="D9519" t="s">
        <v>32276</v>
      </c>
      <c r="E9519" t="s">
        <v>16</v>
      </c>
      <c r="F9519" t="s">
        <v>32277</v>
      </c>
      <c r="G9519" t="s">
        <v>32180</v>
      </c>
      <c r="H9519">
        <v>8308314</v>
      </c>
      <c r="I9519" t="s">
        <v>32278</v>
      </c>
    </row>
    <row r="9520" spans="1:9">
      <c r="A9520" t="str">
        <f>"0231687 "</f>
        <v xml:space="preserve">0231687 </v>
      </c>
      <c r="B9520" t="s">
        <v>32180</v>
      </c>
      <c r="C9520">
        <v>8308413</v>
      </c>
      <c r="D9520" t="s">
        <v>32279</v>
      </c>
      <c r="E9520">
        <v>4</v>
      </c>
      <c r="F9520" t="s">
        <v>32280</v>
      </c>
      <c r="G9520" t="s">
        <v>32180</v>
      </c>
      <c r="H9520">
        <v>8308413</v>
      </c>
      <c r="I9520" t="s">
        <v>32278</v>
      </c>
    </row>
    <row r="9521" spans="1:9">
      <c r="A9521" t="str">
        <f>"0231688 "</f>
        <v xml:space="preserve">0231688 </v>
      </c>
      <c r="B9521" t="s">
        <v>32180</v>
      </c>
      <c r="C9521">
        <v>8308512</v>
      </c>
      <c r="D9521" t="s">
        <v>32281</v>
      </c>
      <c r="E9521" t="s">
        <v>16</v>
      </c>
      <c r="F9521" t="s">
        <v>32282</v>
      </c>
      <c r="G9521" t="s">
        <v>32180</v>
      </c>
      <c r="H9521">
        <v>8308512</v>
      </c>
      <c r="I9521" t="s">
        <v>32278</v>
      </c>
    </row>
    <row r="9522" spans="1:9">
      <c r="A9522" t="str">
        <f>"0231703 "</f>
        <v xml:space="preserve">0231703 </v>
      </c>
      <c r="B9522" t="s">
        <v>32180</v>
      </c>
      <c r="C9522">
        <v>8308611</v>
      </c>
      <c r="D9522" t="s">
        <v>32283</v>
      </c>
      <c r="E9522">
        <v>5</v>
      </c>
      <c r="F9522" t="s">
        <v>32284</v>
      </c>
      <c r="G9522" t="s">
        <v>32180</v>
      </c>
      <c r="H9522">
        <v>8308611</v>
      </c>
      <c r="I9522" t="s">
        <v>32285</v>
      </c>
    </row>
    <row r="9523" spans="1:9">
      <c r="A9523" t="str">
        <f>"0231704 "</f>
        <v xml:space="preserve">0231704 </v>
      </c>
      <c r="B9523" t="s">
        <v>32180</v>
      </c>
      <c r="C9523">
        <v>8308710</v>
      </c>
      <c r="D9523" t="s">
        <v>32286</v>
      </c>
      <c r="E9523">
        <v>5</v>
      </c>
      <c r="F9523" t="s">
        <v>5310</v>
      </c>
      <c r="G9523" t="s">
        <v>32180</v>
      </c>
      <c r="H9523">
        <v>8308710</v>
      </c>
      <c r="I9523" t="s">
        <v>32285</v>
      </c>
    </row>
    <row r="9524" spans="1:9">
      <c r="A9524" t="str">
        <f>"0231737 "</f>
        <v xml:space="preserve">0231737 </v>
      </c>
      <c r="B9524" t="s">
        <v>32180</v>
      </c>
      <c r="C9524">
        <v>8309809</v>
      </c>
      <c r="D9524" t="s">
        <v>32287</v>
      </c>
      <c r="E9524" t="s">
        <v>16</v>
      </c>
      <c r="F9524" t="s">
        <v>32288</v>
      </c>
      <c r="G9524" t="s">
        <v>32180</v>
      </c>
      <c r="H9524">
        <v>8309809</v>
      </c>
      <c r="I9524" t="s">
        <v>32183</v>
      </c>
    </row>
    <row r="9525" spans="1:9">
      <c r="A9525" t="str">
        <f>"0231738 "</f>
        <v xml:space="preserve">0231738 </v>
      </c>
      <c r="B9525" t="s">
        <v>32180</v>
      </c>
      <c r="C9525">
        <v>8309908</v>
      </c>
      <c r="D9525" t="s">
        <v>32289</v>
      </c>
      <c r="E9525">
        <v>3</v>
      </c>
      <c r="F9525" t="s">
        <v>32290</v>
      </c>
      <c r="G9525" t="s">
        <v>32180</v>
      </c>
      <c r="H9525">
        <v>8309908</v>
      </c>
      <c r="I9525" t="s">
        <v>32183</v>
      </c>
    </row>
    <row r="9526" spans="1:9">
      <c r="A9526" t="str">
        <f>"0231760 "</f>
        <v xml:space="preserve">0231760 </v>
      </c>
      <c r="B9526" t="s">
        <v>32180</v>
      </c>
      <c r="C9526">
        <v>8311093</v>
      </c>
      <c r="D9526" t="s">
        <v>32291</v>
      </c>
      <c r="E9526" t="s">
        <v>16</v>
      </c>
      <c r="F9526" t="s">
        <v>32292</v>
      </c>
      <c r="G9526" t="s">
        <v>32180</v>
      </c>
      <c r="H9526">
        <v>8311093</v>
      </c>
      <c r="I9526" t="s">
        <v>32293</v>
      </c>
    </row>
    <row r="9527" spans="1:9">
      <c r="A9527" t="str">
        <f>"0231761 "</f>
        <v xml:space="preserve">0231761 </v>
      </c>
      <c r="B9527" t="s">
        <v>32180</v>
      </c>
      <c r="C9527">
        <v>8311192</v>
      </c>
      <c r="D9527" t="s">
        <v>32294</v>
      </c>
      <c r="E9527" t="s">
        <v>16</v>
      </c>
      <c r="F9527" t="s">
        <v>32295</v>
      </c>
      <c r="G9527" t="s">
        <v>32180</v>
      </c>
      <c r="H9527">
        <v>8311192</v>
      </c>
      <c r="I9527" t="s">
        <v>32293</v>
      </c>
    </row>
    <row r="9528" spans="1:9">
      <c r="A9528" t="str">
        <f>"0231762 "</f>
        <v xml:space="preserve">0231762 </v>
      </c>
      <c r="B9528" t="s">
        <v>32180</v>
      </c>
      <c r="C9528">
        <v>8311291</v>
      </c>
      <c r="D9528" t="s">
        <v>32296</v>
      </c>
      <c r="E9528" t="s">
        <v>16</v>
      </c>
      <c r="F9528" t="s">
        <v>32297</v>
      </c>
      <c r="G9528" t="s">
        <v>32180</v>
      </c>
      <c r="H9528">
        <v>8311291</v>
      </c>
      <c r="I9528" t="s">
        <v>32293</v>
      </c>
    </row>
    <row r="9529" spans="1:9">
      <c r="A9529" t="str">
        <f>"0231763 "</f>
        <v xml:space="preserve">0231763 </v>
      </c>
      <c r="B9529" t="s">
        <v>32180</v>
      </c>
      <c r="C9529">
        <v>8311895</v>
      </c>
      <c r="D9529" t="s">
        <v>32298</v>
      </c>
      <c r="E9529">
        <v>1</v>
      </c>
      <c r="F9529" t="s">
        <v>32299</v>
      </c>
      <c r="G9529" t="s">
        <v>32180</v>
      </c>
      <c r="H9529">
        <v>8311895</v>
      </c>
      <c r="I9529" t="s">
        <v>32293</v>
      </c>
    </row>
    <row r="9530" spans="1:9">
      <c r="A9530" t="str">
        <f>"0231764 "</f>
        <v xml:space="preserve">0231764 </v>
      </c>
      <c r="B9530" t="s">
        <v>32180</v>
      </c>
      <c r="C9530">
        <v>8311994</v>
      </c>
      <c r="D9530" t="s">
        <v>32300</v>
      </c>
      <c r="E9530">
        <v>2</v>
      </c>
      <c r="F9530" t="s">
        <v>32301</v>
      </c>
      <c r="G9530" t="s">
        <v>32180</v>
      </c>
      <c r="H9530">
        <v>8311994</v>
      </c>
      <c r="I9530" t="s">
        <v>32293</v>
      </c>
    </row>
    <row r="9531" spans="1:9">
      <c r="A9531" t="str">
        <f>"0231816 "</f>
        <v xml:space="preserve">0231816 </v>
      </c>
      <c r="B9531" t="s">
        <v>32180</v>
      </c>
      <c r="C9531">
        <v>8312861</v>
      </c>
      <c r="D9531" t="s">
        <v>32302</v>
      </c>
      <c r="E9531">
        <v>1</v>
      </c>
      <c r="F9531" t="s">
        <v>32303</v>
      </c>
      <c r="G9531" t="s">
        <v>32180</v>
      </c>
      <c r="H9531">
        <v>8312861</v>
      </c>
      <c r="I9531" t="s">
        <v>32221</v>
      </c>
    </row>
    <row r="9532" spans="1:9">
      <c r="A9532" t="str">
        <f>"0231817 "</f>
        <v xml:space="preserve">0231817 </v>
      </c>
      <c r="B9532" t="s">
        <v>32180</v>
      </c>
      <c r="C9532">
        <v>8313066</v>
      </c>
      <c r="D9532" t="s">
        <v>32304</v>
      </c>
      <c r="E9532">
        <v>1</v>
      </c>
      <c r="F9532" t="s">
        <v>32305</v>
      </c>
      <c r="G9532" t="s">
        <v>32180</v>
      </c>
      <c r="H9532">
        <v>8313066</v>
      </c>
      <c r="I9532" t="s">
        <v>32221</v>
      </c>
    </row>
    <row r="9533" spans="1:9">
      <c r="A9533" t="str">
        <f>"0231818 "</f>
        <v xml:space="preserve">0231818 </v>
      </c>
      <c r="B9533" t="s">
        <v>32180</v>
      </c>
      <c r="C9533">
        <v>8313165</v>
      </c>
      <c r="D9533" t="s">
        <v>32306</v>
      </c>
      <c r="E9533">
        <v>1</v>
      </c>
      <c r="F9533" t="s">
        <v>32307</v>
      </c>
      <c r="G9533" t="s">
        <v>32180</v>
      </c>
      <c r="H9533">
        <v>8313165</v>
      </c>
      <c r="I9533" t="s">
        <v>32221</v>
      </c>
    </row>
    <row r="9534" spans="1:9">
      <c r="A9534" t="str">
        <f>"0231810 "</f>
        <v xml:space="preserve">0231810 </v>
      </c>
      <c r="B9534" t="s">
        <v>32180</v>
      </c>
      <c r="C9534">
        <v>8313462</v>
      </c>
      <c r="D9534" t="s">
        <v>32308</v>
      </c>
      <c r="E9534">
        <v>2</v>
      </c>
      <c r="F9534" t="s">
        <v>32309</v>
      </c>
      <c r="G9534" t="s">
        <v>32180</v>
      </c>
      <c r="H9534">
        <v>8313462</v>
      </c>
      <c r="I9534" t="s">
        <v>32227</v>
      </c>
    </row>
    <row r="9535" spans="1:9">
      <c r="A9535" t="str">
        <f>"0231811 "</f>
        <v xml:space="preserve">0231811 </v>
      </c>
      <c r="B9535" t="s">
        <v>32180</v>
      </c>
      <c r="C9535">
        <v>8313660</v>
      </c>
      <c r="D9535" t="s">
        <v>32310</v>
      </c>
      <c r="E9535">
        <v>2</v>
      </c>
      <c r="F9535" t="s">
        <v>32311</v>
      </c>
      <c r="G9535" t="s">
        <v>32180</v>
      </c>
      <c r="H9535">
        <v>8313660</v>
      </c>
      <c r="I9535" t="s">
        <v>32227</v>
      </c>
    </row>
    <row r="9536" spans="1:9">
      <c r="A9536" t="str">
        <f>"0231812 "</f>
        <v xml:space="preserve">0231812 </v>
      </c>
      <c r="B9536" t="s">
        <v>32180</v>
      </c>
      <c r="C9536">
        <v>8313769</v>
      </c>
      <c r="D9536" t="s">
        <v>32312</v>
      </c>
      <c r="E9536">
        <v>3</v>
      </c>
      <c r="F9536" t="s">
        <v>32313</v>
      </c>
      <c r="G9536" t="s">
        <v>32180</v>
      </c>
      <c r="H9536">
        <v>8313769</v>
      </c>
      <c r="I9536" t="s">
        <v>32227</v>
      </c>
    </row>
    <row r="9537" spans="1:9">
      <c r="A9537" t="str">
        <f>"0231775 "</f>
        <v xml:space="preserve">0231775 </v>
      </c>
      <c r="B9537" t="s">
        <v>32180</v>
      </c>
      <c r="C9537">
        <v>8314629</v>
      </c>
      <c r="D9537" t="s">
        <v>32314</v>
      </c>
      <c r="E9537" t="s">
        <v>16</v>
      </c>
      <c r="F9537" t="s">
        <v>19131</v>
      </c>
      <c r="G9537" t="s">
        <v>32180</v>
      </c>
      <c r="H9537">
        <v>8314629</v>
      </c>
      <c r="I9537" t="s">
        <v>32315</v>
      </c>
    </row>
    <row r="9538" spans="1:9">
      <c r="A9538" t="str">
        <f>"0231913 "</f>
        <v xml:space="preserve">0231913 </v>
      </c>
      <c r="B9538" t="s">
        <v>32180</v>
      </c>
      <c r="C9538">
        <v>8315053</v>
      </c>
      <c r="D9538" t="s">
        <v>32316</v>
      </c>
      <c r="E9538">
        <v>5</v>
      </c>
      <c r="F9538" t="s">
        <v>32317</v>
      </c>
      <c r="G9538" t="s">
        <v>32180</v>
      </c>
      <c r="H9538">
        <v>8315053</v>
      </c>
      <c r="I9538" t="s">
        <v>32189</v>
      </c>
    </row>
    <row r="9539" spans="1:9">
      <c r="A9539" t="str">
        <f>"0231914 "</f>
        <v xml:space="preserve">0231914 </v>
      </c>
      <c r="B9539" t="s">
        <v>32180</v>
      </c>
      <c r="C9539">
        <v>8315251</v>
      </c>
      <c r="D9539" t="s">
        <v>32318</v>
      </c>
      <c r="E9539">
        <v>1</v>
      </c>
      <c r="F9539" t="s">
        <v>32319</v>
      </c>
      <c r="G9539" t="s">
        <v>32180</v>
      </c>
      <c r="H9539">
        <v>8315251</v>
      </c>
      <c r="I9539" t="s">
        <v>32189</v>
      </c>
    </row>
    <row r="9540" spans="1:9">
      <c r="A9540" t="str">
        <f>"0231924 "</f>
        <v xml:space="preserve">0231924 </v>
      </c>
      <c r="B9540" t="s">
        <v>32180</v>
      </c>
      <c r="C9540">
        <v>8315954</v>
      </c>
      <c r="D9540" t="s">
        <v>32320</v>
      </c>
      <c r="E9540">
        <v>1</v>
      </c>
      <c r="F9540" t="s">
        <v>32321</v>
      </c>
      <c r="G9540" t="s">
        <v>32180</v>
      </c>
      <c r="H9540">
        <v>8315954</v>
      </c>
      <c r="I9540" t="s">
        <v>32189</v>
      </c>
    </row>
    <row r="9541" spans="1:9">
      <c r="A9541" t="str">
        <f>"0232136 "</f>
        <v xml:space="preserve">0232136 </v>
      </c>
      <c r="B9541" t="s">
        <v>32180</v>
      </c>
      <c r="C9541">
        <v>8315985</v>
      </c>
      <c r="D9541" t="s">
        <v>32322</v>
      </c>
      <c r="E9541" t="s">
        <v>16</v>
      </c>
      <c r="F9541" t="s">
        <v>32323</v>
      </c>
      <c r="G9541" t="s">
        <v>32180</v>
      </c>
      <c r="H9541">
        <v>8315985</v>
      </c>
      <c r="I9541" t="s">
        <v>32324</v>
      </c>
    </row>
    <row r="9542" spans="1:9">
      <c r="A9542" t="str">
        <f>"0232137 "</f>
        <v xml:space="preserve">0232137 </v>
      </c>
      <c r="B9542" t="s">
        <v>32180</v>
      </c>
      <c r="C9542">
        <v>8316081</v>
      </c>
      <c r="D9542" t="s">
        <v>32325</v>
      </c>
      <c r="E9542" t="s">
        <v>16</v>
      </c>
      <c r="F9542" t="s">
        <v>32326</v>
      </c>
      <c r="G9542" t="s">
        <v>32180</v>
      </c>
      <c r="H9542">
        <v>8316081</v>
      </c>
      <c r="I9542" t="s">
        <v>32324</v>
      </c>
    </row>
    <row r="9543" spans="1:9">
      <c r="A9543" t="str">
        <f>"0231696 "</f>
        <v xml:space="preserve">0231696 </v>
      </c>
      <c r="B9543" t="s">
        <v>32180</v>
      </c>
      <c r="C9543">
        <v>8316876</v>
      </c>
      <c r="D9543" t="s">
        <v>32327</v>
      </c>
      <c r="E9543">
        <v>1</v>
      </c>
      <c r="F9543" t="s">
        <v>32328</v>
      </c>
      <c r="G9543" t="s">
        <v>32180</v>
      </c>
      <c r="H9543">
        <v>8316876</v>
      </c>
      <c r="I9543" t="s">
        <v>32260</v>
      </c>
    </row>
    <row r="9544" spans="1:9">
      <c r="A9544" t="str">
        <f>"0232552 "</f>
        <v xml:space="preserve">0232552 </v>
      </c>
      <c r="B9544" t="s">
        <v>32180</v>
      </c>
      <c r="C9544">
        <v>8321092</v>
      </c>
      <c r="D9544" t="s">
        <v>32329</v>
      </c>
      <c r="E9544" t="s">
        <v>16</v>
      </c>
      <c r="F9544" t="s">
        <v>19386</v>
      </c>
      <c r="G9544" t="s">
        <v>32180</v>
      </c>
      <c r="H9544">
        <v>8321092</v>
      </c>
      <c r="I9544" t="s">
        <v>32330</v>
      </c>
    </row>
    <row r="9545" spans="1:9">
      <c r="A9545" t="str">
        <f>"0232525 "</f>
        <v xml:space="preserve">0232525 </v>
      </c>
      <c r="B9545" t="s">
        <v>32180</v>
      </c>
      <c r="C9545">
        <v>8321498</v>
      </c>
      <c r="D9545" t="s">
        <v>32331</v>
      </c>
      <c r="E9545" t="s">
        <v>16</v>
      </c>
      <c r="F9545" t="s">
        <v>32332</v>
      </c>
      <c r="G9545" t="s">
        <v>32180</v>
      </c>
      <c r="H9545">
        <v>8321498</v>
      </c>
      <c r="I9545" t="s">
        <v>32333</v>
      </c>
    </row>
    <row r="9546" spans="1:9">
      <c r="A9546" t="str">
        <f>"0232146 "</f>
        <v xml:space="preserve">0232146 </v>
      </c>
      <c r="B9546" t="s">
        <v>32180</v>
      </c>
      <c r="C9546">
        <v>8325083</v>
      </c>
      <c r="D9546" t="s">
        <v>32334</v>
      </c>
      <c r="E9546" t="s">
        <v>16</v>
      </c>
      <c r="F9546" t="s">
        <v>32335</v>
      </c>
      <c r="G9546" t="s">
        <v>32180</v>
      </c>
      <c r="H9546">
        <v>8325083</v>
      </c>
      <c r="I9546" t="s">
        <v>32336</v>
      </c>
    </row>
    <row r="9547" spans="1:9">
      <c r="A9547" t="str">
        <f>"0232147 "</f>
        <v xml:space="preserve">0232147 </v>
      </c>
      <c r="B9547" t="s">
        <v>32180</v>
      </c>
      <c r="C9547">
        <v>8325182</v>
      </c>
      <c r="D9547" t="s">
        <v>32337</v>
      </c>
      <c r="E9547" t="s">
        <v>16</v>
      </c>
      <c r="F9547" t="s">
        <v>32338</v>
      </c>
      <c r="G9547" t="s">
        <v>32180</v>
      </c>
      <c r="H9547">
        <v>8325182</v>
      </c>
      <c r="I9547" t="s">
        <v>32336</v>
      </c>
    </row>
    <row r="9548" spans="1:9">
      <c r="A9548" t="str">
        <f>"0231766 "</f>
        <v xml:space="preserve">0231766 </v>
      </c>
      <c r="B9548" t="s">
        <v>32180</v>
      </c>
      <c r="C9548">
        <v>8333903</v>
      </c>
      <c r="D9548" t="s">
        <v>32339</v>
      </c>
      <c r="E9548" t="s">
        <v>16</v>
      </c>
      <c r="F9548" t="s">
        <v>32340</v>
      </c>
      <c r="G9548" t="s">
        <v>32180</v>
      </c>
      <c r="H9548">
        <v>8333903</v>
      </c>
      <c r="I9548" t="s">
        <v>32341</v>
      </c>
    </row>
    <row r="9549" spans="1:9">
      <c r="A9549" t="str">
        <f>"0231767 "</f>
        <v xml:space="preserve">0231767 </v>
      </c>
      <c r="B9549" t="s">
        <v>32180</v>
      </c>
      <c r="C9549">
        <v>8334009</v>
      </c>
      <c r="D9549" t="s">
        <v>32342</v>
      </c>
      <c r="E9549" t="s">
        <v>16</v>
      </c>
      <c r="F9549" t="s">
        <v>32343</v>
      </c>
      <c r="G9549" t="s">
        <v>32180</v>
      </c>
      <c r="H9549">
        <v>8334009</v>
      </c>
      <c r="I9549" t="s">
        <v>32341</v>
      </c>
    </row>
    <row r="9550" spans="1:9">
      <c r="A9550" t="str">
        <f>"0220176 "</f>
        <v xml:space="preserve">0220176 </v>
      </c>
      <c r="B9550" t="s">
        <v>32344</v>
      </c>
      <c r="C9550" t="s">
        <v>32345</v>
      </c>
      <c r="D9550" t="s">
        <v>32346</v>
      </c>
      <c r="E9550">
        <v>4</v>
      </c>
      <c r="F9550" t="s">
        <v>32347</v>
      </c>
      <c r="G9550" t="s">
        <v>32344</v>
      </c>
      <c r="H9550" t="s">
        <v>32345</v>
      </c>
      <c r="I9550" t="s">
        <v>32348</v>
      </c>
    </row>
    <row r="9551" spans="1:9">
      <c r="A9551" t="str">
        <f>"0220116 "</f>
        <v xml:space="preserve">0220116 </v>
      </c>
      <c r="B9551" t="s">
        <v>32344</v>
      </c>
      <c r="C9551" t="s">
        <v>32349</v>
      </c>
      <c r="D9551" t="s">
        <v>32350</v>
      </c>
      <c r="E9551" t="s">
        <v>16</v>
      </c>
      <c r="F9551" t="s">
        <v>32351</v>
      </c>
      <c r="G9551" t="s">
        <v>32344</v>
      </c>
      <c r="H9551" t="s">
        <v>32349</v>
      </c>
      <c r="I9551" s="2" t="s">
        <v>32352</v>
      </c>
    </row>
    <row r="9552" spans="1:9">
      <c r="A9552" t="str">
        <f>"0220117 "</f>
        <v xml:space="preserve">0220117 </v>
      </c>
      <c r="B9552" t="s">
        <v>32344</v>
      </c>
      <c r="C9552" t="s">
        <v>32353</v>
      </c>
      <c r="D9552" t="s">
        <v>32354</v>
      </c>
      <c r="E9552" t="s">
        <v>16</v>
      </c>
      <c r="F9552" t="s">
        <v>32351</v>
      </c>
      <c r="G9552" t="s">
        <v>32344</v>
      </c>
      <c r="H9552" t="s">
        <v>32353</v>
      </c>
      <c r="I9552" s="2" t="s">
        <v>32355</v>
      </c>
    </row>
    <row r="9553" spans="1:9">
      <c r="A9553" t="str">
        <f>"0220177 "</f>
        <v xml:space="preserve">0220177 </v>
      </c>
      <c r="B9553" t="s">
        <v>32344</v>
      </c>
      <c r="C9553" t="s">
        <v>32356</v>
      </c>
      <c r="D9553" t="s">
        <v>32357</v>
      </c>
      <c r="E9553" t="s">
        <v>16</v>
      </c>
      <c r="F9553" t="s">
        <v>32358</v>
      </c>
      <c r="G9553" t="s">
        <v>32344</v>
      </c>
      <c r="H9553" t="s">
        <v>32356</v>
      </c>
      <c r="I9553" s="2" t="s">
        <v>32359</v>
      </c>
    </row>
    <row r="9554" spans="1:9">
      <c r="A9554" t="str">
        <f>"0220179 "</f>
        <v xml:space="preserve">0220179 </v>
      </c>
      <c r="B9554" t="s">
        <v>32344</v>
      </c>
      <c r="C9554" t="s">
        <v>32360</v>
      </c>
      <c r="D9554" t="s">
        <v>32361</v>
      </c>
      <c r="E9554">
        <v>4</v>
      </c>
      <c r="F9554" t="s">
        <v>32362</v>
      </c>
      <c r="G9554" t="s">
        <v>32344</v>
      </c>
      <c r="H9554" t="s">
        <v>32360</v>
      </c>
      <c r="I9554" s="2" t="s">
        <v>32363</v>
      </c>
    </row>
    <row r="9555" spans="1:9">
      <c r="A9555" t="str">
        <f>"0269293 "</f>
        <v xml:space="preserve">0269293 </v>
      </c>
      <c r="B9555" t="s">
        <v>32344</v>
      </c>
      <c r="C9555" t="s">
        <v>32364</v>
      </c>
      <c r="D9555" t="s">
        <v>32365</v>
      </c>
      <c r="E9555" t="s">
        <v>16</v>
      </c>
      <c r="F9555" t="s">
        <v>32366</v>
      </c>
      <c r="G9555" t="s">
        <v>32344</v>
      </c>
      <c r="H9555" t="s">
        <v>32364</v>
      </c>
      <c r="I9555" s="2" t="s">
        <v>32367</v>
      </c>
    </row>
    <row r="9556" spans="1:9">
      <c r="A9556" t="str">
        <f>"0220180 "</f>
        <v xml:space="preserve">0220180 </v>
      </c>
      <c r="B9556" t="s">
        <v>32344</v>
      </c>
      <c r="C9556" t="s">
        <v>32368</v>
      </c>
      <c r="D9556" t="s">
        <v>32369</v>
      </c>
      <c r="E9556">
        <v>3</v>
      </c>
      <c r="F9556" t="s">
        <v>32366</v>
      </c>
      <c r="G9556" t="s">
        <v>32344</v>
      </c>
      <c r="H9556" t="s">
        <v>32368</v>
      </c>
      <c r="I9556" s="2" t="s">
        <v>32367</v>
      </c>
    </row>
    <row r="9557" spans="1:9">
      <c r="A9557" t="str">
        <f>"0220181 "</f>
        <v xml:space="preserve">0220181 </v>
      </c>
      <c r="B9557" t="s">
        <v>32344</v>
      </c>
      <c r="C9557" t="s">
        <v>32370</v>
      </c>
      <c r="D9557" t="s">
        <v>32371</v>
      </c>
      <c r="E9557">
        <v>2</v>
      </c>
      <c r="F9557" t="s">
        <v>23529</v>
      </c>
      <c r="G9557" t="s">
        <v>32344</v>
      </c>
      <c r="H9557" t="s">
        <v>32370</v>
      </c>
      <c r="I9557" s="2" t="s">
        <v>32372</v>
      </c>
    </row>
    <row r="9558" spans="1:9">
      <c r="A9558" t="str">
        <f>"0241225 "</f>
        <v xml:space="preserve">0241225 </v>
      </c>
      <c r="B9558" t="s">
        <v>32344</v>
      </c>
      <c r="C9558" t="s">
        <v>32373</v>
      </c>
      <c r="D9558" t="s">
        <v>32374</v>
      </c>
      <c r="E9558">
        <v>3</v>
      </c>
      <c r="F9558" t="s">
        <v>32375</v>
      </c>
      <c r="G9558" t="s">
        <v>32344</v>
      </c>
      <c r="H9558" t="s">
        <v>32373</v>
      </c>
    </row>
    <row r="9559" spans="1:9">
      <c r="A9559" t="str">
        <f>"0220119 "</f>
        <v xml:space="preserve">0220119 </v>
      </c>
      <c r="B9559" t="s">
        <v>32344</v>
      </c>
      <c r="C9559" t="s">
        <v>32376</v>
      </c>
      <c r="D9559" t="s">
        <v>32377</v>
      </c>
      <c r="E9559" t="s">
        <v>16</v>
      </c>
      <c r="F9559" t="s">
        <v>32378</v>
      </c>
      <c r="G9559" t="s">
        <v>32344</v>
      </c>
      <c r="H9559" t="s">
        <v>32376</v>
      </c>
      <c r="I9559" s="2" t="s">
        <v>32379</v>
      </c>
    </row>
    <row r="9560" spans="1:9">
      <c r="A9560" t="str">
        <f>"0220182 "</f>
        <v xml:space="preserve">0220182 </v>
      </c>
      <c r="B9560" t="s">
        <v>32344</v>
      </c>
      <c r="C9560" t="s">
        <v>32380</v>
      </c>
      <c r="D9560" t="s">
        <v>32381</v>
      </c>
      <c r="E9560" t="s">
        <v>16</v>
      </c>
      <c r="F9560" t="s">
        <v>32382</v>
      </c>
      <c r="G9560" t="s">
        <v>32344</v>
      </c>
      <c r="H9560" t="s">
        <v>32380</v>
      </c>
      <c r="I9560" s="2" t="s">
        <v>32383</v>
      </c>
    </row>
    <row r="9561" spans="1:9">
      <c r="A9561" t="str">
        <f>"0241261 "</f>
        <v xml:space="preserve">0241261 </v>
      </c>
      <c r="B9561" t="s">
        <v>32344</v>
      </c>
      <c r="C9561" t="s">
        <v>32384</v>
      </c>
      <c r="D9561" t="s">
        <v>32385</v>
      </c>
      <c r="E9561" t="s">
        <v>16</v>
      </c>
      <c r="F9561" t="s">
        <v>3719</v>
      </c>
      <c r="G9561" t="s">
        <v>32344</v>
      </c>
      <c r="H9561" t="s">
        <v>32384</v>
      </c>
      <c r="I9561" s="2" t="s">
        <v>32386</v>
      </c>
    </row>
    <row r="9562" spans="1:9">
      <c r="A9562" t="str">
        <f>"0220183 "</f>
        <v xml:space="preserve">0220183 </v>
      </c>
      <c r="B9562" t="s">
        <v>32344</v>
      </c>
      <c r="C9562" t="s">
        <v>32387</v>
      </c>
      <c r="D9562" t="s">
        <v>32388</v>
      </c>
      <c r="E9562">
        <v>5</v>
      </c>
      <c r="F9562" t="s">
        <v>32389</v>
      </c>
      <c r="G9562" t="s">
        <v>32344</v>
      </c>
      <c r="H9562" t="s">
        <v>32387</v>
      </c>
      <c r="I9562" s="2" t="s">
        <v>32390</v>
      </c>
    </row>
    <row r="9563" spans="1:9">
      <c r="A9563" t="str">
        <f>"0220184 "</f>
        <v xml:space="preserve">0220184 </v>
      </c>
      <c r="B9563" t="s">
        <v>32344</v>
      </c>
      <c r="C9563" t="s">
        <v>32391</v>
      </c>
      <c r="D9563" t="s">
        <v>32392</v>
      </c>
      <c r="E9563">
        <v>4</v>
      </c>
      <c r="F9563" t="s">
        <v>32393</v>
      </c>
      <c r="G9563" t="s">
        <v>32344</v>
      </c>
      <c r="H9563" t="s">
        <v>32391</v>
      </c>
      <c r="I9563" s="2" t="s">
        <v>32394</v>
      </c>
    </row>
    <row r="9564" spans="1:9">
      <c r="A9564" t="str">
        <f>"0220120 "</f>
        <v xml:space="preserve">0220120 </v>
      </c>
      <c r="B9564" t="s">
        <v>32344</v>
      </c>
      <c r="C9564" t="s">
        <v>32395</v>
      </c>
      <c r="D9564" t="s">
        <v>32396</v>
      </c>
      <c r="E9564" t="s">
        <v>16</v>
      </c>
      <c r="F9564" t="s">
        <v>32397</v>
      </c>
      <c r="G9564" t="s">
        <v>32344</v>
      </c>
      <c r="H9564" t="s">
        <v>32395</v>
      </c>
      <c r="I9564" s="2" t="s">
        <v>32398</v>
      </c>
    </row>
    <row r="9565" spans="1:9">
      <c r="A9565" t="str">
        <f>"0220185 "</f>
        <v xml:space="preserve">0220185 </v>
      </c>
      <c r="B9565" t="s">
        <v>32344</v>
      </c>
      <c r="C9565" t="s">
        <v>32399</v>
      </c>
      <c r="D9565" t="s">
        <v>32400</v>
      </c>
      <c r="E9565">
        <v>2</v>
      </c>
      <c r="F9565" t="s">
        <v>32401</v>
      </c>
      <c r="G9565" t="s">
        <v>32344</v>
      </c>
      <c r="H9565" t="s">
        <v>32399</v>
      </c>
      <c r="I9565" s="2" t="s">
        <v>32402</v>
      </c>
    </row>
    <row r="9566" spans="1:9">
      <c r="A9566" t="str">
        <f>"0220187 "</f>
        <v xml:space="preserve">0220187 </v>
      </c>
      <c r="B9566" t="s">
        <v>32344</v>
      </c>
      <c r="C9566" t="s">
        <v>32403</v>
      </c>
      <c r="D9566" t="s">
        <v>32404</v>
      </c>
      <c r="E9566" t="s">
        <v>16</v>
      </c>
      <c r="F9566" t="s">
        <v>32405</v>
      </c>
      <c r="G9566" t="s">
        <v>32344</v>
      </c>
      <c r="H9566" t="s">
        <v>32403</v>
      </c>
      <c r="I9566" s="2" t="s">
        <v>32406</v>
      </c>
    </row>
    <row r="9567" spans="1:9">
      <c r="A9567" t="str">
        <f>"0220188 "</f>
        <v xml:space="preserve">0220188 </v>
      </c>
      <c r="B9567" t="s">
        <v>32344</v>
      </c>
      <c r="C9567" t="s">
        <v>32407</v>
      </c>
      <c r="D9567" t="s">
        <v>32408</v>
      </c>
      <c r="E9567" t="s">
        <v>16</v>
      </c>
      <c r="F9567" t="s">
        <v>10885</v>
      </c>
      <c r="G9567" t="s">
        <v>32344</v>
      </c>
      <c r="H9567" t="s">
        <v>32407</v>
      </c>
      <c r="I9567" s="2" t="s">
        <v>32409</v>
      </c>
    </row>
    <row r="9568" spans="1:9">
      <c r="A9568" t="str">
        <f>"0220123 "</f>
        <v xml:space="preserve">0220123 </v>
      </c>
      <c r="B9568" t="s">
        <v>32344</v>
      </c>
      <c r="C9568" t="s">
        <v>32410</v>
      </c>
      <c r="D9568" t="s">
        <v>32411</v>
      </c>
      <c r="E9568">
        <v>2</v>
      </c>
      <c r="F9568" t="s">
        <v>24957</v>
      </c>
      <c r="G9568" t="s">
        <v>32344</v>
      </c>
      <c r="H9568" t="s">
        <v>32410</v>
      </c>
    </row>
    <row r="9569" spans="1:9">
      <c r="A9569" t="str">
        <f>"0220169 "</f>
        <v xml:space="preserve">0220169 </v>
      </c>
      <c r="B9569" t="s">
        <v>32344</v>
      </c>
      <c r="C9569" t="s">
        <v>32412</v>
      </c>
      <c r="D9569" t="s">
        <v>32413</v>
      </c>
      <c r="E9569" t="s">
        <v>16</v>
      </c>
      <c r="F9569" t="s">
        <v>32414</v>
      </c>
      <c r="G9569" t="s">
        <v>32344</v>
      </c>
      <c r="H9569" t="s">
        <v>32412</v>
      </c>
      <c r="I9569" s="2" t="s">
        <v>32415</v>
      </c>
    </row>
    <row r="9570" spans="1:9">
      <c r="A9570" t="str">
        <f>"0220170 "</f>
        <v xml:space="preserve">0220170 </v>
      </c>
      <c r="B9570" t="s">
        <v>32344</v>
      </c>
      <c r="C9570" t="s">
        <v>32416</v>
      </c>
      <c r="D9570" t="s">
        <v>32417</v>
      </c>
      <c r="E9570" t="s">
        <v>16</v>
      </c>
      <c r="F9570" t="s">
        <v>32418</v>
      </c>
      <c r="G9570" t="s">
        <v>32344</v>
      </c>
      <c r="H9570" t="s">
        <v>32416</v>
      </c>
      <c r="I9570" s="2" t="s">
        <v>32415</v>
      </c>
    </row>
    <row r="9571" spans="1:9">
      <c r="A9571" t="str">
        <f>"0220189 "</f>
        <v xml:space="preserve">0220189 </v>
      </c>
      <c r="B9571" t="s">
        <v>32344</v>
      </c>
      <c r="C9571" t="s">
        <v>32419</v>
      </c>
      <c r="D9571" t="s">
        <v>32420</v>
      </c>
      <c r="E9571" t="s">
        <v>16</v>
      </c>
      <c r="F9571" t="s">
        <v>21654</v>
      </c>
      <c r="G9571" t="s">
        <v>32344</v>
      </c>
      <c r="H9571" t="s">
        <v>32419</v>
      </c>
      <c r="I9571" s="2" t="s">
        <v>32421</v>
      </c>
    </row>
    <row r="9572" spans="1:9">
      <c r="A9572" t="str">
        <f>"0220190 "</f>
        <v xml:space="preserve">0220190 </v>
      </c>
      <c r="B9572" t="s">
        <v>32344</v>
      </c>
      <c r="C9572" t="s">
        <v>32422</v>
      </c>
      <c r="D9572" t="s">
        <v>32423</v>
      </c>
      <c r="E9572" t="s">
        <v>16</v>
      </c>
      <c r="F9572" t="s">
        <v>5747</v>
      </c>
      <c r="G9572" t="s">
        <v>32344</v>
      </c>
      <c r="H9572" t="s">
        <v>32422</v>
      </c>
      <c r="I9572" s="2" t="s">
        <v>32424</v>
      </c>
    </row>
    <row r="9573" spans="1:9">
      <c r="A9573" t="str">
        <f>"0220191 "</f>
        <v xml:space="preserve">0220191 </v>
      </c>
      <c r="B9573" t="s">
        <v>32344</v>
      </c>
      <c r="C9573" t="s">
        <v>32425</v>
      </c>
      <c r="D9573" t="s">
        <v>32426</v>
      </c>
      <c r="E9573">
        <v>1</v>
      </c>
      <c r="F9573" t="s">
        <v>32427</v>
      </c>
      <c r="G9573" t="s">
        <v>32344</v>
      </c>
      <c r="H9573" t="s">
        <v>32425</v>
      </c>
      <c r="I9573" s="2" t="s">
        <v>32428</v>
      </c>
    </row>
    <row r="9574" spans="1:9">
      <c r="A9574" t="str">
        <f>"0220193 "</f>
        <v xml:space="preserve">0220193 </v>
      </c>
      <c r="B9574" t="s">
        <v>32344</v>
      </c>
      <c r="C9574" t="s">
        <v>32429</v>
      </c>
      <c r="D9574" t="s">
        <v>32430</v>
      </c>
      <c r="E9574" t="s">
        <v>16</v>
      </c>
      <c r="F9574" t="s">
        <v>32431</v>
      </c>
      <c r="G9574" t="s">
        <v>32344</v>
      </c>
      <c r="H9574" t="s">
        <v>32429</v>
      </c>
      <c r="I9574" s="2" t="s">
        <v>32432</v>
      </c>
    </row>
    <row r="9575" spans="1:9">
      <c r="A9575" t="str">
        <f>"0220194 "</f>
        <v xml:space="preserve">0220194 </v>
      </c>
      <c r="B9575" t="s">
        <v>32344</v>
      </c>
      <c r="C9575" t="s">
        <v>32433</v>
      </c>
      <c r="D9575" t="s">
        <v>32434</v>
      </c>
      <c r="E9575" t="s">
        <v>16</v>
      </c>
      <c r="F9575" t="s">
        <v>32401</v>
      </c>
      <c r="G9575" t="s">
        <v>32344</v>
      </c>
      <c r="H9575" t="s">
        <v>32433</v>
      </c>
      <c r="I9575" s="2" t="s">
        <v>32435</v>
      </c>
    </row>
    <row r="9576" spans="1:9">
      <c r="A9576" t="str">
        <f>"0220125 "</f>
        <v xml:space="preserve">0220125 </v>
      </c>
      <c r="B9576" t="s">
        <v>32344</v>
      </c>
      <c r="C9576" t="s">
        <v>32436</v>
      </c>
      <c r="D9576" t="s">
        <v>32437</v>
      </c>
      <c r="E9576">
        <v>2</v>
      </c>
      <c r="F9576" t="s">
        <v>32438</v>
      </c>
      <c r="G9576" t="s">
        <v>32344</v>
      </c>
      <c r="H9576" t="s">
        <v>32436</v>
      </c>
      <c r="I9576" s="2" t="s">
        <v>32439</v>
      </c>
    </row>
    <row r="9577" spans="1:9">
      <c r="A9577" t="str">
        <f>"0220127 "</f>
        <v xml:space="preserve">0220127 </v>
      </c>
      <c r="B9577" t="s">
        <v>32344</v>
      </c>
      <c r="C9577" t="s">
        <v>32440</v>
      </c>
      <c r="D9577" t="s">
        <v>32441</v>
      </c>
      <c r="E9577">
        <v>2</v>
      </c>
      <c r="F9577" t="s">
        <v>32442</v>
      </c>
      <c r="G9577" t="s">
        <v>32344</v>
      </c>
      <c r="H9577" t="s">
        <v>32440</v>
      </c>
      <c r="I9577" s="2" t="s">
        <v>32443</v>
      </c>
    </row>
    <row r="9578" spans="1:9">
      <c r="A9578" t="str">
        <f>"0220128 "</f>
        <v xml:space="preserve">0220128 </v>
      </c>
      <c r="B9578" t="s">
        <v>32344</v>
      </c>
      <c r="C9578" t="s">
        <v>32444</v>
      </c>
      <c r="D9578" t="s">
        <v>32445</v>
      </c>
      <c r="E9578">
        <v>4</v>
      </c>
      <c r="F9578" t="s">
        <v>32446</v>
      </c>
      <c r="G9578" t="s">
        <v>32344</v>
      </c>
      <c r="H9578" t="s">
        <v>32444</v>
      </c>
      <c r="I9578" s="2" t="s">
        <v>32443</v>
      </c>
    </row>
    <row r="9579" spans="1:9">
      <c r="A9579" t="str">
        <f>"0220130 "</f>
        <v xml:space="preserve">0220130 </v>
      </c>
      <c r="B9579" t="s">
        <v>32344</v>
      </c>
      <c r="C9579" t="s">
        <v>32447</v>
      </c>
      <c r="D9579" t="s">
        <v>32448</v>
      </c>
      <c r="E9579">
        <v>2</v>
      </c>
      <c r="F9579" t="s">
        <v>788</v>
      </c>
      <c r="G9579" t="s">
        <v>32344</v>
      </c>
      <c r="H9579" t="s">
        <v>32447</v>
      </c>
      <c r="I9579" s="2" t="s">
        <v>32449</v>
      </c>
    </row>
    <row r="9580" spans="1:9">
      <c r="A9580" t="str">
        <f>"0220131 "</f>
        <v xml:space="preserve">0220131 </v>
      </c>
      <c r="B9580" t="s">
        <v>32344</v>
      </c>
      <c r="C9580" t="s">
        <v>32450</v>
      </c>
      <c r="D9580" t="s">
        <v>32451</v>
      </c>
      <c r="E9580">
        <v>2</v>
      </c>
      <c r="F9580" t="s">
        <v>32452</v>
      </c>
      <c r="G9580" t="s">
        <v>32344</v>
      </c>
      <c r="H9580" t="s">
        <v>32450</v>
      </c>
      <c r="I9580" s="2" t="s">
        <v>32449</v>
      </c>
    </row>
    <row r="9581" spans="1:9">
      <c r="A9581" t="str">
        <f>"0220132 "</f>
        <v xml:space="preserve">0220132 </v>
      </c>
      <c r="B9581" t="s">
        <v>32344</v>
      </c>
      <c r="C9581" t="s">
        <v>32453</v>
      </c>
      <c r="D9581" t="s">
        <v>32454</v>
      </c>
      <c r="E9581">
        <v>2</v>
      </c>
      <c r="F9581" t="s">
        <v>17704</v>
      </c>
      <c r="G9581" t="s">
        <v>32344</v>
      </c>
      <c r="H9581" t="s">
        <v>32453</v>
      </c>
      <c r="I9581" s="2" t="s">
        <v>32455</v>
      </c>
    </row>
    <row r="9582" spans="1:9">
      <c r="A9582" t="str">
        <f>"0220195 "</f>
        <v xml:space="preserve">0220195 </v>
      </c>
      <c r="B9582" t="s">
        <v>32344</v>
      </c>
      <c r="C9582" t="s">
        <v>32456</v>
      </c>
      <c r="D9582" t="s">
        <v>32457</v>
      </c>
      <c r="E9582">
        <v>4</v>
      </c>
      <c r="F9582" t="s">
        <v>3649</v>
      </c>
      <c r="G9582" t="s">
        <v>32344</v>
      </c>
      <c r="H9582" t="s">
        <v>32456</v>
      </c>
      <c r="I9582" s="2" t="s">
        <v>32458</v>
      </c>
    </row>
    <row r="9583" spans="1:9">
      <c r="A9583" t="str">
        <f>"0220196 "</f>
        <v xml:space="preserve">0220196 </v>
      </c>
      <c r="B9583" t="s">
        <v>32344</v>
      </c>
      <c r="C9583" t="s">
        <v>32459</v>
      </c>
      <c r="D9583" t="s">
        <v>32460</v>
      </c>
      <c r="E9583" t="s">
        <v>16</v>
      </c>
      <c r="F9583" t="s">
        <v>32427</v>
      </c>
      <c r="G9583" t="s">
        <v>32344</v>
      </c>
      <c r="H9583" t="s">
        <v>32459</v>
      </c>
      <c r="I9583" s="2" t="s">
        <v>32461</v>
      </c>
    </row>
    <row r="9584" spans="1:9">
      <c r="A9584" t="str">
        <f>"0220133 "</f>
        <v xml:space="preserve">0220133 </v>
      </c>
      <c r="B9584" t="s">
        <v>32344</v>
      </c>
      <c r="C9584" t="s">
        <v>32462</v>
      </c>
      <c r="D9584" t="s">
        <v>32463</v>
      </c>
      <c r="E9584" t="s">
        <v>16</v>
      </c>
      <c r="F9584" t="s">
        <v>32464</v>
      </c>
      <c r="G9584" t="s">
        <v>32344</v>
      </c>
      <c r="H9584" t="s">
        <v>32462</v>
      </c>
      <c r="I9584" s="2" t="s">
        <v>32465</v>
      </c>
    </row>
    <row r="9585" spans="1:9">
      <c r="A9585" t="str">
        <f>"0220134 "</f>
        <v xml:space="preserve">0220134 </v>
      </c>
      <c r="B9585" t="s">
        <v>32344</v>
      </c>
      <c r="C9585" t="s">
        <v>32466</v>
      </c>
      <c r="D9585" t="s">
        <v>32467</v>
      </c>
      <c r="E9585">
        <v>5</v>
      </c>
      <c r="F9585" t="s">
        <v>32438</v>
      </c>
      <c r="G9585" t="s">
        <v>32344</v>
      </c>
      <c r="H9585" t="s">
        <v>32466</v>
      </c>
      <c r="I9585" s="2" t="s">
        <v>32468</v>
      </c>
    </row>
    <row r="9586" spans="1:9">
      <c r="A9586" t="str">
        <f>"0220135 "</f>
        <v xml:space="preserve">0220135 </v>
      </c>
      <c r="B9586" t="s">
        <v>32344</v>
      </c>
      <c r="C9586" t="s">
        <v>32469</v>
      </c>
      <c r="D9586" t="s">
        <v>32470</v>
      </c>
      <c r="E9586">
        <v>5</v>
      </c>
      <c r="F9586" t="s">
        <v>32471</v>
      </c>
      <c r="G9586" t="s">
        <v>32344</v>
      </c>
      <c r="H9586" t="s">
        <v>32469</v>
      </c>
      <c r="I9586" s="2" t="s">
        <v>32472</v>
      </c>
    </row>
    <row r="9587" spans="1:9">
      <c r="A9587" t="str">
        <f>"0220197 "</f>
        <v xml:space="preserve">0220197 </v>
      </c>
      <c r="B9587" t="s">
        <v>32344</v>
      </c>
      <c r="C9587" t="s">
        <v>32473</v>
      </c>
      <c r="D9587" t="s">
        <v>32474</v>
      </c>
      <c r="E9587">
        <v>4</v>
      </c>
      <c r="F9587" t="s">
        <v>32475</v>
      </c>
      <c r="G9587" t="s">
        <v>32344</v>
      </c>
      <c r="H9587" t="s">
        <v>32473</v>
      </c>
      <c r="I9587" s="2" t="s">
        <v>32476</v>
      </c>
    </row>
    <row r="9588" spans="1:9">
      <c r="A9588" t="str">
        <f>"0220199 "</f>
        <v xml:space="preserve">0220199 </v>
      </c>
      <c r="B9588" t="s">
        <v>32344</v>
      </c>
      <c r="C9588" t="s">
        <v>32477</v>
      </c>
      <c r="D9588" t="s">
        <v>32478</v>
      </c>
      <c r="E9588" t="s">
        <v>16</v>
      </c>
      <c r="F9588" t="s">
        <v>32351</v>
      </c>
      <c r="G9588" t="s">
        <v>32344</v>
      </c>
      <c r="H9588" t="s">
        <v>32477</v>
      </c>
      <c r="I9588" s="2" t="s">
        <v>32479</v>
      </c>
    </row>
    <row r="9589" spans="1:9">
      <c r="A9589" t="str">
        <f>"0220201 "</f>
        <v xml:space="preserve">0220201 </v>
      </c>
      <c r="B9589" t="s">
        <v>32344</v>
      </c>
      <c r="C9589" t="s">
        <v>32480</v>
      </c>
      <c r="D9589" t="s">
        <v>32481</v>
      </c>
      <c r="E9589">
        <v>2</v>
      </c>
      <c r="F9589" t="s">
        <v>32482</v>
      </c>
      <c r="G9589" t="s">
        <v>32344</v>
      </c>
      <c r="H9589" t="s">
        <v>32480</v>
      </c>
      <c r="I9589" s="2" t="s">
        <v>32483</v>
      </c>
    </row>
    <row r="9590" spans="1:9">
      <c r="A9590" t="str">
        <f>"0220202 "</f>
        <v xml:space="preserve">0220202 </v>
      </c>
      <c r="B9590" t="s">
        <v>32344</v>
      </c>
      <c r="C9590" t="s">
        <v>32484</v>
      </c>
      <c r="D9590" t="s">
        <v>32485</v>
      </c>
      <c r="E9590" t="s">
        <v>16</v>
      </c>
      <c r="F9590" t="s">
        <v>32486</v>
      </c>
      <c r="G9590" t="s">
        <v>32344</v>
      </c>
      <c r="H9590" t="s">
        <v>32484</v>
      </c>
      <c r="I9590" s="2" t="s">
        <v>32487</v>
      </c>
    </row>
    <row r="9591" spans="1:9">
      <c r="A9591" t="str">
        <f>"0220205 "</f>
        <v xml:space="preserve">0220205 </v>
      </c>
      <c r="B9591" t="s">
        <v>32344</v>
      </c>
      <c r="C9591" t="s">
        <v>32488</v>
      </c>
      <c r="D9591" t="s">
        <v>32489</v>
      </c>
      <c r="E9591" t="s">
        <v>16</v>
      </c>
      <c r="F9591" t="s">
        <v>3625</v>
      </c>
      <c r="G9591" t="s">
        <v>32344</v>
      </c>
      <c r="H9591" t="s">
        <v>32488</v>
      </c>
      <c r="I9591" s="2" t="s">
        <v>32490</v>
      </c>
    </row>
    <row r="9592" spans="1:9">
      <c r="A9592" t="str">
        <f>"0220207 "</f>
        <v xml:space="preserve">0220207 </v>
      </c>
      <c r="B9592" t="s">
        <v>32344</v>
      </c>
      <c r="C9592" t="s">
        <v>32491</v>
      </c>
      <c r="D9592" t="s">
        <v>32492</v>
      </c>
      <c r="E9592" t="s">
        <v>16</v>
      </c>
      <c r="F9592" t="s">
        <v>32351</v>
      </c>
      <c r="G9592" t="s">
        <v>32344</v>
      </c>
      <c r="H9592" t="s">
        <v>32491</v>
      </c>
      <c r="I9592" s="2" t="s">
        <v>32493</v>
      </c>
    </row>
    <row r="9593" spans="1:9">
      <c r="A9593" t="str">
        <f>"0220208 "</f>
        <v xml:space="preserve">0220208 </v>
      </c>
      <c r="B9593" t="s">
        <v>32344</v>
      </c>
      <c r="C9593" t="s">
        <v>32494</v>
      </c>
      <c r="D9593" t="s">
        <v>32495</v>
      </c>
      <c r="E9593">
        <v>4</v>
      </c>
      <c r="F9593" t="s">
        <v>32496</v>
      </c>
      <c r="G9593" t="s">
        <v>32344</v>
      </c>
      <c r="H9593" t="s">
        <v>32494</v>
      </c>
      <c r="I9593" s="2" t="s">
        <v>32497</v>
      </c>
    </row>
    <row r="9594" spans="1:9">
      <c r="A9594" t="str">
        <f>"0220209 "</f>
        <v xml:space="preserve">0220209 </v>
      </c>
      <c r="B9594" t="s">
        <v>32344</v>
      </c>
      <c r="C9594" t="s">
        <v>32498</v>
      </c>
      <c r="D9594" t="s">
        <v>32499</v>
      </c>
      <c r="E9594">
        <v>2</v>
      </c>
      <c r="F9594" t="s">
        <v>32500</v>
      </c>
      <c r="G9594" t="s">
        <v>32344</v>
      </c>
      <c r="H9594" t="s">
        <v>32498</v>
      </c>
      <c r="I9594" s="2" t="s">
        <v>32501</v>
      </c>
    </row>
    <row r="9595" spans="1:9">
      <c r="A9595" t="str">
        <f>"0220143 "</f>
        <v xml:space="preserve">0220143 </v>
      </c>
      <c r="B9595" t="s">
        <v>32344</v>
      </c>
      <c r="C9595" t="s">
        <v>32502</v>
      </c>
      <c r="D9595" t="s">
        <v>32503</v>
      </c>
      <c r="E9595">
        <v>2</v>
      </c>
      <c r="F9595" t="s">
        <v>32504</v>
      </c>
      <c r="G9595" t="s">
        <v>32344</v>
      </c>
      <c r="H9595" t="s">
        <v>32502</v>
      </c>
      <c r="I9595" s="2" t="s">
        <v>32505</v>
      </c>
    </row>
    <row r="9596" spans="1:9">
      <c r="A9596" t="str">
        <f>"0220144 "</f>
        <v xml:space="preserve">0220144 </v>
      </c>
      <c r="B9596" t="s">
        <v>32344</v>
      </c>
      <c r="C9596" t="s">
        <v>32506</v>
      </c>
      <c r="D9596" t="s">
        <v>32507</v>
      </c>
      <c r="E9596">
        <v>2</v>
      </c>
      <c r="F9596" t="s">
        <v>17704</v>
      </c>
      <c r="G9596" t="s">
        <v>32344</v>
      </c>
      <c r="H9596" t="s">
        <v>32506</v>
      </c>
    </row>
    <row r="9597" spans="1:9">
      <c r="A9597" t="str">
        <f>"0220214 "</f>
        <v xml:space="preserve">0220214 </v>
      </c>
      <c r="B9597" t="s">
        <v>32344</v>
      </c>
      <c r="C9597" t="s">
        <v>32508</v>
      </c>
      <c r="D9597" t="s">
        <v>32509</v>
      </c>
      <c r="E9597">
        <v>2</v>
      </c>
      <c r="F9597" t="s">
        <v>32375</v>
      </c>
      <c r="G9597" t="s">
        <v>32344</v>
      </c>
      <c r="H9597" t="s">
        <v>32508</v>
      </c>
      <c r="I9597" s="2" t="s">
        <v>32510</v>
      </c>
    </row>
    <row r="9598" spans="1:9">
      <c r="A9598" t="str">
        <f>"0220145 "</f>
        <v xml:space="preserve">0220145 </v>
      </c>
      <c r="B9598" t="s">
        <v>32344</v>
      </c>
      <c r="C9598" t="s">
        <v>32511</v>
      </c>
      <c r="D9598" t="s">
        <v>32512</v>
      </c>
      <c r="E9598">
        <v>2</v>
      </c>
      <c r="F9598" t="s">
        <v>32366</v>
      </c>
      <c r="G9598" t="s">
        <v>32344</v>
      </c>
      <c r="H9598" t="s">
        <v>32511</v>
      </c>
      <c r="I9598" s="2" t="s">
        <v>32513</v>
      </c>
    </row>
    <row r="9599" spans="1:9">
      <c r="A9599" t="str">
        <f>"0220146 "</f>
        <v xml:space="preserve">0220146 </v>
      </c>
      <c r="B9599" t="s">
        <v>32344</v>
      </c>
      <c r="C9599" t="s">
        <v>32514</v>
      </c>
      <c r="D9599" t="s">
        <v>32515</v>
      </c>
      <c r="E9599">
        <v>2</v>
      </c>
      <c r="F9599" t="s">
        <v>32516</v>
      </c>
      <c r="G9599" t="s">
        <v>32344</v>
      </c>
      <c r="H9599" t="s">
        <v>32514</v>
      </c>
    </row>
    <row r="9600" spans="1:9">
      <c r="A9600" t="str">
        <f>"0220215 "</f>
        <v xml:space="preserve">0220215 </v>
      </c>
      <c r="B9600" t="s">
        <v>32344</v>
      </c>
      <c r="C9600" t="s">
        <v>32517</v>
      </c>
      <c r="D9600" t="s">
        <v>32518</v>
      </c>
      <c r="E9600">
        <v>2</v>
      </c>
      <c r="F9600" t="s">
        <v>17704</v>
      </c>
      <c r="G9600" t="s">
        <v>32344</v>
      </c>
      <c r="H9600" t="s">
        <v>32517</v>
      </c>
    </row>
    <row r="9601" spans="1:9">
      <c r="A9601" t="str">
        <f>"0220216 "</f>
        <v xml:space="preserve">0220216 </v>
      </c>
      <c r="B9601" t="s">
        <v>32344</v>
      </c>
      <c r="C9601" t="s">
        <v>32519</v>
      </c>
      <c r="D9601" t="s">
        <v>32520</v>
      </c>
      <c r="E9601" t="s">
        <v>16</v>
      </c>
      <c r="F9601" t="s">
        <v>32521</v>
      </c>
      <c r="G9601" t="s">
        <v>32344</v>
      </c>
      <c r="H9601" t="s">
        <v>32519</v>
      </c>
      <c r="I9601" s="2" t="s">
        <v>32522</v>
      </c>
    </row>
    <row r="9602" spans="1:9">
      <c r="A9602" t="str">
        <f>"0220147 "</f>
        <v xml:space="preserve">0220147 </v>
      </c>
      <c r="B9602" t="s">
        <v>32344</v>
      </c>
      <c r="C9602" t="s">
        <v>32523</v>
      </c>
      <c r="D9602" t="s">
        <v>32524</v>
      </c>
      <c r="E9602">
        <v>3</v>
      </c>
      <c r="F9602" t="s">
        <v>32525</v>
      </c>
      <c r="G9602" t="s">
        <v>32344</v>
      </c>
      <c r="H9602" t="s">
        <v>32523</v>
      </c>
      <c r="I9602" s="2" t="s">
        <v>32526</v>
      </c>
    </row>
    <row r="9603" spans="1:9">
      <c r="A9603" t="str">
        <f>"0220148 "</f>
        <v xml:space="preserve">0220148 </v>
      </c>
      <c r="B9603" t="s">
        <v>32344</v>
      </c>
      <c r="C9603" t="s">
        <v>32527</v>
      </c>
      <c r="D9603" t="s">
        <v>32528</v>
      </c>
      <c r="E9603" t="s">
        <v>16</v>
      </c>
      <c r="F9603" t="s">
        <v>17704</v>
      </c>
      <c r="G9603" t="s">
        <v>32344</v>
      </c>
      <c r="H9603" t="s">
        <v>32527</v>
      </c>
      <c r="I9603" s="2" t="s">
        <v>32529</v>
      </c>
    </row>
    <row r="9604" spans="1:9">
      <c r="A9604" t="str">
        <f>"0220217 "</f>
        <v xml:space="preserve">0220217 </v>
      </c>
      <c r="B9604" t="s">
        <v>32344</v>
      </c>
      <c r="C9604" t="s">
        <v>32530</v>
      </c>
      <c r="D9604" t="s">
        <v>32531</v>
      </c>
      <c r="E9604">
        <v>4</v>
      </c>
      <c r="F9604" t="s">
        <v>32532</v>
      </c>
      <c r="G9604" t="s">
        <v>32344</v>
      </c>
      <c r="H9604" t="s">
        <v>32530</v>
      </c>
      <c r="I9604" s="2" t="s">
        <v>32533</v>
      </c>
    </row>
    <row r="9605" spans="1:9">
      <c r="A9605" t="str">
        <f>"0220218 "</f>
        <v xml:space="preserve">0220218 </v>
      </c>
      <c r="B9605" t="s">
        <v>32344</v>
      </c>
      <c r="C9605" t="s">
        <v>32534</v>
      </c>
      <c r="D9605" t="s">
        <v>32535</v>
      </c>
      <c r="E9605" t="s">
        <v>16</v>
      </c>
      <c r="F9605" t="s">
        <v>32536</v>
      </c>
      <c r="G9605" t="s">
        <v>32344</v>
      </c>
      <c r="H9605" t="s">
        <v>32534</v>
      </c>
      <c r="I9605" s="2" t="s">
        <v>32537</v>
      </c>
    </row>
    <row r="9606" spans="1:9">
      <c r="A9606" t="str">
        <f>"0220149 "</f>
        <v xml:space="preserve">0220149 </v>
      </c>
      <c r="B9606" t="s">
        <v>32344</v>
      </c>
      <c r="C9606" t="s">
        <v>32538</v>
      </c>
      <c r="D9606" t="s">
        <v>32539</v>
      </c>
      <c r="E9606">
        <v>1</v>
      </c>
      <c r="F9606" t="s">
        <v>32540</v>
      </c>
      <c r="G9606" t="s">
        <v>32344</v>
      </c>
      <c r="H9606" t="s">
        <v>32538</v>
      </c>
      <c r="I9606" s="2" t="s">
        <v>32541</v>
      </c>
    </row>
    <row r="9607" spans="1:9">
      <c r="A9607" t="str">
        <f>"0220150 "</f>
        <v xml:space="preserve">0220150 </v>
      </c>
      <c r="B9607" t="s">
        <v>32344</v>
      </c>
      <c r="C9607" t="s">
        <v>32542</v>
      </c>
      <c r="D9607" t="s">
        <v>32543</v>
      </c>
      <c r="E9607">
        <v>2</v>
      </c>
      <c r="F9607" t="s">
        <v>23948</v>
      </c>
      <c r="G9607" t="s">
        <v>32344</v>
      </c>
      <c r="H9607" t="s">
        <v>32542</v>
      </c>
      <c r="I9607" t="s">
        <v>32544</v>
      </c>
    </row>
    <row r="9608" spans="1:9">
      <c r="A9608" t="str">
        <f>"0220219 "</f>
        <v xml:space="preserve">0220219 </v>
      </c>
      <c r="B9608" t="s">
        <v>32344</v>
      </c>
      <c r="C9608" t="s">
        <v>32545</v>
      </c>
      <c r="D9608" t="s">
        <v>32546</v>
      </c>
      <c r="E9608" t="s">
        <v>16</v>
      </c>
      <c r="F9608" t="s">
        <v>32547</v>
      </c>
      <c r="G9608" t="s">
        <v>32344</v>
      </c>
      <c r="H9608" t="s">
        <v>32545</v>
      </c>
      <c r="I9608" t="s">
        <v>32548</v>
      </c>
    </row>
    <row r="9609" spans="1:9">
      <c r="A9609" t="str">
        <f>"0220221 "</f>
        <v xml:space="preserve">0220221 </v>
      </c>
      <c r="B9609" t="s">
        <v>32344</v>
      </c>
      <c r="C9609" t="s">
        <v>32549</v>
      </c>
      <c r="D9609" t="s">
        <v>32550</v>
      </c>
      <c r="E9609" t="s">
        <v>16</v>
      </c>
      <c r="F9609" t="s">
        <v>32532</v>
      </c>
      <c r="G9609" t="s">
        <v>32344</v>
      </c>
      <c r="H9609" t="s">
        <v>32549</v>
      </c>
      <c r="I9609" s="2" t="s">
        <v>32551</v>
      </c>
    </row>
    <row r="9610" spans="1:9">
      <c r="A9610" t="str">
        <f>"0269237 "</f>
        <v xml:space="preserve">0269237 </v>
      </c>
      <c r="B9610" t="s">
        <v>32552</v>
      </c>
      <c r="C9610">
        <v>77804</v>
      </c>
      <c r="D9610" t="s">
        <v>32553</v>
      </c>
      <c r="E9610" t="s">
        <v>16</v>
      </c>
      <c r="F9610" t="s">
        <v>32554</v>
      </c>
      <c r="G9610" t="s">
        <v>32344</v>
      </c>
      <c r="H9610">
        <v>77804</v>
      </c>
      <c r="I9610" s="2" t="s">
        <v>32555</v>
      </c>
    </row>
    <row r="9611" spans="1:9">
      <c r="A9611" t="str">
        <f>"0269238 "</f>
        <v xml:space="preserve">0269238 </v>
      </c>
      <c r="B9611" t="s">
        <v>32552</v>
      </c>
      <c r="C9611">
        <v>77805</v>
      </c>
      <c r="D9611" t="s">
        <v>32556</v>
      </c>
      <c r="E9611" t="s">
        <v>16</v>
      </c>
      <c r="F9611" t="s">
        <v>32557</v>
      </c>
      <c r="G9611" t="s">
        <v>32344</v>
      </c>
      <c r="H9611">
        <v>77805</v>
      </c>
      <c r="I9611" s="2" t="s">
        <v>32558</v>
      </c>
    </row>
    <row r="9612" spans="1:9">
      <c r="A9612" t="str">
        <f>"0269240 "</f>
        <v xml:space="preserve">0269240 </v>
      </c>
      <c r="B9612" t="s">
        <v>32552</v>
      </c>
      <c r="C9612">
        <v>77814</v>
      </c>
      <c r="D9612" t="s">
        <v>32559</v>
      </c>
      <c r="E9612" t="s">
        <v>16</v>
      </c>
      <c r="F9612" t="s">
        <v>32560</v>
      </c>
      <c r="G9612" t="s">
        <v>32344</v>
      </c>
      <c r="H9612">
        <v>77814</v>
      </c>
      <c r="I9612" s="2" t="s">
        <v>32561</v>
      </c>
    </row>
    <row r="9613" spans="1:9">
      <c r="A9613" t="str">
        <f>"0269241 "</f>
        <v xml:space="preserve">0269241 </v>
      </c>
      <c r="B9613" t="s">
        <v>32552</v>
      </c>
      <c r="C9613">
        <v>77815</v>
      </c>
      <c r="D9613" t="s">
        <v>32562</v>
      </c>
      <c r="E9613" t="s">
        <v>16</v>
      </c>
      <c r="F9613" t="s">
        <v>4971</v>
      </c>
      <c r="G9613" t="s">
        <v>32344</v>
      </c>
      <c r="H9613">
        <v>77815</v>
      </c>
      <c r="I9613" s="2" t="s">
        <v>32563</v>
      </c>
    </row>
    <row r="9614" spans="1:9">
      <c r="A9614" t="str">
        <f>"0269253 "</f>
        <v xml:space="preserve">0269253 </v>
      </c>
      <c r="B9614" t="s">
        <v>32552</v>
      </c>
      <c r="C9614">
        <v>77854</v>
      </c>
      <c r="D9614" t="s">
        <v>32564</v>
      </c>
      <c r="E9614" t="s">
        <v>16</v>
      </c>
      <c r="F9614" t="s">
        <v>32565</v>
      </c>
      <c r="G9614" t="s">
        <v>32344</v>
      </c>
      <c r="H9614">
        <v>77854</v>
      </c>
      <c r="I9614" s="2" t="s">
        <v>32566</v>
      </c>
    </row>
    <row r="9615" spans="1:9">
      <c r="A9615" t="str">
        <f>"0269254 "</f>
        <v xml:space="preserve">0269254 </v>
      </c>
      <c r="B9615" t="s">
        <v>32552</v>
      </c>
      <c r="C9615">
        <v>77855</v>
      </c>
      <c r="D9615" t="s">
        <v>32567</v>
      </c>
      <c r="E9615">
        <v>2</v>
      </c>
      <c r="F9615" t="s">
        <v>32568</v>
      </c>
      <c r="G9615" t="s">
        <v>32344</v>
      </c>
      <c r="H9615">
        <v>77855</v>
      </c>
      <c r="I9615" s="2" t="s">
        <v>32566</v>
      </c>
    </row>
    <row r="9616" spans="1:9">
      <c r="A9616" t="str">
        <f>"0269257 "</f>
        <v xml:space="preserve">0269257 </v>
      </c>
      <c r="B9616" t="s">
        <v>32552</v>
      </c>
      <c r="C9616">
        <v>77864</v>
      </c>
      <c r="D9616" t="s">
        <v>32569</v>
      </c>
      <c r="E9616" t="s">
        <v>16</v>
      </c>
      <c r="F9616" t="s">
        <v>19312</v>
      </c>
      <c r="G9616" t="s">
        <v>32344</v>
      </c>
      <c r="H9616">
        <v>77864</v>
      </c>
      <c r="I9616" s="2" t="s">
        <v>32570</v>
      </c>
    </row>
    <row r="9617" spans="1:9">
      <c r="A9617" t="str">
        <f>"0269258 "</f>
        <v xml:space="preserve">0269258 </v>
      </c>
      <c r="B9617" t="s">
        <v>32552</v>
      </c>
      <c r="C9617">
        <v>77865</v>
      </c>
      <c r="D9617" t="s">
        <v>32571</v>
      </c>
      <c r="E9617">
        <v>2</v>
      </c>
      <c r="F9617" t="s">
        <v>32572</v>
      </c>
      <c r="G9617" t="s">
        <v>32344</v>
      </c>
      <c r="H9617">
        <v>77865</v>
      </c>
      <c r="I9617" s="2" t="s">
        <v>32570</v>
      </c>
    </row>
    <row r="9618" spans="1:9">
      <c r="A9618" t="str">
        <f>"0269260 "</f>
        <v xml:space="preserve">0269260 </v>
      </c>
      <c r="B9618" t="s">
        <v>32552</v>
      </c>
      <c r="C9618">
        <v>77874</v>
      </c>
      <c r="D9618" t="s">
        <v>32573</v>
      </c>
      <c r="E9618" t="s">
        <v>16</v>
      </c>
      <c r="F9618" t="s">
        <v>32574</v>
      </c>
      <c r="G9618" t="s">
        <v>32344</v>
      </c>
      <c r="H9618">
        <v>77874</v>
      </c>
      <c r="I9618" s="2" t="s">
        <v>32570</v>
      </c>
    </row>
    <row r="9619" spans="1:9">
      <c r="A9619" t="str">
        <f>"0269222 "</f>
        <v xml:space="preserve">0269222 </v>
      </c>
      <c r="B9619" t="s">
        <v>32552</v>
      </c>
      <c r="C9619">
        <v>77904</v>
      </c>
      <c r="D9619" t="s">
        <v>32575</v>
      </c>
      <c r="E9619" t="s">
        <v>16</v>
      </c>
      <c r="F9619" t="s">
        <v>32576</v>
      </c>
      <c r="G9619" t="s">
        <v>32344</v>
      </c>
      <c r="H9619">
        <v>77904</v>
      </c>
      <c r="I9619" s="2" t="s">
        <v>32577</v>
      </c>
    </row>
    <row r="9620" spans="1:9">
      <c r="A9620" t="str">
        <f>"0269223 "</f>
        <v xml:space="preserve">0269223 </v>
      </c>
      <c r="B9620" t="s">
        <v>32552</v>
      </c>
      <c r="C9620">
        <v>77905</v>
      </c>
      <c r="D9620" t="s">
        <v>32578</v>
      </c>
      <c r="E9620">
        <v>5</v>
      </c>
      <c r="F9620" t="s">
        <v>32579</v>
      </c>
      <c r="G9620" t="s">
        <v>32344</v>
      </c>
      <c r="H9620">
        <v>77905</v>
      </c>
      <c r="I9620" s="2" t="s">
        <v>32577</v>
      </c>
    </row>
    <row r="9621" spans="1:9">
      <c r="A9621" t="str">
        <f>"0269225 "</f>
        <v xml:space="preserve">0269225 </v>
      </c>
      <c r="B9621" t="s">
        <v>32552</v>
      </c>
      <c r="C9621">
        <v>77914</v>
      </c>
      <c r="D9621" t="s">
        <v>32580</v>
      </c>
      <c r="E9621" t="s">
        <v>16</v>
      </c>
      <c r="F9621" t="s">
        <v>12348</v>
      </c>
      <c r="G9621" t="s">
        <v>32344</v>
      </c>
      <c r="H9621">
        <v>77914</v>
      </c>
      <c r="I9621" s="2" t="s">
        <v>32581</v>
      </c>
    </row>
    <row r="9622" spans="1:9">
      <c r="A9622" t="str">
        <f>"0269226 "</f>
        <v xml:space="preserve">0269226 </v>
      </c>
      <c r="B9622" t="s">
        <v>32552</v>
      </c>
      <c r="C9622">
        <v>77915</v>
      </c>
      <c r="D9622" t="s">
        <v>32582</v>
      </c>
      <c r="E9622" t="s">
        <v>16</v>
      </c>
      <c r="F9622" t="s">
        <v>32583</v>
      </c>
      <c r="G9622" t="s">
        <v>32344</v>
      </c>
      <c r="H9622">
        <v>77915</v>
      </c>
      <c r="I9622" s="2" t="s">
        <v>32581</v>
      </c>
    </row>
    <row r="9623" spans="1:9">
      <c r="A9623" t="str">
        <f>"0269228 "</f>
        <v xml:space="preserve">0269228 </v>
      </c>
      <c r="B9623" t="s">
        <v>32552</v>
      </c>
      <c r="C9623">
        <v>77924</v>
      </c>
      <c r="D9623" t="s">
        <v>32584</v>
      </c>
      <c r="E9623">
        <v>5</v>
      </c>
      <c r="F9623" t="s">
        <v>32585</v>
      </c>
      <c r="G9623" t="s">
        <v>32344</v>
      </c>
      <c r="H9623">
        <v>77924</v>
      </c>
      <c r="I9623" s="2" t="s">
        <v>32586</v>
      </c>
    </row>
    <row r="9624" spans="1:9">
      <c r="A9624" t="str">
        <f>"0269229 "</f>
        <v xml:space="preserve">0269229 </v>
      </c>
      <c r="B9624" t="s">
        <v>32552</v>
      </c>
      <c r="C9624">
        <v>77925</v>
      </c>
      <c r="D9624" t="s">
        <v>32587</v>
      </c>
      <c r="E9624" t="s">
        <v>16</v>
      </c>
      <c r="F9624" t="s">
        <v>32588</v>
      </c>
      <c r="G9624" t="s">
        <v>32344</v>
      </c>
      <c r="H9624">
        <v>77925</v>
      </c>
      <c r="I9624" s="2" t="s">
        <v>32586</v>
      </c>
    </row>
    <row r="9625" spans="1:9">
      <c r="A9625" t="str">
        <f>"0269231 "</f>
        <v xml:space="preserve">0269231 </v>
      </c>
      <c r="B9625" t="s">
        <v>32552</v>
      </c>
      <c r="C9625">
        <v>77934</v>
      </c>
      <c r="D9625" t="s">
        <v>32589</v>
      </c>
      <c r="E9625">
        <v>4</v>
      </c>
      <c r="F9625" t="s">
        <v>32590</v>
      </c>
      <c r="G9625" t="s">
        <v>32344</v>
      </c>
      <c r="H9625">
        <v>77934</v>
      </c>
      <c r="I9625" s="2" t="s">
        <v>32591</v>
      </c>
    </row>
    <row r="9626" spans="1:9">
      <c r="A9626" t="str">
        <f>"0269233 "</f>
        <v xml:space="preserve">0269233 </v>
      </c>
      <c r="B9626" t="s">
        <v>32552</v>
      </c>
      <c r="C9626">
        <v>77935</v>
      </c>
      <c r="D9626" t="s">
        <v>32592</v>
      </c>
      <c r="E9626">
        <v>5</v>
      </c>
      <c r="F9626" t="s">
        <v>32593</v>
      </c>
      <c r="G9626" t="s">
        <v>32344</v>
      </c>
      <c r="H9626">
        <v>77935</v>
      </c>
      <c r="I9626" s="2" t="s">
        <v>32591</v>
      </c>
    </row>
    <row r="9627" spans="1:9">
      <c r="A9627" t="str">
        <f>"0269232 "</f>
        <v xml:space="preserve">0269232 </v>
      </c>
      <c r="B9627" t="s">
        <v>32552</v>
      </c>
      <c r="C9627">
        <v>77936</v>
      </c>
      <c r="D9627" t="s">
        <v>32594</v>
      </c>
      <c r="E9627">
        <v>5</v>
      </c>
      <c r="F9627" t="s">
        <v>32595</v>
      </c>
      <c r="G9627" t="s">
        <v>32344</v>
      </c>
      <c r="H9627">
        <v>77936</v>
      </c>
      <c r="I9627" s="2" t="s">
        <v>32591</v>
      </c>
    </row>
    <row r="9628" spans="1:9">
      <c r="A9628" t="str">
        <f>"0269230 "</f>
        <v xml:space="preserve">0269230 </v>
      </c>
      <c r="B9628" t="s">
        <v>32552</v>
      </c>
      <c r="C9628">
        <v>77955</v>
      </c>
      <c r="D9628" t="s">
        <v>32596</v>
      </c>
      <c r="E9628">
        <v>2</v>
      </c>
      <c r="F9628" t="s">
        <v>32597</v>
      </c>
      <c r="G9628" t="s">
        <v>32344</v>
      </c>
      <c r="H9628">
        <v>77955</v>
      </c>
      <c r="I9628" s="2" t="s">
        <v>32598</v>
      </c>
    </row>
    <row r="9629" spans="1:9">
      <c r="A9629" t="str">
        <f>"0269268 "</f>
        <v xml:space="preserve">0269268 </v>
      </c>
      <c r="B9629" t="s">
        <v>32552</v>
      </c>
      <c r="C9629">
        <v>77964</v>
      </c>
      <c r="D9629" t="s">
        <v>32599</v>
      </c>
      <c r="E9629" t="s">
        <v>16</v>
      </c>
      <c r="F9629" t="s">
        <v>32600</v>
      </c>
      <c r="G9629" t="s">
        <v>32344</v>
      </c>
      <c r="H9629">
        <v>77964</v>
      </c>
      <c r="I9629" s="2" t="s">
        <v>32601</v>
      </c>
    </row>
    <row r="9630" spans="1:9">
      <c r="A9630" t="str">
        <f>"0269235 "</f>
        <v xml:space="preserve">0269235 </v>
      </c>
      <c r="B9630" t="s">
        <v>32552</v>
      </c>
      <c r="C9630">
        <v>77974</v>
      </c>
      <c r="D9630" t="s">
        <v>32602</v>
      </c>
      <c r="E9630">
        <v>2</v>
      </c>
      <c r="F9630" t="s">
        <v>32603</v>
      </c>
      <c r="G9630" t="s">
        <v>32344</v>
      </c>
      <c r="H9630">
        <v>77974</v>
      </c>
      <c r="I9630" s="2" t="s">
        <v>32604</v>
      </c>
    </row>
    <row r="9631" spans="1:9">
      <c r="A9631" t="str">
        <f>"0269236 "</f>
        <v xml:space="preserve">0269236 </v>
      </c>
      <c r="B9631" t="s">
        <v>32552</v>
      </c>
      <c r="C9631">
        <v>77976</v>
      </c>
      <c r="D9631" t="s">
        <v>32605</v>
      </c>
      <c r="E9631">
        <v>2</v>
      </c>
      <c r="F9631" t="s">
        <v>32606</v>
      </c>
      <c r="G9631" t="s">
        <v>32344</v>
      </c>
      <c r="H9631">
        <v>77976</v>
      </c>
      <c r="I9631" s="2" t="s">
        <v>32607</v>
      </c>
    </row>
    <row r="9632" spans="1:9">
      <c r="A9632" t="str">
        <f>"0269269 "</f>
        <v xml:space="preserve">0269269 </v>
      </c>
      <c r="B9632" t="s">
        <v>32552</v>
      </c>
      <c r="C9632">
        <v>77994</v>
      </c>
      <c r="D9632" t="s">
        <v>32608</v>
      </c>
      <c r="E9632" t="s">
        <v>16</v>
      </c>
      <c r="F9632" t="s">
        <v>32609</v>
      </c>
      <c r="G9632" t="s">
        <v>32344</v>
      </c>
      <c r="H9632">
        <v>77994</v>
      </c>
      <c r="I9632" s="2" t="s">
        <v>32610</v>
      </c>
    </row>
    <row r="9633" spans="1:8">
      <c r="A9633" t="str">
        <f>"0218951 "</f>
        <v xml:space="preserve">0218951 </v>
      </c>
      <c r="B9633" t="s">
        <v>32611</v>
      </c>
      <c r="C9633" t="s">
        <v>32612</v>
      </c>
      <c r="D9633" t="s">
        <v>32613</v>
      </c>
      <c r="E9633" t="s">
        <v>16</v>
      </c>
      <c r="F9633" t="s">
        <v>645</v>
      </c>
      <c r="G9633" t="s">
        <v>32614</v>
      </c>
      <c r="H9633" t="s">
        <v>32612</v>
      </c>
    </row>
    <row r="9634" spans="1:8">
      <c r="A9634" t="str">
        <f>"0218952 "</f>
        <v xml:space="preserve">0218952 </v>
      </c>
      <c r="B9634" t="s">
        <v>32611</v>
      </c>
      <c r="C9634" t="s">
        <v>32615</v>
      </c>
      <c r="D9634" t="s">
        <v>32616</v>
      </c>
      <c r="E9634" t="s">
        <v>16</v>
      </c>
      <c r="F9634" t="s">
        <v>32617</v>
      </c>
      <c r="G9634" t="s">
        <v>32614</v>
      </c>
      <c r="H9634" t="s">
        <v>32615</v>
      </c>
    </row>
    <row r="9635" spans="1:8">
      <c r="A9635" t="str">
        <f>"0218953 "</f>
        <v xml:space="preserve">0218953 </v>
      </c>
      <c r="B9635" t="s">
        <v>32611</v>
      </c>
      <c r="C9635" t="s">
        <v>32618</v>
      </c>
      <c r="D9635" t="s">
        <v>32619</v>
      </c>
      <c r="E9635">
        <v>2</v>
      </c>
      <c r="F9635" t="s">
        <v>32617</v>
      </c>
      <c r="G9635" t="s">
        <v>32614</v>
      </c>
      <c r="H9635" t="s">
        <v>32618</v>
      </c>
    </row>
    <row r="9636" spans="1:8">
      <c r="A9636" t="str">
        <f>"0218956 "</f>
        <v xml:space="preserve">0218956 </v>
      </c>
      <c r="B9636" t="s">
        <v>32611</v>
      </c>
      <c r="C9636" t="s">
        <v>32620</v>
      </c>
      <c r="D9636" t="s">
        <v>32621</v>
      </c>
      <c r="E9636" t="s">
        <v>16</v>
      </c>
      <c r="F9636" t="s">
        <v>15053</v>
      </c>
      <c r="G9636" t="s">
        <v>32614</v>
      </c>
      <c r="H9636" t="s">
        <v>32620</v>
      </c>
    </row>
    <row r="9637" spans="1:8">
      <c r="A9637" t="str">
        <f>"0218955 "</f>
        <v xml:space="preserve">0218955 </v>
      </c>
      <c r="B9637" t="s">
        <v>32611</v>
      </c>
      <c r="C9637" t="s">
        <v>32622</v>
      </c>
      <c r="D9637" t="s">
        <v>32623</v>
      </c>
      <c r="E9637" t="s">
        <v>16</v>
      </c>
      <c r="F9637" t="s">
        <v>32624</v>
      </c>
      <c r="G9637" t="s">
        <v>32614</v>
      </c>
      <c r="H9637" t="s">
        <v>32622</v>
      </c>
    </row>
    <row r="9638" spans="1:8">
      <c r="A9638" t="str">
        <f>"0218950 "</f>
        <v xml:space="preserve">0218950 </v>
      </c>
      <c r="B9638" t="s">
        <v>32611</v>
      </c>
      <c r="C9638" t="s">
        <v>32625</v>
      </c>
      <c r="D9638" t="s">
        <v>32626</v>
      </c>
      <c r="E9638" t="s">
        <v>16</v>
      </c>
      <c r="F9638" t="s">
        <v>32627</v>
      </c>
      <c r="G9638" t="s">
        <v>32614</v>
      </c>
      <c r="H9638" t="s">
        <v>32625</v>
      </c>
    </row>
    <row r="9639" spans="1:8">
      <c r="A9639" t="str">
        <f>"0218949 "</f>
        <v xml:space="preserve">0218949 </v>
      </c>
      <c r="B9639" t="s">
        <v>32611</v>
      </c>
      <c r="C9639" t="s">
        <v>32628</v>
      </c>
      <c r="D9639" t="s">
        <v>32629</v>
      </c>
      <c r="E9639" t="s">
        <v>16</v>
      </c>
      <c r="F9639" t="s">
        <v>32630</v>
      </c>
      <c r="G9639" t="s">
        <v>32614</v>
      </c>
      <c r="H9639" t="s">
        <v>32628</v>
      </c>
    </row>
    <row r="9640" spans="1:8">
      <c r="A9640" t="str">
        <f>"0218960 "</f>
        <v xml:space="preserve">0218960 </v>
      </c>
      <c r="B9640" t="s">
        <v>32611</v>
      </c>
      <c r="C9640" t="s">
        <v>32631</v>
      </c>
      <c r="D9640" t="s">
        <v>32632</v>
      </c>
      <c r="E9640" t="s">
        <v>16</v>
      </c>
      <c r="F9640" t="s">
        <v>32633</v>
      </c>
      <c r="G9640" t="s">
        <v>32614</v>
      </c>
      <c r="H9640" t="s">
        <v>32631</v>
      </c>
    </row>
    <row r="9641" spans="1:8">
      <c r="A9641" t="str">
        <f>"0218959 "</f>
        <v xml:space="preserve">0218959 </v>
      </c>
      <c r="B9641" t="s">
        <v>32611</v>
      </c>
      <c r="C9641" t="s">
        <v>32634</v>
      </c>
      <c r="D9641" t="s">
        <v>32635</v>
      </c>
      <c r="E9641" t="s">
        <v>16</v>
      </c>
      <c r="F9641" t="s">
        <v>32636</v>
      </c>
      <c r="G9641" t="s">
        <v>32614</v>
      </c>
      <c r="H9641" t="s">
        <v>32634</v>
      </c>
    </row>
    <row r="9642" spans="1:8">
      <c r="A9642" t="str">
        <f>"0218946 "</f>
        <v xml:space="preserve">0218946 </v>
      </c>
      <c r="B9642" t="s">
        <v>32611</v>
      </c>
      <c r="C9642" t="s">
        <v>32637</v>
      </c>
      <c r="D9642" t="s">
        <v>32638</v>
      </c>
      <c r="E9642" t="s">
        <v>16</v>
      </c>
      <c r="F9642" t="s">
        <v>32639</v>
      </c>
      <c r="G9642" t="s">
        <v>32614</v>
      </c>
      <c r="H9642" t="s">
        <v>32637</v>
      </c>
    </row>
    <row r="9643" spans="1:8">
      <c r="A9643" t="str">
        <f>"0218947 "</f>
        <v xml:space="preserve">0218947 </v>
      </c>
      <c r="B9643" t="s">
        <v>32611</v>
      </c>
      <c r="C9643" t="s">
        <v>32640</v>
      </c>
      <c r="D9643" t="s">
        <v>32641</v>
      </c>
      <c r="E9643" t="s">
        <v>16</v>
      </c>
      <c r="F9643" t="s">
        <v>32642</v>
      </c>
      <c r="G9643" t="s">
        <v>32614</v>
      </c>
      <c r="H9643" t="s">
        <v>32640</v>
      </c>
    </row>
    <row r="9644" spans="1:8">
      <c r="A9644" t="str">
        <f>"0218945 "</f>
        <v xml:space="preserve">0218945 </v>
      </c>
      <c r="B9644" t="s">
        <v>32611</v>
      </c>
      <c r="C9644" t="s">
        <v>32643</v>
      </c>
      <c r="D9644" t="s">
        <v>32644</v>
      </c>
      <c r="E9644" t="s">
        <v>16</v>
      </c>
      <c r="F9644" t="s">
        <v>32645</v>
      </c>
      <c r="G9644" t="s">
        <v>32614</v>
      </c>
      <c r="H9644" t="s">
        <v>32643</v>
      </c>
    </row>
    <row r="9645" spans="1:8">
      <c r="A9645" t="str">
        <f>"0218961 "</f>
        <v xml:space="preserve">0218961 </v>
      </c>
      <c r="B9645" t="s">
        <v>32611</v>
      </c>
      <c r="C9645" t="s">
        <v>32646</v>
      </c>
      <c r="D9645" t="s">
        <v>32647</v>
      </c>
      <c r="E9645" t="s">
        <v>16</v>
      </c>
      <c r="F9645" t="s">
        <v>32648</v>
      </c>
      <c r="G9645" t="s">
        <v>32614</v>
      </c>
      <c r="H9645" t="s">
        <v>32646</v>
      </c>
    </row>
    <row r="9646" spans="1:8">
      <c r="A9646" t="str">
        <f>"0218944 "</f>
        <v xml:space="preserve">0218944 </v>
      </c>
      <c r="B9646" t="s">
        <v>32611</v>
      </c>
      <c r="C9646" t="s">
        <v>32649</v>
      </c>
      <c r="D9646" t="s">
        <v>32650</v>
      </c>
      <c r="E9646" t="s">
        <v>16</v>
      </c>
      <c r="F9646" t="s">
        <v>32651</v>
      </c>
      <c r="G9646" t="s">
        <v>32614</v>
      </c>
      <c r="H9646" t="s">
        <v>32649</v>
      </c>
    </row>
    <row r="9647" spans="1:8">
      <c r="A9647" t="str">
        <f>"0218226 "</f>
        <v xml:space="preserve">0218226 </v>
      </c>
      <c r="B9647" t="s">
        <v>32652</v>
      </c>
      <c r="C9647" t="s">
        <v>32653</v>
      </c>
      <c r="D9647" t="s">
        <v>32654</v>
      </c>
      <c r="E9647" t="s">
        <v>16</v>
      </c>
      <c r="F9647" t="s">
        <v>32655</v>
      </c>
      <c r="G9647" t="s">
        <v>32656</v>
      </c>
      <c r="H9647" t="s">
        <v>32653</v>
      </c>
    </row>
    <row r="9648" spans="1:8">
      <c r="A9648" t="str">
        <f>"0218232 "</f>
        <v xml:space="preserve">0218232 </v>
      </c>
      <c r="B9648" t="s">
        <v>32652</v>
      </c>
      <c r="C9648" t="s">
        <v>32657</v>
      </c>
      <c r="D9648" t="s">
        <v>32658</v>
      </c>
      <c r="E9648" t="s">
        <v>16</v>
      </c>
      <c r="F9648" t="s">
        <v>648</v>
      </c>
      <c r="G9648" t="s">
        <v>32656</v>
      </c>
      <c r="H9648" t="s">
        <v>32657</v>
      </c>
    </row>
    <row r="9649" spans="1:8">
      <c r="A9649" t="str">
        <f>"0218230 "</f>
        <v xml:space="preserve">0218230 </v>
      </c>
      <c r="B9649" t="s">
        <v>32652</v>
      </c>
      <c r="C9649" t="s">
        <v>32659</v>
      </c>
      <c r="D9649" t="s">
        <v>32660</v>
      </c>
      <c r="E9649" t="s">
        <v>16</v>
      </c>
      <c r="F9649" t="s">
        <v>32661</v>
      </c>
      <c r="G9649" t="s">
        <v>32656</v>
      </c>
      <c r="H9649" t="s">
        <v>32659</v>
      </c>
    </row>
    <row r="9650" spans="1:8">
      <c r="A9650" t="str">
        <f>"0218231 "</f>
        <v xml:space="preserve">0218231 </v>
      </c>
      <c r="B9650" t="s">
        <v>32652</v>
      </c>
      <c r="C9650" t="s">
        <v>32662</v>
      </c>
      <c r="D9650" t="s">
        <v>32663</v>
      </c>
      <c r="E9650" t="s">
        <v>16</v>
      </c>
      <c r="F9650" t="s">
        <v>5606</v>
      </c>
      <c r="G9650" t="s">
        <v>32656</v>
      </c>
      <c r="H9650" t="s">
        <v>32662</v>
      </c>
    </row>
    <row r="9651" spans="1:8">
      <c r="A9651" t="str">
        <f>"0269346 "</f>
        <v xml:space="preserve">0269346 </v>
      </c>
      <c r="B9651" t="s">
        <v>32652</v>
      </c>
      <c r="C9651" t="s">
        <v>32664</v>
      </c>
      <c r="D9651" t="s">
        <v>32665</v>
      </c>
      <c r="E9651" t="s">
        <v>16</v>
      </c>
      <c r="F9651" t="s">
        <v>32655</v>
      </c>
      <c r="G9651" t="s">
        <v>32656</v>
      </c>
      <c r="H9651" t="s">
        <v>32664</v>
      </c>
    </row>
    <row r="9652" spans="1:8">
      <c r="A9652" t="str">
        <f>"0269347 "</f>
        <v xml:space="preserve">0269347 </v>
      </c>
      <c r="B9652" t="s">
        <v>32652</v>
      </c>
      <c r="C9652" t="s">
        <v>32666</v>
      </c>
      <c r="D9652" t="s">
        <v>32667</v>
      </c>
      <c r="E9652" t="s">
        <v>16</v>
      </c>
      <c r="F9652" t="s">
        <v>32668</v>
      </c>
      <c r="G9652" t="s">
        <v>32656</v>
      </c>
      <c r="H9652" t="s">
        <v>32666</v>
      </c>
    </row>
    <row r="9653" spans="1:8">
      <c r="A9653" t="str">
        <f>"0218233 "</f>
        <v xml:space="preserve">0218233 </v>
      </c>
      <c r="B9653" t="s">
        <v>32652</v>
      </c>
      <c r="C9653" t="s">
        <v>32669</v>
      </c>
      <c r="D9653" t="s">
        <v>32670</v>
      </c>
      <c r="E9653" t="s">
        <v>16</v>
      </c>
      <c r="F9653" t="s">
        <v>32617</v>
      </c>
      <c r="G9653" t="s">
        <v>32656</v>
      </c>
      <c r="H9653" t="s">
        <v>32669</v>
      </c>
    </row>
    <row r="9654" spans="1:8">
      <c r="A9654" t="str">
        <f>"0218236 "</f>
        <v xml:space="preserve">0218236 </v>
      </c>
      <c r="B9654" t="s">
        <v>32652</v>
      </c>
      <c r="C9654" t="s">
        <v>32671</v>
      </c>
      <c r="D9654" t="s">
        <v>32672</v>
      </c>
      <c r="E9654" t="s">
        <v>16</v>
      </c>
      <c r="F9654" t="s">
        <v>32673</v>
      </c>
      <c r="G9654" t="s">
        <v>32656</v>
      </c>
      <c r="H9654" t="s">
        <v>32671</v>
      </c>
    </row>
    <row r="9655" spans="1:8">
      <c r="A9655" t="str">
        <f>"0218294 "</f>
        <v xml:space="preserve">0218294 </v>
      </c>
      <c r="B9655" t="s">
        <v>32652</v>
      </c>
      <c r="C9655" t="s">
        <v>32674</v>
      </c>
      <c r="D9655" t="s">
        <v>32675</v>
      </c>
      <c r="E9655" t="s">
        <v>16</v>
      </c>
      <c r="F9655" t="s">
        <v>32676</v>
      </c>
      <c r="G9655" t="s">
        <v>32656</v>
      </c>
      <c r="H9655" t="s">
        <v>32674</v>
      </c>
    </row>
    <row r="9656" spans="1:8">
      <c r="A9656" t="str">
        <f>"0218238 "</f>
        <v xml:space="preserve">0218238 </v>
      </c>
      <c r="B9656" t="s">
        <v>32652</v>
      </c>
      <c r="C9656" t="s">
        <v>32677</v>
      </c>
      <c r="D9656" t="s">
        <v>32678</v>
      </c>
      <c r="E9656" t="s">
        <v>16</v>
      </c>
      <c r="F9656" t="s">
        <v>28247</v>
      </c>
      <c r="G9656" t="s">
        <v>32656</v>
      </c>
      <c r="H9656" t="s">
        <v>32677</v>
      </c>
    </row>
    <row r="9657" spans="1:8">
      <c r="A9657" t="str">
        <f>"0218239 "</f>
        <v xml:space="preserve">0218239 </v>
      </c>
      <c r="B9657" t="s">
        <v>32652</v>
      </c>
      <c r="C9657" t="s">
        <v>32679</v>
      </c>
      <c r="D9657" t="s">
        <v>32680</v>
      </c>
      <c r="E9657" t="s">
        <v>16</v>
      </c>
      <c r="F9657" t="s">
        <v>2911</v>
      </c>
      <c r="G9657" t="s">
        <v>32656</v>
      </c>
      <c r="H9657" t="s">
        <v>32679</v>
      </c>
    </row>
    <row r="9658" spans="1:8">
      <c r="A9658" t="str">
        <f>"0218241 "</f>
        <v xml:space="preserve">0218241 </v>
      </c>
      <c r="B9658" t="s">
        <v>32652</v>
      </c>
      <c r="C9658" t="s">
        <v>32681</v>
      </c>
      <c r="D9658" t="s">
        <v>32682</v>
      </c>
      <c r="E9658" t="s">
        <v>16</v>
      </c>
      <c r="F9658" t="s">
        <v>32683</v>
      </c>
      <c r="G9658" t="s">
        <v>32656</v>
      </c>
      <c r="H9658" t="s">
        <v>32681</v>
      </c>
    </row>
    <row r="9659" spans="1:8">
      <c r="A9659" t="str">
        <f>"0218242 "</f>
        <v xml:space="preserve">0218242 </v>
      </c>
      <c r="B9659" t="s">
        <v>32652</v>
      </c>
      <c r="C9659" t="s">
        <v>32684</v>
      </c>
      <c r="D9659" t="s">
        <v>32685</v>
      </c>
      <c r="E9659" t="s">
        <v>16</v>
      </c>
      <c r="F9659" t="s">
        <v>32686</v>
      </c>
      <c r="G9659" t="s">
        <v>32656</v>
      </c>
      <c r="H9659" t="s">
        <v>32684</v>
      </c>
    </row>
    <row r="9660" spans="1:8">
      <c r="A9660" t="str">
        <f>"0218243 "</f>
        <v xml:space="preserve">0218243 </v>
      </c>
      <c r="B9660" t="s">
        <v>32652</v>
      </c>
      <c r="C9660" t="s">
        <v>32687</v>
      </c>
      <c r="D9660" t="s">
        <v>32688</v>
      </c>
      <c r="E9660" t="s">
        <v>16</v>
      </c>
      <c r="F9660" t="s">
        <v>28263</v>
      </c>
      <c r="G9660" t="s">
        <v>32656</v>
      </c>
      <c r="H9660" t="s">
        <v>32687</v>
      </c>
    </row>
    <row r="9661" spans="1:8">
      <c r="A9661" t="str">
        <f>"0218244 "</f>
        <v xml:space="preserve">0218244 </v>
      </c>
      <c r="B9661" t="s">
        <v>32652</v>
      </c>
      <c r="C9661" t="s">
        <v>32689</v>
      </c>
      <c r="D9661" t="s">
        <v>32690</v>
      </c>
      <c r="E9661" t="s">
        <v>16</v>
      </c>
      <c r="F9661" t="s">
        <v>32691</v>
      </c>
      <c r="G9661" t="s">
        <v>32656</v>
      </c>
      <c r="H9661" t="s">
        <v>32689</v>
      </c>
    </row>
    <row r="9662" spans="1:8">
      <c r="A9662" t="str">
        <f>"0269348 "</f>
        <v xml:space="preserve">0269348 </v>
      </c>
      <c r="B9662" t="s">
        <v>32652</v>
      </c>
      <c r="C9662" t="s">
        <v>32692</v>
      </c>
      <c r="D9662" t="s">
        <v>32693</v>
      </c>
      <c r="E9662" t="s">
        <v>16</v>
      </c>
      <c r="F9662" t="s">
        <v>28247</v>
      </c>
      <c r="G9662" t="s">
        <v>32656</v>
      </c>
      <c r="H9662" t="s">
        <v>32692</v>
      </c>
    </row>
    <row r="9663" spans="1:8">
      <c r="A9663" t="str">
        <f>"0269349 "</f>
        <v xml:space="preserve">0269349 </v>
      </c>
      <c r="B9663" t="s">
        <v>32652</v>
      </c>
      <c r="C9663" t="s">
        <v>32694</v>
      </c>
      <c r="D9663" t="s">
        <v>32695</v>
      </c>
      <c r="E9663" t="s">
        <v>16</v>
      </c>
      <c r="F9663" t="s">
        <v>2911</v>
      </c>
      <c r="G9663" t="s">
        <v>32656</v>
      </c>
      <c r="H9663" t="s">
        <v>32694</v>
      </c>
    </row>
    <row r="9664" spans="1:8">
      <c r="A9664" t="str">
        <f>"0219968 "</f>
        <v xml:space="preserve">0219968 </v>
      </c>
      <c r="B9664" t="s">
        <v>32652</v>
      </c>
      <c r="C9664" t="s">
        <v>32696</v>
      </c>
      <c r="D9664" t="s">
        <v>32697</v>
      </c>
      <c r="E9664" t="s">
        <v>16</v>
      </c>
      <c r="F9664" t="s">
        <v>32698</v>
      </c>
      <c r="G9664" t="s">
        <v>32656</v>
      </c>
      <c r="H9664" t="s">
        <v>32696</v>
      </c>
    </row>
    <row r="9665" spans="1:8">
      <c r="A9665" t="str">
        <f>"0218250 "</f>
        <v xml:space="preserve">0218250 </v>
      </c>
      <c r="B9665" t="s">
        <v>32652</v>
      </c>
      <c r="C9665" t="s">
        <v>32699</v>
      </c>
      <c r="D9665" t="s">
        <v>32700</v>
      </c>
      <c r="E9665" t="s">
        <v>16</v>
      </c>
      <c r="F9665" t="s">
        <v>19796</v>
      </c>
      <c r="G9665" t="s">
        <v>32656</v>
      </c>
      <c r="H9665" t="s">
        <v>32699</v>
      </c>
    </row>
    <row r="9666" spans="1:8">
      <c r="A9666" t="str">
        <f>"0218253 "</f>
        <v xml:space="preserve">0218253 </v>
      </c>
      <c r="B9666" t="s">
        <v>32652</v>
      </c>
      <c r="C9666" t="s">
        <v>32701</v>
      </c>
      <c r="D9666" t="s">
        <v>32702</v>
      </c>
      <c r="E9666" t="s">
        <v>16</v>
      </c>
      <c r="F9666" t="s">
        <v>32703</v>
      </c>
      <c r="G9666" t="s">
        <v>32656</v>
      </c>
      <c r="H9666" t="s">
        <v>32701</v>
      </c>
    </row>
    <row r="9667" spans="1:8">
      <c r="A9667" t="str">
        <f>"0269342 "</f>
        <v xml:space="preserve">0269342 </v>
      </c>
      <c r="B9667" t="s">
        <v>32652</v>
      </c>
      <c r="C9667" t="s">
        <v>32704</v>
      </c>
      <c r="D9667" t="s">
        <v>32705</v>
      </c>
      <c r="E9667" t="s">
        <v>16</v>
      </c>
      <c r="F9667" t="s">
        <v>32706</v>
      </c>
      <c r="G9667" t="s">
        <v>32656</v>
      </c>
      <c r="H9667" t="s">
        <v>32704</v>
      </c>
    </row>
    <row r="9668" spans="1:8">
      <c r="A9668" t="str">
        <f>"0269343 "</f>
        <v xml:space="preserve">0269343 </v>
      </c>
      <c r="B9668" t="s">
        <v>32652</v>
      </c>
      <c r="C9668" t="s">
        <v>32707</v>
      </c>
      <c r="D9668" t="s">
        <v>32708</v>
      </c>
      <c r="E9668" t="s">
        <v>16</v>
      </c>
      <c r="F9668" t="s">
        <v>32709</v>
      </c>
      <c r="G9668" t="s">
        <v>32656</v>
      </c>
      <c r="H9668" t="s">
        <v>32707</v>
      </c>
    </row>
    <row r="9669" spans="1:8">
      <c r="A9669" t="str">
        <f>"0218258 "</f>
        <v xml:space="preserve">0218258 </v>
      </c>
      <c r="B9669" t="s">
        <v>32652</v>
      </c>
      <c r="C9669" t="s">
        <v>32710</v>
      </c>
      <c r="D9669" t="s">
        <v>32711</v>
      </c>
      <c r="E9669" t="s">
        <v>16</v>
      </c>
      <c r="F9669" t="s">
        <v>32712</v>
      </c>
      <c r="G9669" t="s">
        <v>32656</v>
      </c>
      <c r="H9669" t="s">
        <v>32710</v>
      </c>
    </row>
    <row r="9670" spans="1:8">
      <c r="A9670" t="str">
        <f>"0269344 "</f>
        <v xml:space="preserve">0269344 </v>
      </c>
      <c r="B9670" t="s">
        <v>32652</v>
      </c>
      <c r="C9670" t="s">
        <v>32713</v>
      </c>
      <c r="D9670" t="s">
        <v>32714</v>
      </c>
      <c r="E9670" t="s">
        <v>16</v>
      </c>
      <c r="F9670" t="s">
        <v>32712</v>
      </c>
      <c r="G9670" t="s">
        <v>32656</v>
      </c>
      <c r="H9670" t="s">
        <v>32713</v>
      </c>
    </row>
    <row r="9671" spans="1:8">
      <c r="A9671" t="str">
        <f>"0269345 "</f>
        <v xml:space="preserve">0269345 </v>
      </c>
      <c r="B9671" t="s">
        <v>32652</v>
      </c>
      <c r="C9671" t="s">
        <v>32715</v>
      </c>
      <c r="D9671" t="s">
        <v>32716</v>
      </c>
      <c r="E9671" t="s">
        <v>16</v>
      </c>
      <c r="F9671" t="s">
        <v>32717</v>
      </c>
      <c r="G9671" t="s">
        <v>32656</v>
      </c>
      <c r="H9671" t="s">
        <v>32715</v>
      </c>
    </row>
    <row r="9672" spans="1:8">
      <c r="A9672" t="str">
        <f>"0218257 "</f>
        <v xml:space="preserve">0218257 </v>
      </c>
      <c r="B9672" t="s">
        <v>32652</v>
      </c>
      <c r="C9672" t="s">
        <v>32718</v>
      </c>
      <c r="D9672" t="s">
        <v>32719</v>
      </c>
      <c r="E9672" t="s">
        <v>16</v>
      </c>
      <c r="F9672" t="s">
        <v>1549</v>
      </c>
      <c r="G9672" t="s">
        <v>32656</v>
      </c>
      <c r="H9672" t="s">
        <v>32718</v>
      </c>
    </row>
    <row r="9673" spans="1:8">
      <c r="A9673" t="str">
        <f>"0218292 "</f>
        <v xml:space="preserve">0218292 </v>
      </c>
      <c r="B9673" t="s">
        <v>32652</v>
      </c>
      <c r="C9673" t="s">
        <v>32720</v>
      </c>
      <c r="D9673" t="s">
        <v>32721</v>
      </c>
      <c r="E9673" t="s">
        <v>16</v>
      </c>
      <c r="F9673" t="s">
        <v>640</v>
      </c>
      <c r="G9673" t="s">
        <v>32656</v>
      </c>
      <c r="H9673" t="s">
        <v>32720</v>
      </c>
    </row>
    <row r="9674" spans="1:8">
      <c r="A9674" t="str">
        <f>"0218271 "</f>
        <v xml:space="preserve">0218271 </v>
      </c>
      <c r="B9674" t="s">
        <v>32652</v>
      </c>
      <c r="C9674" t="s">
        <v>32722</v>
      </c>
      <c r="D9674" t="s">
        <v>32723</v>
      </c>
      <c r="E9674" t="s">
        <v>16</v>
      </c>
      <c r="F9674" s="3">
        <v>41395</v>
      </c>
      <c r="G9674" t="s">
        <v>32656</v>
      </c>
      <c r="H9674" t="s">
        <v>32722</v>
      </c>
    </row>
    <row r="9675" spans="1:8">
      <c r="A9675" t="str">
        <f>"0218273 "</f>
        <v xml:space="preserve">0218273 </v>
      </c>
      <c r="B9675" t="s">
        <v>32652</v>
      </c>
      <c r="C9675" t="s">
        <v>32724</v>
      </c>
      <c r="D9675" t="s">
        <v>32725</v>
      </c>
      <c r="E9675" t="s">
        <v>16</v>
      </c>
      <c r="F9675" s="3">
        <v>13697</v>
      </c>
      <c r="G9675" t="s">
        <v>32656</v>
      </c>
      <c r="H9675" t="s">
        <v>32724</v>
      </c>
    </row>
    <row r="9676" spans="1:8">
      <c r="A9676" t="str">
        <f>"0218269 "</f>
        <v xml:space="preserve">0218269 </v>
      </c>
      <c r="B9676" t="s">
        <v>32652</v>
      </c>
      <c r="C9676" t="s">
        <v>32726</v>
      </c>
      <c r="D9676" t="s">
        <v>32727</v>
      </c>
      <c r="E9676" t="s">
        <v>16</v>
      </c>
      <c r="F9676" s="3">
        <v>29677</v>
      </c>
      <c r="G9676" t="s">
        <v>32656</v>
      </c>
      <c r="H9676" t="s">
        <v>32726</v>
      </c>
    </row>
    <row r="9677" spans="1:8">
      <c r="A9677" t="str">
        <f>"0218268 "</f>
        <v xml:space="preserve">0218268 </v>
      </c>
      <c r="B9677" t="s">
        <v>32652</v>
      </c>
      <c r="C9677" t="s">
        <v>32728</v>
      </c>
      <c r="D9677" t="s">
        <v>32729</v>
      </c>
      <c r="E9677" t="s">
        <v>16</v>
      </c>
      <c r="F9677" s="3">
        <v>29799</v>
      </c>
      <c r="G9677" t="s">
        <v>32656</v>
      </c>
      <c r="H9677" t="s">
        <v>32728</v>
      </c>
    </row>
    <row r="9678" spans="1:8">
      <c r="A9678" t="str">
        <f>"0218277 "</f>
        <v xml:space="preserve">0218277 </v>
      </c>
      <c r="B9678" t="s">
        <v>32652</v>
      </c>
      <c r="C9678" t="s">
        <v>32730</v>
      </c>
      <c r="D9678" t="s">
        <v>32731</v>
      </c>
      <c r="E9678" t="s">
        <v>16</v>
      </c>
      <c r="F9678" s="3">
        <v>12145</v>
      </c>
      <c r="G9678" t="s">
        <v>32656</v>
      </c>
      <c r="H9678" t="s">
        <v>32730</v>
      </c>
    </row>
    <row r="9679" spans="1:8">
      <c r="A9679" t="str">
        <f>"0218275 "</f>
        <v xml:space="preserve">0218275 </v>
      </c>
      <c r="B9679" t="s">
        <v>32652</v>
      </c>
      <c r="C9679" t="s">
        <v>32732</v>
      </c>
      <c r="D9679" t="s">
        <v>32733</v>
      </c>
      <c r="E9679" t="s">
        <v>16</v>
      </c>
      <c r="F9679" s="3">
        <v>47239</v>
      </c>
      <c r="G9679" t="s">
        <v>32656</v>
      </c>
      <c r="H9679" t="s">
        <v>32732</v>
      </c>
    </row>
    <row r="9680" spans="1:8">
      <c r="A9680" t="str">
        <f>"0218285 "</f>
        <v xml:space="preserve">0218285 </v>
      </c>
      <c r="B9680" t="s">
        <v>32652</v>
      </c>
      <c r="C9680" t="s">
        <v>32734</v>
      </c>
      <c r="D9680" t="s">
        <v>32735</v>
      </c>
      <c r="E9680" t="s">
        <v>16</v>
      </c>
      <c r="F9680" s="1">
        <v>42949</v>
      </c>
      <c r="G9680" t="s">
        <v>32656</v>
      </c>
      <c r="H9680" t="s">
        <v>32734</v>
      </c>
    </row>
    <row r="9681" spans="1:8">
      <c r="A9681" t="str">
        <f>"0218287 "</f>
        <v xml:space="preserve">0218287 </v>
      </c>
      <c r="B9681" t="s">
        <v>32652</v>
      </c>
      <c r="C9681" t="s">
        <v>32736</v>
      </c>
      <c r="D9681" t="s">
        <v>32737</v>
      </c>
      <c r="E9681" t="s">
        <v>16</v>
      </c>
      <c r="F9681" s="1">
        <v>42949</v>
      </c>
      <c r="G9681" t="s">
        <v>32656</v>
      </c>
      <c r="H9681" t="s">
        <v>32736</v>
      </c>
    </row>
    <row r="9682" spans="1:8">
      <c r="A9682" t="str">
        <f>"0218290 "</f>
        <v xml:space="preserve">0218290 </v>
      </c>
      <c r="B9682" t="s">
        <v>32652</v>
      </c>
      <c r="C9682" t="s">
        <v>32738</v>
      </c>
      <c r="D9682" t="s">
        <v>32739</v>
      </c>
      <c r="E9682" t="s">
        <v>16</v>
      </c>
      <c r="F9682" s="3">
        <v>47239</v>
      </c>
      <c r="G9682" t="s">
        <v>32656</v>
      </c>
      <c r="H9682" t="s">
        <v>32738</v>
      </c>
    </row>
    <row r="9683" spans="1:8">
      <c r="A9683" t="str">
        <f>"0218284 "</f>
        <v xml:space="preserve">0218284 </v>
      </c>
      <c r="B9683" t="s">
        <v>32652</v>
      </c>
      <c r="C9683" t="s">
        <v>32740</v>
      </c>
      <c r="D9683" t="s">
        <v>32741</v>
      </c>
      <c r="E9683" t="s">
        <v>16</v>
      </c>
      <c r="F9683" t="s">
        <v>32742</v>
      </c>
      <c r="G9683" t="s">
        <v>32656</v>
      </c>
      <c r="H9683" t="s">
        <v>32740</v>
      </c>
    </row>
    <row r="9684" spans="1:8">
      <c r="A9684" t="str">
        <f>"0218283 "</f>
        <v xml:space="preserve">0218283 </v>
      </c>
      <c r="B9684" t="s">
        <v>32652</v>
      </c>
      <c r="C9684" t="s">
        <v>32743</v>
      </c>
      <c r="D9684" t="s">
        <v>32744</v>
      </c>
      <c r="E9684" t="s">
        <v>16</v>
      </c>
      <c r="F9684" t="s">
        <v>32745</v>
      </c>
      <c r="G9684" t="s">
        <v>32656</v>
      </c>
      <c r="H9684" t="s">
        <v>32743</v>
      </c>
    </row>
    <row r="9685" spans="1:8">
      <c r="A9685" t="str">
        <f>"0218289 "</f>
        <v xml:space="preserve">0218289 </v>
      </c>
      <c r="B9685" t="s">
        <v>32652</v>
      </c>
      <c r="C9685" t="s">
        <v>32746</v>
      </c>
      <c r="D9685" t="s">
        <v>32747</v>
      </c>
      <c r="E9685" t="s">
        <v>16</v>
      </c>
      <c r="F9685" t="s">
        <v>660</v>
      </c>
      <c r="G9685" t="s">
        <v>32656</v>
      </c>
      <c r="H9685" t="s">
        <v>32746</v>
      </c>
    </row>
    <row r="9686" spans="1:8">
      <c r="A9686" t="str">
        <f>"0218222 "</f>
        <v xml:space="preserve">0218222 </v>
      </c>
      <c r="B9686" t="s">
        <v>32652</v>
      </c>
      <c r="C9686" t="s">
        <v>32748</v>
      </c>
      <c r="D9686" t="s">
        <v>32749</v>
      </c>
      <c r="E9686" t="s">
        <v>16</v>
      </c>
      <c r="F9686" s="3">
        <v>25263</v>
      </c>
      <c r="G9686" t="s">
        <v>32656</v>
      </c>
      <c r="H9686" t="s">
        <v>32748</v>
      </c>
    </row>
    <row r="9687" spans="1:8">
      <c r="A9687" t="str">
        <f>"0218218 "</f>
        <v xml:space="preserve">0218218 </v>
      </c>
      <c r="B9687" t="s">
        <v>32652</v>
      </c>
      <c r="C9687" t="s">
        <v>32750</v>
      </c>
      <c r="D9687" t="s">
        <v>32751</v>
      </c>
      <c r="E9687" t="s">
        <v>16</v>
      </c>
      <c r="F9687" s="1">
        <v>42739</v>
      </c>
      <c r="G9687" t="s">
        <v>32656</v>
      </c>
      <c r="H9687" t="s">
        <v>32750</v>
      </c>
    </row>
    <row r="9688" spans="1:8">
      <c r="A9688" t="str">
        <f>"0218219 "</f>
        <v xml:space="preserve">0218219 </v>
      </c>
      <c r="B9688" t="s">
        <v>32652</v>
      </c>
      <c r="C9688" t="s">
        <v>32752</v>
      </c>
      <c r="D9688" t="s">
        <v>32753</v>
      </c>
      <c r="E9688" t="s">
        <v>16</v>
      </c>
      <c r="F9688" s="3">
        <v>17989</v>
      </c>
      <c r="G9688" t="s">
        <v>32656</v>
      </c>
      <c r="H9688" t="s">
        <v>32752</v>
      </c>
    </row>
    <row r="9689" spans="1:8">
      <c r="A9689" t="str">
        <f>"0218221 "</f>
        <v xml:space="preserve">0218221 </v>
      </c>
      <c r="B9689" t="s">
        <v>32652</v>
      </c>
      <c r="C9689" t="s">
        <v>32754</v>
      </c>
      <c r="D9689" t="s">
        <v>32755</v>
      </c>
      <c r="E9689" t="s">
        <v>16</v>
      </c>
      <c r="F9689" s="3">
        <v>17989</v>
      </c>
      <c r="G9689" t="s">
        <v>32656</v>
      </c>
      <c r="H9689" t="s">
        <v>32754</v>
      </c>
    </row>
    <row r="9690" spans="1:8">
      <c r="A9690" t="str">
        <f>"0218279 "</f>
        <v xml:space="preserve">0218279 </v>
      </c>
      <c r="B9690" t="s">
        <v>32652</v>
      </c>
      <c r="C9690" t="s">
        <v>32756</v>
      </c>
      <c r="D9690" t="s">
        <v>32757</v>
      </c>
      <c r="E9690" t="s">
        <v>16</v>
      </c>
      <c r="F9690" s="3">
        <v>44256</v>
      </c>
      <c r="G9690" t="s">
        <v>32656</v>
      </c>
      <c r="H9690" t="s">
        <v>32756</v>
      </c>
    </row>
    <row r="9691" spans="1:8">
      <c r="A9691" t="str">
        <f>"0218211 "</f>
        <v xml:space="preserve">0218211 </v>
      </c>
      <c r="B9691" t="s">
        <v>32652</v>
      </c>
      <c r="C9691" t="s">
        <v>32758</v>
      </c>
      <c r="D9691" t="s">
        <v>32759</v>
      </c>
      <c r="E9691" t="s">
        <v>16</v>
      </c>
      <c r="F9691" s="3">
        <v>25385</v>
      </c>
      <c r="G9691" t="s">
        <v>32656</v>
      </c>
      <c r="H9691" t="s">
        <v>32758</v>
      </c>
    </row>
    <row r="9692" spans="1:8">
      <c r="A9692" t="str">
        <f>"0218212 "</f>
        <v xml:space="preserve">0218212 </v>
      </c>
      <c r="B9692" t="s">
        <v>32652</v>
      </c>
      <c r="C9692" t="s">
        <v>32760</v>
      </c>
      <c r="D9692" t="s">
        <v>32761</v>
      </c>
      <c r="E9692">
        <v>5</v>
      </c>
      <c r="F9692" s="3">
        <v>25385</v>
      </c>
      <c r="G9692" t="s">
        <v>32656</v>
      </c>
      <c r="H9692" t="s">
        <v>32760</v>
      </c>
    </row>
    <row r="9693" spans="1:8">
      <c r="A9693" t="str">
        <f>"0218210 "</f>
        <v xml:space="preserve">0218210 </v>
      </c>
      <c r="B9693" t="s">
        <v>32652</v>
      </c>
      <c r="C9693" t="s">
        <v>32762</v>
      </c>
      <c r="D9693" t="s">
        <v>32763</v>
      </c>
      <c r="E9693" t="s">
        <v>16</v>
      </c>
      <c r="F9693" s="3">
        <v>25385</v>
      </c>
      <c r="G9693" t="s">
        <v>32656</v>
      </c>
      <c r="H9693" t="s">
        <v>32762</v>
      </c>
    </row>
    <row r="9694" spans="1:8">
      <c r="A9694" t="str">
        <f>"0218214 "</f>
        <v xml:space="preserve">0218214 </v>
      </c>
      <c r="B9694" t="s">
        <v>32652</v>
      </c>
      <c r="C9694" t="s">
        <v>32764</v>
      </c>
      <c r="D9694" t="s">
        <v>32765</v>
      </c>
      <c r="E9694" t="s">
        <v>16</v>
      </c>
      <c r="F9694" s="3">
        <v>25385</v>
      </c>
      <c r="G9694" t="s">
        <v>32656</v>
      </c>
      <c r="H9694" t="s">
        <v>32764</v>
      </c>
    </row>
    <row r="9695" spans="1:8">
      <c r="A9695" t="str">
        <f>"0218213 "</f>
        <v xml:space="preserve">0218213 </v>
      </c>
      <c r="B9695" t="s">
        <v>32652</v>
      </c>
      <c r="C9695" t="s">
        <v>32766</v>
      </c>
      <c r="D9695" t="s">
        <v>32767</v>
      </c>
      <c r="E9695" t="s">
        <v>16</v>
      </c>
      <c r="F9695" s="3">
        <v>25385</v>
      </c>
      <c r="G9695" t="s">
        <v>32656</v>
      </c>
      <c r="H9695" t="s">
        <v>32766</v>
      </c>
    </row>
    <row r="9696" spans="1:8">
      <c r="A9696" t="str">
        <f>"0218281 "</f>
        <v xml:space="preserve">0218281 </v>
      </c>
      <c r="B9696" t="s">
        <v>32652</v>
      </c>
      <c r="C9696" t="s">
        <v>32768</v>
      </c>
      <c r="D9696" t="s">
        <v>32769</v>
      </c>
      <c r="E9696" t="s">
        <v>16</v>
      </c>
      <c r="F9696" s="1">
        <v>42949</v>
      </c>
      <c r="G9696" t="s">
        <v>32656</v>
      </c>
      <c r="H9696" t="s">
        <v>32768</v>
      </c>
    </row>
    <row r="9697" spans="1:8">
      <c r="A9697" t="str">
        <f>"0219969 "</f>
        <v xml:space="preserve">0219969 </v>
      </c>
      <c r="B9697" t="s">
        <v>32652</v>
      </c>
      <c r="C9697" t="s">
        <v>32770</v>
      </c>
      <c r="D9697" t="s">
        <v>32771</v>
      </c>
      <c r="E9697" t="s">
        <v>16</v>
      </c>
      <c r="F9697" t="s">
        <v>32772</v>
      </c>
      <c r="G9697" t="s">
        <v>32656</v>
      </c>
      <c r="H9697" t="s">
        <v>32770</v>
      </c>
    </row>
    <row r="9698" spans="1:8">
      <c r="A9698" t="str">
        <f>"0218265 "</f>
        <v xml:space="preserve">0218265 </v>
      </c>
      <c r="B9698" t="s">
        <v>32652</v>
      </c>
      <c r="C9698" t="s">
        <v>32773</v>
      </c>
      <c r="D9698" t="s">
        <v>32774</v>
      </c>
      <c r="E9698" t="s">
        <v>16</v>
      </c>
      <c r="F9698" t="s">
        <v>29753</v>
      </c>
      <c r="G9698" t="s">
        <v>32656</v>
      </c>
      <c r="H9698" t="s">
        <v>32773</v>
      </c>
    </row>
    <row r="9699" spans="1:8">
      <c r="A9699" t="str">
        <f>"0218266 "</f>
        <v xml:space="preserve">0218266 </v>
      </c>
      <c r="B9699" t="s">
        <v>32652</v>
      </c>
      <c r="C9699" t="s">
        <v>32775</v>
      </c>
      <c r="D9699" t="s">
        <v>32776</v>
      </c>
      <c r="E9699" t="s">
        <v>16</v>
      </c>
      <c r="F9699" t="s">
        <v>32777</v>
      </c>
      <c r="G9699" t="s">
        <v>32656</v>
      </c>
      <c r="H9699" t="s">
        <v>32775</v>
      </c>
    </row>
    <row r="9700" spans="1:8">
      <c r="A9700" t="str">
        <f>"0218272 "</f>
        <v xml:space="preserve">0218272 </v>
      </c>
      <c r="B9700" t="s">
        <v>32652</v>
      </c>
      <c r="C9700" t="s">
        <v>32778</v>
      </c>
      <c r="D9700" t="s">
        <v>32779</v>
      </c>
      <c r="E9700" t="s">
        <v>16</v>
      </c>
      <c r="F9700" s="3">
        <v>47239</v>
      </c>
      <c r="G9700" t="s">
        <v>32656</v>
      </c>
      <c r="H9700" t="s">
        <v>32778</v>
      </c>
    </row>
    <row r="9701" spans="1:8">
      <c r="A9701" t="str">
        <f>"0218274 "</f>
        <v xml:space="preserve">0218274 </v>
      </c>
      <c r="B9701" t="s">
        <v>32652</v>
      </c>
      <c r="C9701" t="s">
        <v>32780</v>
      </c>
      <c r="D9701" t="s">
        <v>32781</v>
      </c>
      <c r="E9701" t="s">
        <v>16</v>
      </c>
      <c r="F9701" s="3">
        <v>14185</v>
      </c>
      <c r="G9701" t="s">
        <v>32656</v>
      </c>
      <c r="H9701" t="s">
        <v>32780</v>
      </c>
    </row>
    <row r="9702" spans="1:8">
      <c r="A9702" t="str">
        <f>"0218270 "</f>
        <v xml:space="preserve">0218270 </v>
      </c>
      <c r="B9702" t="s">
        <v>32652</v>
      </c>
      <c r="C9702" t="s">
        <v>32782</v>
      </c>
      <c r="D9702" t="s">
        <v>32783</v>
      </c>
      <c r="E9702" t="s">
        <v>16</v>
      </c>
      <c r="F9702" s="3">
        <v>34090</v>
      </c>
      <c r="G9702" t="s">
        <v>32656</v>
      </c>
      <c r="H9702" t="s">
        <v>32782</v>
      </c>
    </row>
    <row r="9703" spans="1:8">
      <c r="A9703" t="str">
        <f>"0218278 "</f>
        <v xml:space="preserve">0218278 </v>
      </c>
      <c r="B9703" t="s">
        <v>32652</v>
      </c>
      <c r="C9703" t="s">
        <v>32784</v>
      </c>
      <c r="D9703" t="s">
        <v>32785</v>
      </c>
      <c r="E9703" t="s">
        <v>16</v>
      </c>
      <c r="F9703" s="3">
        <v>17989</v>
      </c>
      <c r="G9703" t="s">
        <v>32656</v>
      </c>
      <c r="H9703" t="s">
        <v>32784</v>
      </c>
    </row>
    <row r="9704" spans="1:8">
      <c r="A9704" t="str">
        <f>"0218276 "</f>
        <v xml:space="preserve">0218276 </v>
      </c>
      <c r="B9704" t="s">
        <v>32652</v>
      </c>
      <c r="C9704" t="s">
        <v>32786</v>
      </c>
      <c r="D9704" t="s">
        <v>32787</v>
      </c>
      <c r="E9704" t="s">
        <v>16</v>
      </c>
      <c r="F9704" s="3">
        <v>15128</v>
      </c>
      <c r="G9704" t="s">
        <v>32656</v>
      </c>
      <c r="H9704" t="s">
        <v>32786</v>
      </c>
    </row>
    <row r="9705" spans="1:8">
      <c r="A9705" t="str">
        <f>"0218286 "</f>
        <v xml:space="preserve">0218286 </v>
      </c>
      <c r="B9705" t="s">
        <v>32652</v>
      </c>
      <c r="C9705" t="s">
        <v>32788</v>
      </c>
      <c r="D9705" t="s">
        <v>32789</v>
      </c>
      <c r="E9705" t="s">
        <v>16</v>
      </c>
      <c r="F9705" s="3">
        <v>26330</v>
      </c>
      <c r="G9705" t="s">
        <v>32656</v>
      </c>
      <c r="H9705" t="s">
        <v>32788</v>
      </c>
    </row>
    <row r="9706" spans="1:8">
      <c r="A9706" t="str">
        <f>"0218288 "</f>
        <v xml:space="preserve">0218288 </v>
      </c>
      <c r="B9706" t="s">
        <v>32652</v>
      </c>
      <c r="C9706" t="s">
        <v>32790</v>
      </c>
      <c r="D9706" t="s">
        <v>32791</v>
      </c>
      <c r="E9706" t="s">
        <v>16</v>
      </c>
      <c r="F9706" s="3">
        <v>32174</v>
      </c>
      <c r="G9706" t="s">
        <v>32656</v>
      </c>
      <c r="H9706" t="s">
        <v>32790</v>
      </c>
    </row>
    <row r="9707" spans="1:8">
      <c r="A9707" t="str">
        <f>"0218224 "</f>
        <v xml:space="preserve">0218224 </v>
      </c>
      <c r="B9707" t="s">
        <v>32652</v>
      </c>
      <c r="C9707" t="s">
        <v>32792</v>
      </c>
      <c r="D9707" t="s">
        <v>32793</v>
      </c>
      <c r="E9707" t="s">
        <v>16</v>
      </c>
      <c r="F9707" s="3">
        <v>12145</v>
      </c>
      <c r="G9707" t="s">
        <v>32656</v>
      </c>
      <c r="H9707" t="s">
        <v>32792</v>
      </c>
    </row>
    <row r="9708" spans="1:8">
      <c r="A9708" t="str">
        <f>"0218225 "</f>
        <v xml:space="preserve">0218225 </v>
      </c>
      <c r="B9708" t="s">
        <v>32652</v>
      </c>
      <c r="C9708" t="s">
        <v>32794</v>
      </c>
      <c r="D9708" t="s">
        <v>32795</v>
      </c>
      <c r="E9708" t="s">
        <v>16</v>
      </c>
      <c r="F9708" s="3">
        <v>41395</v>
      </c>
      <c r="G9708" t="s">
        <v>32656</v>
      </c>
      <c r="H9708" t="s">
        <v>32794</v>
      </c>
    </row>
    <row r="9709" spans="1:8">
      <c r="A9709" t="str">
        <f>"0218220 "</f>
        <v xml:space="preserve">0218220 </v>
      </c>
      <c r="B9709" t="s">
        <v>32652</v>
      </c>
      <c r="C9709" t="s">
        <v>32796</v>
      </c>
      <c r="D9709" t="s">
        <v>32797</v>
      </c>
      <c r="E9709" t="s">
        <v>16</v>
      </c>
      <c r="F9709" s="3">
        <v>22402</v>
      </c>
      <c r="G9709" t="s">
        <v>32656</v>
      </c>
      <c r="H9709" t="s">
        <v>32796</v>
      </c>
    </row>
    <row r="9710" spans="1:8">
      <c r="A9710" t="str">
        <f>"0218280 "</f>
        <v xml:space="preserve">0218280 </v>
      </c>
      <c r="B9710" t="s">
        <v>32652</v>
      </c>
      <c r="C9710" t="s">
        <v>32798</v>
      </c>
      <c r="D9710" t="s">
        <v>32799</v>
      </c>
      <c r="E9710" t="s">
        <v>16</v>
      </c>
      <c r="F9710" s="3">
        <v>25263</v>
      </c>
      <c r="G9710" t="s">
        <v>32656</v>
      </c>
      <c r="H9710" t="s">
        <v>32798</v>
      </c>
    </row>
    <row r="9711" spans="1:8">
      <c r="A9711" t="str">
        <f>"0218216 "</f>
        <v xml:space="preserve">0218216 </v>
      </c>
      <c r="B9711" t="s">
        <v>32652</v>
      </c>
      <c r="C9711" t="s">
        <v>32800</v>
      </c>
      <c r="D9711" t="s">
        <v>32801</v>
      </c>
      <c r="E9711" t="s">
        <v>16</v>
      </c>
      <c r="F9711" s="3">
        <v>42948</v>
      </c>
      <c r="G9711" t="s">
        <v>32656</v>
      </c>
      <c r="H9711" t="s">
        <v>32800</v>
      </c>
    </row>
    <row r="9712" spans="1:8">
      <c r="A9712" t="str">
        <f>"0218215 "</f>
        <v xml:space="preserve">0218215 </v>
      </c>
      <c r="B9712" t="s">
        <v>32652</v>
      </c>
      <c r="C9712" t="s">
        <v>32802</v>
      </c>
      <c r="D9712" t="s">
        <v>32803</v>
      </c>
      <c r="E9712" t="s">
        <v>16</v>
      </c>
      <c r="F9712" s="3">
        <v>42948</v>
      </c>
      <c r="G9712" t="s">
        <v>32656</v>
      </c>
      <c r="H9712" t="s">
        <v>32802</v>
      </c>
    </row>
    <row r="9713" spans="1:8">
      <c r="A9713" t="str">
        <f>"0218282 "</f>
        <v xml:space="preserve">0218282 </v>
      </c>
      <c r="B9713" t="s">
        <v>32652</v>
      </c>
      <c r="C9713" t="s">
        <v>32804</v>
      </c>
      <c r="D9713" t="s">
        <v>32805</v>
      </c>
      <c r="E9713" t="s">
        <v>16</v>
      </c>
      <c r="F9713" s="3">
        <v>32174</v>
      </c>
      <c r="G9713" t="s">
        <v>32656</v>
      </c>
      <c r="H9713" t="s">
        <v>32804</v>
      </c>
    </row>
    <row r="9714" spans="1:8">
      <c r="A9714" t="str">
        <f>"0219009 "</f>
        <v xml:space="preserve">0219009 </v>
      </c>
      <c r="B9714" t="s">
        <v>32806</v>
      </c>
      <c r="C9714">
        <v>12160</v>
      </c>
      <c r="D9714" t="s">
        <v>32807</v>
      </c>
      <c r="E9714">
        <v>2</v>
      </c>
      <c r="F9714" t="s">
        <v>32808</v>
      </c>
      <c r="G9714" t="s">
        <v>32656</v>
      </c>
      <c r="H9714">
        <v>12160</v>
      </c>
    </row>
    <row r="9715" spans="1:8">
      <c r="A9715" t="str">
        <f>"0219012 "</f>
        <v xml:space="preserve">0219012 </v>
      </c>
      <c r="B9715" t="s">
        <v>32806</v>
      </c>
      <c r="C9715">
        <v>12250</v>
      </c>
      <c r="D9715" t="s">
        <v>32809</v>
      </c>
      <c r="E9715">
        <v>2</v>
      </c>
      <c r="F9715" t="s">
        <v>32808</v>
      </c>
      <c r="G9715" t="s">
        <v>32656</v>
      </c>
      <c r="H9715">
        <v>12250</v>
      </c>
    </row>
    <row r="9716" spans="1:8">
      <c r="A9716" t="str">
        <f>"0232596 "</f>
        <v xml:space="preserve">0232596 </v>
      </c>
      <c r="B9716" t="s">
        <v>32806</v>
      </c>
      <c r="C9716">
        <v>12260</v>
      </c>
      <c r="D9716" t="s">
        <v>32810</v>
      </c>
      <c r="E9716">
        <v>2</v>
      </c>
      <c r="F9716" t="s">
        <v>32808</v>
      </c>
      <c r="G9716" t="s">
        <v>32656</v>
      </c>
      <c r="H9716">
        <v>12260</v>
      </c>
    </row>
    <row r="9717" spans="1:8">
      <c r="A9717" t="str">
        <f>"0219013 "</f>
        <v xml:space="preserve">0219013 </v>
      </c>
      <c r="B9717" t="s">
        <v>32806</v>
      </c>
      <c r="C9717">
        <v>12343</v>
      </c>
      <c r="D9717" t="s">
        <v>32811</v>
      </c>
      <c r="E9717">
        <v>2</v>
      </c>
      <c r="F9717" t="s">
        <v>32808</v>
      </c>
      <c r="G9717" t="s">
        <v>32656</v>
      </c>
      <c r="H9717">
        <v>12343</v>
      </c>
    </row>
    <row r="9718" spans="1:8">
      <c r="A9718" t="str">
        <f>"0219014 "</f>
        <v xml:space="preserve">0219014 </v>
      </c>
      <c r="B9718" t="s">
        <v>32806</v>
      </c>
      <c r="C9718">
        <v>12350</v>
      </c>
      <c r="D9718" t="s">
        <v>32812</v>
      </c>
      <c r="E9718">
        <v>2</v>
      </c>
      <c r="F9718" t="s">
        <v>32808</v>
      </c>
      <c r="G9718" t="s">
        <v>32656</v>
      </c>
      <c r="H9718">
        <v>12350</v>
      </c>
    </row>
    <row r="9719" spans="1:8">
      <c r="A9719" t="str">
        <f>"0218974 "</f>
        <v xml:space="preserve">0218974 </v>
      </c>
      <c r="B9719" t="s">
        <v>32806</v>
      </c>
      <c r="C9719">
        <v>12360</v>
      </c>
      <c r="D9719" t="s">
        <v>32813</v>
      </c>
      <c r="E9719">
        <v>2</v>
      </c>
      <c r="F9719" t="s">
        <v>32808</v>
      </c>
      <c r="G9719" t="s">
        <v>32656</v>
      </c>
      <c r="H9719">
        <v>12360</v>
      </c>
    </row>
    <row r="9720" spans="1:8">
      <c r="A9720" t="str">
        <f>"0218976 "</f>
        <v xml:space="preserve">0218976 </v>
      </c>
      <c r="B9720" t="s">
        <v>32806</v>
      </c>
      <c r="C9720">
        <v>12450</v>
      </c>
      <c r="D9720" t="s">
        <v>32814</v>
      </c>
      <c r="E9720">
        <v>3</v>
      </c>
      <c r="F9720" t="s">
        <v>32815</v>
      </c>
      <c r="G9720" t="s">
        <v>32656</v>
      </c>
      <c r="H9720">
        <v>12450</v>
      </c>
    </row>
    <row r="9721" spans="1:8">
      <c r="A9721" t="str">
        <f>"0219019 "</f>
        <v xml:space="preserve">0219019 </v>
      </c>
      <c r="B9721" t="s">
        <v>32806</v>
      </c>
      <c r="C9721">
        <v>12543</v>
      </c>
      <c r="D9721" t="s">
        <v>32816</v>
      </c>
      <c r="E9721">
        <v>2</v>
      </c>
      <c r="F9721" t="s">
        <v>32817</v>
      </c>
      <c r="G9721" t="s">
        <v>32656</v>
      </c>
      <c r="H9721">
        <v>12543</v>
      </c>
    </row>
    <row r="9722" spans="1:8">
      <c r="A9722" t="str">
        <f>"0219020 "</f>
        <v xml:space="preserve">0219020 </v>
      </c>
      <c r="B9722" t="s">
        <v>32806</v>
      </c>
      <c r="C9722">
        <v>12550</v>
      </c>
      <c r="D9722" t="s">
        <v>32818</v>
      </c>
      <c r="E9722">
        <v>2</v>
      </c>
      <c r="F9722" t="s">
        <v>32808</v>
      </c>
      <c r="G9722" t="s">
        <v>32656</v>
      </c>
      <c r="H9722">
        <v>12550</v>
      </c>
    </row>
    <row r="9723" spans="1:8">
      <c r="A9723" t="str">
        <f>"0232598 "</f>
        <v xml:space="preserve">0232598 </v>
      </c>
      <c r="B9723" t="s">
        <v>32806</v>
      </c>
      <c r="C9723">
        <v>12560</v>
      </c>
      <c r="D9723" t="s">
        <v>32819</v>
      </c>
      <c r="E9723">
        <v>2</v>
      </c>
      <c r="F9723" t="s">
        <v>21717</v>
      </c>
      <c r="G9723" t="s">
        <v>32656</v>
      </c>
      <c r="H9723">
        <v>12560</v>
      </c>
    </row>
    <row r="9724" spans="1:8">
      <c r="A9724" t="str">
        <f>"0219021 "</f>
        <v xml:space="preserve">0219021 </v>
      </c>
      <c r="B9724" t="s">
        <v>32806</v>
      </c>
      <c r="C9724">
        <v>12643</v>
      </c>
      <c r="D9724" t="s">
        <v>32820</v>
      </c>
      <c r="E9724">
        <v>2</v>
      </c>
      <c r="F9724" t="s">
        <v>32817</v>
      </c>
      <c r="G9724" t="s">
        <v>32656</v>
      </c>
      <c r="H9724">
        <v>12643</v>
      </c>
    </row>
    <row r="9725" spans="1:8">
      <c r="A9725" t="str">
        <f>"0219016 "</f>
        <v xml:space="preserve">0219016 </v>
      </c>
      <c r="B9725" t="s">
        <v>32806</v>
      </c>
      <c r="C9725">
        <v>12750</v>
      </c>
      <c r="D9725" t="s">
        <v>32821</v>
      </c>
      <c r="E9725">
        <v>3</v>
      </c>
      <c r="F9725" t="s">
        <v>32817</v>
      </c>
      <c r="G9725" t="s">
        <v>32656</v>
      </c>
      <c r="H9725">
        <v>12750</v>
      </c>
    </row>
    <row r="9726" spans="1:8">
      <c r="A9726" t="str">
        <f>"0219018 "</f>
        <v xml:space="preserve">0219018 </v>
      </c>
      <c r="B9726" t="s">
        <v>32806</v>
      </c>
      <c r="C9726">
        <v>12850</v>
      </c>
      <c r="D9726" t="s">
        <v>32822</v>
      </c>
      <c r="E9726">
        <v>2</v>
      </c>
      <c r="F9726" t="s">
        <v>32808</v>
      </c>
      <c r="G9726" t="s">
        <v>32656</v>
      </c>
      <c r="H9726">
        <v>12850</v>
      </c>
    </row>
    <row r="9727" spans="1:8">
      <c r="A9727" t="str">
        <f>"0232597 "</f>
        <v xml:space="preserve">0232597 </v>
      </c>
      <c r="B9727" t="s">
        <v>32806</v>
      </c>
      <c r="C9727">
        <v>12860</v>
      </c>
      <c r="D9727" t="s">
        <v>32823</v>
      </c>
      <c r="E9727">
        <v>2</v>
      </c>
      <c r="F9727" t="s">
        <v>21717</v>
      </c>
      <c r="G9727" t="s">
        <v>32656</v>
      </c>
      <c r="H9727">
        <v>12860</v>
      </c>
    </row>
    <row r="9728" spans="1:8">
      <c r="A9728" t="str">
        <f>"0219010 "</f>
        <v xml:space="preserve">0219010 </v>
      </c>
      <c r="B9728" t="s">
        <v>32806</v>
      </c>
      <c r="C9728">
        <v>12943</v>
      </c>
      <c r="D9728" t="s">
        <v>32824</v>
      </c>
      <c r="E9728">
        <v>2</v>
      </c>
      <c r="F9728" t="s">
        <v>32808</v>
      </c>
      <c r="G9728" t="s">
        <v>32656</v>
      </c>
      <c r="H9728">
        <v>12943</v>
      </c>
    </row>
    <row r="9729" spans="1:8">
      <c r="A9729" t="str">
        <f>"0218295 "</f>
        <v xml:space="preserve">0218295 </v>
      </c>
      <c r="B9729" t="s">
        <v>32806</v>
      </c>
      <c r="C9729">
        <v>12960</v>
      </c>
      <c r="D9729" t="s">
        <v>32825</v>
      </c>
      <c r="E9729">
        <v>2</v>
      </c>
      <c r="F9729" t="s">
        <v>32817</v>
      </c>
      <c r="G9729" t="s">
        <v>32656</v>
      </c>
      <c r="H9729">
        <v>12960</v>
      </c>
    </row>
    <row r="9730" spans="1:8">
      <c r="A9730" t="str">
        <f>"0241319 "</f>
        <v xml:space="preserve">0241319 </v>
      </c>
      <c r="B9730" t="s">
        <v>32806</v>
      </c>
      <c r="C9730" t="s">
        <v>32826</v>
      </c>
      <c r="D9730" t="s">
        <v>32827</v>
      </c>
      <c r="E9730">
        <v>2</v>
      </c>
      <c r="F9730" t="s">
        <v>32828</v>
      </c>
      <c r="G9730" t="s">
        <v>32656</v>
      </c>
      <c r="H9730" t="s">
        <v>32826</v>
      </c>
    </row>
    <row r="9731" spans="1:8">
      <c r="A9731" t="str">
        <f>"0241320 "</f>
        <v xml:space="preserve">0241320 </v>
      </c>
      <c r="B9731" t="s">
        <v>32806</v>
      </c>
      <c r="C9731" t="s">
        <v>32829</v>
      </c>
      <c r="D9731" t="s">
        <v>32830</v>
      </c>
      <c r="E9731">
        <v>2</v>
      </c>
      <c r="F9731" t="s">
        <v>32828</v>
      </c>
      <c r="G9731" t="s">
        <v>32656</v>
      </c>
      <c r="H9731" t="s">
        <v>32829</v>
      </c>
    </row>
    <row r="9732" spans="1:8">
      <c r="A9732" t="str">
        <f>"0257617 "</f>
        <v xml:space="preserve">0257617 </v>
      </c>
      <c r="B9732" t="s">
        <v>32806</v>
      </c>
      <c r="C9732" t="s">
        <v>32831</v>
      </c>
      <c r="D9732" t="s">
        <v>32832</v>
      </c>
      <c r="E9732">
        <v>2</v>
      </c>
      <c r="F9732" t="s">
        <v>32828</v>
      </c>
      <c r="G9732" t="s">
        <v>32656</v>
      </c>
      <c r="H9732" t="s">
        <v>32831</v>
      </c>
    </row>
    <row r="9733" spans="1:8">
      <c r="A9733" t="str">
        <f>"0240895 "</f>
        <v xml:space="preserve">0240895 </v>
      </c>
      <c r="B9733" t="s">
        <v>32806</v>
      </c>
      <c r="C9733" t="s">
        <v>32833</v>
      </c>
      <c r="D9733" t="s">
        <v>32834</v>
      </c>
      <c r="E9733">
        <v>2</v>
      </c>
      <c r="F9733" t="s">
        <v>32835</v>
      </c>
      <c r="G9733" t="s">
        <v>32656</v>
      </c>
      <c r="H9733" t="s">
        <v>32833</v>
      </c>
    </row>
    <row r="9734" spans="1:8">
      <c r="A9734" t="str">
        <f>"0257618 "</f>
        <v xml:space="preserve">0257618 </v>
      </c>
      <c r="B9734" t="s">
        <v>32806</v>
      </c>
      <c r="C9734" t="s">
        <v>32836</v>
      </c>
      <c r="D9734" t="s">
        <v>32837</v>
      </c>
      <c r="E9734">
        <v>2</v>
      </c>
      <c r="F9734" t="s">
        <v>32838</v>
      </c>
      <c r="G9734" t="s">
        <v>32656</v>
      </c>
      <c r="H9734" t="s">
        <v>32836</v>
      </c>
    </row>
    <row r="9735" spans="1:8">
      <c r="A9735" t="str">
        <f>"0240507 "</f>
        <v xml:space="preserve">0240507 </v>
      </c>
      <c r="B9735" t="s">
        <v>32806</v>
      </c>
      <c r="C9735" t="s">
        <v>32839</v>
      </c>
      <c r="D9735" t="s">
        <v>32840</v>
      </c>
      <c r="E9735">
        <v>2</v>
      </c>
      <c r="F9735" t="s">
        <v>32838</v>
      </c>
      <c r="G9735" t="s">
        <v>32656</v>
      </c>
      <c r="H9735" t="s">
        <v>32839</v>
      </c>
    </row>
    <row r="9736" spans="1:8">
      <c r="A9736" t="str">
        <f>"0240508 "</f>
        <v xml:space="preserve">0240508 </v>
      </c>
      <c r="B9736" t="s">
        <v>32806</v>
      </c>
      <c r="C9736" t="s">
        <v>32841</v>
      </c>
      <c r="D9736" t="s">
        <v>32842</v>
      </c>
      <c r="E9736">
        <v>2</v>
      </c>
      <c r="F9736" t="s">
        <v>32843</v>
      </c>
      <c r="G9736" t="s">
        <v>32656</v>
      </c>
      <c r="H9736" t="s">
        <v>32841</v>
      </c>
    </row>
    <row r="9737" spans="1:8">
      <c r="A9737" t="str">
        <f>"0240509 "</f>
        <v xml:space="preserve">0240509 </v>
      </c>
      <c r="B9737" t="s">
        <v>32806</v>
      </c>
      <c r="C9737" t="s">
        <v>32844</v>
      </c>
      <c r="D9737" t="s">
        <v>32845</v>
      </c>
      <c r="E9737">
        <v>2</v>
      </c>
      <c r="F9737" t="s">
        <v>32843</v>
      </c>
      <c r="G9737" t="s">
        <v>32656</v>
      </c>
      <c r="H9737" t="s">
        <v>32844</v>
      </c>
    </row>
    <row r="9738" spans="1:8">
      <c r="A9738" t="str">
        <f>"0240815 "</f>
        <v xml:space="preserve">0240815 </v>
      </c>
      <c r="B9738" t="s">
        <v>32806</v>
      </c>
      <c r="C9738" t="s">
        <v>32846</v>
      </c>
      <c r="D9738" t="s">
        <v>32847</v>
      </c>
      <c r="E9738">
        <v>2</v>
      </c>
      <c r="F9738" t="s">
        <v>32843</v>
      </c>
      <c r="G9738" t="s">
        <v>32656</v>
      </c>
      <c r="H9738" t="s">
        <v>32846</v>
      </c>
    </row>
    <row r="9739" spans="1:8">
      <c r="A9739" t="str">
        <f>"0218323 "</f>
        <v xml:space="preserve">0218323 </v>
      </c>
      <c r="B9739" t="s">
        <v>32848</v>
      </c>
      <c r="C9739">
        <v>13440</v>
      </c>
      <c r="D9739" t="s">
        <v>32849</v>
      </c>
      <c r="E9739" t="s">
        <v>16</v>
      </c>
      <c r="F9739" t="s">
        <v>32850</v>
      </c>
      <c r="G9739" t="s">
        <v>32656</v>
      </c>
      <c r="H9739">
        <v>13440</v>
      </c>
    </row>
    <row r="9740" spans="1:8">
      <c r="A9740" t="str">
        <f>"0218392 "</f>
        <v xml:space="preserve">0218392 </v>
      </c>
      <c r="B9740" t="s">
        <v>32848</v>
      </c>
      <c r="C9740" t="s">
        <v>32851</v>
      </c>
      <c r="D9740" t="s">
        <v>32852</v>
      </c>
      <c r="E9740">
        <v>1</v>
      </c>
      <c r="F9740" t="s">
        <v>19281</v>
      </c>
      <c r="G9740" t="s">
        <v>32853</v>
      </c>
      <c r="H9740" t="s">
        <v>32851</v>
      </c>
    </row>
    <row r="9741" spans="1:8">
      <c r="A9741" t="str">
        <f>"0218394 "</f>
        <v xml:space="preserve">0218394 </v>
      </c>
      <c r="B9741" t="s">
        <v>32848</v>
      </c>
      <c r="C9741" t="s">
        <v>32854</v>
      </c>
      <c r="D9741" t="s">
        <v>32855</v>
      </c>
      <c r="E9741">
        <v>2</v>
      </c>
      <c r="F9741" t="s">
        <v>32856</v>
      </c>
      <c r="G9741" t="s">
        <v>32853</v>
      </c>
      <c r="H9741" t="s">
        <v>32854</v>
      </c>
    </row>
    <row r="9742" spans="1:8">
      <c r="A9742" t="str">
        <f>"0218395 "</f>
        <v xml:space="preserve">0218395 </v>
      </c>
      <c r="B9742" t="s">
        <v>32848</v>
      </c>
      <c r="C9742" t="s">
        <v>32857</v>
      </c>
      <c r="D9742" t="s">
        <v>32858</v>
      </c>
      <c r="E9742">
        <v>2</v>
      </c>
      <c r="F9742" t="s">
        <v>19840</v>
      </c>
      <c r="G9742" t="s">
        <v>32853</v>
      </c>
      <c r="H9742" t="s">
        <v>32857</v>
      </c>
    </row>
    <row r="9743" spans="1:8">
      <c r="A9743" t="str">
        <f>"0218398 "</f>
        <v xml:space="preserve">0218398 </v>
      </c>
      <c r="B9743" t="s">
        <v>32848</v>
      </c>
      <c r="C9743" t="s">
        <v>32859</v>
      </c>
      <c r="D9743" t="s">
        <v>32860</v>
      </c>
      <c r="E9743">
        <v>2</v>
      </c>
      <c r="F9743" t="s">
        <v>15053</v>
      </c>
      <c r="G9743" t="s">
        <v>32853</v>
      </c>
      <c r="H9743" t="s">
        <v>32859</v>
      </c>
    </row>
    <row r="9744" spans="1:8">
      <c r="A9744" t="str">
        <f>"0218400 "</f>
        <v xml:space="preserve">0218400 </v>
      </c>
      <c r="B9744" t="s">
        <v>32848</v>
      </c>
      <c r="C9744" t="s">
        <v>32861</v>
      </c>
      <c r="D9744" t="s">
        <v>32862</v>
      </c>
      <c r="E9744">
        <v>2</v>
      </c>
      <c r="F9744" t="s">
        <v>28263</v>
      </c>
      <c r="G9744" t="s">
        <v>32853</v>
      </c>
      <c r="H9744" t="s">
        <v>32861</v>
      </c>
    </row>
    <row r="9745" spans="1:8">
      <c r="A9745" t="str">
        <f>"0218391 "</f>
        <v xml:space="preserve">0218391 </v>
      </c>
      <c r="B9745" t="s">
        <v>32848</v>
      </c>
      <c r="C9745" t="s">
        <v>32863</v>
      </c>
      <c r="D9745" t="s">
        <v>32864</v>
      </c>
      <c r="E9745">
        <v>2</v>
      </c>
      <c r="F9745" t="s">
        <v>32639</v>
      </c>
      <c r="G9745" t="s">
        <v>32853</v>
      </c>
      <c r="H9745" t="s">
        <v>32863</v>
      </c>
    </row>
    <row r="9746" spans="1:8">
      <c r="A9746" t="str">
        <f>"0218393 "</f>
        <v xml:space="preserve">0218393 </v>
      </c>
      <c r="B9746" t="s">
        <v>32848</v>
      </c>
      <c r="C9746" t="s">
        <v>32865</v>
      </c>
      <c r="D9746" t="s">
        <v>32866</v>
      </c>
      <c r="E9746">
        <v>2</v>
      </c>
      <c r="F9746" t="s">
        <v>32867</v>
      </c>
      <c r="G9746" t="s">
        <v>32853</v>
      </c>
      <c r="H9746" t="s">
        <v>32865</v>
      </c>
    </row>
    <row r="9747" spans="1:8">
      <c r="A9747" t="str">
        <f>"0218396 "</f>
        <v xml:space="preserve">0218396 </v>
      </c>
      <c r="B9747" t="s">
        <v>32848</v>
      </c>
      <c r="C9747" t="s">
        <v>32868</v>
      </c>
      <c r="D9747" t="s">
        <v>32869</v>
      </c>
      <c r="E9747">
        <v>2</v>
      </c>
      <c r="F9747" t="s">
        <v>32870</v>
      </c>
      <c r="G9747" t="s">
        <v>32853</v>
      </c>
      <c r="H9747" t="s">
        <v>32868</v>
      </c>
    </row>
    <row r="9748" spans="1:8">
      <c r="A9748" t="str">
        <f>"0218312 "</f>
        <v xml:space="preserve">0218312 </v>
      </c>
      <c r="B9748" t="s">
        <v>32848</v>
      </c>
      <c r="C9748" t="s">
        <v>32871</v>
      </c>
      <c r="D9748" t="s">
        <v>32872</v>
      </c>
      <c r="E9748" t="s">
        <v>16</v>
      </c>
      <c r="F9748" s="3">
        <v>22402</v>
      </c>
      <c r="G9748" t="s">
        <v>32853</v>
      </c>
      <c r="H9748" t="s">
        <v>32871</v>
      </c>
    </row>
    <row r="9749" spans="1:8">
      <c r="A9749" t="str">
        <f>"0218366 "</f>
        <v xml:space="preserve">0218366 </v>
      </c>
      <c r="B9749" t="s">
        <v>32848</v>
      </c>
      <c r="C9749" t="s">
        <v>32873</v>
      </c>
      <c r="D9749" t="s">
        <v>32874</v>
      </c>
      <c r="E9749" t="s">
        <v>16</v>
      </c>
      <c r="F9749" s="3">
        <v>22402</v>
      </c>
      <c r="G9749" t="s">
        <v>32853</v>
      </c>
      <c r="H9749" t="s">
        <v>32873</v>
      </c>
    </row>
    <row r="9750" spans="1:8">
      <c r="A9750" t="str">
        <f>"0257619 "</f>
        <v xml:space="preserve">0257619 </v>
      </c>
      <c r="B9750" t="s">
        <v>32848</v>
      </c>
      <c r="C9750" t="s">
        <v>32875</v>
      </c>
      <c r="D9750" t="s">
        <v>32876</v>
      </c>
      <c r="E9750" t="s">
        <v>16</v>
      </c>
      <c r="F9750" s="3">
        <v>33604</v>
      </c>
      <c r="G9750" t="s">
        <v>32853</v>
      </c>
      <c r="H9750" t="s">
        <v>32875</v>
      </c>
    </row>
    <row r="9751" spans="1:8">
      <c r="A9751" t="str">
        <f>"0218367 "</f>
        <v xml:space="preserve">0218367 </v>
      </c>
      <c r="B9751" t="s">
        <v>32848</v>
      </c>
      <c r="C9751" t="s">
        <v>32877</v>
      </c>
      <c r="D9751" t="s">
        <v>32878</v>
      </c>
      <c r="E9751" t="s">
        <v>16</v>
      </c>
      <c r="F9751" s="3">
        <v>22402</v>
      </c>
      <c r="G9751" t="s">
        <v>32853</v>
      </c>
      <c r="H9751" t="s">
        <v>32877</v>
      </c>
    </row>
    <row r="9752" spans="1:8">
      <c r="A9752" t="str">
        <f>"0257620 "</f>
        <v xml:space="preserve">0257620 </v>
      </c>
      <c r="B9752" t="s">
        <v>32848</v>
      </c>
      <c r="C9752" t="s">
        <v>32879</v>
      </c>
      <c r="D9752" t="s">
        <v>32880</v>
      </c>
      <c r="E9752" t="s">
        <v>16</v>
      </c>
      <c r="F9752" s="3">
        <v>33604</v>
      </c>
      <c r="G9752" t="s">
        <v>32853</v>
      </c>
      <c r="H9752" t="s">
        <v>32879</v>
      </c>
    </row>
    <row r="9753" spans="1:8">
      <c r="A9753" t="str">
        <f>"0218385 "</f>
        <v xml:space="preserve">0218385 </v>
      </c>
      <c r="B9753" t="s">
        <v>32848</v>
      </c>
      <c r="C9753" t="s">
        <v>32881</v>
      </c>
      <c r="D9753" t="s">
        <v>32882</v>
      </c>
      <c r="E9753" t="s">
        <v>16</v>
      </c>
      <c r="F9753" s="3">
        <v>29677</v>
      </c>
      <c r="G9753" t="s">
        <v>32853</v>
      </c>
      <c r="H9753" t="s">
        <v>32881</v>
      </c>
    </row>
    <row r="9754" spans="1:8">
      <c r="A9754" t="str">
        <f>"0218357 "</f>
        <v xml:space="preserve">0218357 </v>
      </c>
      <c r="B9754" t="s">
        <v>32848</v>
      </c>
      <c r="C9754" t="s">
        <v>32883</v>
      </c>
      <c r="D9754" t="s">
        <v>32884</v>
      </c>
      <c r="E9754" t="s">
        <v>16</v>
      </c>
      <c r="F9754" s="3">
        <v>44378</v>
      </c>
      <c r="G9754" t="s">
        <v>32853</v>
      </c>
      <c r="H9754" t="s">
        <v>32883</v>
      </c>
    </row>
    <row r="9755" spans="1:8">
      <c r="A9755" t="str">
        <f>"0218309 "</f>
        <v xml:space="preserve">0218309 </v>
      </c>
      <c r="B9755" t="s">
        <v>32848</v>
      </c>
      <c r="C9755" t="s">
        <v>32885</v>
      </c>
      <c r="D9755" t="s">
        <v>32886</v>
      </c>
      <c r="E9755" t="s">
        <v>16</v>
      </c>
      <c r="F9755" s="3">
        <v>44378</v>
      </c>
      <c r="G9755" t="s">
        <v>32853</v>
      </c>
      <c r="H9755" t="s">
        <v>32885</v>
      </c>
    </row>
    <row r="9756" spans="1:8">
      <c r="A9756" t="str">
        <f>"0218384 "</f>
        <v xml:space="preserve">0218384 </v>
      </c>
      <c r="B9756" t="s">
        <v>32848</v>
      </c>
      <c r="C9756" t="s">
        <v>32887</v>
      </c>
      <c r="D9756" t="s">
        <v>32888</v>
      </c>
      <c r="E9756" t="s">
        <v>16</v>
      </c>
      <c r="F9756" s="1">
        <v>42984</v>
      </c>
      <c r="G9756" t="s">
        <v>32853</v>
      </c>
      <c r="H9756" t="s">
        <v>32887</v>
      </c>
    </row>
    <row r="9757" spans="1:8">
      <c r="A9757" t="str">
        <f>"0218315 "</f>
        <v xml:space="preserve">0218315 </v>
      </c>
      <c r="B9757" t="s">
        <v>32848</v>
      </c>
      <c r="C9757" t="s">
        <v>32889</v>
      </c>
      <c r="D9757" t="s">
        <v>32890</v>
      </c>
      <c r="E9757" t="s">
        <v>16</v>
      </c>
      <c r="F9757" s="3">
        <v>18111</v>
      </c>
      <c r="G9757" t="s">
        <v>32853</v>
      </c>
      <c r="H9757" t="s">
        <v>32889</v>
      </c>
    </row>
    <row r="9758" spans="1:8">
      <c r="A9758" t="str">
        <f>"0218360 "</f>
        <v xml:space="preserve">0218360 </v>
      </c>
      <c r="B9758" t="s">
        <v>32848</v>
      </c>
      <c r="C9758" t="s">
        <v>32891</v>
      </c>
      <c r="D9758" t="s">
        <v>32892</v>
      </c>
      <c r="E9758" t="s">
        <v>16</v>
      </c>
      <c r="F9758" t="s">
        <v>32893</v>
      </c>
      <c r="G9758" t="s">
        <v>32853</v>
      </c>
      <c r="H9758" t="s">
        <v>32891</v>
      </c>
    </row>
    <row r="9759" spans="1:8">
      <c r="A9759" t="str">
        <f>"0218359 "</f>
        <v xml:space="preserve">0218359 </v>
      </c>
      <c r="B9759" t="s">
        <v>32848</v>
      </c>
      <c r="C9759" t="s">
        <v>32894</v>
      </c>
      <c r="D9759" t="s">
        <v>32895</v>
      </c>
      <c r="E9759" t="s">
        <v>16</v>
      </c>
      <c r="F9759" t="s">
        <v>32893</v>
      </c>
      <c r="G9759" t="s">
        <v>32853</v>
      </c>
      <c r="H9759" t="s">
        <v>32894</v>
      </c>
    </row>
    <row r="9760" spans="1:8">
      <c r="A9760" t="str">
        <f>"0218363 "</f>
        <v xml:space="preserve">0218363 </v>
      </c>
      <c r="B9760" t="s">
        <v>32848</v>
      </c>
      <c r="C9760" t="s">
        <v>32896</v>
      </c>
      <c r="D9760" t="s">
        <v>32897</v>
      </c>
      <c r="E9760" t="s">
        <v>16</v>
      </c>
      <c r="F9760" t="s">
        <v>32898</v>
      </c>
      <c r="G9760" t="s">
        <v>32853</v>
      </c>
      <c r="H9760" t="s">
        <v>32896</v>
      </c>
    </row>
    <row r="9761" spans="1:8">
      <c r="A9761" t="str">
        <f>"0218362 "</f>
        <v xml:space="preserve">0218362 </v>
      </c>
      <c r="B9761" t="s">
        <v>32848</v>
      </c>
      <c r="C9761" t="s">
        <v>32899</v>
      </c>
      <c r="D9761" t="s">
        <v>32900</v>
      </c>
      <c r="E9761" t="s">
        <v>16</v>
      </c>
      <c r="F9761" t="s">
        <v>32898</v>
      </c>
      <c r="G9761" t="s">
        <v>32853</v>
      </c>
      <c r="H9761" t="s">
        <v>32899</v>
      </c>
    </row>
    <row r="9762" spans="1:8">
      <c r="A9762" t="str">
        <f>"0218368 "</f>
        <v xml:space="preserve">0218368 </v>
      </c>
      <c r="B9762" t="s">
        <v>32848</v>
      </c>
      <c r="C9762" t="s">
        <v>32901</v>
      </c>
      <c r="D9762" t="s">
        <v>32902</v>
      </c>
      <c r="E9762" t="s">
        <v>16</v>
      </c>
      <c r="F9762" s="1">
        <v>43022</v>
      </c>
      <c r="G9762" t="s">
        <v>32853</v>
      </c>
      <c r="H9762" t="s">
        <v>32901</v>
      </c>
    </row>
    <row r="9763" spans="1:8">
      <c r="A9763" t="str">
        <f>"0231260 "</f>
        <v xml:space="preserve">0231260 </v>
      </c>
      <c r="B9763" t="s">
        <v>32848</v>
      </c>
      <c r="C9763" t="s">
        <v>32903</v>
      </c>
      <c r="D9763" t="s">
        <v>32904</v>
      </c>
      <c r="E9763" t="s">
        <v>16</v>
      </c>
      <c r="F9763" s="1">
        <v>43022</v>
      </c>
      <c r="G9763" t="s">
        <v>32853</v>
      </c>
      <c r="H9763" t="s">
        <v>32903</v>
      </c>
    </row>
    <row r="9764" spans="1:8">
      <c r="A9764" t="str">
        <f>"0218371 "</f>
        <v xml:space="preserve">0218371 </v>
      </c>
      <c r="B9764" t="s">
        <v>32848</v>
      </c>
      <c r="C9764" t="s">
        <v>32905</v>
      </c>
      <c r="D9764" t="s">
        <v>32906</v>
      </c>
      <c r="E9764" t="s">
        <v>16</v>
      </c>
      <c r="F9764" t="s">
        <v>32907</v>
      </c>
      <c r="G9764" t="s">
        <v>32853</v>
      </c>
      <c r="H9764" t="s">
        <v>32905</v>
      </c>
    </row>
    <row r="9765" spans="1:8">
      <c r="A9765" t="str">
        <f>"0218370 "</f>
        <v xml:space="preserve">0218370 </v>
      </c>
      <c r="B9765" t="s">
        <v>32848</v>
      </c>
      <c r="C9765" t="s">
        <v>32908</v>
      </c>
      <c r="D9765" t="s">
        <v>32909</v>
      </c>
      <c r="E9765" t="s">
        <v>16</v>
      </c>
      <c r="F9765" t="s">
        <v>32910</v>
      </c>
      <c r="G9765" t="s">
        <v>32853</v>
      </c>
      <c r="H9765" t="s">
        <v>32908</v>
      </c>
    </row>
    <row r="9766" spans="1:8">
      <c r="A9766" t="str">
        <f>"0218299 "</f>
        <v xml:space="preserve">0218299 </v>
      </c>
      <c r="B9766" t="s">
        <v>32848</v>
      </c>
      <c r="C9766" t="s">
        <v>32911</v>
      </c>
      <c r="D9766" t="s">
        <v>32912</v>
      </c>
      <c r="E9766" t="s">
        <v>16</v>
      </c>
      <c r="F9766" t="s">
        <v>32913</v>
      </c>
      <c r="G9766" t="s">
        <v>32853</v>
      </c>
      <c r="H9766" t="s">
        <v>32911</v>
      </c>
    </row>
    <row r="9767" spans="1:8">
      <c r="A9767" t="str">
        <f>"0218376 "</f>
        <v xml:space="preserve">0218376 </v>
      </c>
      <c r="B9767" t="s">
        <v>32848</v>
      </c>
      <c r="C9767" t="s">
        <v>32914</v>
      </c>
      <c r="D9767" t="s">
        <v>32915</v>
      </c>
      <c r="E9767" t="s">
        <v>16</v>
      </c>
      <c r="F9767" t="s">
        <v>32913</v>
      </c>
      <c r="G9767" t="s">
        <v>32853</v>
      </c>
      <c r="H9767" t="s">
        <v>32914</v>
      </c>
    </row>
    <row r="9768" spans="1:8">
      <c r="A9768" t="str">
        <f>"0218302 "</f>
        <v xml:space="preserve">0218302 </v>
      </c>
      <c r="B9768" t="s">
        <v>32848</v>
      </c>
      <c r="C9768" t="s">
        <v>32916</v>
      </c>
      <c r="D9768" t="s">
        <v>32917</v>
      </c>
      <c r="E9768" t="s">
        <v>16</v>
      </c>
      <c r="F9768" t="s">
        <v>32645</v>
      </c>
      <c r="G9768" t="s">
        <v>32853</v>
      </c>
      <c r="H9768" t="s">
        <v>32916</v>
      </c>
    </row>
    <row r="9769" spans="1:8">
      <c r="A9769" t="str">
        <f>"0218335 "</f>
        <v xml:space="preserve">0218335 </v>
      </c>
      <c r="B9769" t="s">
        <v>32848</v>
      </c>
      <c r="C9769" t="s">
        <v>32918</v>
      </c>
      <c r="D9769" t="s">
        <v>32919</v>
      </c>
      <c r="E9769" t="s">
        <v>16</v>
      </c>
      <c r="F9769" t="s">
        <v>32645</v>
      </c>
      <c r="G9769" t="s">
        <v>32853</v>
      </c>
      <c r="H9769" t="s">
        <v>32918</v>
      </c>
    </row>
    <row r="9770" spans="1:8">
      <c r="A9770" t="str">
        <f>"0218326 "</f>
        <v xml:space="preserve">0218326 </v>
      </c>
      <c r="B9770" t="s">
        <v>32848</v>
      </c>
      <c r="C9770" t="s">
        <v>32920</v>
      </c>
      <c r="D9770" t="s">
        <v>32921</v>
      </c>
      <c r="E9770" t="s">
        <v>16</v>
      </c>
      <c r="F9770" t="s">
        <v>32922</v>
      </c>
      <c r="G9770" t="s">
        <v>32853</v>
      </c>
      <c r="H9770" t="s">
        <v>32920</v>
      </c>
    </row>
    <row r="9771" spans="1:8">
      <c r="A9771" t="str">
        <f>"0218342 "</f>
        <v xml:space="preserve">0218342 </v>
      </c>
      <c r="B9771" t="s">
        <v>32848</v>
      </c>
      <c r="C9771" t="s">
        <v>32923</v>
      </c>
      <c r="D9771" t="s">
        <v>32924</v>
      </c>
      <c r="E9771" t="s">
        <v>16</v>
      </c>
      <c r="F9771" t="s">
        <v>32925</v>
      </c>
      <c r="G9771" t="s">
        <v>32853</v>
      </c>
      <c r="H9771" t="s">
        <v>32923</v>
      </c>
    </row>
    <row r="9772" spans="1:8">
      <c r="A9772" t="str">
        <f>"0231258 "</f>
        <v xml:space="preserve">0231258 </v>
      </c>
      <c r="B9772" t="s">
        <v>32848</v>
      </c>
      <c r="C9772" t="s">
        <v>32926</v>
      </c>
      <c r="D9772" t="s">
        <v>32927</v>
      </c>
      <c r="E9772" t="s">
        <v>16</v>
      </c>
      <c r="F9772" s="1">
        <v>42814</v>
      </c>
      <c r="G9772" t="s">
        <v>32853</v>
      </c>
      <c r="H9772" t="s">
        <v>32926</v>
      </c>
    </row>
    <row r="9773" spans="1:8">
      <c r="A9773" t="str">
        <f>"0218346 "</f>
        <v xml:space="preserve">0218346 </v>
      </c>
      <c r="B9773" t="s">
        <v>32848</v>
      </c>
      <c r="C9773" t="s">
        <v>32928</v>
      </c>
      <c r="D9773" t="s">
        <v>32929</v>
      </c>
      <c r="E9773" t="s">
        <v>16</v>
      </c>
      <c r="F9773" t="s">
        <v>32925</v>
      </c>
      <c r="G9773" t="s">
        <v>32853</v>
      </c>
      <c r="H9773" t="s">
        <v>32928</v>
      </c>
    </row>
    <row r="9774" spans="1:8">
      <c r="A9774" t="str">
        <f>"0218380 "</f>
        <v xml:space="preserve">0218380 </v>
      </c>
      <c r="B9774" t="s">
        <v>32848</v>
      </c>
      <c r="C9774" t="s">
        <v>32930</v>
      </c>
      <c r="D9774" t="s">
        <v>32931</v>
      </c>
      <c r="E9774" t="s">
        <v>16</v>
      </c>
      <c r="F9774" t="s">
        <v>32925</v>
      </c>
      <c r="G9774" t="s">
        <v>32853</v>
      </c>
      <c r="H9774" t="s">
        <v>32930</v>
      </c>
    </row>
    <row r="9775" spans="1:8">
      <c r="A9775" t="str">
        <f>"0218382 "</f>
        <v xml:space="preserve">0218382 </v>
      </c>
      <c r="B9775" t="s">
        <v>32848</v>
      </c>
      <c r="C9775" t="s">
        <v>32932</v>
      </c>
      <c r="D9775" t="s">
        <v>32933</v>
      </c>
      <c r="E9775" t="s">
        <v>16</v>
      </c>
      <c r="F9775" t="s">
        <v>32934</v>
      </c>
      <c r="G9775" t="s">
        <v>32853</v>
      </c>
      <c r="H9775" t="s">
        <v>32932</v>
      </c>
    </row>
    <row r="9776" spans="1:8">
      <c r="A9776" t="str">
        <f>"0231257 "</f>
        <v xml:space="preserve">0231257 </v>
      </c>
      <c r="B9776" t="s">
        <v>32848</v>
      </c>
      <c r="C9776" t="s">
        <v>19314</v>
      </c>
      <c r="D9776" t="s">
        <v>32935</v>
      </c>
      <c r="E9776" t="s">
        <v>16</v>
      </c>
      <c r="F9776" t="s">
        <v>32645</v>
      </c>
      <c r="G9776" t="s">
        <v>32853</v>
      </c>
      <c r="H9776" t="s">
        <v>19314</v>
      </c>
    </row>
    <row r="9777" spans="1:8">
      <c r="A9777" t="str">
        <f>"0218314 "</f>
        <v xml:space="preserve">0218314 </v>
      </c>
      <c r="B9777" t="s">
        <v>32848</v>
      </c>
      <c r="C9777" t="s">
        <v>32936</v>
      </c>
      <c r="D9777" t="s">
        <v>32937</v>
      </c>
      <c r="E9777" t="s">
        <v>16</v>
      </c>
      <c r="F9777" t="s">
        <v>32938</v>
      </c>
      <c r="G9777" t="s">
        <v>32853</v>
      </c>
      <c r="H9777" t="s">
        <v>32936</v>
      </c>
    </row>
    <row r="9778" spans="1:8">
      <c r="A9778" t="str">
        <f>"0218313 "</f>
        <v xml:space="preserve">0218313 </v>
      </c>
      <c r="B9778" t="s">
        <v>32848</v>
      </c>
      <c r="C9778" t="s">
        <v>32939</v>
      </c>
      <c r="D9778" t="s">
        <v>32940</v>
      </c>
      <c r="E9778" t="s">
        <v>16</v>
      </c>
      <c r="F9778" s="3">
        <v>18111</v>
      </c>
      <c r="G9778" t="s">
        <v>32853</v>
      </c>
      <c r="H9778" t="s">
        <v>32939</v>
      </c>
    </row>
    <row r="9779" spans="1:8">
      <c r="A9779" t="str">
        <f>"0218386 "</f>
        <v xml:space="preserve">0218386 </v>
      </c>
      <c r="B9779" t="s">
        <v>32848</v>
      </c>
      <c r="C9779" t="s">
        <v>32941</v>
      </c>
      <c r="D9779" t="s">
        <v>32942</v>
      </c>
      <c r="E9779" t="s">
        <v>16</v>
      </c>
      <c r="F9779" s="3">
        <v>18111</v>
      </c>
      <c r="G9779" t="s">
        <v>32853</v>
      </c>
      <c r="H9779" t="s">
        <v>32941</v>
      </c>
    </row>
    <row r="9780" spans="1:8">
      <c r="A9780" t="str">
        <f>"0218365 "</f>
        <v xml:space="preserve">0218365 </v>
      </c>
      <c r="B9780" t="s">
        <v>32848</v>
      </c>
      <c r="C9780" t="s">
        <v>32943</v>
      </c>
      <c r="D9780" t="s">
        <v>32944</v>
      </c>
      <c r="E9780" t="s">
        <v>16</v>
      </c>
      <c r="F9780" t="s">
        <v>32945</v>
      </c>
      <c r="G9780" t="s">
        <v>32853</v>
      </c>
      <c r="H9780" t="s">
        <v>32943</v>
      </c>
    </row>
    <row r="9781" spans="1:8">
      <c r="A9781" t="str">
        <f>"0218364 "</f>
        <v xml:space="preserve">0218364 </v>
      </c>
      <c r="B9781" t="s">
        <v>32848</v>
      </c>
      <c r="C9781" t="s">
        <v>32946</v>
      </c>
      <c r="D9781" t="s">
        <v>32947</v>
      </c>
      <c r="E9781" t="s">
        <v>16</v>
      </c>
      <c r="F9781" t="s">
        <v>32945</v>
      </c>
      <c r="G9781" t="s">
        <v>32853</v>
      </c>
      <c r="H9781" t="s">
        <v>32946</v>
      </c>
    </row>
    <row r="9782" spans="1:8">
      <c r="A9782" t="str">
        <f>"0218298 "</f>
        <v xml:space="preserve">0218298 </v>
      </c>
      <c r="B9782" t="s">
        <v>32848</v>
      </c>
      <c r="C9782" t="s">
        <v>32948</v>
      </c>
      <c r="D9782" t="s">
        <v>32949</v>
      </c>
      <c r="E9782">
        <v>4</v>
      </c>
      <c r="F9782" t="s">
        <v>19840</v>
      </c>
      <c r="G9782" t="s">
        <v>32853</v>
      </c>
      <c r="H9782" t="s">
        <v>32948</v>
      </c>
    </row>
    <row r="9783" spans="1:8">
      <c r="A9783" t="str">
        <f>"0218375 "</f>
        <v xml:space="preserve">0218375 </v>
      </c>
      <c r="B9783" t="s">
        <v>32848</v>
      </c>
      <c r="C9783" t="s">
        <v>32950</v>
      </c>
      <c r="D9783" t="s">
        <v>32951</v>
      </c>
      <c r="E9783" t="s">
        <v>16</v>
      </c>
      <c r="F9783" t="s">
        <v>19840</v>
      </c>
      <c r="G9783" t="s">
        <v>32853</v>
      </c>
      <c r="H9783" t="s">
        <v>32950</v>
      </c>
    </row>
    <row r="9784" spans="1:8">
      <c r="A9784" t="str">
        <f>"0218297 "</f>
        <v xml:space="preserve">0218297 </v>
      </c>
      <c r="B9784" t="s">
        <v>32848</v>
      </c>
      <c r="C9784" t="s">
        <v>32952</v>
      </c>
      <c r="D9784" t="s">
        <v>32953</v>
      </c>
      <c r="E9784">
        <v>4</v>
      </c>
      <c r="F9784" t="s">
        <v>28247</v>
      </c>
      <c r="G9784" t="s">
        <v>32853</v>
      </c>
      <c r="H9784" t="s">
        <v>32952</v>
      </c>
    </row>
    <row r="9785" spans="1:8">
      <c r="A9785" t="str">
        <f>"0218329 "</f>
        <v xml:space="preserve">0218329 </v>
      </c>
      <c r="B9785" t="s">
        <v>32848</v>
      </c>
      <c r="C9785" t="s">
        <v>32954</v>
      </c>
      <c r="D9785" t="s">
        <v>32955</v>
      </c>
      <c r="E9785" t="s">
        <v>16</v>
      </c>
      <c r="F9785" t="s">
        <v>32956</v>
      </c>
      <c r="G9785" t="s">
        <v>32853</v>
      </c>
      <c r="H9785" t="s">
        <v>32954</v>
      </c>
    </row>
    <row r="9786" spans="1:8">
      <c r="A9786" t="str">
        <f>"0218333 "</f>
        <v xml:space="preserve">0218333 </v>
      </c>
      <c r="B9786" t="s">
        <v>32848</v>
      </c>
      <c r="C9786" t="s">
        <v>32957</v>
      </c>
      <c r="D9786" t="s">
        <v>32958</v>
      </c>
      <c r="E9786" t="s">
        <v>16</v>
      </c>
      <c r="F9786" t="s">
        <v>32956</v>
      </c>
      <c r="G9786" t="s">
        <v>32853</v>
      </c>
      <c r="H9786" t="s">
        <v>32957</v>
      </c>
    </row>
    <row r="9787" spans="1:8">
      <c r="A9787" t="str">
        <f>"0218327 "</f>
        <v xml:space="preserve">0218327 </v>
      </c>
      <c r="B9787" t="s">
        <v>32848</v>
      </c>
      <c r="C9787" t="s">
        <v>32959</v>
      </c>
      <c r="D9787" t="s">
        <v>32960</v>
      </c>
      <c r="E9787">
        <v>5</v>
      </c>
      <c r="F9787" t="s">
        <v>32961</v>
      </c>
      <c r="G9787" t="s">
        <v>32853</v>
      </c>
      <c r="H9787" t="s">
        <v>32959</v>
      </c>
    </row>
    <row r="9788" spans="1:8">
      <c r="A9788" t="str">
        <f>"0218331 "</f>
        <v xml:space="preserve">0218331 </v>
      </c>
      <c r="B9788" t="s">
        <v>32848</v>
      </c>
      <c r="C9788" t="s">
        <v>32962</v>
      </c>
      <c r="D9788" t="s">
        <v>32963</v>
      </c>
      <c r="E9788" t="s">
        <v>16</v>
      </c>
      <c r="F9788" t="s">
        <v>32961</v>
      </c>
      <c r="G9788" t="s">
        <v>32853</v>
      </c>
      <c r="H9788" t="s">
        <v>32962</v>
      </c>
    </row>
    <row r="9789" spans="1:8">
      <c r="A9789" t="str">
        <f>"0218358 "</f>
        <v xml:space="preserve">0218358 </v>
      </c>
      <c r="B9789" t="s">
        <v>32848</v>
      </c>
      <c r="C9789" t="s">
        <v>32964</v>
      </c>
      <c r="D9789" t="s">
        <v>32965</v>
      </c>
      <c r="E9789" t="s">
        <v>16</v>
      </c>
      <c r="F9789" t="s">
        <v>32966</v>
      </c>
      <c r="G9789" t="s">
        <v>32853</v>
      </c>
      <c r="H9789" t="s">
        <v>32964</v>
      </c>
    </row>
    <row r="9790" spans="1:8">
      <c r="A9790" t="str">
        <f>"0218316 "</f>
        <v xml:space="preserve">0218316 </v>
      </c>
      <c r="B9790" t="s">
        <v>32848</v>
      </c>
      <c r="C9790" t="s">
        <v>32967</v>
      </c>
      <c r="D9790" t="s">
        <v>32968</v>
      </c>
      <c r="E9790" t="s">
        <v>16</v>
      </c>
      <c r="F9790" t="s">
        <v>19709</v>
      </c>
      <c r="G9790" t="s">
        <v>32853</v>
      </c>
      <c r="H9790" t="s">
        <v>32967</v>
      </c>
    </row>
    <row r="9791" spans="1:8">
      <c r="A9791" t="str">
        <f>"0218361 "</f>
        <v xml:space="preserve">0218361 </v>
      </c>
      <c r="B9791" t="s">
        <v>32848</v>
      </c>
      <c r="C9791" t="s">
        <v>32969</v>
      </c>
      <c r="D9791" t="s">
        <v>32970</v>
      </c>
      <c r="E9791" t="s">
        <v>16</v>
      </c>
      <c r="F9791" t="s">
        <v>32971</v>
      </c>
      <c r="G9791" t="s">
        <v>32853</v>
      </c>
      <c r="H9791" t="s">
        <v>32969</v>
      </c>
    </row>
    <row r="9792" spans="1:8">
      <c r="A9792" t="str">
        <f>"0218311 "</f>
        <v xml:space="preserve">0218311 </v>
      </c>
      <c r="B9792" t="s">
        <v>32848</v>
      </c>
      <c r="C9792" t="s">
        <v>32972</v>
      </c>
      <c r="D9792" t="s">
        <v>32973</v>
      </c>
      <c r="E9792" t="s">
        <v>16</v>
      </c>
      <c r="F9792" s="1">
        <v>43091</v>
      </c>
      <c r="G9792" t="s">
        <v>32853</v>
      </c>
      <c r="H9792" t="s">
        <v>32972</v>
      </c>
    </row>
    <row r="9793" spans="1:8">
      <c r="A9793" t="str">
        <f>"0218310 "</f>
        <v xml:space="preserve">0218310 </v>
      </c>
      <c r="B9793" t="s">
        <v>32848</v>
      </c>
      <c r="C9793" t="s">
        <v>32974</v>
      </c>
      <c r="D9793" t="s">
        <v>32975</v>
      </c>
      <c r="E9793" t="s">
        <v>16</v>
      </c>
      <c r="F9793" s="3">
        <v>20029</v>
      </c>
      <c r="G9793" t="s">
        <v>32853</v>
      </c>
      <c r="H9793" t="s">
        <v>32974</v>
      </c>
    </row>
    <row r="9794" spans="1:8">
      <c r="A9794" t="str">
        <f>"0218318 "</f>
        <v xml:space="preserve">0218318 </v>
      </c>
      <c r="B9794" t="s">
        <v>32848</v>
      </c>
      <c r="C9794" t="s">
        <v>32976</v>
      </c>
      <c r="D9794" t="s">
        <v>32977</v>
      </c>
      <c r="E9794" t="s">
        <v>16</v>
      </c>
      <c r="F9794" t="s">
        <v>32978</v>
      </c>
      <c r="G9794" t="s">
        <v>32853</v>
      </c>
      <c r="H9794" t="s">
        <v>32976</v>
      </c>
    </row>
    <row r="9795" spans="1:8">
      <c r="A9795" t="str">
        <f>"0218317 "</f>
        <v xml:space="preserve">0218317 </v>
      </c>
      <c r="B9795" t="s">
        <v>32848</v>
      </c>
      <c r="C9795" t="s">
        <v>32979</v>
      </c>
      <c r="D9795" t="s">
        <v>32980</v>
      </c>
      <c r="E9795" t="s">
        <v>16</v>
      </c>
      <c r="F9795" t="s">
        <v>32981</v>
      </c>
      <c r="G9795" t="s">
        <v>32853</v>
      </c>
      <c r="H9795" t="s">
        <v>32979</v>
      </c>
    </row>
    <row r="9796" spans="1:8">
      <c r="A9796" t="str">
        <f>"0218305 "</f>
        <v xml:space="preserve">0218305 </v>
      </c>
      <c r="B9796" t="s">
        <v>32848</v>
      </c>
      <c r="C9796" t="s">
        <v>32982</v>
      </c>
      <c r="D9796" t="s">
        <v>32983</v>
      </c>
      <c r="E9796" t="s">
        <v>16</v>
      </c>
      <c r="F9796" t="s">
        <v>32984</v>
      </c>
      <c r="G9796" t="s">
        <v>32853</v>
      </c>
      <c r="H9796" t="s">
        <v>32982</v>
      </c>
    </row>
    <row r="9797" spans="1:8">
      <c r="A9797" t="str">
        <f>"0218344 "</f>
        <v xml:space="preserve">0218344 </v>
      </c>
      <c r="B9797" t="s">
        <v>32848</v>
      </c>
      <c r="C9797" t="s">
        <v>32985</v>
      </c>
      <c r="D9797" t="s">
        <v>32986</v>
      </c>
      <c r="E9797" t="s">
        <v>16</v>
      </c>
      <c r="F9797" t="s">
        <v>32984</v>
      </c>
      <c r="G9797" t="s">
        <v>32853</v>
      </c>
      <c r="H9797" t="s">
        <v>32985</v>
      </c>
    </row>
    <row r="9798" spans="1:8">
      <c r="A9798" t="str">
        <f>"0218343 "</f>
        <v xml:space="preserve">0218343 </v>
      </c>
      <c r="B9798" t="s">
        <v>32848</v>
      </c>
      <c r="C9798" t="s">
        <v>32987</v>
      </c>
      <c r="D9798" t="s">
        <v>32988</v>
      </c>
      <c r="E9798" t="s">
        <v>16</v>
      </c>
      <c r="F9798" t="s">
        <v>32856</v>
      </c>
      <c r="G9798" t="s">
        <v>32853</v>
      </c>
      <c r="H9798" t="s">
        <v>32987</v>
      </c>
    </row>
    <row r="9799" spans="1:8">
      <c r="A9799" t="str">
        <f>"0218308 "</f>
        <v xml:space="preserve">0218308 </v>
      </c>
      <c r="B9799" t="s">
        <v>32848</v>
      </c>
      <c r="C9799" t="s">
        <v>32989</v>
      </c>
      <c r="D9799" t="s">
        <v>32990</v>
      </c>
      <c r="E9799" t="s">
        <v>16</v>
      </c>
      <c r="F9799" t="s">
        <v>32856</v>
      </c>
      <c r="G9799" t="s">
        <v>32853</v>
      </c>
      <c r="H9799" t="s">
        <v>32989</v>
      </c>
    </row>
    <row r="9800" spans="1:8">
      <c r="A9800" t="str">
        <f>"0218304 "</f>
        <v xml:space="preserve">0218304 </v>
      </c>
      <c r="B9800" t="s">
        <v>32848</v>
      </c>
      <c r="C9800" t="s">
        <v>32991</v>
      </c>
      <c r="D9800" t="s">
        <v>32992</v>
      </c>
      <c r="E9800" t="s">
        <v>16</v>
      </c>
      <c r="F9800" t="s">
        <v>32984</v>
      </c>
      <c r="G9800" t="s">
        <v>32853</v>
      </c>
      <c r="H9800" t="s">
        <v>32991</v>
      </c>
    </row>
    <row r="9801" spans="1:8">
      <c r="A9801" t="str">
        <f>"0218307 "</f>
        <v xml:space="preserve">0218307 </v>
      </c>
      <c r="B9801" t="s">
        <v>32848</v>
      </c>
      <c r="C9801" t="s">
        <v>32993</v>
      </c>
      <c r="D9801" t="s">
        <v>32994</v>
      </c>
      <c r="E9801" t="s">
        <v>16</v>
      </c>
      <c r="F9801" t="s">
        <v>32984</v>
      </c>
      <c r="G9801" t="s">
        <v>32853</v>
      </c>
      <c r="H9801" t="s">
        <v>32993</v>
      </c>
    </row>
    <row r="9802" spans="1:8">
      <c r="A9802" t="str">
        <f>"0218336 "</f>
        <v xml:space="preserve">0218336 </v>
      </c>
      <c r="B9802" t="s">
        <v>32848</v>
      </c>
      <c r="C9802" t="s">
        <v>32995</v>
      </c>
      <c r="D9802" t="s">
        <v>32996</v>
      </c>
      <c r="E9802" t="s">
        <v>16</v>
      </c>
      <c r="F9802" t="s">
        <v>32997</v>
      </c>
      <c r="G9802" t="s">
        <v>32853</v>
      </c>
      <c r="H9802" t="s">
        <v>32995</v>
      </c>
    </row>
    <row r="9803" spans="1:8">
      <c r="A9803" t="str">
        <f>"0218383 "</f>
        <v xml:space="preserve">0218383 </v>
      </c>
      <c r="B9803" t="s">
        <v>32848</v>
      </c>
      <c r="C9803" t="s">
        <v>32998</v>
      </c>
      <c r="D9803" t="s">
        <v>32999</v>
      </c>
      <c r="E9803" t="s">
        <v>16</v>
      </c>
      <c r="F9803" t="s">
        <v>32978</v>
      </c>
      <c r="G9803" t="s">
        <v>32853</v>
      </c>
      <c r="H9803" t="s">
        <v>32998</v>
      </c>
    </row>
    <row r="9804" spans="1:8">
      <c r="A9804" t="str">
        <f>"0218388 "</f>
        <v xml:space="preserve">0218388 </v>
      </c>
      <c r="B9804" t="s">
        <v>32848</v>
      </c>
      <c r="C9804" t="s">
        <v>33000</v>
      </c>
      <c r="D9804" t="s">
        <v>33001</v>
      </c>
      <c r="E9804" t="s">
        <v>16</v>
      </c>
      <c r="F9804" t="s">
        <v>33002</v>
      </c>
      <c r="G9804" t="s">
        <v>32853</v>
      </c>
      <c r="H9804" t="s">
        <v>33000</v>
      </c>
    </row>
    <row r="9805" spans="1:8">
      <c r="A9805" t="str">
        <f>"0218369 "</f>
        <v xml:space="preserve">0218369 </v>
      </c>
      <c r="B9805" t="s">
        <v>32848</v>
      </c>
      <c r="C9805" t="s">
        <v>33003</v>
      </c>
      <c r="D9805" t="s">
        <v>33004</v>
      </c>
      <c r="E9805" t="s">
        <v>16</v>
      </c>
      <c r="F9805" t="s">
        <v>33005</v>
      </c>
      <c r="G9805" t="s">
        <v>32853</v>
      </c>
      <c r="H9805" t="s">
        <v>33003</v>
      </c>
    </row>
    <row r="9806" spans="1:8">
      <c r="A9806" t="str">
        <f>"0218355 "</f>
        <v xml:space="preserve">0218355 </v>
      </c>
      <c r="B9806" t="s">
        <v>32848</v>
      </c>
      <c r="C9806" t="s">
        <v>33006</v>
      </c>
      <c r="D9806" t="s">
        <v>33007</v>
      </c>
      <c r="E9806" t="s">
        <v>16</v>
      </c>
      <c r="F9806" t="s">
        <v>33008</v>
      </c>
      <c r="G9806" t="s">
        <v>32853</v>
      </c>
      <c r="H9806" t="s">
        <v>33006</v>
      </c>
    </row>
    <row r="9807" spans="1:8">
      <c r="A9807" t="str">
        <f>"0218356 "</f>
        <v xml:space="preserve">0218356 </v>
      </c>
      <c r="B9807" t="s">
        <v>32848</v>
      </c>
      <c r="C9807" t="s">
        <v>33009</v>
      </c>
      <c r="D9807" t="s">
        <v>33007</v>
      </c>
      <c r="E9807" t="s">
        <v>16</v>
      </c>
      <c r="F9807" t="s">
        <v>33010</v>
      </c>
      <c r="G9807" t="s">
        <v>32853</v>
      </c>
      <c r="H9807" t="s">
        <v>33009</v>
      </c>
    </row>
    <row r="9808" spans="1:8">
      <c r="A9808" t="str">
        <f>"0218374 "</f>
        <v xml:space="preserve">0218374 </v>
      </c>
      <c r="B9808" t="s">
        <v>32848</v>
      </c>
      <c r="C9808" t="s">
        <v>33011</v>
      </c>
      <c r="D9808" t="s">
        <v>33012</v>
      </c>
      <c r="E9808" t="s">
        <v>16</v>
      </c>
      <c r="F9808" t="s">
        <v>33013</v>
      </c>
      <c r="G9808" t="s">
        <v>32853</v>
      </c>
      <c r="H9808" t="s">
        <v>33011</v>
      </c>
    </row>
    <row r="9809" spans="1:9">
      <c r="A9809" t="str">
        <f>"0218338 "</f>
        <v xml:space="preserve">0218338 </v>
      </c>
      <c r="B9809" t="s">
        <v>32848</v>
      </c>
      <c r="C9809" t="s">
        <v>33014</v>
      </c>
      <c r="D9809" t="s">
        <v>33015</v>
      </c>
      <c r="E9809" t="s">
        <v>16</v>
      </c>
      <c r="F9809" t="s">
        <v>32984</v>
      </c>
      <c r="G9809" t="s">
        <v>32853</v>
      </c>
      <c r="H9809" t="s">
        <v>33014</v>
      </c>
    </row>
    <row r="9810" spans="1:9">
      <c r="A9810" t="str">
        <f>"0218379 "</f>
        <v xml:space="preserve">0218379 </v>
      </c>
      <c r="B9810" t="s">
        <v>32848</v>
      </c>
      <c r="C9810" t="s">
        <v>33016</v>
      </c>
      <c r="D9810" t="s">
        <v>33017</v>
      </c>
      <c r="E9810" t="s">
        <v>16</v>
      </c>
      <c r="F9810" t="s">
        <v>32984</v>
      </c>
      <c r="G9810" t="s">
        <v>32853</v>
      </c>
      <c r="H9810" t="s">
        <v>33016</v>
      </c>
    </row>
    <row r="9811" spans="1:9">
      <c r="A9811" t="str">
        <f>"0218339 "</f>
        <v xml:space="preserve">0218339 </v>
      </c>
      <c r="B9811" t="s">
        <v>32848</v>
      </c>
      <c r="C9811" t="s">
        <v>33018</v>
      </c>
      <c r="D9811" t="s">
        <v>33015</v>
      </c>
      <c r="E9811" t="s">
        <v>16</v>
      </c>
      <c r="F9811" t="s">
        <v>32856</v>
      </c>
      <c r="G9811" t="s">
        <v>32853</v>
      </c>
      <c r="H9811" t="s">
        <v>33018</v>
      </c>
    </row>
    <row r="9812" spans="1:9">
      <c r="A9812" t="str">
        <f>"0231259 "</f>
        <v xml:space="preserve">0231259 </v>
      </c>
      <c r="B9812" t="s">
        <v>32848</v>
      </c>
      <c r="C9812" t="s">
        <v>23407</v>
      </c>
      <c r="D9812" t="s">
        <v>33019</v>
      </c>
      <c r="E9812" t="s">
        <v>16</v>
      </c>
      <c r="F9812" t="s">
        <v>33020</v>
      </c>
      <c r="G9812" t="s">
        <v>32853</v>
      </c>
      <c r="H9812" t="s">
        <v>23407</v>
      </c>
    </row>
    <row r="9813" spans="1:9">
      <c r="A9813" t="str">
        <f>"0218347 "</f>
        <v xml:space="preserve">0218347 </v>
      </c>
      <c r="B9813" t="s">
        <v>32848</v>
      </c>
      <c r="C9813" t="s">
        <v>33021</v>
      </c>
      <c r="D9813" t="s">
        <v>33022</v>
      </c>
      <c r="E9813" t="s">
        <v>16</v>
      </c>
      <c r="F9813" t="s">
        <v>33020</v>
      </c>
      <c r="G9813" t="s">
        <v>32853</v>
      </c>
      <c r="H9813" t="s">
        <v>33021</v>
      </c>
    </row>
    <row r="9814" spans="1:9">
      <c r="A9814" t="str">
        <f>"0218349 "</f>
        <v xml:space="preserve">0218349 </v>
      </c>
      <c r="B9814" t="s">
        <v>32848</v>
      </c>
      <c r="C9814" t="s">
        <v>33023</v>
      </c>
      <c r="D9814" t="s">
        <v>33024</v>
      </c>
      <c r="E9814" t="s">
        <v>16</v>
      </c>
      <c r="F9814" t="s">
        <v>31033</v>
      </c>
      <c r="G9814" t="s">
        <v>32853</v>
      </c>
      <c r="H9814" t="s">
        <v>33023</v>
      </c>
    </row>
    <row r="9815" spans="1:9">
      <c r="A9815" t="str">
        <f>"0218372 "</f>
        <v xml:space="preserve">0218372 </v>
      </c>
      <c r="B9815" t="s">
        <v>32848</v>
      </c>
      <c r="C9815" t="s">
        <v>33025</v>
      </c>
      <c r="D9815" t="s">
        <v>33026</v>
      </c>
      <c r="E9815" t="s">
        <v>16</v>
      </c>
      <c r="F9815" t="s">
        <v>5018</v>
      </c>
      <c r="G9815" t="s">
        <v>32853</v>
      </c>
      <c r="H9815" t="s">
        <v>33025</v>
      </c>
    </row>
    <row r="9816" spans="1:9">
      <c r="A9816" t="str">
        <f>"0218351 "</f>
        <v xml:space="preserve">0218351 </v>
      </c>
      <c r="B9816" t="s">
        <v>32848</v>
      </c>
      <c r="C9816" t="s">
        <v>33027</v>
      </c>
      <c r="D9816" t="s">
        <v>33028</v>
      </c>
      <c r="E9816" t="s">
        <v>16</v>
      </c>
      <c r="F9816" t="s">
        <v>33029</v>
      </c>
      <c r="G9816" t="s">
        <v>32853</v>
      </c>
      <c r="H9816" t="s">
        <v>33027</v>
      </c>
    </row>
    <row r="9817" spans="1:9">
      <c r="A9817" t="str">
        <f>"0218352 "</f>
        <v xml:space="preserve">0218352 </v>
      </c>
      <c r="B9817" t="s">
        <v>32848</v>
      </c>
      <c r="C9817" t="s">
        <v>33030</v>
      </c>
      <c r="D9817" t="s">
        <v>33031</v>
      </c>
      <c r="E9817" t="s">
        <v>16</v>
      </c>
      <c r="F9817" t="s">
        <v>33032</v>
      </c>
      <c r="G9817" t="s">
        <v>32853</v>
      </c>
      <c r="H9817" t="s">
        <v>33030</v>
      </c>
    </row>
    <row r="9818" spans="1:9">
      <c r="A9818" t="str">
        <f>"0131887 "</f>
        <v xml:space="preserve">0131887 </v>
      </c>
      <c r="B9818" t="s">
        <v>33033</v>
      </c>
      <c r="C9818" t="s">
        <v>33034</v>
      </c>
      <c r="D9818" t="s">
        <v>33035</v>
      </c>
      <c r="E9818">
        <v>2</v>
      </c>
      <c r="F9818" t="s">
        <v>33036</v>
      </c>
      <c r="G9818" t="s">
        <v>33037</v>
      </c>
      <c r="H9818" t="s">
        <v>33034</v>
      </c>
      <c r="I9818" t="s">
        <v>33038</v>
      </c>
    </row>
    <row r="9819" spans="1:9">
      <c r="A9819" t="str">
        <f>"0013789 "</f>
        <v xml:space="preserve">0013789 </v>
      </c>
      <c r="B9819" t="s">
        <v>33033</v>
      </c>
      <c r="C9819">
        <v>17028</v>
      </c>
      <c r="D9819" t="s">
        <v>33039</v>
      </c>
      <c r="E9819" t="s">
        <v>16</v>
      </c>
      <c r="F9819" s="3">
        <v>17349</v>
      </c>
      <c r="G9819" t="s">
        <v>33037</v>
      </c>
      <c r="H9819">
        <v>17028</v>
      </c>
    </row>
    <row r="9820" spans="1:9">
      <c r="A9820" t="str">
        <f>"0013790 "</f>
        <v xml:space="preserve">0013790 </v>
      </c>
      <c r="B9820" t="s">
        <v>33033</v>
      </c>
      <c r="C9820">
        <v>17029</v>
      </c>
      <c r="D9820" t="s">
        <v>33040</v>
      </c>
      <c r="E9820" t="s">
        <v>16</v>
      </c>
      <c r="F9820" s="3">
        <v>17349</v>
      </c>
      <c r="G9820" t="s">
        <v>33037</v>
      </c>
      <c r="H9820">
        <v>17029</v>
      </c>
    </row>
    <row r="9821" spans="1:9">
      <c r="A9821" t="str">
        <f>"0013796 "</f>
        <v xml:space="preserve">0013796 </v>
      </c>
      <c r="B9821" t="s">
        <v>33033</v>
      </c>
      <c r="C9821">
        <v>17035</v>
      </c>
      <c r="D9821" t="s">
        <v>33041</v>
      </c>
      <c r="E9821" t="s">
        <v>16</v>
      </c>
      <c r="F9821" s="3">
        <v>17349</v>
      </c>
      <c r="G9821" t="s">
        <v>33037</v>
      </c>
      <c r="H9821">
        <v>17035</v>
      </c>
    </row>
    <row r="9822" spans="1:9">
      <c r="A9822" t="str">
        <f>"0013788 "</f>
        <v xml:space="preserve">0013788 </v>
      </c>
      <c r="B9822" t="s">
        <v>33033</v>
      </c>
      <c r="C9822">
        <v>17036</v>
      </c>
      <c r="D9822" t="s">
        <v>33042</v>
      </c>
      <c r="E9822" t="s">
        <v>16</v>
      </c>
      <c r="F9822" s="3">
        <v>17349</v>
      </c>
      <c r="G9822" t="s">
        <v>33037</v>
      </c>
      <c r="H9822">
        <v>17036</v>
      </c>
    </row>
    <row r="9823" spans="1:9">
      <c r="A9823" t="str">
        <f>"0014059 "</f>
        <v xml:space="preserve">0014059 </v>
      </c>
      <c r="B9823" t="s">
        <v>33033</v>
      </c>
      <c r="C9823">
        <v>17037</v>
      </c>
      <c r="D9823" t="s">
        <v>33043</v>
      </c>
      <c r="E9823" t="s">
        <v>16</v>
      </c>
      <c r="F9823" s="3">
        <v>16103</v>
      </c>
      <c r="G9823" t="s">
        <v>33037</v>
      </c>
      <c r="H9823">
        <v>17037</v>
      </c>
    </row>
    <row r="9824" spans="1:9">
      <c r="A9824" t="str">
        <f>"0014062 "</f>
        <v xml:space="preserve">0014062 </v>
      </c>
      <c r="B9824" t="s">
        <v>33033</v>
      </c>
      <c r="C9824">
        <v>17040</v>
      </c>
      <c r="D9824" t="s">
        <v>33044</v>
      </c>
      <c r="E9824" t="s">
        <v>16</v>
      </c>
      <c r="F9824" s="3">
        <v>20880</v>
      </c>
      <c r="G9824" t="s">
        <v>33037</v>
      </c>
      <c r="H9824">
        <v>17040</v>
      </c>
    </row>
    <row r="9825" spans="1:8">
      <c r="A9825" t="str">
        <f>"0013786 "</f>
        <v xml:space="preserve">0013786 </v>
      </c>
      <c r="B9825" t="s">
        <v>33033</v>
      </c>
      <c r="C9825">
        <v>17046</v>
      </c>
      <c r="D9825" t="s">
        <v>33045</v>
      </c>
      <c r="E9825" t="s">
        <v>16</v>
      </c>
      <c r="F9825" s="3">
        <v>17349</v>
      </c>
      <c r="G9825" t="s">
        <v>33037</v>
      </c>
      <c r="H9825">
        <v>17046</v>
      </c>
    </row>
    <row r="9826" spans="1:8">
      <c r="A9826" t="str">
        <f>"0013793 "</f>
        <v xml:space="preserve">0013793 </v>
      </c>
      <c r="B9826" t="s">
        <v>33033</v>
      </c>
      <c r="C9826">
        <v>17048</v>
      </c>
      <c r="D9826" t="s">
        <v>33046</v>
      </c>
      <c r="E9826" t="s">
        <v>16</v>
      </c>
      <c r="F9826" s="3">
        <v>17349</v>
      </c>
      <c r="G9826" t="s">
        <v>33037</v>
      </c>
      <c r="H9826">
        <v>17048</v>
      </c>
    </row>
    <row r="9827" spans="1:8">
      <c r="A9827" t="str">
        <f>"0013811 "</f>
        <v xml:space="preserve">0013811 </v>
      </c>
      <c r="B9827" t="s">
        <v>33033</v>
      </c>
      <c r="C9827">
        <v>17052</v>
      </c>
      <c r="D9827" t="s">
        <v>33047</v>
      </c>
      <c r="E9827" t="s">
        <v>16</v>
      </c>
      <c r="F9827" s="3">
        <v>28338</v>
      </c>
      <c r="G9827" t="s">
        <v>33037</v>
      </c>
      <c r="H9827">
        <v>17052</v>
      </c>
    </row>
    <row r="9828" spans="1:8">
      <c r="A9828" t="str">
        <f>"0013810 "</f>
        <v xml:space="preserve">0013810 </v>
      </c>
      <c r="B9828" t="s">
        <v>33033</v>
      </c>
      <c r="C9828">
        <v>17054</v>
      </c>
      <c r="D9828" t="s">
        <v>33048</v>
      </c>
      <c r="E9828" t="s">
        <v>16</v>
      </c>
      <c r="F9828" s="3">
        <v>28338</v>
      </c>
      <c r="G9828" t="s">
        <v>33037</v>
      </c>
      <c r="H9828">
        <v>17054</v>
      </c>
    </row>
    <row r="9829" spans="1:8">
      <c r="A9829" t="str">
        <f>"0013808 "</f>
        <v xml:space="preserve">0013808 </v>
      </c>
      <c r="B9829" t="s">
        <v>33033</v>
      </c>
      <c r="C9829">
        <v>17057</v>
      </c>
      <c r="D9829" t="s">
        <v>33049</v>
      </c>
      <c r="E9829" t="s">
        <v>16</v>
      </c>
      <c r="F9829" s="3">
        <v>17349</v>
      </c>
      <c r="G9829" t="s">
        <v>33037</v>
      </c>
      <c r="H9829">
        <v>17057</v>
      </c>
    </row>
    <row r="9830" spans="1:8">
      <c r="A9830" t="str">
        <f>"0013795 "</f>
        <v xml:space="preserve">0013795 </v>
      </c>
      <c r="B9830" t="s">
        <v>33033</v>
      </c>
      <c r="C9830">
        <v>17060</v>
      </c>
      <c r="D9830" t="s">
        <v>33050</v>
      </c>
      <c r="E9830" t="s">
        <v>16</v>
      </c>
      <c r="F9830" s="3">
        <v>17349</v>
      </c>
      <c r="G9830" t="s">
        <v>33037</v>
      </c>
      <c r="H9830">
        <v>17060</v>
      </c>
    </row>
    <row r="9831" spans="1:8">
      <c r="A9831" t="str">
        <f>"0014068 "</f>
        <v xml:space="preserve">0014068 </v>
      </c>
      <c r="B9831" t="s">
        <v>33033</v>
      </c>
      <c r="C9831">
        <v>17097</v>
      </c>
      <c r="D9831" t="s">
        <v>33051</v>
      </c>
      <c r="E9831" t="s">
        <v>16</v>
      </c>
      <c r="F9831" s="3">
        <v>27791</v>
      </c>
      <c r="G9831" t="s">
        <v>33037</v>
      </c>
      <c r="H9831">
        <v>17097</v>
      </c>
    </row>
    <row r="9832" spans="1:8">
      <c r="A9832" t="str">
        <f>"0014023 "</f>
        <v xml:space="preserve">0014023 </v>
      </c>
      <c r="B9832" t="s">
        <v>33033</v>
      </c>
      <c r="C9832">
        <v>17131</v>
      </c>
      <c r="D9832" t="s">
        <v>33052</v>
      </c>
      <c r="E9832" t="s">
        <v>16</v>
      </c>
      <c r="F9832" s="3">
        <v>32933</v>
      </c>
      <c r="G9832" t="s">
        <v>33037</v>
      </c>
      <c r="H9832">
        <v>17131</v>
      </c>
    </row>
    <row r="9833" spans="1:8">
      <c r="A9833" t="str">
        <f>"0013835 "</f>
        <v xml:space="preserve">0013835 </v>
      </c>
      <c r="B9833" t="s">
        <v>33033</v>
      </c>
      <c r="C9833">
        <v>17136</v>
      </c>
      <c r="D9833" t="s">
        <v>33053</v>
      </c>
      <c r="E9833" t="s">
        <v>16</v>
      </c>
      <c r="F9833" s="3">
        <v>43952</v>
      </c>
      <c r="G9833" t="s">
        <v>33037</v>
      </c>
      <c r="H9833">
        <v>17136</v>
      </c>
    </row>
    <row r="9834" spans="1:8">
      <c r="A9834" t="str">
        <f>"0014025 "</f>
        <v xml:space="preserve">0014025 </v>
      </c>
      <c r="B9834" t="s">
        <v>33033</v>
      </c>
      <c r="C9834">
        <v>17137</v>
      </c>
      <c r="D9834" t="s">
        <v>33054</v>
      </c>
      <c r="E9834" t="s">
        <v>16</v>
      </c>
      <c r="F9834" t="s">
        <v>33055</v>
      </c>
      <c r="G9834" t="s">
        <v>33037</v>
      </c>
      <c r="H9834">
        <v>17137</v>
      </c>
    </row>
    <row r="9835" spans="1:8">
      <c r="A9835" t="str">
        <f>"0014026 "</f>
        <v xml:space="preserve">0014026 </v>
      </c>
      <c r="B9835" t="s">
        <v>33033</v>
      </c>
      <c r="C9835">
        <v>17141</v>
      </c>
      <c r="D9835" t="s">
        <v>33056</v>
      </c>
      <c r="E9835" t="s">
        <v>16</v>
      </c>
      <c r="F9835" s="3">
        <v>14336</v>
      </c>
      <c r="G9835" t="s">
        <v>33037</v>
      </c>
      <c r="H9835">
        <v>17141</v>
      </c>
    </row>
    <row r="9836" spans="1:8">
      <c r="A9836" t="str">
        <f>"0014079 "</f>
        <v xml:space="preserve">0014079 </v>
      </c>
      <c r="B9836" t="s">
        <v>33033</v>
      </c>
      <c r="C9836">
        <v>17169</v>
      </c>
      <c r="D9836" t="s">
        <v>33057</v>
      </c>
      <c r="E9836" t="s">
        <v>16</v>
      </c>
      <c r="F9836" s="3">
        <v>24807</v>
      </c>
      <c r="G9836" t="s">
        <v>33037</v>
      </c>
      <c r="H9836">
        <v>17169</v>
      </c>
    </row>
    <row r="9837" spans="1:8">
      <c r="A9837" t="str">
        <f>"0014001 "</f>
        <v xml:space="preserve">0014001 </v>
      </c>
      <c r="B9837" t="s">
        <v>33033</v>
      </c>
      <c r="C9837">
        <v>17171</v>
      </c>
      <c r="D9837" t="s">
        <v>33058</v>
      </c>
      <c r="E9837" t="s">
        <v>16</v>
      </c>
      <c r="F9837" s="3">
        <v>26024</v>
      </c>
      <c r="G9837" t="s">
        <v>33037</v>
      </c>
      <c r="H9837">
        <v>17171</v>
      </c>
    </row>
    <row r="9838" spans="1:8">
      <c r="A9838" t="str">
        <f>"0013817 "</f>
        <v xml:space="preserve">0013817 </v>
      </c>
      <c r="B9838" t="s">
        <v>33033</v>
      </c>
      <c r="C9838">
        <v>17175</v>
      </c>
      <c r="D9838" t="s">
        <v>33059</v>
      </c>
      <c r="E9838" t="s">
        <v>16</v>
      </c>
      <c r="F9838" s="3">
        <v>24259</v>
      </c>
      <c r="G9838" t="s">
        <v>33037</v>
      </c>
      <c r="H9838">
        <v>17175</v>
      </c>
    </row>
    <row r="9839" spans="1:8">
      <c r="A9839" t="str">
        <f>"0014071 "</f>
        <v xml:space="preserve">0014071 </v>
      </c>
      <c r="B9839" t="s">
        <v>33033</v>
      </c>
      <c r="C9839">
        <v>17177</v>
      </c>
      <c r="D9839" t="s">
        <v>33060</v>
      </c>
      <c r="E9839" t="s">
        <v>16</v>
      </c>
      <c r="F9839" s="3">
        <v>27791</v>
      </c>
      <c r="G9839" t="s">
        <v>33037</v>
      </c>
      <c r="H9839">
        <v>17177</v>
      </c>
    </row>
    <row r="9840" spans="1:8">
      <c r="A9840" t="str">
        <f>"0014003 "</f>
        <v xml:space="preserve">0014003 </v>
      </c>
      <c r="B9840" t="s">
        <v>33033</v>
      </c>
      <c r="C9840">
        <v>17181</v>
      </c>
      <c r="D9840" t="s">
        <v>33061</v>
      </c>
      <c r="E9840" t="s">
        <v>16</v>
      </c>
      <c r="F9840" s="3">
        <v>18415</v>
      </c>
      <c r="G9840" t="s">
        <v>33037</v>
      </c>
      <c r="H9840">
        <v>17181</v>
      </c>
    </row>
    <row r="9841" spans="1:8">
      <c r="A9841" t="str">
        <f>"0014074 "</f>
        <v xml:space="preserve">0014074 </v>
      </c>
      <c r="B9841" t="s">
        <v>33033</v>
      </c>
      <c r="C9841">
        <v>17189</v>
      </c>
      <c r="D9841" t="s">
        <v>33062</v>
      </c>
      <c r="E9841" t="s">
        <v>16</v>
      </c>
      <c r="F9841" t="s">
        <v>33063</v>
      </c>
      <c r="G9841" t="s">
        <v>33037</v>
      </c>
      <c r="H9841">
        <v>17189</v>
      </c>
    </row>
    <row r="9842" spans="1:8">
      <c r="A9842" t="str">
        <f>"0014076 "</f>
        <v xml:space="preserve">0014076 </v>
      </c>
      <c r="B9842" t="s">
        <v>33033</v>
      </c>
      <c r="C9842">
        <v>17197</v>
      </c>
      <c r="D9842" t="s">
        <v>33064</v>
      </c>
      <c r="E9842" t="s">
        <v>16</v>
      </c>
      <c r="F9842" s="3">
        <v>20180</v>
      </c>
      <c r="G9842" t="s">
        <v>33037</v>
      </c>
      <c r="H9842">
        <v>17197</v>
      </c>
    </row>
    <row r="9843" spans="1:8">
      <c r="A9843" t="str">
        <f>"0013988 "</f>
        <v xml:space="preserve">0013988 </v>
      </c>
      <c r="B9843" t="s">
        <v>33033</v>
      </c>
      <c r="C9843">
        <v>17311</v>
      </c>
      <c r="D9843" t="s">
        <v>33065</v>
      </c>
      <c r="E9843" t="s">
        <v>16</v>
      </c>
      <c r="F9843" s="3">
        <v>42186</v>
      </c>
      <c r="G9843" t="s">
        <v>33037</v>
      </c>
      <c r="H9843">
        <v>17311</v>
      </c>
    </row>
    <row r="9844" spans="1:8">
      <c r="A9844" t="str">
        <f>"0013800 "</f>
        <v xml:space="preserve">0013800 </v>
      </c>
      <c r="B9844" t="s">
        <v>33033</v>
      </c>
      <c r="C9844">
        <v>17314</v>
      </c>
      <c r="D9844" t="s">
        <v>33066</v>
      </c>
      <c r="E9844" t="s">
        <v>16</v>
      </c>
      <c r="F9844" s="3">
        <v>26024</v>
      </c>
      <c r="G9844" t="s">
        <v>33037</v>
      </c>
      <c r="H9844">
        <v>17314</v>
      </c>
    </row>
    <row r="9845" spans="1:8">
      <c r="A9845" t="str">
        <f>"0013797 "</f>
        <v xml:space="preserve">0013797 </v>
      </c>
      <c r="B9845" t="s">
        <v>33033</v>
      </c>
      <c r="C9845">
        <v>17315</v>
      </c>
      <c r="D9845" t="s">
        <v>33067</v>
      </c>
      <c r="E9845" t="s">
        <v>16</v>
      </c>
      <c r="F9845" s="1">
        <v>43077</v>
      </c>
      <c r="G9845" t="s">
        <v>33037</v>
      </c>
      <c r="H9845">
        <v>17315</v>
      </c>
    </row>
    <row r="9846" spans="1:8">
      <c r="A9846" t="str">
        <f>"0013799 "</f>
        <v xml:space="preserve">0013799 </v>
      </c>
      <c r="B9846" t="s">
        <v>33033</v>
      </c>
      <c r="C9846">
        <v>17316</v>
      </c>
      <c r="D9846" t="s">
        <v>33068</v>
      </c>
      <c r="E9846" t="s">
        <v>16</v>
      </c>
      <c r="F9846" s="3">
        <v>43952</v>
      </c>
      <c r="G9846" t="s">
        <v>33037</v>
      </c>
      <c r="H9846">
        <v>17316</v>
      </c>
    </row>
    <row r="9847" spans="1:8">
      <c r="A9847" t="str">
        <f>"0013990 "</f>
        <v xml:space="preserve">0013990 </v>
      </c>
      <c r="B9847" t="s">
        <v>33033</v>
      </c>
      <c r="C9847">
        <v>17326</v>
      </c>
      <c r="D9847" t="s">
        <v>33069</v>
      </c>
      <c r="E9847" t="s">
        <v>16</v>
      </c>
      <c r="F9847" s="3">
        <v>17349</v>
      </c>
      <c r="G9847" t="s">
        <v>33037</v>
      </c>
      <c r="H9847">
        <v>17326</v>
      </c>
    </row>
    <row r="9848" spans="1:8">
      <c r="A9848" t="str">
        <f>"0014067 "</f>
        <v xml:space="preserve">0014067 </v>
      </c>
      <c r="B9848" t="s">
        <v>33033</v>
      </c>
      <c r="C9848">
        <v>17632</v>
      </c>
      <c r="D9848" t="s">
        <v>33070</v>
      </c>
      <c r="E9848" t="s">
        <v>16</v>
      </c>
      <c r="F9848" t="s">
        <v>33071</v>
      </c>
      <c r="G9848" t="s">
        <v>33037</v>
      </c>
      <c r="H9848">
        <v>17632</v>
      </c>
    </row>
    <row r="9849" spans="1:8">
      <c r="A9849" t="str">
        <f>"0013973 "</f>
        <v xml:space="preserve">0013973 </v>
      </c>
      <c r="B9849" t="s">
        <v>33033</v>
      </c>
      <c r="C9849">
        <v>17635</v>
      </c>
      <c r="D9849" t="s">
        <v>33072</v>
      </c>
      <c r="E9849" t="s">
        <v>16</v>
      </c>
      <c r="F9849" s="3">
        <v>24259</v>
      </c>
      <c r="G9849" t="s">
        <v>33037</v>
      </c>
      <c r="H9849">
        <v>17635</v>
      </c>
    </row>
    <row r="9850" spans="1:8">
      <c r="A9850" t="str">
        <f>"0013983 "</f>
        <v xml:space="preserve">0013983 </v>
      </c>
      <c r="B9850" t="s">
        <v>33033</v>
      </c>
      <c r="C9850">
        <v>17638</v>
      </c>
      <c r="D9850" t="s">
        <v>33073</v>
      </c>
      <c r="E9850" t="s">
        <v>16</v>
      </c>
      <c r="F9850" s="3">
        <v>33482</v>
      </c>
      <c r="G9850" t="s">
        <v>33037</v>
      </c>
      <c r="H9850">
        <v>17638</v>
      </c>
    </row>
    <row r="9851" spans="1:8">
      <c r="A9851" t="str">
        <f>"0013976 "</f>
        <v xml:space="preserve">0013976 </v>
      </c>
      <c r="B9851" t="s">
        <v>33033</v>
      </c>
      <c r="C9851">
        <v>17643</v>
      </c>
      <c r="D9851" t="s">
        <v>33074</v>
      </c>
      <c r="E9851" t="s">
        <v>16</v>
      </c>
      <c r="F9851" s="3">
        <v>42186</v>
      </c>
      <c r="G9851" t="s">
        <v>33037</v>
      </c>
      <c r="H9851">
        <v>17643</v>
      </c>
    </row>
    <row r="9852" spans="1:8">
      <c r="A9852" t="str">
        <f>"0013879 "</f>
        <v xml:space="preserve">0013879 </v>
      </c>
      <c r="B9852" t="s">
        <v>33033</v>
      </c>
      <c r="C9852">
        <v>17833</v>
      </c>
      <c r="D9852" t="s">
        <v>33075</v>
      </c>
      <c r="E9852" t="s">
        <v>16</v>
      </c>
      <c r="F9852" t="s">
        <v>33076</v>
      </c>
      <c r="G9852" t="s">
        <v>33037</v>
      </c>
      <c r="H9852">
        <v>17833</v>
      </c>
    </row>
    <row r="9853" spans="1:8">
      <c r="A9853" t="str">
        <f>"0013965 "</f>
        <v xml:space="preserve">0013965 </v>
      </c>
      <c r="B9853" t="s">
        <v>33033</v>
      </c>
      <c r="C9853">
        <v>17881</v>
      </c>
      <c r="D9853" t="s">
        <v>33077</v>
      </c>
      <c r="E9853" t="s">
        <v>16</v>
      </c>
      <c r="F9853" s="3">
        <v>14885</v>
      </c>
      <c r="G9853" t="s">
        <v>33037</v>
      </c>
      <c r="H9853">
        <v>17881</v>
      </c>
    </row>
    <row r="9854" spans="1:8">
      <c r="A9854" t="str">
        <f>"0013968 "</f>
        <v xml:space="preserve">0013968 </v>
      </c>
      <c r="B9854" t="s">
        <v>33033</v>
      </c>
      <c r="C9854">
        <v>17916</v>
      </c>
      <c r="D9854" t="s">
        <v>33078</v>
      </c>
      <c r="E9854" t="s">
        <v>16</v>
      </c>
      <c r="F9854" s="3">
        <v>12571</v>
      </c>
      <c r="G9854" t="s">
        <v>33037</v>
      </c>
      <c r="H9854">
        <v>17916</v>
      </c>
    </row>
    <row r="9855" spans="1:8">
      <c r="A9855" t="str">
        <f>"0014066 "</f>
        <v xml:space="preserve">0014066 </v>
      </c>
      <c r="B9855" t="s">
        <v>33033</v>
      </c>
      <c r="C9855">
        <v>17919</v>
      </c>
      <c r="D9855" t="s">
        <v>33079</v>
      </c>
      <c r="E9855" t="s">
        <v>16</v>
      </c>
      <c r="F9855" t="s">
        <v>33080</v>
      </c>
      <c r="G9855" t="s">
        <v>33037</v>
      </c>
      <c r="H9855">
        <v>17919</v>
      </c>
    </row>
    <row r="9856" spans="1:8">
      <c r="A9856" t="str">
        <f>"0013970 "</f>
        <v xml:space="preserve">0013970 </v>
      </c>
      <c r="B9856" t="s">
        <v>33033</v>
      </c>
      <c r="C9856">
        <v>17925</v>
      </c>
      <c r="D9856" t="s">
        <v>33081</v>
      </c>
      <c r="E9856" t="s">
        <v>16</v>
      </c>
      <c r="F9856" s="3">
        <v>11505</v>
      </c>
      <c r="G9856" t="s">
        <v>33037</v>
      </c>
      <c r="H9856">
        <v>17925</v>
      </c>
    </row>
    <row r="9857" spans="1:8">
      <c r="A9857" t="str">
        <f>"0013947 "</f>
        <v xml:space="preserve">0013947 </v>
      </c>
      <c r="B9857" t="s">
        <v>33033</v>
      </c>
      <c r="C9857">
        <v>48004</v>
      </c>
      <c r="D9857" t="s">
        <v>33082</v>
      </c>
      <c r="E9857">
        <v>2</v>
      </c>
      <c r="F9857" t="s">
        <v>10486</v>
      </c>
      <c r="G9857" t="s">
        <v>33037</v>
      </c>
      <c r="H9857">
        <v>48004</v>
      </c>
    </row>
    <row r="9858" spans="1:8">
      <c r="A9858" t="str">
        <f>"0013957 "</f>
        <v xml:space="preserve">0013957 </v>
      </c>
      <c r="B9858" t="s">
        <v>33033</v>
      </c>
      <c r="C9858">
        <v>48006</v>
      </c>
      <c r="D9858" t="s">
        <v>33083</v>
      </c>
      <c r="E9858">
        <v>2</v>
      </c>
      <c r="F9858" t="s">
        <v>33084</v>
      </c>
      <c r="G9858" t="s">
        <v>33037</v>
      </c>
      <c r="H9858">
        <v>48006</v>
      </c>
    </row>
    <row r="9859" spans="1:8">
      <c r="A9859" t="str">
        <f>"0013889 "</f>
        <v xml:space="preserve">0013889 </v>
      </c>
      <c r="B9859" t="s">
        <v>33033</v>
      </c>
      <c r="C9859">
        <v>48042</v>
      </c>
      <c r="D9859" t="s">
        <v>33085</v>
      </c>
      <c r="E9859" t="s">
        <v>16</v>
      </c>
      <c r="F9859" t="s">
        <v>1686</v>
      </c>
      <c r="G9859" t="s">
        <v>33037</v>
      </c>
      <c r="H9859">
        <v>48042</v>
      </c>
    </row>
    <row r="9860" spans="1:8">
      <c r="A9860" t="str">
        <f>"0013781 "</f>
        <v xml:space="preserve">0013781 </v>
      </c>
      <c r="B9860" t="s">
        <v>33033</v>
      </c>
      <c r="C9860">
        <v>48055</v>
      </c>
      <c r="D9860" t="s">
        <v>33086</v>
      </c>
      <c r="E9860" t="s">
        <v>16</v>
      </c>
      <c r="F9860" t="s">
        <v>33087</v>
      </c>
      <c r="G9860" t="s">
        <v>33037</v>
      </c>
      <c r="H9860">
        <v>48055</v>
      </c>
    </row>
    <row r="9861" spans="1:8">
      <c r="A9861" t="str">
        <f>"0013880 "</f>
        <v xml:space="preserve">0013880 </v>
      </c>
      <c r="B9861" t="s">
        <v>33033</v>
      </c>
      <c r="C9861">
        <v>48078</v>
      </c>
      <c r="D9861" t="s">
        <v>33088</v>
      </c>
      <c r="E9861" t="s">
        <v>16</v>
      </c>
      <c r="F9861" t="s">
        <v>33089</v>
      </c>
      <c r="G9861" t="s">
        <v>33037</v>
      </c>
      <c r="H9861">
        <v>48078</v>
      </c>
    </row>
    <row r="9862" spans="1:8">
      <c r="A9862" t="str">
        <f>"0013878 "</f>
        <v xml:space="preserve">0013878 </v>
      </c>
      <c r="B9862" t="s">
        <v>33033</v>
      </c>
      <c r="C9862">
        <v>48095</v>
      </c>
      <c r="D9862" t="s">
        <v>33090</v>
      </c>
      <c r="E9862">
        <v>2</v>
      </c>
      <c r="F9862" t="s">
        <v>227</v>
      </c>
      <c r="G9862" t="s">
        <v>33037</v>
      </c>
      <c r="H9862">
        <v>48095</v>
      </c>
    </row>
    <row r="9863" spans="1:8">
      <c r="A9863" t="str">
        <f>"0013871 "</f>
        <v xml:space="preserve">0013871 </v>
      </c>
      <c r="B9863" t="s">
        <v>33033</v>
      </c>
      <c r="C9863">
        <v>48320</v>
      </c>
      <c r="D9863" t="s">
        <v>33091</v>
      </c>
      <c r="E9863" t="s">
        <v>16</v>
      </c>
      <c r="F9863" t="s">
        <v>33092</v>
      </c>
      <c r="G9863" t="s">
        <v>33037</v>
      </c>
      <c r="H9863">
        <v>48320</v>
      </c>
    </row>
    <row r="9864" spans="1:8">
      <c r="A9864" t="str">
        <f>"0013892 "</f>
        <v xml:space="preserve">0013892 </v>
      </c>
      <c r="B9864" t="s">
        <v>33033</v>
      </c>
      <c r="C9864">
        <v>48321</v>
      </c>
      <c r="D9864" t="s">
        <v>33093</v>
      </c>
      <c r="E9864" t="s">
        <v>16</v>
      </c>
      <c r="F9864" s="1">
        <v>43036</v>
      </c>
      <c r="G9864" t="s">
        <v>33037</v>
      </c>
      <c r="H9864">
        <v>48321</v>
      </c>
    </row>
    <row r="9865" spans="1:8">
      <c r="A9865" t="str">
        <f>"0013932 "</f>
        <v xml:space="preserve">0013932 </v>
      </c>
      <c r="B9865" t="s">
        <v>33033</v>
      </c>
      <c r="C9865">
        <v>48328</v>
      </c>
      <c r="D9865" t="s">
        <v>33094</v>
      </c>
      <c r="E9865" t="s">
        <v>16</v>
      </c>
      <c r="F9865" t="s">
        <v>33095</v>
      </c>
      <c r="G9865" t="s">
        <v>33037</v>
      </c>
      <c r="H9865">
        <v>48328</v>
      </c>
    </row>
    <row r="9866" spans="1:8">
      <c r="A9866" t="str">
        <f>"0038710 "</f>
        <v xml:space="preserve">0038710 </v>
      </c>
      <c r="B9866" t="s">
        <v>33033</v>
      </c>
      <c r="C9866" t="s">
        <v>33096</v>
      </c>
      <c r="D9866" t="s">
        <v>33097</v>
      </c>
      <c r="E9866">
        <v>2</v>
      </c>
      <c r="F9866" t="s">
        <v>33098</v>
      </c>
      <c r="G9866" t="s">
        <v>33037</v>
      </c>
      <c r="H9866">
        <v>48643</v>
      </c>
    </row>
    <row r="9867" spans="1:8">
      <c r="A9867" t="str">
        <f>"0013898 "</f>
        <v xml:space="preserve">0013898 </v>
      </c>
      <c r="B9867" t="s">
        <v>33033</v>
      </c>
      <c r="C9867">
        <v>48700</v>
      </c>
      <c r="D9867" t="s">
        <v>33099</v>
      </c>
      <c r="E9867" t="s">
        <v>16</v>
      </c>
      <c r="F9867" t="s">
        <v>33100</v>
      </c>
      <c r="G9867" t="s">
        <v>33037</v>
      </c>
      <c r="H9867">
        <v>48700</v>
      </c>
    </row>
    <row r="9868" spans="1:8">
      <c r="A9868" t="str">
        <f>"0013875 "</f>
        <v xml:space="preserve">0013875 </v>
      </c>
      <c r="B9868" t="s">
        <v>33033</v>
      </c>
      <c r="C9868">
        <v>48702</v>
      </c>
      <c r="D9868" t="s">
        <v>33101</v>
      </c>
      <c r="E9868" t="s">
        <v>16</v>
      </c>
      <c r="F9868" t="s">
        <v>33102</v>
      </c>
      <c r="G9868" t="s">
        <v>33037</v>
      </c>
      <c r="H9868">
        <v>48702</v>
      </c>
    </row>
    <row r="9869" spans="1:8">
      <c r="A9869" t="str">
        <f>"0013940 "</f>
        <v xml:space="preserve">0013940 </v>
      </c>
      <c r="B9869" t="s">
        <v>33033</v>
      </c>
      <c r="C9869">
        <v>48728</v>
      </c>
      <c r="D9869" t="s">
        <v>33103</v>
      </c>
      <c r="E9869">
        <v>5</v>
      </c>
      <c r="F9869" t="s">
        <v>33104</v>
      </c>
      <c r="G9869" t="s">
        <v>33037</v>
      </c>
      <c r="H9869">
        <v>48728</v>
      </c>
    </row>
    <row r="9870" spans="1:8">
      <c r="A9870" t="str">
        <f>"0013908 "</f>
        <v xml:space="preserve">0013908 </v>
      </c>
      <c r="B9870" t="s">
        <v>33033</v>
      </c>
      <c r="C9870">
        <v>48881</v>
      </c>
      <c r="D9870" t="s">
        <v>33105</v>
      </c>
      <c r="E9870" t="s">
        <v>16</v>
      </c>
      <c r="F9870" t="s">
        <v>33076</v>
      </c>
      <c r="G9870" t="s">
        <v>33037</v>
      </c>
      <c r="H9870">
        <v>48881</v>
      </c>
    </row>
    <row r="9871" spans="1:8">
      <c r="A9871" t="str">
        <f>"0013919 "</f>
        <v xml:space="preserve">0013919 </v>
      </c>
      <c r="B9871" t="s">
        <v>33033</v>
      </c>
      <c r="C9871">
        <v>48884</v>
      </c>
      <c r="D9871" t="s">
        <v>33106</v>
      </c>
      <c r="E9871" t="s">
        <v>16</v>
      </c>
      <c r="F9871" t="s">
        <v>33107</v>
      </c>
      <c r="G9871" t="s">
        <v>33037</v>
      </c>
      <c r="H9871">
        <v>48884</v>
      </c>
    </row>
    <row r="9872" spans="1:8">
      <c r="A9872" t="str">
        <f>"0013923 "</f>
        <v xml:space="preserve">0013923 </v>
      </c>
      <c r="B9872" t="s">
        <v>33033</v>
      </c>
      <c r="C9872">
        <v>48892</v>
      </c>
      <c r="D9872" t="s">
        <v>33108</v>
      </c>
      <c r="E9872" t="s">
        <v>16</v>
      </c>
      <c r="F9872" t="s">
        <v>33109</v>
      </c>
      <c r="G9872" t="s">
        <v>33037</v>
      </c>
      <c r="H9872">
        <v>48892</v>
      </c>
    </row>
    <row r="9873" spans="1:9">
      <c r="A9873" t="str">
        <f>"0013929 "</f>
        <v xml:space="preserve">0013929 </v>
      </c>
      <c r="B9873" t="s">
        <v>33033</v>
      </c>
      <c r="C9873">
        <v>68161</v>
      </c>
      <c r="D9873" t="s">
        <v>33110</v>
      </c>
      <c r="E9873" t="s">
        <v>16</v>
      </c>
      <c r="F9873" t="s">
        <v>33111</v>
      </c>
      <c r="G9873" t="s">
        <v>33037</v>
      </c>
      <c r="H9873">
        <v>68161</v>
      </c>
    </row>
    <row r="9874" spans="1:9">
      <c r="A9874" t="str">
        <f>"0014075 "</f>
        <v xml:space="preserve">0014075 </v>
      </c>
      <c r="B9874" t="s">
        <v>33033</v>
      </c>
      <c r="C9874">
        <v>70717</v>
      </c>
      <c r="D9874" t="s">
        <v>33112</v>
      </c>
      <c r="E9874" t="s">
        <v>16</v>
      </c>
      <c r="F9874" t="s">
        <v>33113</v>
      </c>
      <c r="G9874" t="s">
        <v>33037</v>
      </c>
      <c r="H9874">
        <v>70717</v>
      </c>
    </row>
    <row r="9875" spans="1:9">
      <c r="A9875" t="str">
        <f>"0013744 "</f>
        <v xml:space="preserve">0013744 </v>
      </c>
      <c r="B9875" t="s">
        <v>33114</v>
      </c>
      <c r="C9875" t="s">
        <v>33115</v>
      </c>
      <c r="D9875" t="s">
        <v>33116</v>
      </c>
      <c r="E9875" t="s">
        <v>16</v>
      </c>
      <c r="F9875" t="s">
        <v>33117</v>
      </c>
      <c r="G9875" t="s">
        <v>33118</v>
      </c>
      <c r="H9875" t="s">
        <v>33115</v>
      </c>
    </row>
    <row r="9876" spans="1:9">
      <c r="A9876" t="str">
        <f>"0013760 "</f>
        <v xml:space="preserve">0013760 </v>
      </c>
      <c r="B9876" t="s">
        <v>33114</v>
      </c>
      <c r="C9876" t="s">
        <v>33119</v>
      </c>
      <c r="D9876" t="s">
        <v>33120</v>
      </c>
      <c r="E9876" t="s">
        <v>16</v>
      </c>
      <c r="F9876" t="s">
        <v>30592</v>
      </c>
      <c r="G9876" t="s">
        <v>33118</v>
      </c>
      <c r="H9876" t="s">
        <v>33119</v>
      </c>
    </row>
    <row r="9877" spans="1:9">
      <c r="A9877" t="str">
        <f>"0013748 "</f>
        <v xml:space="preserve">0013748 </v>
      </c>
      <c r="B9877" t="s">
        <v>33114</v>
      </c>
      <c r="C9877" t="s">
        <v>33121</v>
      </c>
      <c r="D9877" t="s">
        <v>33122</v>
      </c>
      <c r="E9877" t="s">
        <v>16</v>
      </c>
      <c r="F9877" s="3">
        <v>36312</v>
      </c>
      <c r="G9877" t="s">
        <v>33118</v>
      </c>
      <c r="H9877" t="s">
        <v>33121</v>
      </c>
    </row>
    <row r="9878" spans="1:9">
      <c r="A9878" t="str">
        <f>"0013527 "</f>
        <v xml:space="preserve">0013527 </v>
      </c>
      <c r="B9878" t="s">
        <v>33114</v>
      </c>
      <c r="C9878" t="s">
        <v>33123</v>
      </c>
      <c r="D9878" t="s">
        <v>33124</v>
      </c>
      <c r="E9878">
        <v>4</v>
      </c>
      <c r="F9878" t="s">
        <v>33125</v>
      </c>
      <c r="G9878" t="s">
        <v>33118</v>
      </c>
      <c r="H9878" t="s">
        <v>33123</v>
      </c>
      <c r="I9878" t="s">
        <v>33126</v>
      </c>
    </row>
    <row r="9879" spans="1:9">
      <c r="A9879" t="str">
        <f>"0013526 "</f>
        <v xml:space="preserve">0013526 </v>
      </c>
      <c r="B9879" t="s">
        <v>33114</v>
      </c>
      <c r="C9879" t="s">
        <v>33127</v>
      </c>
      <c r="D9879" t="s">
        <v>33128</v>
      </c>
      <c r="E9879" t="s">
        <v>16</v>
      </c>
      <c r="F9879" t="s">
        <v>33129</v>
      </c>
      <c r="G9879" t="s">
        <v>33118</v>
      </c>
      <c r="H9879" t="s">
        <v>33127</v>
      </c>
      <c r="I9879" t="s">
        <v>33126</v>
      </c>
    </row>
    <row r="9880" spans="1:9">
      <c r="A9880" t="str">
        <f>"0013529 "</f>
        <v xml:space="preserve">0013529 </v>
      </c>
      <c r="B9880" t="s">
        <v>33114</v>
      </c>
      <c r="C9880" t="s">
        <v>33130</v>
      </c>
      <c r="D9880" t="s">
        <v>33131</v>
      </c>
      <c r="E9880">
        <v>4</v>
      </c>
      <c r="F9880" t="s">
        <v>33132</v>
      </c>
      <c r="G9880" t="s">
        <v>33118</v>
      </c>
      <c r="H9880" t="s">
        <v>33130</v>
      </c>
      <c r="I9880" t="s">
        <v>33133</v>
      </c>
    </row>
    <row r="9881" spans="1:9">
      <c r="A9881" t="str">
        <f>"0201409 "</f>
        <v xml:space="preserve">0201409 </v>
      </c>
      <c r="B9881" t="s">
        <v>33114</v>
      </c>
      <c r="C9881" t="s">
        <v>33134</v>
      </c>
      <c r="D9881" t="s">
        <v>33135</v>
      </c>
      <c r="E9881">
        <v>3</v>
      </c>
      <c r="F9881" t="s">
        <v>33136</v>
      </c>
      <c r="G9881" t="s">
        <v>33118</v>
      </c>
      <c r="H9881" t="s">
        <v>33134</v>
      </c>
      <c r="I9881" t="s">
        <v>33137</v>
      </c>
    </row>
    <row r="9882" spans="1:9">
      <c r="A9882" t="str">
        <f>"0021056 "</f>
        <v xml:space="preserve">0021056 </v>
      </c>
      <c r="B9882" t="s">
        <v>33114</v>
      </c>
      <c r="C9882" t="s">
        <v>33138</v>
      </c>
      <c r="D9882" t="s">
        <v>33139</v>
      </c>
      <c r="E9882">
        <v>4</v>
      </c>
      <c r="F9882" t="s">
        <v>33140</v>
      </c>
      <c r="G9882" t="s">
        <v>33118</v>
      </c>
      <c r="H9882" t="s">
        <v>33138</v>
      </c>
      <c r="I9882" t="s">
        <v>33141</v>
      </c>
    </row>
    <row r="9883" spans="1:9">
      <c r="A9883" t="str">
        <f>"0013558 "</f>
        <v xml:space="preserve">0013558 </v>
      </c>
      <c r="B9883" t="s">
        <v>33114</v>
      </c>
      <c r="C9883" t="s">
        <v>33142</v>
      </c>
      <c r="D9883" t="s">
        <v>33143</v>
      </c>
      <c r="E9883">
        <v>4</v>
      </c>
      <c r="F9883" t="s">
        <v>33144</v>
      </c>
      <c r="G9883" t="s">
        <v>33118</v>
      </c>
      <c r="H9883" t="s">
        <v>33142</v>
      </c>
      <c r="I9883" t="s">
        <v>33126</v>
      </c>
    </row>
    <row r="9884" spans="1:9">
      <c r="A9884" t="str">
        <f>"0013557 "</f>
        <v xml:space="preserve">0013557 </v>
      </c>
      <c r="B9884" t="s">
        <v>33114</v>
      </c>
      <c r="C9884" t="s">
        <v>33145</v>
      </c>
      <c r="D9884" t="s">
        <v>33146</v>
      </c>
      <c r="E9884" t="s">
        <v>16</v>
      </c>
      <c r="F9884" t="s">
        <v>33129</v>
      </c>
      <c r="G9884" t="s">
        <v>33118</v>
      </c>
      <c r="H9884" t="s">
        <v>33145</v>
      </c>
      <c r="I9884" t="s">
        <v>33126</v>
      </c>
    </row>
    <row r="9885" spans="1:9">
      <c r="A9885" t="str">
        <f>"0155623 "</f>
        <v xml:space="preserve">0155623 </v>
      </c>
      <c r="B9885" t="s">
        <v>33114</v>
      </c>
      <c r="C9885" t="s">
        <v>33147</v>
      </c>
      <c r="D9885" t="s">
        <v>33148</v>
      </c>
      <c r="E9885" t="s">
        <v>16</v>
      </c>
      <c r="F9885" t="s">
        <v>33149</v>
      </c>
      <c r="G9885" t="s">
        <v>33118</v>
      </c>
      <c r="H9885" t="s">
        <v>33147</v>
      </c>
    </row>
    <row r="9886" spans="1:9">
      <c r="A9886" t="str">
        <f>"0013573 "</f>
        <v xml:space="preserve">0013573 </v>
      </c>
      <c r="B9886" t="s">
        <v>33114</v>
      </c>
      <c r="C9886" t="s">
        <v>33150</v>
      </c>
      <c r="D9886" t="s">
        <v>33151</v>
      </c>
      <c r="E9886">
        <v>2</v>
      </c>
      <c r="F9886" t="s">
        <v>33152</v>
      </c>
      <c r="G9886" t="s">
        <v>33118</v>
      </c>
      <c r="H9886" t="s">
        <v>33150</v>
      </c>
      <c r="I9886" t="s">
        <v>33153</v>
      </c>
    </row>
    <row r="9887" spans="1:9">
      <c r="A9887" t="str">
        <f>"0013586 "</f>
        <v xml:space="preserve">0013586 </v>
      </c>
      <c r="B9887" t="s">
        <v>33114</v>
      </c>
      <c r="C9887" t="s">
        <v>33154</v>
      </c>
      <c r="D9887" t="s">
        <v>33155</v>
      </c>
      <c r="E9887" t="s">
        <v>16</v>
      </c>
      <c r="F9887" t="s">
        <v>19892</v>
      </c>
      <c r="G9887" t="s">
        <v>33118</v>
      </c>
      <c r="H9887" t="s">
        <v>33154</v>
      </c>
      <c r="I9887" t="s">
        <v>33126</v>
      </c>
    </row>
    <row r="9888" spans="1:9">
      <c r="A9888" t="str">
        <f>"0013589 "</f>
        <v xml:space="preserve">0013589 </v>
      </c>
      <c r="B9888" t="s">
        <v>33114</v>
      </c>
      <c r="C9888" t="s">
        <v>33156</v>
      </c>
      <c r="D9888" t="s">
        <v>33157</v>
      </c>
      <c r="E9888">
        <v>4</v>
      </c>
      <c r="F9888" t="s">
        <v>33158</v>
      </c>
      <c r="G9888" t="s">
        <v>33118</v>
      </c>
      <c r="H9888" t="s">
        <v>33156</v>
      </c>
      <c r="I9888" t="s">
        <v>33159</v>
      </c>
    </row>
    <row r="9889" spans="1:9">
      <c r="A9889" t="str">
        <f>"0201416 "</f>
        <v xml:space="preserve">0201416 </v>
      </c>
      <c r="B9889" t="s">
        <v>33114</v>
      </c>
      <c r="C9889" t="s">
        <v>33160</v>
      </c>
      <c r="D9889" t="s">
        <v>33161</v>
      </c>
      <c r="E9889">
        <v>4</v>
      </c>
      <c r="F9889" t="s">
        <v>33162</v>
      </c>
      <c r="G9889" t="s">
        <v>33118</v>
      </c>
      <c r="H9889" t="s">
        <v>33160</v>
      </c>
      <c r="I9889" t="s">
        <v>33163</v>
      </c>
    </row>
    <row r="9890" spans="1:9">
      <c r="A9890" t="str">
        <f>"0201410 "</f>
        <v xml:space="preserve">0201410 </v>
      </c>
      <c r="B9890" t="s">
        <v>33114</v>
      </c>
      <c r="C9890" t="s">
        <v>33164</v>
      </c>
      <c r="D9890" t="s">
        <v>33165</v>
      </c>
      <c r="E9890">
        <v>2</v>
      </c>
      <c r="F9890" t="s">
        <v>33166</v>
      </c>
      <c r="G9890" t="s">
        <v>33118</v>
      </c>
      <c r="H9890" t="s">
        <v>33164</v>
      </c>
      <c r="I9890" t="s">
        <v>33167</v>
      </c>
    </row>
    <row r="9891" spans="1:9">
      <c r="A9891" t="str">
        <f>"0013550 "</f>
        <v xml:space="preserve">0013550 </v>
      </c>
      <c r="B9891" t="s">
        <v>33114</v>
      </c>
      <c r="C9891" t="s">
        <v>33168</v>
      </c>
      <c r="D9891" t="s">
        <v>33169</v>
      </c>
      <c r="E9891">
        <v>5</v>
      </c>
      <c r="F9891" t="s">
        <v>33170</v>
      </c>
      <c r="G9891" t="s">
        <v>33118</v>
      </c>
      <c r="H9891" t="s">
        <v>33168</v>
      </c>
    </row>
    <row r="9892" spans="1:9">
      <c r="A9892" t="str">
        <f>"0155613 "</f>
        <v xml:space="preserve">0155613 </v>
      </c>
      <c r="B9892" t="s">
        <v>33114</v>
      </c>
      <c r="C9892" t="s">
        <v>33171</v>
      </c>
      <c r="D9892" t="s">
        <v>33172</v>
      </c>
      <c r="E9892">
        <v>5</v>
      </c>
      <c r="F9892" t="s">
        <v>33173</v>
      </c>
      <c r="G9892" t="s">
        <v>33118</v>
      </c>
      <c r="H9892" t="s">
        <v>33171</v>
      </c>
    </row>
    <row r="9893" spans="1:9">
      <c r="A9893" t="str">
        <f>"0013699 "</f>
        <v xml:space="preserve">0013699 </v>
      </c>
      <c r="B9893" t="s">
        <v>33114</v>
      </c>
      <c r="C9893" t="s">
        <v>33174</v>
      </c>
      <c r="D9893" t="s">
        <v>33175</v>
      </c>
      <c r="E9893" t="s">
        <v>16</v>
      </c>
      <c r="F9893" t="s">
        <v>33176</v>
      </c>
      <c r="G9893" t="s">
        <v>33118</v>
      </c>
      <c r="H9893" t="s">
        <v>33174</v>
      </c>
    </row>
    <row r="9894" spans="1:9">
      <c r="A9894" t="str">
        <f>"0013684 "</f>
        <v xml:space="preserve">0013684 </v>
      </c>
      <c r="B9894" t="s">
        <v>33114</v>
      </c>
      <c r="C9894" t="s">
        <v>33177</v>
      </c>
      <c r="D9894" t="s">
        <v>33178</v>
      </c>
      <c r="E9894" t="s">
        <v>16</v>
      </c>
      <c r="F9894" s="3">
        <v>33482</v>
      </c>
      <c r="G9894" t="s">
        <v>33118</v>
      </c>
      <c r="H9894" t="s">
        <v>33177</v>
      </c>
    </row>
    <row r="9895" spans="1:9">
      <c r="A9895" t="str">
        <f>"0013680 "</f>
        <v xml:space="preserve">0013680 </v>
      </c>
      <c r="B9895" t="s">
        <v>33114</v>
      </c>
      <c r="C9895" t="s">
        <v>33179</v>
      </c>
      <c r="D9895" t="s">
        <v>33180</v>
      </c>
      <c r="E9895" t="s">
        <v>16</v>
      </c>
      <c r="F9895" s="1">
        <v>42866</v>
      </c>
      <c r="G9895" t="s">
        <v>33118</v>
      </c>
      <c r="H9895" t="s">
        <v>33179</v>
      </c>
    </row>
    <row r="9896" spans="1:9">
      <c r="A9896" t="str">
        <f>"0155656 "</f>
        <v xml:space="preserve">0155656 </v>
      </c>
      <c r="B9896" t="s">
        <v>33114</v>
      </c>
      <c r="C9896" t="s">
        <v>33181</v>
      </c>
      <c r="D9896" t="s">
        <v>33182</v>
      </c>
      <c r="E9896" t="s">
        <v>16</v>
      </c>
      <c r="F9896" t="s">
        <v>33183</v>
      </c>
      <c r="G9896" t="s">
        <v>33118</v>
      </c>
      <c r="H9896" t="s">
        <v>33181</v>
      </c>
    </row>
    <row r="9897" spans="1:9">
      <c r="A9897" t="str">
        <f>"0013735 "</f>
        <v xml:space="preserve">0013735 </v>
      </c>
      <c r="B9897" t="s">
        <v>33114</v>
      </c>
      <c r="C9897" t="s">
        <v>33184</v>
      </c>
      <c r="D9897" t="s">
        <v>33185</v>
      </c>
      <c r="E9897">
        <v>2</v>
      </c>
      <c r="F9897" t="s">
        <v>33186</v>
      </c>
      <c r="G9897" t="s">
        <v>33118</v>
      </c>
      <c r="H9897" t="s">
        <v>33184</v>
      </c>
    </row>
    <row r="9898" spans="1:9">
      <c r="A9898" t="str">
        <f>"0013751 "</f>
        <v xml:space="preserve">0013751 </v>
      </c>
      <c r="B9898" t="s">
        <v>33114</v>
      </c>
      <c r="C9898" t="s">
        <v>33187</v>
      </c>
      <c r="D9898" t="s">
        <v>33188</v>
      </c>
      <c r="E9898" t="s">
        <v>16</v>
      </c>
      <c r="F9898" s="3">
        <v>42186</v>
      </c>
      <c r="G9898" t="s">
        <v>33118</v>
      </c>
      <c r="H9898" t="s">
        <v>33187</v>
      </c>
    </row>
    <row r="9899" spans="1:9">
      <c r="A9899" t="str">
        <f>"0013625 "</f>
        <v xml:space="preserve">0013625 </v>
      </c>
      <c r="B9899" t="s">
        <v>33114</v>
      </c>
      <c r="C9899" t="s">
        <v>33189</v>
      </c>
      <c r="D9899" t="s">
        <v>33190</v>
      </c>
      <c r="E9899" t="s">
        <v>16</v>
      </c>
      <c r="F9899" t="s">
        <v>33191</v>
      </c>
      <c r="G9899" t="s">
        <v>33118</v>
      </c>
      <c r="H9899" t="s">
        <v>33189</v>
      </c>
      <c r="I9899" t="s">
        <v>33126</v>
      </c>
    </row>
    <row r="9900" spans="1:9">
      <c r="A9900" t="str">
        <f>"0204333 "</f>
        <v xml:space="preserve">0204333 </v>
      </c>
      <c r="B9900" t="s">
        <v>33114</v>
      </c>
      <c r="C9900" t="s">
        <v>33192</v>
      </c>
      <c r="D9900" t="s">
        <v>33193</v>
      </c>
      <c r="E9900" t="s">
        <v>16</v>
      </c>
      <c r="F9900" t="s">
        <v>33194</v>
      </c>
      <c r="G9900" t="s">
        <v>33118</v>
      </c>
      <c r="H9900" t="s">
        <v>33192</v>
      </c>
      <c r="I9900" t="s">
        <v>33195</v>
      </c>
    </row>
    <row r="9901" spans="1:9">
      <c r="A9901" t="str">
        <f>"0013629 "</f>
        <v xml:space="preserve">0013629 </v>
      </c>
      <c r="B9901" t="s">
        <v>33114</v>
      </c>
      <c r="C9901" t="s">
        <v>33196</v>
      </c>
      <c r="D9901" t="s">
        <v>33197</v>
      </c>
      <c r="E9901" t="s">
        <v>16</v>
      </c>
      <c r="F9901" t="s">
        <v>33198</v>
      </c>
      <c r="G9901" t="s">
        <v>33118</v>
      </c>
      <c r="H9901" t="s">
        <v>33196</v>
      </c>
      <c r="I9901" t="s">
        <v>33133</v>
      </c>
    </row>
    <row r="9902" spans="1:9">
      <c r="A9902" t="str">
        <f>"0013628 "</f>
        <v xml:space="preserve">0013628 </v>
      </c>
      <c r="B9902" t="s">
        <v>33114</v>
      </c>
      <c r="C9902" t="s">
        <v>33199</v>
      </c>
      <c r="D9902" t="s">
        <v>33200</v>
      </c>
      <c r="E9902" t="s">
        <v>16</v>
      </c>
      <c r="F9902" t="s">
        <v>33201</v>
      </c>
      <c r="G9902" t="s">
        <v>33118</v>
      </c>
      <c r="H9902" t="s">
        <v>33199</v>
      </c>
      <c r="I9902" t="s">
        <v>33133</v>
      </c>
    </row>
    <row r="9903" spans="1:9">
      <c r="A9903" t="str">
        <f>"0201411 "</f>
        <v xml:space="preserve">0201411 </v>
      </c>
      <c r="B9903" t="s">
        <v>33114</v>
      </c>
      <c r="C9903" t="s">
        <v>33202</v>
      </c>
      <c r="D9903" t="s">
        <v>33203</v>
      </c>
      <c r="E9903">
        <v>4</v>
      </c>
      <c r="F9903" t="s">
        <v>33204</v>
      </c>
      <c r="G9903" t="s">
        <v>33118</v>
      </c>
      <c r="H9903" t="s">
        <v>33202</v>
      </c>
      <c r="I9903" t="s">
        <v>33205</v>
      </c>
    </row>
    <row r="9904" spans="1:9">
      <c r="A9904" t="str">
        <f>"0021064 "</f>
        <v xml:space="preserve">0021064 </v>
      </c>
      <c r="B9904" t="s">
        <v>33114</v>
      </c>
      <c r="C9904" t="s">
        <v>33206</v>
      </c>
      <c r="D9904" t="s">
        <v>33207</v>
      </c>
      <c r="E9904">
        <v>4</v>
      </c>
      <c r="F9904" t="s">
        <v>33208</v>
      </c>
      <c r="G9904" t="s">
        <v>33118</v>
      </c>
      <c r="H9904" t="s">
        <v>33206</v>
      </c>
      <c r="I9904" t="s">
        <v>33141</v>
      </c>
    </row>
    <row r="9905" spans="1:9">
      <c r="A9905" t="str">
        <f>"0013484 "</f>
        <v xml:space="preserve">0013484 </v>
      </c>
      <c r="B9905" t="s">
        <v>33114</v>
      </c>
      <c r="C9905" t="s">
        <v>33209</v>
      </c>
      <c r="D9905" t="s">
        <v>33210</v>
      </c>
      <c r="E9905" t="s">
        <v>16</v>
      </c>
      <c r="F9905" s="3">
        <v>46966</v>
      </c>
      <c r="G9905" t="s">
        <v>33118</v>
      </c>
      <c r="H9905" t="s">
        <v>33209</v>
      </c>
    </row>
    <row r="9906" spans="1:9">
      <c r="A9906" t="str">
        <f>"0063995 "</f>
        <v xml:space="preserve">0063995 </v>
      </c>
      <c r="B9906" t="s">
        <v>33114</v>
      </c>
      <c r="C9906" t="s">
        <v>33211</v>
      </c>
      <c r="D9906" t="s">
        <v>33212</v>
      </c>
      <c r="E9906">
        <v>1</v>
      </c>
      <c r="F9906" t="s">
        <v>33213</v>
      </c>
      <c r="G9906" t="s">
        <v>33118</v>
      </c>
      <c r="H9906" t="s">
        <v>33211</v>
      </c>
      <c r="I9906" t="s">
        <v>33214</v>
      </c>
    </row>
    <row r="9907" spans="1:9">
      <c r="A9907" t="str">
        <f>"0248985 "</f>
        <v xml:space="preserve">0248985 </v>
      </c>
      <c r="B9907" t="s">
        <v>33215</v>
      </c>
      <c r="C9907">
        <v>1143</v>
      </c>
      <c r="D9907" t="s">
        <v>33216</v>
      </c>
      <c r="E9907">
        <v>3</v>
      </c>
      <c r="F9907" t="s">
        <v>33217</v>
      </c>
      <c r="G9907" t="s">
        <v>32853</v>
      </c>
      <c r="H9907">
        <v>1143</v>
      </c>
    </row>
    <row r="9908" spans="1:9">
      <c r="A9908" t="str">
        <f>"0248986 "</f>
        <v xml:space="preserve">0248986 </v>
      </c>
      <c r="B9908" t="s">
        <v>33215</v>
      </c>
      <c r="C9908">
        <v>1150</v>
      </c>
      <c r="D9908" t="s">
        <v>33218</v>
      </c>
      <c r="E9908">
        <v>2</v>
      </c>
      <c r="F9908" t="s">
        <v>33217</v>
      </c>
      <c r="G9908" t="s">
        <v>32853</v>
      </c>
      <c r="H9908">
        <v>1150</v>
      </c>
    </row>
    <row r="9909" spans="1:9">
      <c r="A9909" t="str">
        <f>"0248984 "</f>
        <v xml:space="preserve">0248984 </v>
      </c>
      <c r="B9909" t="s">
        <v>33215</v>
      </c>
      <c r="C9909">
        <v>1160</v>
      </c>
      <c r="D9909" t="s">
        <v>33219</v>
      </c>
      <c r="E9909">
        <v>4</v>
      </c>
      <c r="F9909" t="s">
        <v>33217</v>
      </c>
      <c r="G9909" t="s">
        <v>32853</v>
      </c>
      <c r="H9909">
        <v>1160</v>
      </c>
    </row>
    <row r="9910" spans="1:9">
      <c r="A9910" t="str">
        <f>"0218431 "</f>
        <v xml:space="preserve">0218431 </v>
      </c>
      <c r="B9910" t="s">
        <v>33215</v>
      </c>
      <c r="C9910">
        <v>1201</v>
      </c>
      <c r="D9910" t="s">
        <v>33220</v>
      </c>
      <c r="E9910" t="s">
        <v>16</v>
      </c>
      <c r="F9910" t="s">
        <v>33221</v>
      </c>
      <c r="G9910" t="s">
        <v>32853</v>
      </c>
      <c r="H9910">
        <v>1201</v>
      </c>
    </row>
    <row r="9911" spans="1:9">
      <c r="A9911" t="str">
        <f>"0218432 "</f>
        <v xml:space="preserve">0218432 </v>
      </c>
      <c r="B9911" t="s">
        <v>33215</v>
      </c>
      <c r="C9911">
        <v>1203</v>
      </c>
      <c r="D9911" t="s">
        <v>33222</v>
      </c>
      <c r="E9911" t="s">
        <v>16</v>
      </c>
      <c r="F9911" t="s">
        <v>33221</v>
      </c>
      <c r="G9911" t="s">
        <v>32853</v>
      </c>
      <c r="H9911">
        <v>1203</v>
      </c>
    </row>
    <row r="9912" spans="1:9">
      <c r="A9912" t="str">
        <f>"0218433 "</f>
        <v xml:space="preserve">0218433 </v>
      </c>
      <c r="B9912" t="s">
        <v>33215</v>
      </c>
      <c r="C9912">
        <v>1204</v>
      </c>
      <c r="D9912" t="s">
        <v>33223</v>
      </c>
      <c r="E9912" t="s">
        <v>16</v>
      </c>
      <c r="F9912" t="s">
        <v>33224</v>
      </c>
      <c r="G9912" t="s">
        <v>32853</v>
      </c>
      <c r="H9912">
        <v>1204</v>
      </c>
    </row>
    <row r="9913" spans="1:9">
      <c r="A9913" t="str">
        <f>"0218436 "</f>
        <v xml:space="preserve">0218436 </v>
      </c>
      <c r="B9913" t="s">
        <v>33215</v>
      </c>
      <c r="C9913">
        <v>1205</v>
      </c>
      <c r="D9913" t="s">
        <v>33225</v>
      </c>
      <c r="E9913" t="s">
        <v>16</v>
      </c>
      <c r="F9913" t="s">
        <v>32978</v>
      </c>
      <c r="G9913" t="s">
        <v>32853</v>
      </c>
      <c r="H9913">
        <v>1205</v>
      </c>
    </row>
    <row r="9914" spans="1:9">
      <c r="A9914" t="str">
        <f>"0218437 "</f>
        <v xml:space="preserve">0218437 </v>
      </c>
      <c r="B9914" t="s">
        <v>33215</v>
      </c>
      <c r="C9914">
        <v>1206</v>
      </c>
      <c r="D9914" t="s">
        <v>33226</v>
      </c>
      <c r="E9914" t="s">
        <v>16</v>
      </c>
      <c r="F9914" t="s">
        <v>32978</v>
      </c>
      <c r="G9914" t="s">
        <v>32853</v>
      </c>
      <c r="H9914">
        <v>1206</v>
      </c>
    </row>
    <row r="9915" spans="1:9">
      <c r="A9915" t="str">
        <f>"0218434 "</f>
        <v xml:space="preserve">0218434 </v>
      </c>
      <c r="B9915" t="s">
        <v>33215</v>
      </c>
      <c r="C9915">
        <v>1207</v>
      </c>
      <c r="D9915" t="s">
        <v>33227</v>
      </c>
      <c r="E9915" t="s">
        <v>16</v>
      </c>
      <c r="F9915" t="s">
        <v>32136</v>
      </c>
      <c r="G9915" t="s">
        <v>32853</v>
      </c>
      <c r="H9915">
        <v>1207</v>
      </c>
    </row>
    <row r="9916" spans="1:9">
      <c r="A9916" t="str">
        <f>"0218435 "</f>
        <v xml:space="preserve">0218435 </v>
      </c>
      <c r="B9916" t="s">
        <v>33215</v>
      </c>
      <c r="C9916">
        <v>1208</v>
      </c>
      <c r="D9916" t="s">
        <v>33228</v>
      </c>
      <c r="E9916" t="s">
        <v>16</v>
      </c>
      <c r="F9916" t="s">
        <v>33229</v>
      </c>
      <c r="G9916" t="s">
        <v>32853</v>
      </c>
      <c r="H9916">
        <v>1208</v>
      </c>
    </row>
    <row r="9917" spans="1:9">
      <c r="A9917" t="str">
        <f>"0220030 "</f>
        <v xml:space="preserve">0220030 </v>
      </c>
      <c r="B9917" t="s">
        <v>33215</v>
      </c>
      <c r="C9917">
        <v>1211</v>
      </c>
      <c r="D9917" t="s">
        <v>33230</v>
      </c>
      <c r="E9917" t="s">
        <v>16</v>
      </c>
      <c r="F9917" t="s">
        <v>33229</v>
      </c>
      <c r="G9917" t="s">
        <v>32853</v>
      </c>
      <c r="H9917">
        <v>1211</v>
      </c>
    </row>
    <row r="9918" spans="1:9">
      <c r="A9918" t="str">
        <f>"0220026 "</f>
        <v xml:space="preserve">0220026 </v>
      </c>
      <c r="B9918" t="s">
        <v>33215</v>
      </c>
      <c r="C9918">
        <v>1213</v>
      </c>
      <c r="D9918" t="s">
        <v>33231</v>
      </c>
      <c r="E9918" t="s">
        <v>16</v>
      </c>
      <c r="F9918" t="s">
        <v>33232</v>
      </c>
      <c r="G9918" t="s">
        <v>32853</v>
      </c>
      <c r="H9918">
        <v>1213</v>
      </c>
    </row>
    <row r="9919" spans="1:9">
      <c r="A9919" t="str">
        <f>"0220025 "</f>
        <v xml:space="preserve">0220025 </v>
      </c>
      <c r="B9919" t="s">
        <v>33215</v>
      </c>
      <c r="C9919">
        <v>1214</v>
      </c>
      <c r="D9919" t="s">
        <v>33233</v>
      </c>
      <c r="E9919" t="s">
        <v>16</v>
      </c>
      <c r="F9919" t="s">
        <v>11266</v>
      </c>
      <c r="G9919" t="s">
        <v>32853</v>
      </c>
      <c r="H9919">
        <v>1214</v>
      </c>
    </row>
    <row r="9920" spans="1:9">
      <c r="A9920" t="str">
        <f>"0220028 "</f>
        <v xml:space="preserve">0220028 </v>
      </c>
      <c r="B9920" t="s">
        <v>33215</v>
      </c>
      <c r="C9920">
        <v>1217</v>
      </c>
      <c r="D9920" t="s">
        <v>33234</v>
      </c>
      <c r="E9920" t="s">
        <v>16</v>
      </c>
      <c r="F9920" t="s">
        <v>19828</v>
      </c>
      <c r="G9920" t="s">
        <v>32853</v>
      </c>
      <c r="H9920">
        <v>1217</v>
      </c>
    </row>
    <row r="9921" spans="1:8">
      <c r="A9921" t="str">
        <f>"0218403 "</f>
        <v xml:space="preserve">0218403 </v>
      </c>
      <c r="B9921" t="s">
        <v>33215</v>
      </c>
      <c r="C9921">
        <v>1250</v>
      </c>
      <c r="D9921" t="s">
        <v>33235</v>
      </c>
      <c r="E9921" t="s">
        <v>16</v>
      </c>
      <c r="F9921" s="3">
        <v>20486</v>
      </c>
      <c r="G9921" t="s">
        <v>32853</v>
      </c>
      <c r="H9921">
        <v>1250</v>
      </c>
    </row>
    <row r="9922" spans="1:8">
      <c r="A9922" t="str">
        <f>"0218404 "</f>
        <v xml:space="preserve">0218404 </v>
      </c>
      <c r="B9922" t="s">
        <v>33215</v>
      </c>
      <c r="C9922">
        <v>1251</v>
      </c>
      <c r="D9922" t="s">
        <v>33236</v>
      </c>
      <c r="E9922" t="s">
        <v>16</v>
      </c>
      <c r="F9922" s="3">
        <v>31107</v>
      </c>
      <c r="G9922" t="s">
        <v>32853</v>
      </c>
      <c r="H9922">
        <v>1251</v>
      </c>
    </row>
    <row r="9923" spans="1:8">
      <c r="A9923" t="str">
        <f>"0218405 "</f>
        <v xml:space="preserve">0218405 </v>
      </c>
      <c r="B9923" t="s">
        <v>33215</v>
      </c>
      <c r="C9923">
        <v>1252</v>
      </c>
      <c r="D9923" t="s">
        <v>33237</v>
      </c>
      <c r="E9923" t="s">
        <v>16</v>
      </c>
      <c r="F9923" s="3">
        <v>20486</v>
      </c>
      <c r="G9923" t="s">
        <v>32853</v>
      </c>
      <c r="H9923">
        <v>1252</v>
      </c>
    </row>
    <row r="9924" spans="1:8">
      <c r="A9924" t="str">
        <f>"0218406 "</f>
        <v xml:space="preserve">0218406 </v>
      </c>
      <c r="B9924" t="s">
        <v>33215</v>
      </c>
      <c r="C9924">
        <v>1253</v>
      </c>
      <c r="D9924" t="s">
        <v>33238</v>
      </c>
      <c r="E9924" t="s">
        <v>16</v>
      </c>
      <c r="F9924" s="3">
        <v>31107</v>
      </c>
      <c r="G9924" t="s">
        <v>32853</v>
      </c>
      <c r="H9924">
        <v>1253</v>
      </c>
    </row>
    <row r="9925" spans="1:8">
      <c r="A9925" t="str">
        <f>"0218407 "</f>
        <v xml:space="preserve">0218407 </v>
      </c>
      <c r="B9925" t="s">
        <v>33215</v>
      </c>
      <c r="C9925">
        <v>1254</v>
      </c>
      <c r="D9925" t="s">
        <v>33239</v>
      </c>
      <c r="E9925" t="s">
        <v>16</v>
      </c>
      <c r="F9925" s="3">
        <v>45323</v>
      </c>
      <c r="G9925" t="s">
        <v>32853</v>
      </c>
      <c r="H9925">
        <v>1254</v>
      </c>
    </row>
    <row r="9926" spans="1:8">
      <c r="A9926" t="str">
        <f>"0218408 "</f>
        <v xml:space="preserve">0218408 </v>
      </c>
      <c r="B9926" t="s">
        <v>33215</v>
      </c>
      <c r="C9926">
        <v>1255</v>
      </c>
      <c r="D9926" t="s">
        <v>33240</v>
      </c>
      <c r="E9926" t="s">
        <v>16</v>
      </c>
      <c r="F9926" s="3">
        <v>20486</v>
      </c>
      <c r="G9926" t="s">
        <v>32853</v>
      </c>
      <c r="H9926">
        <v>1255</v>
      </c>
    </row>
    <row r="9927" spans="1:8">
      <c r="A9927" t="str">
        <f>"0218416 "</f>
        <v xml:space="preserve">0218416 </v>
      </c>
      <c r="B9927" t="s">
        <v>33215</v>
      </c>
      <c r="C9927">
        <v>1256</v>
      </c>
      <c r="D9927" t="s">
        <v>33241</v>
      </c>
      <c r="E9927" t="s">
        <v>16</v>
      </c>
      <c r="F9927" s="3">
        <v>21916</v>
      </c>
      <c r="G9927" t="s">
        <v>32853</v>
      </c>
      <c r="H9927">
        <v>1256</v>
      </c>
    </row>
    <row r="9928" spans="1:8">
      <c r="A9928" t="str">
        <f>"0218412 "</f>
        <v xml:space="preserve">0218412 </v>
      </c>
      <c r="B9928" t="s">
        <v>33215</v>
      </c>
      <c r="C9928">
        <v>1257</v>
      </c>
      <c r="D9928" t="s">
        <v>33242</v>
      </c>
      <c r="E9928" t="s">
        <v>16</v>
      </c>
      <c r="F9928" s="3">
        <v>45323</v>
      </c>
      <c r="G9928" t="s">
        <v>32853</v>
      </c>
      <c r="H9928">
        <v>1257</v>
      </c>
    </row>
    <row r="9929" spans="1:8">
      <c r="A9929" t="str">
        <f>"0218413 "</f>
        <v xml:space="preserve">0218413 </v>
      </c>
      <c r="B9929" t="s">
        <v>33215</v>
      </c>
      <c r="C9929">
        <v>1258</v>
      </c>
      <c r="D9929" t="s">
        <v>33243</v>
      </c>
      <c r="E9929" t="s">
        <v>16</v>
      </c>
      <c r="F9929" s="3">
        <v>45323</v>
      </c>
      <c r="G9929" t="s">
        <v>32853</v>
      </c>
      <c r="H9929">
        <v>1258</v>
      </c>
    </row>
    <row r="9930" spans="1:8">
      <c r="A9930" t="str">
        <f>"0218411 "</f>
        <v xml:space="preserve">0218411 </v>
      </c>
      <c r="B9930" t="s">
        <v>33215</v>
      </c>
      <c r="C9930">
        <v>1259</v>
      </c>
      <c r="D9930" t="s">
        <v>33244</v>
      </c>
      <c r="E9930" t="s">
        <v>16</v>
      </c>
      <c r="F9930" s="3">
        <v>45323</v>
      </c>
      <c r="G9930" t="s">
        <v>32853</v>
      </c>
      <c r="H9930">
        <v>1259</v>
      </c>
    </row>
    <row r="9931" spans="1:8">
      <c r="A9931" t="str">
        <f>"0218414 "</f>
        <v xml:space="preserve">0218414 </v>
      </c>
      <c r="B9931" t="s">
        <v>33215</v>
      </c>
      <c r="C9931">
        <v>1260</v>
      </c>
      <c r="D9931" t="s">
        <v>33245</v>
      </c>
      <c r="E9931" t="s">
        <v>16</v>
      </c>
      <c r="F9931" s="3">
        <v>45323</v>
      </c>
      <c r="G9931" t="s">
        <v>32853</v>
      </c>
      <c r="H9931">
        <v>1260</v>
      </c>
    </row>
    <row r="9932" spans="1:8">
      <c r="A9932" t="str">
        <f>"0218415 "</f>
        <v xml:space="preserve">0218415 </v>
      </c>
      <c r="B9932" t="s">
        <v>33215</v>
      </c>
      <c r="C9932">
        <v>1261</v>
      </c>
      <c r="D9932" t="s">
        <v>33246</v>
      </c>
      <c r="E9932" t="s">
        <v>16</v>
      </c>
      <c r="F9932" s="3">
        <v>45323</v>
      </c>
      <c r="G9932" t="s">
        <v>32853</v>
      </c>
      <c r="H9932">
        <v>1261</v>
      </c>
    </row>
    <row r="9933" spans="1:8">
      <c r="A9933" t="str">
        <f>"0218410 "</f>
        <v xml:space="preserve">0218410 </v>
      </c>
      <c r="B9933" t="s">
        <v>33215</v>
      </c>
      <c r="C9933">
        <v>1262</v>
      </c>
      <c r="D9933" t="s">
        <v>33247</v>
      </c>
      <c r="E9933" t="s">
        <v>16</v>
      </c>
      <c r="F9933" t="str">
        <f>"0.96"</f>
        <v>0.96</v>
      </c>
      <c r="G9933" t="s">
        <v>32853</v>
      </c>
      <c r="H9933">
        <v>1262</v>
      </c>
    </row>
    <row r="9934" spans="1:8">
      <c r="A9934" t="str">
        <f>"0218409 "</f>
        <v xml:space="preserve">0218409 </v>
      </c>
      <c r="B9934" t="s">
        <v>33215</v>
      </c>
      <c r="C9934">
        <v>1263</v>
      </c>
      <c r="D9934" t="s">
        <v>33248</v>
      </c>
      <c r="E9934" t="s">
        <v>16</v>
      </c>
      <c r="F9934" t="str">
        <f>"0.96"</f>
        <v>0.96</v>
      </c>
      <c r="G9934" t="s">
        <v>32853</v>
      </c>
      <c r="H9934">
        <v>1263</v>
      </c>
    </row>
    <row r="9935" spans="1:8">
      <c r="A9935" t="str">
        <f>"0248027 "</f>
        <v xml:space="preserve">0248027 </v>
      </c>
      <c r="B9935" t="s">
        <v>33215</v>
      </c>
      <c r="C9935">
        <v>1271</v>
      </c>
      <c r="D9935" t="s">
        <v>33249</v>
      </c>
      <c r="E9935" t="s">
        <v>16</v>
      </c>
      <c r="F9935" s="3">
        <v>19419</v>
      </c>
      <c r="G9935" t="s">
        <v>32853</v>
      </c>
      <c r="H9935">
        <v>1271</v>
      </c>
    </row>
    <row r="9936" spans="1:8">
      <c r="A9936" t="str">
        <f>"0258294 "</f>
        <v xml:space="preserve">0258294 </v>
      </c>
      <c r="B9936" t="s">
        <v>33215</v>
      </c>
      <c r="C9936">
        <v>1343</v>
      </c>
      <c r="D9936" t="s">
        <v>33250</v>
      </c>
      <c r="E9936">
        <v>3</v>
      </c>
      <c r="F9936" t="s">
        <v>33217</v>
      </c>
      <c r="G9936" t="s">
        <v>32853</v>
      </c>
      <c r="H9936">
        <v>1343</v>
      </c>
    </row>
    <row r="9937" spans="1:8">
      <c r="A9937" t="str">
        <f>"0248988 "</f>
        <v xml:space="preserve">0248988 </v>
      </c>
      <c r="B9937" t="s">
        <v>33215</v>
      </c>
      <c r="C9937">
        <v>1350</v>
      </c>
      <c r="D9937" t="s">
        <v>33251</v>
      </c>
      <c r="E9937">
        <v>3</v>
      </c>
      <c r="F9937" t="s">
        <v>33217</v>
      </c>
      <c r="G9937" t="s">
        <v>32853</v>
      </c>
      <c r="H9937">
        <v>1350</v>
      </c>
    </row>
    <row r="9938" spans="1:8">
      <c r="A9938" t="str">
        <f>"0258295 "</f>
        <v xml:space="preserve">0258295 </v>
      </c>
      <c r="B9938" t="s">
        <v>33215</v>
      </c>
      <c r="C9938">
        <v>1360</v>
      </c>
      <c r="D9938" t="s">
        <v>33252</v>
      </c>
      <c r="E9938">
        <v>3</v>
      </c>
      <c r="F9938" t="s">
        <v>33217</v>
      </c>
      <c r="G9938" t="s">
        <v>32853</v>
      </c>
      <c r="H9938">
        <v>1360</v>
      </c>
    </row>
    <row r="9939" spans="1:8">
      <c r="A9939" t="str">
        <f>"0248992 "</f>
        <v xml:space="preserve">0248992 </v>
      </c>
      <c r="B9939" t="s">
        <v>33215</v>
      </c>
      <c r="C9939">
        <v>1440</v>
      </c>
      <c r="D9939" t="s">
        <v>33253</v>
      </c>
      <c r="E9939">
        <v>1</v>
      </c>
      <c r="F9939" t="s">
        <v>33254</v>
      </c>
      <c r="G9939" t="s">
        <v>32853</v>
      </c>
      <c r="H9939">
        <v>1440</v>
      </c>
    </row>
    <row r="9940" spans="1:8">
      <c r="A9940" t="str">
        <f>"0248989 "</f>
        <v xml:space="preserve">0248989 </v>
      </c>
      <c r="B9940" t="s">
        <v>33215</v>
      </c>
      <c r="C9940">
        <v>1443</v>
      </c>
      <c r="D9940" t="s">
        <v>33255</v>
      </c>
      <c r="E9940">
        <v>2</v>
      </c>
      <c r="F9940" t="s">
        <v>33256</v>
      </c>
      <c r="G9940" t="s">
        <v>32853</v>
      </c>
      <c r="H9940">
        <v>1443</v>
      </c>
    </row>
    <row r="9941" spans="1:8">
      <c r="A9941" t="str">
        <f>"0248970 "</f>
        <v xml:space="preserve">0248970 </v>
      </c>
      <c r="B9941" t="s">
        <v>33215</v>
      </c>
      <c r="C9941">
        <v>1445</v>
      </c>
      <c r="D9941" t="s">
        <v>33257</v>
      </c>
      <c r="E9941" t="s">
        <v>16</v>
      </c>
      <c r="F9941" t="s">
        <v>669</v>
      </c>
      <c r="G9941" t="s">
        <v>32853</v>
      </c>
      <c r="H9941">
        <v>1445</v>
      </c>
    </row>
    <row r="9942" spans="1:8">
      <c r="A9942" t="str">
        <f>"0248990 "</f>
        <v xml:space="preserve">0248990 </v>
      </c>
      <c r="B9942" t="s">
        <v>33215</v>
      </c>
      <c r="C9942">
        <v>1450</v>
      </c>
      <c r="D9942" t="s">
        <v>33258</v>
      </c>
      <c r="E9942">
        <v>1</v>
      </c>
      <c r="F9942" t="s">
        <v>33256</v>
      </c>
      <c r="G9942" t="s">
        <v>32853</v>
      </c>
      <c r="H9942">
        <v>1450</v>
      </c>
    </row>
    <row r="9943" spans="1:8">
      <c r="A9943" t="str">
        <f>"0248991 "</f>
        <v xml:space="preserve">0248991 </v>
      </c>
      <c r="B9943" t="s">
        <v>33215</v>
      </c>
      <c r="C9943">
        <v>1460</v>
      </c>
      <c r="D9943" t="s">
        <v>33259</v>
      </c>
      <c r="E9943">
        <v>4</v>
      </c>
      <c r="F9943" t="s">
        <v>33256</v>
      </c>
      <c r="G9943" t="s">
        <v>32853</v>
      </c>
      <c r="H9943">
        <v>1460</v>
      </c>
    </row>
    <row r="9944" spans="1:8">
      <c r="A9944" t="str">
        <f>"0249001 "</f>
        <v xml:space="preserve">0249001 </v>
      </c>
      <c r="B9944" t="s">
        <v>33215</v>
      </c>
      <c r="C9944">
        <v>1540</v>
      </c>
      <c r="D9944" t="s">
        <v>33260</v>
      </c>
      <c r="E9944">
        <v>2</v>
      </c>
      <c r="F9944" t="s">
        <v>33261</v>
      </c>
      <c r="G9944" t="s">
        <v>32853</v>
      </c>
      <c r="H9944">
        <v>1540</v>
      </c>
    </row>
    <row r="9945" spans="1:8">
      <c r="A9945" t="str">
        <f>"0249615 "</f>
        <v xml:space="preserve">0249615 </v>
      </c>
      <c r="B9945" t="s">
        <v>33215</v>
      </c>
      <c r="C9945">
        <v>1550</v>
      </c>
      <c r="D9945" t="s">
        <v>33262</v>
      </c>
      <c r="E9945" t="s">
        <v>16</v>
      </c>
      <c r="F9945" t="s">
        <v>24567</v>
      </c>
      <c r="G9945" t="s">
        <v>32853</v>
      </c>
      <c r="H9945">
        <v>1550</v>
      </c>
    </row>
    <row r="9946" spans="1:8">
      <c r="A9946" t="str">
        <f>"0248971 "</f>
        <v xml:space="preserve">0248971 </v>
      </c>
      <c r="B9946" t="s">
        <v>33215</v>
      </c>
      <c r="C9946">
        <v>1555</v>
      </c>
      <c r="D9946" t="s">
        <v>33263</v>
      </c>
      <c r="E9946" t="s">
        <v>16</v>
      </c>
      <c r="F9946" t="s">
        <v>33264</v>
      </c>
      <c r="G9946" t="s">
        <v>32853</v>
      </c>
      <c r="H9946">
        <v>1555</v>
      </c>
    </row>
    <row r="9947" spans="1:8">
      <c r="A9947" t="str">
        <f>"0257621 "</f>
        <v xml:space="preserve">0257621 </v>
      </c>
      <c r="B9947" t="s">
        <v>33215</v>
      </c>
      <c r="C9947">
        <v>1743</v>
      </c>
      <c r="D9947" t="s">
        <v>33265</v>
      </c>
      <c r="E9947">
        <v>4</v>
      </c>
      <c r="F9947" t="s">
        <v>33217</v>
      </c>
      <c r="G9947" t="s">
        <v>32853</v>
      </c>
      <c r="H9947">
        <v>1743</v>
      </c>
    </row>
    <row r="9948" spans="1:8">
      <c r="A9948" t="str">
        <f>"0248993 "</f>
        <v xml:space="preserve">0248993 </v>
      </c>
      <c r="B9948" t="s">
        <v>33215</v>
      </c>
      <c r="C9948">
        <v>1750</v>
      </c>
      <c r="D9948" t="s">
        <v>33266</v>
      </c>
      <c r="E9948" t="s">
        <v>16</v>
      </c>
      <c r="F9948" t="s">
        <v>33217</v>
      </c>
      <c r="G9948" t="s">
        <v>32853</v>
      </c>
      <c r="H9948">
        <v>1750</v>
      </c>
    </row>
    <row r="9949" spans="1:8">
      <c r="A9949" t="str">
        <f>"0248994 "</f>
        <v xml:space="preserve">0248994 </v>
      </c>
      <c r="B9949" t="s">
        <v>33215</v>
      </c>
      <c r="C9949">
        <v>1760</v>
      </c>
      <c r="D9949" t="s">
        <v>33267</v>
      </c>
      <c r="E9949">
        <v>2</v>
      </c>
      <c r="F9949" t="s">
        <v>33217</v>
      </c>
      <c r="G9949" t="s">
        <v>32853</v>
      </c>
      <c r="H9949">
        <v>1760</v>
      </c>
    </row>
    <row r="9950" spans="1:8">
      <c r="A9950" t="str">
        <f>"0248995 "</f>
        <v xml:space="preserve">0248995 </v>
      </c>
      <c r="B9950" t="s">
        <v>33215</v>
      </c>
      <c r="C9950">
        <v>1840</v>
      </c>
      <c r="D9950" t="s">
        <v>33268</v>
      </c>
      <c r="E9950">
        <v>3</v>
      </c>
      <c r="F9950" t="s">
        <v>33217</v>
      </c>
      <c r="G9950" t="s">
        <v>32853</v>
      </c>
      <c r="H9950">
        <v>1840</v>
      </c>
    </row>
    <row r="9951" spans="1:8">
      <c r="A9951" t="str">
        <f>"0248996 "</f>
        <v xml:space="preserve">0248996 </v>
      </c>
      <c r="B9951" t="s">
        <v>33215</v>
      </c>
      <c r="C9951">
        <v>1850</v>
      </c>
      <c r="D9951" t="s">
        <v>33269</v>
      </c>
      <c r="E9951">
        <v>3</v>
      </c>
      <c r="F9951" t="s">
        <v>33217</v>
      </c>
      <c r="G9951" t="s">
        <v>32853</v>
      </c>
      <c r="H9951">
        <v>1850</v>
      </c>
    </row>
    <row r="9952" spans="1:8">
      <c r="A9952" t="str">
        <f>"0248997 "</f>
        <v xml:space="preserve">0248997 </v>
      </c>
      <c r="B9952" t="s">
        <v>33215</v>
      </c>
      <c r="C9952">
        <v>1860</v>
      </c>
      <c r="D9952" t="s">
        <v>33270</v>
      </c>
      <c r="E9952">
        <v>3</v>
      </c>
      <c r="F9952" t="s">
        <v>33217</v>
      </c>
      <c r="G9952" t="s">
        <v>32853</v>
      </c>
      <c r="H9952">
        <v>1860</v>
      </c>
    </row>
    <row r="9953" spans="1:8">
      <c r="A9953" t="str">
        <f>"0258296 "</f>
        <v xml:space="preserve">0258296 </v>
      </c>
      <c r="B9953" t="s">
        <v>33215</v>
      </c>
      <c r="C9953">
        <v>1943</v>
      </c>
      <c r="D9953" t="s">
        <v>33271</v>
      </c>
      <c r="E9953">
        <v>5</v>
      </c>
      <c r="F9953" t="s">
        <v>33217</v>
      </c>
      <c r="G9953" t="s">
        <v>32853</v>
      </c>
      <c r="H9953">
        <v>1943</v>
      </c>
    </row>
    <row r="9954" spans="1:8">
      <c r="A9954" t="str">
        <f>"0248987 "</f>
        <v xml:space="preserve">0248987 </v>
      </c>
      <c r="B9954" t="s">
        <v>33215</v>
      </c>
      <c r="C9954">
        <v>1950</v>
      </c>
      <c r="D9954" t="s">
        <v>33272</v>
      </c>
      <c r="E9954">
        <v>5</v>
      </c>
      <c r="F9954" t="s">
        <v>33217</v>
      </c>
      <c r="G9954" t="s">
        <v>32853</v>
      </c>
      <c r="H9954">
        <v>1950</v>
      </c>
    </row>
    <row r="9955" spans="1:8">
      <c r="A9955" t="str">
        <f>"0258297 "</f>
        <v xml:space="preserve">0258297 </v>
      </c>
      <c r="B9955" t="s">
        <v>33215</v>
      </c>
      <c r="C9955">
        <v>1960</v>
      </c>
      <c r="D9955" t="s">
        <v>33273</v>
      </c>
      <c r="E9955">
        <v>5</v>
      </c>
      <c r="F9955" t="s">
        <v>33217</v>
      </c>
      <c r="G9955" t="s">
        <v>32853</v>
      </c>
      <c r="H9955">
        <v>1960</v>
      </c>
    </row>
    <row r="9956" spans="1:8">
      <c r="A9956" t="str">
        <f>"0218418 "</f>
        <v xml:space="preserve">0218418 </v>
      </c>
      <c r="B9956" t="s">
        <v>33215</v>
      </c>
      <c r="C9956">
        <v>2403</v>
      </c>
      <c r="D9956" t="s">
        <v>33274</v>
      </c>
      <c r="E9956">
        <v>2</v>
      </c>
      <c r="F9956" t="s">
        <v>33275</v>
      </c>
      <c r="G9956" t="s">
        <v>32853</v>
      </c>
      <c r="H9956">
        <v>2403</v>
      </c>
    </row>
    <row r="9957" spans="1:8">
      <c r="A9957" t="str">
        <f>"0218419 "</f>
        <v xml:space="preserve">0218419 </v>
      </c>
      <c r="B9957" t="s">
        <v>33215</v>
      </c>
      <c r="C9957">
        <v>2404</v>
      </c>
      <c r="D9957" t="s">
        <v>33276</v>
      </c>
      <c r="E9957" t="s">
        <v>16</v>
      </c>
      <c r="F9957" t="s">
        <v>33277</v>
      </c>
      <c r="G9957" t="s">
        <v>32853</v>
      </c>
      <c r="H9957">
        <v>2404</v>
      </c>
    </row>
    <row r="9958" spans="1:8">
      <c r="A9958" t="str">
        <f>"0218420 "</f>
        <v xml:space="preserve">0218420 </v>
      </c>
      <c r="B9958" t="s">
        <v>33215</v>
      </c>
      <c r="C9958">
        <v>2407</v>
      </c>
      <c r="D9958" t="s">
        <v>33278</v>
      </c>
      <c r="E9958" t="s">
        <v>16</v>
      </c>
      <c r="F9958" t="s">
        <v>33002</v>
      </c>
      <c r="G9958" t="s">
        <v>32853</v>
      </c>
      <c r="H9958">
        <v>2407</v>
      </c>
    </row>
    <row r="9959" spans="1:8">
      <c r="A9959" t="str">
        <f>"0220027 "</f>
        <v xml:space="preserve">0220027 </v>
      </c>
      <c r="B9959" t="s">
        <v>33215</v>
      </c>
      <c r="C9959">
        <v>2413</v>
      </c>
      <c r="D9959" t="s">
        <v>33279</v>
      </c>
      <c r="E9959" t="s">
        <v>16</v>
      </c>
      <c r="F9959" t="s">
        <v>32907</v>
      </c>
      <c r="G9959" t="s">
        <v>32853</v>
      </c>
      <c r="H9959">
        <v>2413</v>
      </c>
    </row>
    <row r="9960" spans="1:8">
      <c r="A9960" t="str">
        <f>"0218421 "</f>
        <v xml:space="preserve">0218421 </v>
      </c>
      <c r="B9960" t="s">
        <v>33215</v>
      </c>
      <c r="C9960">
        <v>2414</v>
      </c>
      <c r="D9960" t="s">
        <v>33280</v>
      </c>
      <c r="E9960">
        <v>1</v>
      </c>
      <c r="F9960" t="s">
        <v>33281</v>
      </c>
      <c r="G9960" t="s">
        <v>32853</v>
      </c>
      <c r="H9960">
        <v>2414</v>
      </c>
    </row>
    <row r="9961" spans="1:8">
      <c r="A9961" t="str">
        <f>"0218422 "</f>
        <v xml:space="preserve">0218422 </v>
      </c>
      <c r="B9961" t="s">
        <v>33215</v>
      </c>
      <c r="C9961">
        <v>2450</v>
      </c>
      <c r="D9961" t="s">
        <v>33282</v>
      </c>
      <c r="E9961" t="s">
        <v>16</v>
      </c>
      <c r="F9961" s="3">
        <v>32174</v>
      </c>
      <c r="G9961" t="s">
        <v>32853</v>
      </c>
      <c r="H9961">
        <v>2450</v>
      </c>
    </row>
    <row r="9962" spans="1:8">
      <c r="A9962" t="str">
        <f>"0218423 "</f>
        <v xml:space="preserve">0218423 </v>
      </c>
      <c r="B9962" t="s">
        <v>33215</v>
      </c>
      <c r="C9962">
        <v>2452</v>
      </c>
      <c r="D9962" t="s">
        <v>33283</v>
      </c>
      <c r="E9962" t="s">
        <v>16</v>
      </c>
      <c r="F9962" s="3">
        <v>32174</v>
      </c>
      <c r="G9962" t="s">
        <v>32853</v>
      </c>
      <c r="H9962">
        <v>2452</v>
      </c>
    </row>
    <row r="9963" spans="1:8">
      <c r="A9963" t="str">
        <f>"0218424 "</f>
        <v xml:space="preserve">0218424 </v>
      </c>
      <c r="B9963" t="s">
        <v>33215</v>
      </c>
      <c r="C9963">
        <v>2454</v>
      </c>
      <c r="D9963" t="s">
        <v>33284</v>
      </c>
      <c r="E9963" t="s">
        <v>16</v>
      </c>
      <c r="F9963" s="3">
        <v>45323</v>
      </c>
      <c r="G9963" t="s">
        <v>32853</v>
      </c>
      <c r="H9963">
        <v>2454</v>
      </c>
    </row>
    <row r="9964" spans="1:8">
      <c r="A9964" t="str">
        <f>"0218425 "</f>
        <v xml:space="preserve">0218425 </v>
      </c>
      <c r="B9964" t="s">
        <v>33215</v>
      </c>
      <c r="C9964">
        <v>2455</v>
      </c>
      <c r="D9964" t="s">
        <v>33285</v>
      </c>
      <c r="E9964" t="s">
        <v>16</v>
      </c>
      <c r="F9964" s="3">
        <v>45323</v>
      </c>
      <c r="G9964" t="s">
        <v>32853</v>
      </c>
      <c r="H9964">
        <v>2455</v>
      </c>
    </row>
    <row r="9965" spans="1:8">
      <c r="A9965" t="str">
        <f>"0218430 "</f>
        <v xml:space="preserve">0218430 </v>
      </c>
      <c r="B9965" t="s">
        <v>33215</v>
      </c>
      <c r="C9965">
        <v>2456</v>
      </c>
      <c r="D9965" t="s">
        <v>33286</v>
      </c>
      <c r="E9965" t="s">
        <v>16</v>
      </c>
      <c r="F9965" s="3">
        <v>21916</v>
      </c>
      <c r="G9965" t="s">
        <v>32853</v>
      </c>
      <c r="H9965">
        <v>2456</v>
      </c>
    </row>
    <row r="9966" spans="1:8">
      <c r="A9966" t="str">
        <f>"0218428 "</f>
        <v xml:space="preserve">0218428 </v>
      </c>
      <c r="B9966" t="s">
        <v>33215</v>
      </c>
      <c r="C9966">
        <v>2460</v>
      </c>
      <c r="D9966" t="s">
        <v>33287</v>
      </c>
      <c r="E9966" t="s">
        <v>16</v>
      </c>
      <c r="F9966" s="3">
        <v>45323</v>
      </c>
      <c r="G9966" t="s">
        <v>32853</v>
      </c>
      <c r="H9966">
        <v>2460</v>
      </c>
    </row>
    <row r="9967" spans="1:8">
      <c r="A9967" t="str">
        <f>"0218429 "</f>
        <v xml:space="preserve">0218429 </v>
      </c>
      <c r="B9967" t="s">
        <v>33215</v>
      </c>
      <c r="C9967">
        <v>2461</v>
      </c>
      <c r="D9967" t="s">
        <v>33288</v>
      </c>
      <c r="E9967" t="s">
        <v>16</v>
      </c>
      <c r="F9967" s="3">
        <v>45323</v>
      </c>
      <c r="G9967" t="s">
        <v>32853</v>
      </c>
      <c r="H9967">
        <v>2461</v>
      </c>
    </row>
    <row r="9968" spans="1:8">
      <c r="A9968" t="str">
        <f>"0218438 "</f>
        <v xml:space="preserve">0218438 </v>
      </c>
      <c r="B9968" t="s">
        <v>33215</v>
      </c>
      <c r="C9968">
        <v>2463</v>
      </c>
      <c r="D9968" t="s">
        <v>33289</v>
      </c>
      <c r="E9968" t="s">
        <v>16</v>
      </c>
      <c r="F9968" t="str">
        <f>"0.96"</f>
        <v>0.96</v>
      </c>
      <c r="G9968" t="s">
        <v>32853</v>
      </c>
      <c r="H9968">
        <v>2463</v>
      </c>
    </row>
    <row r="9969" spans="1:8">
      <c r="A9969" t="str">
        <f>"0249002 "</f>
        <v xml:space="preserve">0249002 </v>
      </c>
      <c r="B9969" t="s">
        <v>33215</v>
      </c>
      <c r="C9969">
        <v>4143</v>
      </c>
      <c r="D9969" t="s">
        <v>33290</v>
      </c>
      <c r="E9969">
        <v>2</v>
      </c>
      <c r="F9969" t="s">
        <v>33291</v>
      </c>
      <c r="G9969" t="s">
        <v>32853</v>
      </c>
      <c r="H9969">
        <v>4143</v>
      </c>
    </row>
    <row r="9970" spans="1:8">
      <c r="A9970" t="str">
        <f>"0249003 "</f>
        <v xml:space="preserve">0249003 </v>
      </c>
      <c r="B9970" t="s">
        <v>33215</v>
      </c>
      <c r="C9970">
        <v>4150</v>
      </c>
      <c r="D9970" t="s">
        <v>33292</v>
      </c>
      <c r="E9970">
        <v>2</v>
      </c>
      <c r="F9970" t="s">
        <v>33291</v>
      </c>
      <c r="G9970" t="s">
        <v>32853</v>
      </c>
      <c r="H9970">
        <v>4150</v>
      </c>
    </row>
    <row r="9971" spans="1:8">
      <c r="A9971" t="str">
        <f>"0249004 "</f>
        <v xml:space="preserve">0249004 </v>
      </c>
      <c r="B9971" t="s">
        <v>33215</v>
      </c>
      <c r="C9971">
        <v>4160</v>
      </c>
      <c r="D9971" t="s">
        <v>33293</v>
      </c>
      <c r="E9971">
        <v>2</v>
      </c>
      <c r="F9971" t="s">
        <v>33291</v>
      </c>
      <c r="G9971" t="s">
        <v>32853</v>
      </c>
      <c r="H9971">
        <v>4160</v>
      </c>
    </row>
    <row r="9972" spans="1:8">
      <c r="A9972" t="str">
        <f>"0249006 "</f>
        <v xml:space="preserve">0249006 </v>
      </c>
      <c r="B9972" t="s">
        <v>33215</v>
      </c>
      <c r="C9972">
        <v>4250</v>
      </c>
      <c r="D9972" t="s">
        <v>33294</v>
      </c>
      <c r="E9972">
        <v>2</v>
      </c>
      <c r="F9972" t="s">
        <v>33291</v>
      </c>
      <c r="G9972" t="s">
        <v>32853</v>
      </c>
      <c r="H9972">
        <v>4250</v>
      </c>
    </row>
    <row r="9973" spans="1:8">
      <c r="A9973" t="str">
        <f>"0249007 "</f>
        <v xml:space="preserve">0249007 </v>
      </c>
      <c r="B9973" t="s">
        <v>33215</v>
      </c>
      <c r="C9973">
        <v>4343</v>
      </c>
      <c r="D9973" t="s">
        <v>33295</v>
      </c>
      <c r="E9973">
        <v>2</v>
      </c>
      <c r="F9973" t="s">
        <v>33291</v>
      </c>
      <c r="G9973" t="s">
        <v>32853</v>
      </c>
      <c r="H9973">
        <v>4343</v>
      </c>
    </row>
    <row r="9974" spans="1:8">
      <c r="A9974" t="str">
        <f>"0249008 "</f>
        <v xml:space="preserve">0249008 </v>
      </c>
      <c r="B9974" t="s">
        <v>33215</v>
      </c>
      <c r="C9974">
        <v>4350</v>
      </c>
      <c r="D9974" t="s">
        <v>33296</v>
      </c>
      <c r="E9974">
        <v>2</v>
      </c>
      <c r="F9974" t="s">
        <v>33291</v>
      </c>
      <c r="G9974" t="s">
        <v>32853</v>
      </c>
      <c r="H9974">
        <v>4350</v>
      </c>
    </row>
    <row r="9975" spans="1:8">
      <c r="A9975" t="str">
        <f>"0249009 "</f>
        <v xml:space="preserve">0249009 </v>
      </c>
      <c r="B9975" t="s">
        <v>33215</v>
      </c>
      <c r="C9975">
        <v>4360</v>
      </c>
      <c r="D9975" t="s">
        <v>33297</v>
      </c>
      <c r="E9975">
        <v>2</v>
      </c>
      <c r="F9975" t="s">
        <v>33291</v>
      </c>
      <c r="G9975" t="s">
        <v>32853</v>
      </c>
      <c r="H9975">
        <v>4360</v>
      </c>
    </row>
    <row r="9976" spans="1:8">
      <c r="A9976" t="str">
        <f>"0249796 "</f>
        <v xml:space="preserve">0249796 </v>
      </c>
      <c r="B9976" t="s">
        <v>33215</v>
      </c>
      <c r="C9976">
        <v>4443</v>
      </c>
      <c r="D9976" t="s">
        <v>33298</v>
      </c>
      <c r="E9976">
        <v>3</v>
      </c>
      <c r="F9976" t="s">
        <v>33299</v>
      </c>
      <c r="G9976" t="s">
        <v>32853</v>
      </c>
      <c r="H9976">
        <v>4443</v>
      </c>
    </row>
    <row r="9977" spans="1:8">
      <c r="A9977" t="str">
        <f>"0267385 "</f>
        <v xml:space="preserve">0267385 </v>
      </c>
      <c r="B9977" t="s">
        <v>33215</v>
      </c>
      <c r="C9977">
        <v>4450</v>
      </c>
      <c r="D9977" t="s">
        <v>33300</v>
      </c>
      <c r="E9977">
        <v>5</v>
      </c>
      <c r="F9977" t="s">
        <v>33301</v>
      </c>
      <c r="G9977" t="s">
        <v>32853</v>
      </c>
      <c r="H9977">
        <v>4450</v>
      </c>
    </row>
    <row r="9978" spans="1:8">
      <c r="A9978" t="str">
        <f>"0267386 "</f>
        <v xml:space="preserve">0267386 </v>
      </c>
      <c r="B9978" t="s">
        <v>33215</v>
      </c>
      <c r="C9978">
        <v>4460</v>
      </c>
      <c r="D9978" t="s">
        <v>33302</v>
      </c>
      <c r="E9978">
        <v>3</v>
      </c>
      <c r="F9978" t="s">
        <v>33299</v>
      </c>
      <c r="G9978" t="s">
        <v>32853</v>
      </c>
      <c r="H9978">
        <v>4460</v>
      </c>
    </row>
    <row r="9979" spans="1:8">
      <c r="A9979" t="str">
        <f>"0249013 "</f>
        <v xml:space="preserve">0249013 </v>
      </c>
      <c r="B9979" t="s">
        <v>33215</v>
      </c>
      <c r="C9979">
        <v>4550</v>
      </c>
      <c r="D9979" t="s">
        <v>33303</v>
      </c>
      <c r="E9979">
        <v>2</v>
      </c>
      <c r="F9979" t="s">
        <v>33291</v>
      </c>
      <c r="G9979" t="s">
        <v>32853</v>
      </c>
      <c r="H9979">
        <v>4550</v>
      </c>
    </row>
    <row r="9980" spans="1:8">
      <c r="A9980" t="str">
        <f>"0249014 "</f>
        <v xml:space="preserve">0249014 </v>
      </c>
      <c r="B9980" t="s">
        <v>33215</v>
      </c>
      <c r="C9980">
        <v>4560</v>
      </c>
      <c r="D9980" t="s">
        <v>33304</v>
      </c>
      <c r="E9980">
        <v>2</v>
      </c>
      <c r="F9980" t="s">
        <v>33291</v>
      </c>
      <c r="G9980" t="s">
        <v>32853</v>
      </c>
      <c r="H9980">
        <v>4560</v>
      </c>
    </row>
    <row r="9981" spans="1:8">
      <c r="A9981" t="str">
        <f>"0249015 "</f>
        <v xml:space="preserve">0249015 </v>
      </c>
      <c r="B9981" t="s">
        <v>33215</v>
      </c>
      <c r="C9981">
        <v>4650</v>
      </c>
      <c r="D9981" t="s">
        <v>33305</v>
      </c>
      <c r="E9981">
        <v>3</v>
      </c>
      <c r="F9981" t="s">
        <v>33291</v>
      </c>
      <c r="G9981" t="s">
        <v>32853</v>
      </c>
      <c r="H9981">
        <v>4650</v>
      </c>
    </row>
    <row r="9982" spans="1:8">
      <c r="A9982" t="str">
        <f>"0249016 "</f>
        <v xml:space="preserve">0249016 </v>
      </c>
      <c r="B9982" t="s">
        <v>33215</v>
      </c>
      <c r="C9982">
        <v>4660</v>
      </c>
      <c r="D9982" t="s">
        <v>33306</v>
      </c>
      <c r="E9982">
        <v>2</v>
      </c>
      <c r="F9982" t="s">
        <v>33291</v>
      </c>
      <c r="G9982" t="s">
        <v>32853</v>
      </c>
      <c r="H9982">
        <v>4660</v>
      </c>
    </row>
    <row r="9983" spans="1:8">
      <c r="A9983" t="str">
        <f>"0267387 "</f>
        <v xml:space="preserve">0267387 </v>
      </c>
      <c r="B9983" t="s">
        <v>33215</v>
      </c>
      <c r="C9983">
        <v>4743</v>
      </c>
      <c r="D9983" t="s">
        <v>33307</v>
      </c>
      <c r="E9983">
        <v>3</v>
      </c>
      <c r="F9983" t="s">
        <v>33291</v>
      </c>
      <c r="G9983" t="s">
        <v>32853</v>
      </c>
      <c r="H9983">
        <v>4743</v>
      </c>
    </row>
    <row r="9984" spans="1:8">
      <c r="A9984" t="str">
        <f>"0249797 "</f>
        <v xml:space="preserve">0249797 </v>
      </c>
      <c r="B9984" t="s">
        <v>33215</v>
      </c>
      <c r="C9984">
        <v>4750</v>
      </c>
      <c r="D9984" t="s">
        <v>33308</v>
      </c>
      <c r="E9984">
        <v>4</v>
      </c>
      <c r="F9984" t="s">
        <v>33291</v>
      </c>
      <c r="G9984" t="s">
        <v>32853</v>
      </c>
      <c r="H9984">
        <v>4750</v>
      </c>
    </row>
    <row r="9985" spans="1:8">
      <c r="A9985" t="str">
        <f>"0249010 "</f>
        <v xml:space="preserve">0249010 </v>
      </c>
      <c r="B9985" t="s">
        <v>33215</v>
      </c>
      <c r="C9985">
        <v>4760</v>
      </c>
      <c r="D9985" t="s">
        <v>33309</v>
      </c>
      <c r="E9985">
        <v>3</v>
      </c>
      <c r="F9985" t="s">
        <v>33291</v>
      </c>
      <c r="G9985" t="s">
        <v>32853</v>
      </c>
      <c r="H9985">
        <v>4760</v>
      </c>
    </row>
    <row r="9986" spans="1:8">
      <c r="A9986" t="str">
        <f>"0249011 "</f>
        <v xml:space="preserve">0249011 </v>
      </c>
      <c r="B9986" t="s">
        <v>33215</v>
      </c>
      <c r="C9986">
        <v>4850</v>
      </c>
      <c r="D9986" t="s">
        <v>33310</v>
      </c>
      <c r="E9986">
        <v>3</v>
      </c>
      <c r="F9986" t="s">
        <v>33291</v>
      </c>
      <c r="G9986" t="s">
        <v>32853</v>
      </c>
      <c r="H9986">
        <v>4850</v>
      </c>
    </row>
    <row r="9987" spans="1:8">
      <c r="A9987" t="str">
        <f>"0249012 "</f>
        <v xml:space="preserve">0249012 </v>
      </c>
      <c r="B9987" t="s">
        <v>33215</v>
      </c>
      <c r="C9987">
        <v>4860</v>
      </c>
      <c r="D9987" t="s">
        <v>33311</v>
      </c>
      <c r="E9987">
        <v>2</v>
      </c>
      <c r="F9987" t="s">
        <v>33291</v>
      </c>
      <c r="G9987" t="s">
        <v>32853</v>
      </c>
      <c r="H9987">
        <v>4860</v>
      </c>
    </row>
    <row r="9988" spans="1:8">
      <c r="A9988" t="str">
        <f>"0249005 "</f>
        <v xml:space="preserve">0249005 </v>
      </c>
      <c r="B9988" t="s">
        <v>33215</v>
      </c>
      <c r="C9988">
        <v>4950</v>
      </c>
      <c r="D9988" t="s">
        <v>33312</v>
      </c>
      <c r="E9988">
        <v>2</v>
      </c>
      <c r="F9988" t="s">
        <v>33291</v>
      </c>
      <c r="G9988" t="s">
        <v>32853</v>
      </c>
      <c r="H9988">
        <v>4950</v>
      </c>
    </row>
    <row r="9989" spans="1:8">
      <c r="A9989" t="str">
        <f>"0269025 "</f>
        <v xml:space="preserve">0269025 </v>
      </c>
      <c r="B9989" t="s">
        <v>33215</v>
      </c>
      <c r="C9989">
        <v>4960</v>
      </c>
      <c r="D9989" t="s">
        <v>33313</v>
      </c>
      <c r="E9989">
        <v>2</v>
      </c>
      <c r="F9989" t="s">
        <v>33291</v>
      </c>
      <c r="G9989" t="s">
        <v>32853</v>
      </c>
      <c r="H9989">
        <v>4960</v>
      </c>
    </row>
    <row r="9990" spans="1:8">
      <c r="A9990" t="str">
        <f>"0248972 "</f>
        <v xml:space="preserve">0248972 </v>
      </c>
      <c r="B9990" t="s">
        <v>33215</v>
      </c>
      <c r="C9990">
        <v>8114</v>
      </c>
      <c r="D9990" t="s">
        <v>33314</v>
      </c>
      <c r="E9990">
        <v>3</v>
      </c>
      <c r="F9990" t="s">
        <v>33315</v>
      </c>
      <c r="G9990" t="s">
        <v>32853</v>
      </c>
      <c r="H9990">
        <v>8114</v>
      </c>
    </row>
    <row r="9991" spans="1:8">
      <c r="A9991" t="str">
        <f>"0248973 "</f>
        <v xml:space="preserve">0248973 </v>
      </c>
      <c r="B9991" t="s">
        <v>33215</v>
      </c>
      <c r="C9991">
        <v>8115</v>
      </c>
      <c r="D9991" t="s">
        <v>33316</v>
      </c>
      <c r="E9991">
        <v>2</v>
      </c>
      <c r="F9991" t="s">
        <v>33315</v>
      </c>
      <c r="G9991" t="s">
        <v>32853</v>
      </c>
      <c r="H9991">
        <v>8115</v>
      </c>
    </row>
    <row r="9992" spans="1:8">
      <c r="A9992" t="str">
        <f>"0248974 "</f>
        <v xml:space="preserve">0248974 </v>
      </c>
      <c r="B9992" t="s">
        <v>33215</v>
      </c>
      <c r="C9992">
        <v>8116</v>
      </c>
      <c r="D9992" t="s">
        <v>33317</v>
      </c>
      <c r="E9992">
        <v>3</v>
      </c>
      <c r="F9992" t="s">
        <v>33315</v>
      </c>
      <c r="G9992" t="s">
        <v>32853</v>
      </c>
      <c r="H9992">
        <v>8116</v>
      </c>
    </row>
    <row r="9993" spans="1:8">
      <c r="A9993" t="str">
        <f>"0248978 "</f>
        <v xml:space="preserve">0248978 </v>
      </c>
      <c r="B9993" t="s">
        <v>33215</v>
      </c>
      <c r="C9993">
        <v>8214</v>
      </c>
      <c r="D9993" t="s">
        <v>33318</v>
      </c>
      <c r="E9993">
        <v>2</v>
      </c>
      <c r="F9993" t="s">
        <v>33319</v>
      </c>
      <c r="G9993" t="s">
        <v>32853</v>
      </c>
      <c r="H9993">
        <v>8214</v>
      </c>
    </row>
    <row r="9994" spans="1:8">
      <c r="A9994" t="str">
        <f>"0248979 "</f>
        <v xml:space="preserve">0248979 </v>
      </c>
      <c r="B9994" t="s">
        <v>33215</v>
      </c>
      <c r="C9994">
        <v>8215</v>
      </c>
      <c r="D9994" t="s">
        <v>33320</v>
      </c>
      <c r="E9994" t="s">
        <v>16</v>
      </c>
      <c r="F9994" t="s">
        <v>33319</v>
      </c>
      <c r="G9994" t="s">
        <v>32853</v>
      </c>
      <c r="H9994">
        <v>8215</v>
      </c>
    </row>
    <row r="9995" spans="1:8">
      <c r="A9995" t="str">
        <f>"0248980 "</f>
        <v xml:space="preserve">0248980 </v>
      </c>
      <c r="B9995" t="s">
        <v>33215</v>
      </c>
      <c r="C9995">
        <v>8216</v>
      </c>
      <c r="D9995" t="s">
        <v>33321</v>
      </c>
      <c r="E9995">
        <v>2</v>
      </c>
      <c r="F9995" t="s">
        <v>33319</v>
      </c>
      <c r="G9995" t="s">
        <v>32853</v>
      </c>
      <c r="H9995">
        <v>8216</v>
      </c>
    </row>
    <row r="9996" spans="1:8">
      <c r="A9996" t="str">
        <f>"0248975 "</f>
        <v xml:space="preserve">0248975 </v>
      </c>
      <c r="B9996" t="s">
        <v>33215</v>
      </c>
      <c r="C9996">
        <v>8224</v>
      </c>
      <c r="D9996" t="s">
        <v>33322</v>
      </c>
      <c r="E9996">
        <v>2</v>
      </c>
      <c r="F9996" t="s">
        <v>33323</v>
      </c>
      <c r="G9996" t="s">
        <v>32853</v>
      </c>
      <c r="H9996">
        <v>8224</v>
      </c>
    </row>
    <row r="9997" spans="1:8">
      <c r="A9997" t="str">
        <f>"0248976 "</f>
        <v xml:space="preserve">0248976 </v>
      </c>
      <c r="B9997" t="s">
        <v>33215</v>
      </c>
      <c r="C9997">
        <v>8225</v>
      </c>
      <c r="D9997" t="s">
        <v>33324</v>
      </c>
      <c r="E9997">
        <v>2</v>
      </c>
      <c r="F9997" t="s">
        <v>33323</v>
      </c>
      <c r="G9997" t="s">
        <v>32853</v>
      </c>
      <c r="H9997">
        <v>8225</v>
      </c>
    </row>
    <row r="9998" spans="1:8">
      <c r="A9998" t="str">
        <f>"0248977 "</f>
        <v xml:space="preserve">0248977 </v>
      </c>
      <c r="B9998" t="s">
        <v>33215</v>
      </c>
      <c r="C9998">
        <v>8226</v>
      </c>
      <c r="D9998" t="s">
        <v>33325</v>
      </c>
      <c r="E9998">
        <v>3</v>
      </c>
      <c r="F9998" t="s">
        <v>33323</v>
      </c>
      <c r="G9998" t="s">
        <v>32853</v>
      </c>
      <c r="H9998">
        <v>8226</v>
      </c>
    </row>
    <row r="9999" spans="1:8">
      <c r="A9999" t="str">
        <f>"0248981 "</f>
        <v xml:space="preserve">0248981 </v>
      </c>
      <c r="B9999" t="s">
        <v>33215</v>
      </c>
      <c r="C9999">
        <v>8414</v>
      </c>
      <c r="D9999" t="s">
        <v>33326</v>
      </c>
      <c r="E9999">
        <v>2</v>
      </c>
      <c r="F9999" t="s">
        <v>33327</v>
      </c>
      <c r="G9999" t="s">
        <v>32853</v>
      </c>
      <c r="H9999">
        <v>8414</v>
      </c>
    </row>
    <row r="10000" spans="1:8">
      <c r="A10000" t="str">
        <f>"0248982 "</f>
        <v xml:space="preserve">0248982 </v>
      </c>
      <c r="B10000" t="s">
        <v>33215</v>
      </c>
      <c r="C10000">
        <v>8415</v>
      </c>
      <c r="D10000" t="s">
        <v>33328</v>
      </c>
      <c r="E10000">
        <v>2</v>
      </c>
      <c r="F10000" t="s">
        <v>33327</v>
      </c>
      <c r="G10000" t="s">
        <v>32853</v>
      </c>
      <c r="H10000">
        <v>8415</v>
      </c>
    </row>
    <row r="10001" spans="1:8">
      <c r="A10001" t="str">
        <f>"0248983 "</f>
        <v xml:space="preserve">0248983 </v>
      </c>
      <c r="B10001" t="s">
        <v>33215</v>
      </c>
      <c r="C10001">
        <v>8416</v>
      </c>
      <c r="D10001" t="s">
        <v>33329</v>
      </c>
      <c r="E10001">
        <v>3</v>
      </c>
      <c r="F10001" t="s">
        <v>33327</v>
      </c>
      <c r="G10001" t="s">
        <v>32853</v>
      </c>
      <c r="H10001">
        <v>8416</v>
      </c>
    </row>
    <row r="10002" spans="1:8">
      <c r="A10002" t="str">
        <f>"0269022 "</f>
        <v xml:space="preserve">0269022 </v>
      </c>
      <c r="B10002" t="s">
        <v>33215</v>
      </c>
      <c r="C10002">
        <v>8840</v>
      </c>
      <c r="D10002" t="s">
        <v>33330</v>
      </c>
      <c r="E10002">
        <v>5</v>
      </c>
      <c r="F10002" t="s">
        <v>33217</v>
      </c>
      <c r="G10002" t="s">
        <v>32853</v>
      </c>
      <c r="H10002">
        <v>8840</v>
      </c>
    </row>
    <row r="10003" spans="1:8">
      <c r="A10003" t="str">
        <f>"0269023 "</f>
        <v xml:space="preserve">0269023 </v>
      </c>
      <c r="B10003" t="s">
        <v>33215</v>
      </c>
      <c r="C10003">
        <v>8850</v>
      </c>
      <c r="D10003" t="s">
        <v>33331</v>
      </c>
      <c r="E10003">
        <v>5</v>
      </c>
      <c r="F10003" t="s">
        <v>33217</v>
      </c>
      <c r="G10003" t="s">
        <v>32853</v>
      </c>
      <c r="H10003">
        <v>8850</v>
      </c>
    </row>
    <row r="10004" spans="1:8">
      <c r="A10004" t="str">
        <f>"0269024 "</f>
        <v xml:space="preserve">0269024 </v>
      </c>
      <c r="B10004" t="s">
        <v>33215</v>
      </c>
      <c r="C10004">
        <v>8860</v>
      </c>
      <c r="D10004" t="s">
        <v>33332</v>
      </c>
      <c r="E10004">
        <v>5</v>
      </c>
      <c r="F10004" t="s">
        <v>33217</v>
      </c>
      <c r="G10004" t="s">
        <v>32853</v>
      </c>
      <c r="H10004">
        <v>8860</v>
      </c>
    </row>
    <row r="10005" spans="1:8">
      <c r="A10005" t="str">
        <f>"0248998 "</f>
        <v xml:space="preserve">0248998 </v>
      </c>
      <c r="B10005" t="s">
        <v>33215</v>
      </c>
      <c r="C10005">
        <v>9543</v>
      </c>
      <c r="D10005" t="s">
        <v>33333</v>
      </c>
      <c r="E10005">
        <v>3</v>
      </c>
      <c r="F10005" t="s">
        <v>33217</v>
      </c>
      <c r="G10005" t="s">
        <v>32853</v>
      </c>
      <c r="H10005">
        <v>9543</v>
      </c>
    </row>
    <row r="10006" spans="1:8">
      <c r="A10006" t="str">
        <f>"0248999 "</f>
        <v xml:space="preserve">0248999 </v>
      </c>
      <c r="B10006" t="s">
        <v>33215</v>
      </c>
      <c r="C10006">
        <v>9550</v>
      </c>
      <c r="D10006" t="s">
        <v>33334</v>
      </c>
      <c r="E10006">
        <v>3</v>
      </c>
      <c r="F10006" t="s">
        <v>33217</v>
      </c>
      <c r="G10006" t="s">
        <v>32853</v>
      </c>
      <c r="H10006">
        <v>9550</v>
      </c>
    </row>
    <row r="10007" spans="1:8">
      <c r="A10007" t="str">
        <f>"0249000 "</f>
        <v xml:space="preserve">0249000 </v>
      </c>
      <c r="B10007" t="s">
        <v>33215</v>
      </c>
      <c r="C10007">
        <v>9560</v>
      </c>
      <c r="D10007" t="s">
        <v>33335</v>
      </c>
      <c r="E10007">
        <v>2</v>
      </c>
      <c r="F10007" t="s">
        <v>33217</v>
      </c>
      <c r="G10007" t="s">
        <v>32853</v>
      </c>
      <c r="H10007">
        <v>9560</v>
      </c>
    </row>
    <row r="10008" spans="1:8">
      <c r="A10008" t="str">
        <f>"0269021 "</f>
        <v xml:space="preserve">0269021 </v>
      </c>
      <c r="B10008" t="s">
        <v>33215</v>
      </c>
      <c r="C10008">
        <v>9643</v>
      </c>
      <c r="D10008" t="s">
        <v>33336</v>
      </c>
      <c r="E10008">
        <v>3</v>
      </c>
      <c r="F10008" t="s">
        <v>33217</v>
      </c>
      <c r="G10008" t="s">
        <v>32853</v>
      </c>
      <c r="H10008">
        <v>9643</v>
      </c>
    </row>
    <row r="10009" spans="1:8">
      <c r="A10009" t="str">
        <f>"0258291 "</f>
        <v xml:space="preserve">0258291 </v>
      </c>
      <c r="B10009" t="s">
        <v>33215</v>
      </c>
      <c r="C10009">
        <v>9650</v>
      </c>
      <c r="D10009" t="s">
        <v>33337</v>
      </c>
      <c r="E10009">
        <v>2</v>
      </c>
      <c r="F10009" t="s">
        <v>33217</v>
      </c>
      <c r="G10009" t="s">
        <v>32853</v>
      </c>
      <c r="H10009">
        <v>9650</v>
      </c>
    </row>
    <row r="10010" spans="1:8">
      <c r="A10010" t="str">
        <f>"0258292 "</f>
        <v xml:space="preserve">0258292 </v>
      </c>
      <c r="B10010" t="s">
        <v>33215</v>
      </c>
      <c r="C10010">
        <v>9660</v>
      </c>
      <c r="D10010" t="s">
        <v>33338</v>
      </c>
      <c r="E10010">
        <v>2</v>
      </c>
      <c r="F10010" t="s">
        <v>33217</v>
      </c>
      <c r="G10010" t="s">
        <v>32853</v>
      </c>
      <c r="H10010">
        <v>9660</v>
      </c>
    </row>
    <row r="10011" spans="1:8">
      <c r="A10011" t="str">
        <f>"0231576 "</f>
        <v xml:space="preserve">0231576 </v>
      </c>
      <c r="B10011" t="s">
        <v>33215</v>
      </c>
      <c r="C10011" t="s">
        <v>33339</v>
      </c>
      <c r="D10011" t="s">
        <v>33340</v>
      </c>
      <c r="E10011" t="s">
        <v>16</v>
      </c>
      <c r="F10011" s="3">
        <v>33604</v>
      </c>
      <c r="G10011" t="s">
        <v>32853</v>
      </c>
      <c r="H10011" t="s">
        <v>33339</v>
      </c>
    </row>
    <row r="10012" spans="1:8">
      <c r="A10012" t="str">
        <f>"0231577 "</f>
        <v xml:space="preserve">0231577 </v>
      </c>
      <c r="B10012" t="s">
        <v>33215</v>
      </c>
      <c r="C10012" t="s">
        <v>33341</v>
      </c>
      <c r="D10012" t="s">
        <v>33342</v>
      </c>
      <c r="E10012" t="s">
        <v>16</v>
      </c>
      <c r="F10012" s="3">
        <v>14642</v>
      </c>
      <c r="G10012" t="s">
        <v>32853</v>
      </c>
      <c r="H10012" t="s">
        <v>33341</v>
      </c>
    </row>
    <row r="10013" spans="1:8">
      <c r="A10013" t="str">
        <f>"0231578 "</f>
        <v xml:space="preserve">0231578 </v>
      </c>
      <c r="B10013" t="s">
        <v>33215</v>
      </c>
      <c r="C10013" t="s">
        <v>33343</v>
      </c>
      <c r="D10013" t="s">
        <v>33344</v>
      </c>
      <c r="E10013" t="s">
        <v>16</v>
      </c>
      <c r="F10013" s="3">
        <v>14642</v>
      </c>
      <c r="G10013" t="s">
        <v>32853</v>
      </c>
      <c r="H10013" t="s">
        <v>33343</v>
      </c>
    </row>
    <row r="10014" spans="1:8">
      <c r="A10014" t="str">
        <f>"0231579 "</f>
        <v xml:space="preserve">0231579 </v>
      </c>
      <c r="B10014" t="s">
        <v>33215</v>
      </c>
      <c r="C10014" t="s">
        <v>33345</v>
      </c>
      <c r="D10014" t="s">
        <v>33346</v>
      </c>
      <c r="E10014" t="s">
        <v>16</v>
      </c>
      <c r="F10014" s="3">
        <v>44256</v>
      </c>
      <c r="G10014" t="s">
        <v>32853</v>
      </c>
      <c r="H10014" t="s">
        <v>33345</v>
      </c>
    </row>
    <row r="10015" spans="1:8">
      <c r="A10015" t="str">
        <f>"0231580 "</f>
        <v xml:space="preserve">0231580 </v>
      </c>
      <c r="B10015" t="s">
        <v>33215</v>
      </c>
      <c r="C10015" t="s">
        <v>33347</v>
      </c>
      <c r="D10015" t="s">
        <v>33348</v>
      </c>
      <c r="E10015" t="s">
        <v>16</v>
      </c>
      <c r="F10015" s="3">
        <v>22402</v>
      </c>
      <c r="G10015" t="s">
        <v>32853</v>
      </c>
      <c r="H10015" t="s">
        <v>33347</v>
      </c>
    </row>
    <row r="10016" spans="1:8">
      <c r="A10016" t="str">
        <f>"0231581 "</f>
        <v xml:space="preserve">0231581 </v>
      </c>
      <c r="B10016" t="s">
        <v>33215</v>
      </c>
      <c r="C10016" t="s">
        <v>33349</v>
      </c>
      <c r="D10016" t="s">
        <v>33350</v>
      </c>
      <c r="E10016" t="s">
        <v>16</v>
      </c>
      <c r="F10016" s="3">
        <v>22402</v>
      </c>
      <c r="G10016" t="s">
        <v>32853</v>
      </c>
      <c r="H10016" t="s">
        <v>33349</v>
      </c>
    </row>
    <row r="10017" spans="1:8">
      <c r="A10017" t="str">
        <f>"0231582 "</f>
        <v xml:space="preserve">0231582 </v>
      </c>
      <c r="B10017" t="s">
        <v>33215</v>
      </c>
      <c r="C10017" t="s">
        <v>33351</v>
      </c>
      <c r="D10017" t="s">
        <v>33352</v>
      </c>
      <c r="E10017" t="s">
        <v>16</v>
      </c>
      <c r="F10017" s="3">
        <v>13697</v>
      </c>
      <c r="G10017" t="s">
        <v>32853</v>
      </c>
      <c r="H10017" t="s">
        <v>33351</v>
      </c>
    </row>
    <row r="10018" spans="1:8">
      <c r="A10018" t="str">
        <f>"0231583 "</f>
        <v xml:space="preserve">0231583 </v>
      </c>
      <c r="B10018" t="s">
        <v>33215</v>
      </c>
      <c r="C10018" t="s">
        <v>33353</v>
      </c>
      <c r="D10018" t="s">
        <v>33354</v>
      </c>
      <c r="E10018" t="s">
        <v>16</v>
      </c>
      <c r="F10018" t="s">
        <v>33355</v>
      </c>
      <c r="G10018" t="s">
        <v>32853</v>
      </c>
      <c r="H10018" t="s">
        <v>33353</v>
      </c>
    </row>
    <row r="10019" spans="1:8">
      <c r="A10019" t="str">
        <f>"0231584 "</f>
        <v xml:space="preserve">0231584 </v>
      </c>
      <c r="B10019" t="s">
        <v>33215</v>
      </c>
      <c r="C10019" t="s">
        <v>33356</v>
      </c>
      <c r="D10019" t="s">
        <v>33357</v>
      </c>
      <c r="E10019" t="s">
        <v>16</v>
      </c>
      <c r="F10019" t="s">
        <v>33358</v>
      </c>
      <c r="G10019" t="s">
        <v>32853</v>
      </c>
      <c r="H10019" t="s">
        <v>33356</v>
      </c>
    </row>
    <row r="10020" spans="1:8">
      <c r="A10020" t="str">
        <f>"0231585 "</f>
        <v xml:space="preserve">0231585 </v>
      </c>
      <c r="B10020" t="s">
        <v>33215</v>
      </c>
      <c r="C10020" t="s">
        <v>33359</v>
      </c>
      <c r="D10020" t="s">
        <v>33360</v>
      </c>
      <c r="E10020" t="s">
        <v>16</v>
      </c>
      <c r="F10020" t="s">
        <v>33361</v>
      </c>
      <c r="G10020" t="s">
        <v>32853</v>
      </c>
      <c r="H10020" t="s">
        <v>33359</v>
      </c>
    </row>
    <row r="10021" spans="1:8">
      <c r="A10021" t="str">
        <f>"0231586 "</f>
        <v xml:space="preserve">0231586 </v>
      </c>
      <c r="B10021" t="s">
        <v>33215</v>
      </c>
      <c r="C10021" t="s">
        <v>33362</v>
      </c>
      <c r="D10021" t="s">
        <v>33363</v>
      </c>
      <c r="E10021" t="s">
        <v>16</v>
      </c>
      <c r="F10021" s="3">
        <v>41395</v>
      </c>
      <c r="G10021" t="s">
        <v>32853</v>
      </c>
      <c r="H10021" t="s">
        <v>33362</v>
      </c>
    </row>
    <row r="10022" spans="1:8">
      <c r="A10022" t="str">
        <f>"0231587 "</f>
        <v xml:space="preserve">0231587 </v>
      </c>
      <c r="B10022" t="s">
        <v>33215</v>
      </c>
      <c r="C10022" t="s">
        <v>33364</v>
      </c>
      <c r="D10022" t="s">
        <v>33365</v>
      </c>
      <c r="E10022" t="s">
        <v>16</v>
      </c>
      <c r="F10022" t="s">
        <v>33366</v>
      </c>
      <c r="G10022" t="s">
        <v>32853</v>
      </c>
      <c r="H10022" t="s">
        <v>33364</v>
      </c>
    </row>
    <row r="10023" spans="1:8">
      <c r="A10023" t="str">
        <f>"0231588 "</f>
        <v xml:space="preserve">0231588 </v>
      </c>
      <c r="B10023" t="s">
        <v>33215</v>
      </c>
      <c r="C10023" t="s">
        <v>33367</v>
      </c>
      <c r="D10023" t="s">
        <v>33368</v>
      </c>
      <c r="E10023" t="s">
        <v>16</v>
      </c>
      <c r="F10023" s="3">
        <v>15128</v>
      </c>
      <c r="G10023" t="s">
        <v>32853</v>
      </c>
      <c r="H10023" t="s">
        <v>33367</v>
      </c>
    </row>
    <row r="10024" spans="1:8">
      <c r="A10024" t="str">
        <f>"0086558 "</f>
        <v xml:space="preserve">0086558 </v>
      </c>
      <c r="B10024" t="s">
        <v>33369</v>
      </c>
      <c r="C10024" t="str">
        <f>"0086558"</f>
        <v>0086558</v>
      </c>
      <c r="D10024" t="s">
        <v>33370</v>
      </c>
      <c r="E10024" t="s">
        <v>16</v>
      </c>
      <c r="F10024" s="3">
        <v>41456</v>
      </c>
      <c r="G10024" t="s">
        <v>33369</v>
      </c>
      <c r="H10024" t="str">
        <f>"0086558"</f>
        <v>0086558</v>
      </c>
    </row>
    <row r="10025" spans="1:8">
      <c r="A10025" t="str">
        <f>"0086559 "</f>
        <v xml:space="preserve">0086559 </v>
      </c>
      <c r="B10025" t="s">
        <v>33369</v>
      </c>
      <c r="C10025" t="str">
        <f>"0086559"</f>
        <v>0086559</v>
      </c>
      <c r="D10025" t="s">
        <v>33371</v>
      </c>
      <c r="E10025" t="s">
        <v>16</v>
      </c>
      <c r="F10025" s="3">
        <v>45261</v>
      </c>
      <c r="G10025" t="s">
        <v>33369</v>
      </c>
      <c r="H10025" t="str">
        <f>"0086559"</f>
        <v>0086559</v>
      </c>
    </row>
    <row r="10026" spans="1:8">
      <c r="A10026" t="str">
        <f>"0269055 "</f>
        <v xml:space="preserve">0269055 </v>
      </c>
      <c r="B10026" t="s">
        <v>33372</v>
      </c>
      <c r="D10026" t="s">
        <v>33373</v>
      </c>
      <c r="E10026">
        <v>2</v>
      </c>
      <c r="F10026" t="s">
        <v>33374</v>
      </c>
      <c r="G10026" t="s">
        <v>33375</v>
      </c>
    </row>
    <row r="10027" spans="1:8">
      <c r="A10027" t="str">
        <f>"0258119 "</f>
        <v xml:space="preserve">0258119 </v>
      </c>
      <c r="B10027" t="s">
        <v>33372</v>
      </c>
      <c r="D10027" t="s">
        <v>33376</v>
      </c>
      <c r="E10027" t="s">
        <v>16</v>
      </c>
      <c r="F10027" t="s">
        <v>5434</v>
      </c>
      <c r="G10027" t="s">
        <v>33375</v>
      </c>
    </row>
    <row r="10028" spans="1:8">
      <c r="A10028" t="str">
        <f>"0258118 "</f>
        <v xml:space="preserve">0258118 </v>
      </c>
      <c r="B10028" t="s">
        <v>33372</v>
      </c>
      <c r="D10028" t="s">
        <v>33377</v>
      </c>
      <c r="E10028" t="s">
        <v>16</v>
      </c>
      <c r="F10028" t="s">
        <v>5434</v>
      </c>
      <c r="G10028" t="s">
        <v>33375</v>
      </c>
    </row>
    <row r="10029" spans="1:8">
      <c r="A10029" t="str">
        <f>"0258121 "</f>
        <v xml:space="preserve">0258121 </v>
      </c>
      <c r="B10029" t="s">
        <v>33372</v>
      </c>
      <c r="D10029" t="s">
        <v>33378</v>
      </c>
      <c r="E10029" t="s">
        <v>16</v>
      </c>
      <c r="F10029" t="s">
        <v>5434</v>
      </c>
      <c r="G10029" t="s">
        <v>33375</v>
      </c>
    </row>
    <row r="10030" spans="1:8">
      <c r="A10030" t="str">
        <f>"0258122 "</f>
        <v xml:space="preserve">0258122 </v>
      </c>
      <c r="B10030" t="s">
        <v>33372</v>
      </c>
      <c r="D10030" t="s">
        <v>33379</v>
      </c>
      <c r="E10030" t="s">
        <v>16</v>
      </c>
      <c r="F10030" t="s">
        <v>5434</v>
      </c>
      <c r="G10030" t="s">
        <v>33375</v>
      </c>
    </row>
    <row r="10031" spans="1:8">
      <c r="A10031" t="str">
        <f>"0258120 "</f>
        <v xml:space="preserve">0258120 </v>
      </c>
      <c r="B10031" t="s">
        <v>33372</v>
      </c>
      <c r="D10031" t="s">
        <v>33380</v>
      </c>
      <c r="E10031" t="s">
        <v>16</v>
      </c>
      <c r="F10031" t="s">
        <v>5434</v>
      </c>
      <c r="G10031" t="s">
        <v>33375</v>
      </c>
    </row>
    <row r="10032" spans="1:8">
      <c r="A10032" t="str">
        <f>"0258134 "</f>
        <v xml:space="preserve">0258134 </v>
      </c>
      <c r="B10032" t="s">
        <v>33372</v>
      </c>
      <c r="D10032" t="s">
        <v>33381</v>
      </c>
      <c r="E10032" t="s">
        <v>16</v>
      </c>
      <c r="F10032" t="s">
        <v>5434</v>
      </c>
      <c r="G10032" t="s">
        <v>33375</v>
      </c>
    </row>
    <row r="10033" spans="1:7">
      <c r="A10033" t="str">
        <f>"0258132 "</f>
        <v xml:space="preserve">0258132 </v>
      </c>
      <c r="B10033" t="s">
        <v>33372</v>
      </c>
      <c r="D10033" t="s">
        <v>33382</v>
      </c>
      <c r="E10033" t="s">
        <v>16</v>
      </c>
      <c r="F10033" t="s">
        <v>5434</v>
      </c>
      <c r="G10033" t="s">
        <v>33375</v>
      </c>
    </row>
    <row r="10034" spans="1:7">
      <c r="A10034" t="str">
        <f>"0258126 "</f>
        <v xml:space="preserve">0258126 </v>
      </c>
      <c r="B10034" t="s">
        <v>33372</v>
      </c>
      <c r="D10034" t="s">
        <v>33383</v>
      </c>
      <c r="E10034" t="s">
        <v>16</v>
      </c>
      <c r="F10034" t="s">
        <v>33384</v>
      </c>
      <c r="G10034" t="s">
        <v>33375</v>
      </c>
    </row>
    <row r="10035" spans="1:7">
      <c r="A10035" t="str">
        <f>"0258127 "</f>
        <v xml:space="preserve">0258127 </v>
      </c>
      <c r="B10035" t="s">
        <v>33372</v>
      </c>
      <c r="D10035" t="s">
        <v>33385</v>
      </c>
      <c r="E10035" t="s">
        <v>16</v>
      </c>
      <c r="F10035" t="s">
        <v>33384</v>
      </c>
      <c r="G10035" t="s">
        <v>33375</v>
      </c>
    </row>
    <row r="10036" spans="1:7">
      <c r="A10036" t="str">
        <f>"0258128 "</f>
        <v xml:space="preserve">0258128 </v>
      </c>
      <c r="B10036" t="s">
        <v>33372</v>
      </c>
      <c r="D10036" t="s">
        <v>33386</v>
      </c>
      <c r="E10036" t="s">
        <v>16</v>
      </c>
      <c r="F10036" t="s">
        <v>33384</v>
      </c>
      <c r="G10036" t="s">
        <v>33375</v>
      </c>
    </row>
    <row r="10037" spans="1:7">
      <c r="A10037" t="str">
        <f>"0258129 "</f>
        <v xml:space="preserve">0258129 </v>
      </c>
      <c r="B10037" t="s">
        <v>33372</v>
      </c>
      <c r="D10037" t="s">
        <v>33387</v>
      </c>
      <c r="E10037" t="s">
        <v>16</v>
      </c>
      <c r="F10037" t="s">
        <v>33229</v>
      </c>
      <c r="G10037" t="s">
        <v>33375</v>
      </c>
    </row>
    <row r="10038" spans="1:7">
      <c r="A10038" t="str">
        <f>"0258131 "</f>
        <v xml:space="preserve">0258131 </v>
      </c>
      <c r="B10038" t="s">
        <v>33372</v>
      </c>
      <c r="D10038" t="s">
        <v>33388</v>
      </c>
      <c r="E10038" t="s">
        <v>16</v>
      </c>
      <c r="F10038" t="s">
        <v>33229</v>
      </c>
      <c r="G10038" t="s">
        <v>33375</v>
      </c>
    </row>
    <row r="10039" spans="1:7">
      <c r="A10039" t="str">
        <f>"0258123 "</f>
        <v xml:space="preserve">0258123 </v>
      </c>
      <c r="B10039" t="s">
        <v>33372</v>
      </c>
      <c r="D10039" t="s">
        <v>33389</v>
      </c>
      <c r="E10039" t="s">
        <v>16</v>
      </c>
      <c r="F10039" t="s">
        <v>33229</v>
      </c>
      <c r="G10039" t="s">
        <v>33375</v>
      </c>
    </row>
    <row r="10040" spans="1:7">
      <c r="A10040" t="str">
        <f>"0258125 "</f>
        <v xml:space="preserve">0258125 </v>
      </c>
      <c r="B10040" t="s">
        <v>33372</v>
      </c>
      <c r="D10040" t="s">
        <v>33390</v>
      </c>
      <c r="E10040" t="s">
        <v>16</v>
      </c>
      <c r="F10040" t="s">
        <v>33229</v>
      </c>
      <c r="G10040" t="s">
        <v>33375</v>
      </c>
    </row>
    <row r="10041" spans="1:7">
      <c r="A10041" t="str">
        <f>"0258130 "</f>
        <v xml:space="preserve">0258130 </v>
      </c>
      <c r="B10041" t="s">
        <v>33372</v>
      </c>
      <c r="D10041" t="s">
        <v>33391</v>
      </c>
      <c r="E10041" t="s">
        <v>16</v>
      </c>
      <c r="F10041" t="s">
        <v>33229</v>
      </c>
      <c r="G10041" t="s">
        <v>33375</v>
      </c>
    </row>
    <row r="10042" spans="1:7">
      <c r="A10042" t="str">
        <f>"0269052 "</f>
        <v xml:space="preserve">0269052 </v>
      </c>
      <c r="B10042" t="s">
        <v>33372</v>
      </c>
      <c r="D10042" t="s">
        <v>33392</v>
      </c>
      <c r="E10042">
        <v>2</v>
      </c>
      <c r="F10042" t="s">
        <v>33393</v>
      </c>
      <c r="G10042" t="s">
        <v>33375</v>
      </c>
    </row>
    <row r="10043" spans="1:7">
      <c r="A10043" t="str">
        <f>"0269057 "</f>
        <v xml:space="preserve">0269057 </v>
      </c>
      <c r="B10043" t="s">
        <v>33372</v>
      </c>
      <c r="D10043" t="s">
        <v>33394</v>
      </c>
      <c r="E10043">
        <v>2</v>
      </c>
      <c r="F10043" t="s">
        <v>27481</v>
      </c>
      <c r="G10043" t="s">
        <v>33375</v>
      </c>
    </row>
    <row r="10044" spans="1:7">
      <c r="A10044" t="str">
        <f>"0258135 "</f>
        <v xml:space="preserve">0258135 </v>
      </c>
      <c r="B10044" t="s">
        <v>33372</v>
      </c>
      <c r="D10044" t="s">
        <v>33395</v>
      </c>
      <c r="E10044" t="s">
        <v>16</v>
      </c>
      <c r="F10044" t="s">
        <v>5434</v>
      </c>
      <c r="G10044" t="s">
        <v>33375</v>
      </c>
    </row>
    <row r="10045" spans="1:7">
      <c r="A10045" t="str">
        <f>"0258136 "</f>
        <v xml:space="preserve">0258136 </v>
      </c>
      <c r="B10045" t="s">
        <v>33372</v>
      </c>
      <c r="D10045" t="s">
        <v>33396</v>
      </c>
      <c r="E10045" t="s">
        <v>16</v>
      </c>
      <c r="F10045" t="s">
        <v>5434</v>
      </c>
      <c r="G10045" t="s">
        <v>33375</v>
      </c>
    </row>
    <row r="10046" spans="1:7">
      <c r="A10046" t="str">
        <f>"0258137 "</f>
        <v xml:space="preserve">0258137 </v>
      </c>
      <c r="B10046" t="s">
        <v>33372</v>
      </c>
      <c r="D10046" t="s">
        <v>33397</v>
      </c>
      <c r="E10046" t="s">
        <v>16</v>
      </c>
      <c r="F10046" t="s">
        <v>5434</v>
      </c>
      <c r="G10046" t="s">
        <v>33375</v>
      </c>
    </row>
    <row r="10047" spans="1:7">
      <c r="A10047" t="str">
        <f>"0232611 "</f>
        <v xml:space="preserve">0232611 </v>
      </c>
      <c r="B10047" t="s">
        <v>33372</v>
      </c>
      <c r="D10047" t="s">
        <v>33398</v>
      </c>
      <c r="E10047">
        <v>2</v>
      </c>
      <c r="F10047" t="s">
        <v>33399</v>
      </c>
      <c r="G10047" t="s">
        <v>33375</v>
      </c>
    </row>
    <row r="10048" spans="1:7">
      <c r="A10048" t="str">
        <f>"0232612 "</f>
        <v xml:space="preserve">0232612 </v>
      </c>
      <c r="B10048" t="s">
        <v>33372</v>
      </c>
      <c r="D10048" t="s">
        <v>33400</v>
      </c>
      <c r="E10048">
        <v>2</v>
      </c>
      <c r="F10048" t="s">
        <v>33401</v>
      </c>
      <c r="G10048" t="s">
        <v>33375</v>
      </c>
    </row>
    <row r="10049" spans="1:7">
      <c r="A10049" t="str">
        <f>"0219957 "</f>
        <v xml:space="preserve">0219957 </v>
      </c>
      <c r="B10049" t="s">
        <v>33372</v>
      </c>
      <c r="D10049" t="s">
        <v>33402</v>
      </c>
      <c r="E10049">
        <v>1</v>
      </c>
      <c r="F10049" t="s">
        <v>33403</v>
      </c>
      <c r="G10049" t="s">
        <v>33375</v>
      </c>
    </row>
    <row r="10050" spans="1:7">
      <c r="A10050" t="str">
        <f>"0220009 "</f>
        <v xml:space="preserve">0220009 </v>
      </c>
      <c r="B10050" t="s">
        <v>33372</v>
      </c>
      <c r="D10050" t="s">
        <v>33404</v>
      </c>
      <c r="E10050" t="s">
        <v>16</v>
      </c>
      <c r="F10050" t="s">
        <v>32745</v>
      </c>
      <c r="G10050" t="s">
        <v>33405</v>
      </c>
    </row>
    <row r="10051" spans="1:7">
      <c r="A10051" t="str">
        <f>"0220010 "</f>
        <v xml:space="preserve">0220010 </v>
      </c>
      <c r="B10051" t="s">
        <v>33372</v>
      </c>
      <c r="D10051" t="s">
        <v>33406</v>
      </c>
      <c r="E10051" t="s">
        <v>16</v>
      </c>
      <c r="F10051" t="s">
        <v>32745</v>
      </c>
      <c r="G10051" t="s">
        <v>33405</v>
      </c>
    </row>
    <row r="10052" spans="1:7">
      <c r="A10052" t="str">
        <f>"0220011 "</f>
        <v xml:space="preserve">0220011 </v>
      </c>
      <c r="B10052" t="s">
        <v>33372</v>
      </c>
      <c r="D10052" t="s">
        <v>33407</v>
      </c>
      <c r="E10052" t="s">
        <v>16</v>
      </c>
      <c r="F10052" t="s">
        <v>32745</v>
      </c>
      <c r="G10052" t="s">
        <v>33405</v>
      </c>
    </row>
    <row r="10053" spans="1:7">
      <c r="A10053" t="str">
        <f>"0220020 "</f>
        <v xml:space="preserve">0220020 </v>
      </c>
      <c r="B10053" t="s">
        <v>33372</v>
      </c>
      <c r="D10053" t="s">
        <v>33408</v>
      </c>
      <c r="E10053" t="s">
        <v>16</v>
      </c>
      <c r="F10053" t="s">
        <v>32745</v>
      </c>
      <c r="G10053" t="s">
        <v>33405</v>
      </c>
    </row>
    <row r="10054" spans="1:7">
      <c r="A10054" t="str">
        <f>"0220018 "</f>
        <v xml:space="preserve">0220018 </v>
      </c>
      <c r="B10054" t="s">
        <v>33372</v>
      </c>
      <c r="D10054" t="s">
        <v>33409</v>
      </c>
      <c r="E10054" t="s">
        <v>16</v>
      </c>
      <c r="F10054" t="s">
        <v>32745</v>
      </c>
      <c r="G10054" t="s">
        <v>33405</v>
      </c>
    </row>
    <row r="10055" spans="1:7">
      <c r="A10055" t="str">
        <f>"0220015 "</f>
        <v xml:space="preserve">0220015 </v>
      </c>
      <c r="B10055" t="s">
        <v>33372</v>
      </c>
      <c r="D10055" t="s">
        <v>33410</v>
      </c>
      <c r="E10055" t="s">
        <v>16</v>
      </c>
      <c r="F10055" t="s">
        <v>32745</v>
      </c>
      <c r="G10055" t="s">
        <v>33405</v>
      </c>
    </row>
    <row r="10056" spans="1:7">
      <c r="A10056" t="str">
        <f>"0218547 "</f>
        <v xml:space="preserve">0218547 </v>
      </c>
      <c r="B10056" t="s">
        <v>33372</v>
      </c>
      <c r="D10056" t="s">
        <v>33411</v>
      </c>
      <c r="E10056" t="s">
        <v>16</v>
      </c>
      <c r="F10056" t="s">
        <v>32745</v>
      </c>
      <c r="G10056" t="s">
        <v>33405</v>
      </c>
    </row>
    <row r="10057" spans="1:7">
      <c r="A10057" t="str">
        <f>"0218548 "</f>
        <v xml:space="preserve">0218548 </v>
      </c>
      <c r="B10057" t="s">
        <v>33372</v>
      </c>
      <c r="D10057" t="s">
        <v>33412</v>
      </c>
      <c r="E10057" t="s">
        <v>16</v>
      </c>
      <c r="F10057" t="s">
        <v>32745</v>
      </c>
      <c r="G10057" t="s">
        <v>33405</v>
      </c>
    </row>
    <row r="10058" spans="1:7">
      <c r="A10058" t="str">
        <f>"0220012 "</f>
        <v xml:space="preserve">0220012 </v>
      </c>
      <c r="B10058" t="s">
        <v>33372</v>
      </c>
      <c r="D10058" t="s">
        <v>33413</v>
      </c>
      <c r="E10058" t="s">
        <v>16</v>
      </c>
      <c r="F10058" t="s">
        <v>32745</v>
      </c>
      <c r="G10058" t="s">
        <v>33405</v>
      </c>
    </row>
    <row r="10059" spans="1:7">
      <c r="A10059" t="str">
        <f>"0220016 "</f>
        <v xml:space="preserve">0220016 </v>
      </c>
      <c r="B10059" t="s">
        <v>33372</v>
      </c>
      <c r="D10059" t="s">
        <v>33414</v>
      </c>
      <c r="E10059" t="s">
        <v>16</v>
      </c>
      <c r="F10059" t="s">
        <v>32745</v>
      </c>
      <c r="G10059" t="s">
        <v>33405</v>
      </c>
    </row>
    <row r="10060" spans="1:7">
      <c r="A10060" t="str">
        <f>"0220013 "</f>
        <v xml:space="preserve">0220013 </v>
      </c>
      <c r="B10060" t="s">
        <v>33372</v>
      </c>
      <c r="D10060" t="s">
        <v>33415</v>
      </c>
      <c r="E10060" t="s">
        <v>16</v>
      </c>
      <c r="F10060" t="s">
        <v>32745</v>
      </c>
      <c r="G10060" t="s">
        <v>33405</v>
      </c>
    </row>
    <row r="10061" spans="1:7">
      <c r="A10061" t="str">
        <f>"0220017 "</f>
        <v xml:space="preserve">0220017 </v>
      </c>
      <c r="B10061" t="s">
        <v>33372</v>
      </c>
      <c r="D10061" t="s">
        <v>33416</v>
      </c>
      <c r="E10061" t="s">
        <v>16</v>
      </c>
      <c r="F10061" t="s">
        <v>32745</v>
      </c>
      <c r="G10061" t="s">
        <v>33405</v>
      </c>
    </row>
    <row r="10062" spans="1:7">
      <c r="A10062" t="str">
        <f>"0218520 "</f>
        <v xml:space="preserve">0218520 </v>
      </c>
      <c r="B10062" t="s">
        <v>33372</v>
      </c>
      <c r="D10062" t="s">
        <v>33417</v>
      </c>
      <c r="E10062">
        <v>3</v>
      </c>
      <c r="F10062" t="s">
        <v>32745</v>
      </c>
      <c r="G10062" t="s">
        <v>33405</v>
      </c>
    </row>
    <row r="10063" spans="1:7">
      <c r="A10063" t="str">
        <f>"0232630 "</f>
        <v xml:space="preserve">0232630 </v>
      </c>
      <c r="B10063" t="s">
        <v>33372</v>
      </c>
      <c r="D10063" t="s">
        <v>33418</v>
      </c>
      <c r="E10063">
        <v>1</v>
      </c>
      <c r="F10063" t="s">
        <v>33419</v>
      </c>
      <c r="G10063" t="s">
        <v>33405</v>
      </c>
    </row>
    <row r="10064" spans="1:7">
      <c r="A10064" t="str">
        <f>"0232631 "</f>
        <v xml:space="preserve">0232631 </v>
      </c>
      <c r="B10064" t="s">
        <v>33372</v>
      </c>
      <c r="D10064" t="s">
        <v>33420</v>
      </c>
      <c r="E10064">
        <v>2</v>
      </c>
      <c r="F10064" t="s">
        <v>33419</v>
      </c>
      <c r="G10064" t="s">
        <v>33405</v>
      </c>
    </row>
    <row r="10065" spans="1:8">
      <c r="A10065" t="str">
        <f>"0220007 "</f>
        <v xml:space="preserve">0220007 </v>
      </c>
      <c r="B10065" t="s">
        <v>33372</v>
      </c>
      <c r="D10065" t="s">
        <v>33421</v>
      </c>
      <c r="E10065">
        <v>1</v>
      </c>
      <c r="F10065" t="s">
        <v>33422</v>
      </c>
      <c r="G10065" t="s">
        <v>33405</v>
      </c>
    </row>
    <row r="10066" spans="1:8">
      <c r="A10066" t="str">
        <f>"0220022 "</f>
        <v xml:space="preserve">0220022 </v>
      </c>
      <c r="B10066" t="s">
        <v>33372</v>
      </c>
      <c r="D10066" t="s">
        <v>33423</v>
      </c>
      <c r="E10066">
        <v>3</v>
      </c>
      <c r="F10066" t="s">
        <v>19696</v>
      </c>
      <c r="G10066" t="s">
        <v>33405</v>
      </c>
    </row>
    <row r="10067" spans="1:8">
      <c r="A10067" t="str">
        <f>"0220023 "</f>
        <v xml:space="preserve">0220023 </v>
      </c>
      <c r="B10067" t="s">
        <v>33372</v>
      </c>
      <c r="D10067" t="s">
        <v>33424</v>
      </c>
      <c r="E10067">
        <v>5</v>
      </c>
      <c r="F10067" t="s">
        <v>19696</v>
      </c>
      <c r="G10067" t="s">
        <v>33405</v>
      </c>
    </row>
    <row r="10068" spans="1:8">
      <c r="A10068" t="str">
        <f>"0251269 "</f>
        <v xml:space="preserve">0251269 </v>
      </c>
      <c r="B10068" t="s">
        <v>33372</v>
      </c>
      <c r="C10068" t="str">
        <f>"0009"</f>
        <v>0009</v>
      </c>
      <c r="D10068" t="s">
        <v>33425</v>
      </c>
      <c r="E10068" t="s">
        <v>16</v>
      </c>
      <c r="F10068" t="s">
        <v>660</v>
      </c>
      <c r="G10068" t="s">
        <v>33405</v>
      </c>
      <c r="H10068" t="str">
        <f>"0009"</f>
        <v>0009</v>
      </c>
    </row>
    <row r="10069" spans="1:8">
      <c r="A10069" t="str">
        <f>"0251270 "</f>
        <v xml:space="preserve">0251270 </v>
      </c>
      <c r="B10069" t="s">
        <v>33372</v>
      </c>
      <c r="C10069" t="str">
        <f>"0016"</f>
        <v>0016</v>
      </c>
      <c r="D10069" t="s">
        <v>33426</v>
      </c>
      <c r="E10069" t="s">
        <v>16</v>
      </c>
      <c r="F10069" t="s">
        <v>660</v>
      </c>
      <c r="G10069" t="s">
        <v>33405</v>
      </c>
      <c r="H10069" t="str">
        <f>"0016"</f>
        <v>0016</v>
      </c>
    </row>
    <row r="10070" spans="1:8">
      <c r="A10070" t="str">
        <f>"0251271 "</f>
        <v xml:space="preserve">0251271 </v>
      </c>
      <c r="B10070" t="s">
        <v>33372</v>
      </c>
      <c r="C10070" t="str">
        <f>"0023"</f>
        <v>0023</v>
      </c>
      <c r="D10070" t="s">
        <v>33427</v>
      </c>
      <c r="E10070" t="s">
        <v>16</v>
      </c>
      <c r="F10070" t="s">
        <v>660</v>
      </c>
      <c r="G10070" t="s">
        <v>33405</v>
      </c>
      <c r="H10070" t="str">
        <f>"0023"</f>
        <v>0023</v>
      </c>
    </row>
    <row r="10071" spans="1:8">
      <c r="A10071" t="str">
        <f>"0251272 "</f>
        <v xml:space="preserve">0251272 </v>
      </c>
      <c r="B10071" t="s">
        <v>33372</v>
      </c>
      <c r="C10071" t="str">
        <f>"0030"</f>
        <v>0030</v>
      </c>
      <c r="D10071" t="s">
        <v>33428</v>
      </c>
      <c r="E10071" t="s">
        <v>16</v>
      </c>
      <c r="F10071" t="s">
        <v>660</v>
      </c>
      <c r="G10071" t="s">
        <v>33405</v>
      </c>
      <c r="H10071" t="str">
        <f>"0030"</f>
        <v>0030</v>
      </c>
    </row>
    <row r="10072" spans="1:8">
      <c r="A10072" t="str">
        <f>"0239980 "</f>
        <v xml:space="preserve">0239980 </v>
      </c>
      <c r="B10072" t="s">
        <v>33372</v>
      </c>
      <c r="C10072" t="str">
        <f>"0031"</f>
        <v>0031</v>
      </c>
      <c r="D10072" t="s">
        <v>33429</v>
      </c>
      <c r="E10072" t="s">
        <v>16</v>
      </c>
      <c r="F10072" t="s">
        <v>33229</v>
      </c>
      <c r="G10072" t="s">
        <v>33430</v>
      </c>
      <c r="H10072" t="str">
        <f>"0031"</f>
        <v>0031</v>
      </c>
    </row>
    <row r="10073" spans="1:8">
      <c r="A10073" t="str">
        <f>"0251273 "</f>
        <v xml:space="preserve">0251273 </v>
      </c>
      <c r="B10073" t="s">
        <v>33372</v>
      </c>
      <c r="C10073" t="str">
        <f>"0047"</f>
        <v>0047</v>
      </c>
      <c r="D10073" t="s">
        <v>33431</v>
      </c>
      <c r="E10073" t="s">
        <v>16</v>
      </c>
      <c r="F10073" t="s">
        <v>660</v>
      </c>
      <c r="G10073" t="s">
        <v>33405</v>
      </c>
      <c r="H10073" t="str">
        <f>"0047"</f>
        <v>0047</v>
      </c>
    </row>
    <row r="10074" spans="1:8">
      <c r="A10074" t="str">
        <f>"0251274 "</f>
        <v xml:space="preserve">0251274 </v>
      </c>
      <c r="B10074" t="s">
        <v>33372</v>
      </c>
      <c r="C10074" t="str">
        <f>"0054"</f>
        <v>0054</v>
      </c>
      <c r="D10074" t="s">
        <v>33432</v>
      </c>
      <c r="E10074" t="s">
        <v>16</v>
      </c>
      <c r="F10074" t="s">
        <v>660</v>
      </c>
      <c r="G10074" t="s">
        <v>33405</v>
      </c>
      <c r="H10074" t="str">
        <f>"0054"</f>
        <v>0054</v>
      </c>
    </row>
    <row r="10075" spans="1:8">
      <c r="A10075" t="str">
        <f>"0251275 "</f>
        <v xml:space="preserve">0251275 </v>
      </c>
      <c r="B10075" t="s">
        <v>33372</v>
      </c>
      <c r="C10075" t="str">
        <f>"0061"</f>
        <v>0061</v>
      </c>
      <c r="D10075" t="s">
        <v>33433</v>
      </c>
      <c r="E10075" t="s">
        <v>16</v>
      </c>
      <c r="F10075" t="s">
        <v>660</v>
      </c>
      <c r="G10075" t="s">
        <v>33405</v>
      </c>
      <c r="H10075" t="str">
        <f>"0061"</f>
        <v>0061</v>
      </c>
    </row>
    <row r="10076" spans="1:8">
      <c r="A10076" t="str">
        <f>"0251276 "</f>
        <v xml:space="preserve">0251276 </v>
      </c>
      <c r="B10076" t="s">
        <v>33372</v>
      </c>
      <c r="C10076" t="str">
        <f>"0078"</f>
        <v>0078</v>
      </c>
      <c r="D10076" t="s">
        <v>33434</v>
      </c>
      <c r="E10076" t="s">
        <v>16</v>
      </c>
      <c r="F10076" t="s">
        <v>660</v>
      </c>
      <c r="G10076" t="s">
        <v>33405</v>
      </c>
      <c r="H10076" t="str">
        <f>"0078"</f>
        <v>0078</v>
      </c>
    </row>
    <row r="10077" spans="1:8">
      <c r="A10077" t="str">
        <f>"0251277 "</f>
        <v xml:space="preserve">0251277 </v>
      </c>
      <c r="B10077" t="s">
        <v>33372</v>
      </c>
      <c r="C10077" t="str">
        <f>"0085"</f>
        <v>0085</v>
      </c>
      <c r="D10077" t="s">
        <v>33435</v>
      </c>
      <c r="E10077" t="s">
        <v>16</v>
      </c>
      <c r="F10077" t="s">
        <v>660</v>
      </c>
      <c r="G10077" t="s">
        <v>33405</v>
      </c>
      <c r="H10077" t="str">
        <f>"0085"</f>
        <v>0085</v>
      </c>
    </row>
    <row r="10078" spans="1:8">
      <c r="A10078" t="str">
        <f>"0251279 "</f>
        <v xml:space="preserve">0251279 </v>
      </c>
      <c r="B10078" t="s">
        <v>33372</v>
      </c>
      <c r="C10078" t="str">
        <f>"0092"</f>
        <v>0092</v>
      </c>
      <c r="D10078" t="s">
        <v>33436</v>
      </c>
      <c r="E10078" t="s">
        <v>16</v>
      </c>
      <c r="F10078" t="s">
        <v>660</v>
      </c>
      <c r="G10078" t="s">
        <v>33405</v>
      </c>
      <c r="H10078" t="str">
        <f>"0092"</f>
        <v>0092</v>
      </c>
    </row>
    <row r="10079" spans="1:8">
      <c r="A10079" t="str">
        <f>"0251280 "</f>
        <v xml:space="preserve">0251280 </v>
      </c>
      <c r="B10079" t="s">
        <v>33372</v>
      </c>
      <c r="C10079" t="str">
        <f>"0108"</f>
        <v>0108</v>
      </c>
      <c r="D10079" t="s">
        <v>33437</v>
      </c>
      <c r="E10079" t="s">
        <v>16</v>
      </c>
      <c r="F10079" t="s">
        <v>660</v>
      </c>
      <c r="G10079" t="s">
        <v>33405</v>
      </c>
      <c r="H10079" t="str">
        <f>"0108"</f>
        <v>0108</v>
      </c>
    </row>
    <row r="10080" spans="1:8">
      <c r="A10080" t="str">
        <f>"0251281 "</f>
        <v xml:space="preserve">0251281 </v>
      </c>
      <c r="B10080" t="s">
        <v>33372</v>
      </c>
      <c r="C10080" t="str">
        <f>"0115"</f>
        <v>0115</v>
      </c>
      <c r="D10080" t="s">
        <v>33438</v>
      </c>
      <c r="E10080" t="s">
        <v>16</v>
      </c>
      <c r="F10080" t="s">
        <v>660</v>
      </c>
      <c r="G10080" t="s">
        <v>33405</v>
      </c>
      <c r="H10080" t="str">
        <f>"0115"</f>
        <v>0115</v>
      </c>
    </row>
    <row r="10081" spans="1:8">
      <c r="A10081" t="str">
        <f>"0251266 "</f>
        <v xml:space="preserve">0251266 </v>
      </c>
      <c r="B10081" t="s">
        <v>33372</v>
      </c>
      <c r="C10081" t="str">
        <f>"0192"</f>
        <v>0192</v>
      </c>
      <c r="D10081" t="s">
        <v>33439</v>
      </c>
      <c r="E10081" t="s">
        <v>16</v>
      </c>
      <c r="F10081" t="s">
        <v>32745</v>
      </c>
      <c r="G10081" t="s">
        <v>33405</v>
      </c>
      <c r="H10081" t="str">
        <f>"0192"</f>
        <v>0192</v>
      </c>
    </row>
    <row r="10082" spans="1:8">
      <c r="A10082" t="str">
        <f>"0251265 "</f>
        <v xml:space="preserve">0251265 </v>
      </c>
      <c r="B10082" t="s">
        <v>33372</v>
      </c>
      <c r="C10082" t="str">
        <f>"0208"</f>
        <v>0208</v>
      </c>
      <c r="D10082" t="s">
        <v>33440</v>
      </c>
      <c r="E10082" t="s">
        <v>16</v>
      </c>
      <c r="F10082" t="s">
        <v>32745</v>
      </c>
      <c r="G10082" t="s">
        <v>33405</v>
      </c>
      <c r="H10082" t="str">
        <f>"0208"</f>
        <v>0208</v>
      </c>
    </row>
    <row r="10083" spans="1:8">
      <c r="A10083" t="str">
        <f>"0251263 "</f>
        <v xml:space="preserve">0251263 </v>
      </c>
      <c r="B10083" t="s">
        <v>33372</v>
      </c>
      <c r="C10083" t="str">
        <f>"0215"</f>
        <v>0215</v>
      </c>
      <c r="D10083" t="s">
        <v>33441</v>
      </c>
      <c r="E10083" t="s">
        <v>16</v>
      </c>
      <c r="F10083" t="s">
        <v>32745</v>
      </c>
      <c r="G10083" t="s">
        <v>33405</v>
      </c>
      <c r="H10083" t="str">
        <f>"0215"</f>
        <v>0215</v>
      </c>
    </row>
    <row r="10084" spans="1:8">
      <c r="A10084" t="str">
        <f>"0251267 "</f>
        <v xml:space="preserve">0251267 </v>
      </c>
      <c r="B10084" t="s">
        <v>33372</v>
      </c>
      <c r="C10084" t="str">
        <f>"0222"</f>
        <v>0222</v>
      </c>
      <c r="D10084" t="s">
        <v>33442</v>
      </c>
      <c r="E10084">
        <v>2</v>
      </c>
      <c r="F10084" t="s">
        <v>32745</v>
      </c>
      <c r="G10084" t="s">
        <v>33405</v>
      </c>
      <c r="H10084" t="str">
        <f>"0222"</f>
        <v>0222</v>
      </c>
    </row>
    <row r="10085" spans="1:8">
      <c r="A10085" t="str">
        <f>"0251268 "</f>
        <v xml:space="preserve">0251268 </v>
      </c>
      <c r="B10085" t="s">
        <v>33372</v>
      </c>
      <c r="C10085" t="str">
        <f>"0239"</f>
        <v>0239</v>
      </c>
      <c r="D10085" t="s">
        <v>33443</v>
      </c>
      <c r="E10085" t="s">
        <v>16</v>
      </c>
      <c r="F10085" t="s">
        <v>32745</v>
      </c>
      <c r="G10085" t="s">
        <v>33405</v>
      </c>
      <c r="H10085" t="str">
        <f>"0239"</f>
        <v>0239</v>
      </c>
    </row>
    <row r="10086" spans="1:8">
      <c r="A10086" t="str">
        <f>"0251264 "</f>
        <v xml:space="preserve">0251264 </v>
      </c>
      <c r="B10086" t="s">
        <v>33372</v>
      </c>
      <c r="C10086" t="str">
        <f>"0246"</f>
        <v>0246</v>
      </c>
      <c r="D10086" t="s">
        <v>33444</v>
      </c>
      <c r="E10086" t="s">
        <v>16</v>
      </c>
      <c r="F10086" t="s">
        <v>32745</v>
      </c>
      <c r="G10086" t="s">
        <v>33405</v>
      </c>
      <c r="H10086" t="str">
        <f>"0246"</f>
        <v>0246</v>
      </c>
    </row>
    <row r="10087" spans="1:8">
      <c r="A10087" t="str">
        <f>"0220005 "</f>
        <v xml:space="preserve">0220005 </v>
      </c>
      <c r="B10087" t="s">
        <v>33372</v>
      </c>
      <c r="C10087" t="str">
        <f>"0990"</f>
        <v>0990</v>
      </c>
      <c r="D10087" t="s">
        <v>33445</v>
      </c>
      <c r="E10087">
        <v>1</v>
      </c>
      <c r="F10087" t="s">
        <v>19696</v>
      </c>
      <c r="G10087" t="s">
        <v>33405</v>
      </c>
      <c r="H10087" t="str">
        <f>"0990"</f>
        <v>0990</v>
      </c>
    </row>
    <row r="10088" spans="1:8">
      <c r="A10088" t="str">
        <f>"0239986 "</f>
        <v xml:space="preserve">0239986 </v>
      </c>
      <c r="B10088" t="s">
        <v>33372</v>
      </c>
      <c r="C10088">
        <v>1023</v>
      </c>
      <c r="D10088" t="s">
        <v>33446</v>
      </c>
      <c r="E10088" t="s">
        <v>16</v>
      </c>
      <c r="F10088" t="s">
        <v>33229</v>
      </c>
      <c r="G10088" t="s">
        <v>33430</v>
      </c>
      <c r="H10088">
        <v>1023</v>
      </c>
    </row>
    <row r="10089" spans="1:8">
      <c r="A10089" t="str">
        <f>"0218671 "</f>
        <v xml:space="preserve">0218671 </v>
      </c>
      <c r="B10089" t="s">
        <v>33372</v>
      </c>
      <c r="C10089" t="s">
        <v>33447</v>
      </c>
      <c r="D10089" t="s">
        <v>33448</v>
      </c>
      <c r="E10089">
        <v>5</v>
      </c>
      <c r="F10089" t="s">
        <v>19696</v>
      </c>
      <c r="G10089" t="s">
        <v>33405</v>
      </c>
      <c r="H10089" t="s">
        <v>33447</v>
      </c>
    </row>
    <row r="10090" spans="1:8">
      <c r="A10090" t="str">
        <f>"0218581 "</f>
        <v xml:space="preserve">0218581 </v>
      </c>
      <c r="B10090" t="s">
        <v>33372</v>
      </c>
      <c r="C10090">
        <v>1034</v>
      </c>
      <c r="D10090" t="s">
        <v>33449</v>
      </c>
      <c r="E10090">
        <v>4</v>
      </c>
      <c r="F10090" t="s">
        <v>19696</v>
      </c>
      <c r="G10090" t="s">
        <v>33405</v>
      </c>
      <c r="H10090">
        <v>1034</v>
      </c>
    </row>
    <row r="10091" spans="1:8">
      <c r="A10091" t="str">
        <f>"0239987 "</f>
        <v xml:space="preserve">0239987 </v>
      </c>
      <c r="B10091" t="s">
        <v>33372</v>
      </c>
      <c r="C10091">
        <v>1047</v>
      </c>
      <c r="D10091" t="s">
        <v>33450</v>
      </c>
      <c r="E10091" t="s">
        <v>16</v>
      </c>
      <c r="F10091" t="s">
        <v>33229</v>
      </c>
      <c r="G10091" t="s">
        <v>33430</v>
      </c>
      <c r="H10091">
        <v>1047</v>
      </c>
    </row>
    <row r="10092" spans="1:8">
      <c r="A10092" t="str">
        <f>"0218582 "</f>
        <v xml:space="preserve">0218582 </v>
      </c>
      <c r="B10092" t="s">
        <v>33372</v>
      </c>
      <c r="C10092">
        <v>1058</v>
      </c>
      <c r="D10092" t="s">
        <v>33451</v>
      </c>
      <c r="E10092">
        <v>4</v>
      </c>
      <c r="F10092" t="s">
        <v>19696</v>
      </c>
      <c r="G10092" t="s">
        <v>33405</v>
      </c>
      <c r="H10092">
        <v>1058</v>
      </c>
    </row>
    <row r="10093" spans="1:8">
      <c r="A10093" t="str">
        <f>"0218673 "</f>
        <v xml:space="preserve">0218673 </v>
      </c>
      <c r="B10093" t="s">
        <v>33372</v>
      </c>
      <c r="C10093" t="s">
        <v>33452</v>
      </c>
      <c r="D10093" t="s">
        <v>33453</v>
      </c>
      <c r="E10093">
        <v>5</v>
      </c>
      <c r="F10093" t="s">
        <v>19696</v>
      </c>
      <c r="G10093" t="s">
        <v>33405</v>
      </c>
      <c r="H10093" t="s">
        <v>33452</v>
      </c>
    </row>
    <row r="10094" spans="1:8">
      <c r="A10094" t="str">
        <f>"0239981 "</f>
        <v xml:space="preserve">0239981 </v>
      </c>
      <c r="B10094" t="s">
        <v>33372</v>
      </c>
      <c r="C10094">
        <v>1144</v>
      </c>
      <c r="D10094" t="s">
        <v>33454</v>
      </c>
      <c r="E10094" t="s">
        <v>16</v>
      </c>
      <c r="F10094" t="s">
        <v>33229</v>
      </c>
      <c r="G10094" t="s">
        <v>33430</v>
      </c>
      <c r="H10094">
        <v>1144</v>
      </c>
    </row>
    <row r="10095" spans="1:8">
      <c r="A10095" t="str">
        <f>"0239983 "</f>
        <v xml:space="preserve">0239983 </v>
      </c>
      <c r="B10095" t="s">
        <v>33372</v>
      </c>
      <c r="C10095">
        <v>1175</v>
      </c>
      <c r="D10095" t="s">
        <v>33455</v>
      </c>
      <c r="E10095" t="s">
        <v>16</v>
      </c>
      <c r="F10095" t="s">
        <v>33229</v>
      </c>
      <c r="G10095" t="s">
        <v>33430</v>
      </c>
      <c r="H10095">
        <v>1175</v>
      </c>
    </row>
    <row r="10096" spans="1:8">
      <c r="A10096" t="str">
        <f>"0239982 "</f>
        <v xml:space="preserve">0239982 </v>
      </c>
      <c r="B10096" t="s">
        <v>33372</v>
      </c>
      <c r="C10096">
        <v>1182</v>
      </c>
      <c r="D10096" t="s">
        <v>33456</v>
      </c>
      <c r="E10096" t="s">
        <v>16</v>
      </c>
      <c r="F10096" t="s">
        <v>33229</v>
      </c>
      <c r="G10096" t="s">
        <v>33430</v>
      </c>
      <c r="H10096">
        <v>1182</v>
      </c>
    </row>
    <row r="10097" spans="1:8">
      <c r="A10097" t="str">
        <f>"0218470 "</f>
        <v xml:space="preserve">0218470 </v>
      </c>
      <c r="B10097" t="s">
        <v>33372</v>
      </c>
      <c r="C10097">
        <v>1914</v>
      </c>
      <c r="D10097" t="s">
        <v>33457</v>
      </c>
      <c r="E10097">
        <v>2</v>
      </c>
      <c r="F10097" s="1">
        <v>42814</v>
      </c>
      <c r="G10097" t="s">
        <v>33458</v>
      </c>
      <c r="H10097">
        <v>1914</v>
      </c>
    </row>
    <row r="10098" spans="1:8">
      <c r="A10098" t="str">
        <f>"0218633 "</f>
        <v xml:space="preserve">0218633 </v>
      </c>
      <c r="B10098" t="s">
        <v>33372</v>
      </c>
      <c r="C10098" t="s">
        <v>33459</v>
      </c>
      <c r="D10098" t="s">
        <v>33460</v>
      </c>
      <c r="E10098" t="s">
        <v>16</v>
      </c>
      <c r="F10098" s="3">
        <v>43435</v>
      </c>
      <c r="G10098" t="s">
        <v>33375</v>
      </c>
      <c r="H10098" t="s">
        <v>33459</v>
      </c>
    </row>
    <row r="10099" spans="1:8">
      <c r="A10099" t="str">
        <f>"0218629 "</f>
        <v xml:space="preserve">0218629 </v>
      </c>
      <c r="B10099" t="s">
        <v>33372</v>
      </c>
      <c r="C10099" t="s">
        <v>33461</v>
      </c>
      <c r="D10099" t="s">
        <v>33462</v>
      </c>
      <c r="E10099" t="s">
        <v>16</v>
      </c>
      <c r="F10099" s="3">
        <v>43435</v>
      </c>
      <c r="G10099" t="s">
        <v>33375</v>
      </c>
      <c r="H10099" t="s">
        <v>33461</v>
      </c>
    </row>
    <row r="10100" spans="1:8">
      <c r="A10100" t="str">
        <f>"0218630 "</f>
        <v xml:space="preserve">0218630 </v>
      </c>
      <c r="B10100" t="s">
        <v>33372</v>
      </c>
      <c r="C10100" t="s">
        <v>33463</v>
      </c>
      <c r="D10100" t="s">
        <v>33464</v>
      </c>
      <c r="E10100">
        <v>1</v>
      </c>
      <c r="F10100" s="3">
        <v>43435</v>
      </c>
      <c r="G10100" t="s">
        <v>33375</v>
      </c>
      <c r="H10100" t="s">
        <v>33463</v>
      </c>
    </row>
    <row r="10101" spans="1:8">
      <c r="A10101" t="str">
        <f>"0218635 "</f>
        <v xml:space="preserve">0218635 </v>
      </c>
      <c r="B10101" t="s">
        <v>33372</v>
      </c>
      <c r="C10101">
        <v>253</v>
      </c>
      <c r="D10101" t="s">
        <v>33465</v>
      </c>
      <c r="E10101">
        <v>2</v>
      </c>
      <c r="F10101" s="3">
        <v>43435</v>
      </c>
      <c r="G10101" t="s">
        <v>33375</v>
      </c>
      <c r="H10101">
        <v>253</v>
      </c>
    </row>
    <row r="10102" spans="1:8">
      <c r="A10102" t="str">
        <f>"0218631 "</f>
        <v xml:space="preserve">0218631 </v>
      </c>
      <c r="B10102" t="s">
        <v>33372</v>
      </c>
      <c r="C10102">
        <v>265</v>
      </c>
      <c r="D10102" t="s">
        <v>33466</v>
      </c>
      <c r="E10102" t="s">
        <v>16</v>
      </c>
      <c r="F10102" s="3">
        <v>43435</v>
      </c>
      <c r="G10102" t="s">
        <v>33375</v>
      </c>
      <c r="H10102">
        <v>265</v>
      </c>
    </row>
    <row r="10103" spans="1:8">
      <c r="A10103" t="str">
        <f>"0219946 "</f>
        <v xml:space="preserve">0219946 </v>
      </c>
      <c r="B10103" t="s">
        <v>33372</v>
      </c>
      <c r="C10103" t="s">
        <v>33467</v>
      </c>
      <c r="D10103" t="s">
        <v>33468</v>
      </c>
      <c r="E10103" t="s">
        <v>16</v>
      </c>
      <c r="F10103" s="3">
        <v>43435</v>
      </c>
      <c r="G10103" t="s">
        <v>33375</v>
      </c>
      <c r="H10103" t="s">
        <v>33467</v>
      </c>
    </row>
    <row r="10104" spans="1:8">
      <c r="A10104" t="str">
        <f>"0218632 "</f>
        <v xml:space="preserve">0218632 </v>
      </c>
      <c r="B10104" t="s">
        <v>33372</v>
      </c>
      <c r="C10104">
        <v>267</v>
      </c>
      <c r="D10104" t="s">
        <v>33469</v>
      </c>
      <c r="E10104" t="s">
        <v>16</v>
      </c>
      <c r="F10104" s="3">
        <v>43435</v>
      </c>
      <c r="G10104" t="s">
        <v>33375</v>
      </c>
      <c r="H10104">
        <v>267</v>
      </c>
    </row>
    <row r="10105" spans="1:8">
      <c r="A10105" t="str">
        <f>"0218628 "</f>
        <v xml:space="preserve">0218628 </v>
      </c>
      <c r="B10105" t="s">
        <v>33372</v>
      </c>
      <c r="C10105" t="s">
        <v>33470</v>
      </c>
      <c r="D10105" t="s">
        <v>33471</v>
      </c>
      <c r="E10105" t="s">
        <v>16</v>
      </c>
      <c r="F10105" s="3">
        <v>43435</v>
      </c>
      <c r="G10105" t="s">
        <v>33375</v>
      </c>
      <c r="H10105" t="s">
        <v>33470</v>
      </c>
    </row>
    <row r="10106" spans="1:8">
      <c r="A10106" t="str">
        <f>"0218651 "</f>
        <v xml:space="preserve">0218651 </v>
      </c>
      <c r="B10106" t="s">
        <v>33372</v>
      </c>
      <c r="C10106">
        <v>310</v>
      </c>
      <c r="D10106" t="s">
        <v>33472</v>
      </c>
      <c r="E10106">
        <v>2</v>
      </c>
      <c r="F10106" t="s">
        <v>11079</v>
      </c>
      <c r="G10106" t="s">
        <v>33375</v>
      </c>
      <c r="H10106">
        <v>310</v>
      </c>
    </row>
    <row r="10107" spans="1:8">
      <c r="A10107" t="str">
        <f>"0218647 "</f>
        <v xml:space="preserve">0218647 </v>
      </c>
      <c r="B10107" t="s">
        <v>33372</v>
      </c>
      <c r="C10107">
        <v>311</v>
      </c>
      <c r="D10107" t="s">
        <v>33473</v>
      </c>
      <c r="E10107">
        <v>2</v>
      </c>
      <c r="F10107" t="s">
        <v>11079</v>
      </c>
      <c r="G10107" t="s">
        <v>33375</v>
      </c>
      <c r="H10107">
        <v>311</v>
      </c>
    </row>
    <row r="10108" spans="1:8">
      <c r="A10108" t="str">
        <f>"0218576 "</f>
        <v xml:space="preserve">0218576 </v>
      </c>
      <c r="B10108" t="s">
        <v>33372</v>
      </c>
      <c r="C10108">
        <v>312</v>
      </c>
      <c r="D10108" t="s">
        <v>33474</v>
      </c>
      <c r="E10108" t="s">
        <v>16</v>
      </c>
      <c r="F10108" t="s">
        <v>11079</v>
      </c>
      <c r="G10108" t="s">
        <v>33375</v>
      </c>
      <c r="H10108">
        <v>312</v>
      </c>
    </row>
    <row r="10109" spans="1:8">
      <c r="A10109" t="str">
        <f>"0218649 "</f>
        <v xml:space="preserve">0218649 </v>
      </c>
      <c r="B10109" t="s">
        <v>33372</v>
      </c>
      <c r="C10109">
        <v>313</v>
      </c>
      <c r="D10109" t="s">
        <v>33475</v>
      </c>
      <c r="E10109">
        <v>5</v>
      </c>
      <c r="F10109" t="s">
        <v>11079</v>
      </c>
      <c r="G10109" t="s">
        <v>33375</v>
      </c>
      <c r="H10109">
        <v>313</v>
      </c>
    </row>
    <row r="10110" spans="1:8">
      <c r="A10110" t="str">
        <f>"0218644 "</f>
        <v xml:space="preserve">0218644 </v>
      </c>
      <c r="B10110" t="s">
        <v>33372</v>
      </c>
      <c r="C10110">
        <v>314</v>
      </c>
      <c r="D10110" t="s">
        <v>33476</v>
      </c>
      <c r="E10110" t="s">
        <v>16</v>
      </c>
      <c r="F10110" t="s">
        <v>11079</v>
      </c>
      <c r="G10110" t="s">
        <v>33375</v>
      </c>
      <c r="H10110">
        <v>314</v>
      </c>
    </row>
    <row r="10111" spans="1:8">
      <c r="A10111" t="str">
        <f>"0218645 "</f>
        <v xml:space="preserve">0218645 </v>
      </c>
      <c r="B10111" t="s">
        <v>33372</v>
      </c>
      <c r="C10111">
        <v>315</v>
      </c>
      <c r="D10111" t="s">
        <v>33477</v>
      </c>
      <c r="E10111">
        <v>4</v>
      </c>
      <c r="F10111" t="s">
        <v>11079</v>
      </c>
      <c r="G10111" t="s">
        <v>33375</v>
      </c>
      <c r="H10111">
        <v>315</v>
      </c>
    </row>
    <row r="10112" spans="1:8">
      <c r="A10112" t="str">
        <f>"0218646 "</f>
        <v xml:space="preserve">0218646 </v>
      </c>
      <c r="B10112" t="s">
        <v>33372</v>
      </c>
      <c r="C10112">
        <v>316</v>
      </c>
      <c r="D10112" t="s">
        <v>33478</v>
      </c>
      <c r="E10112" t="s">
        <v>16</v>
      </c>
      <c r="F10112" t="s">
        <v>11079</v>
      </c>
      <c r="G10112" t="s">
        <v>33375</v>
      </c>
      <c r="H10112">
        <v>316</v>
      </c>
    </row>
    <row r="10113" spans="1:8">
      <c r="A10113" t="str">
        <f>"0218575 "</f>
        <v xml:space="preserve">0218575 </v>
      </c>
      <c r="B10113" t="s">
        <v>33372</v>
      </c>
      <c r="C10113">
        <v>321</v>
      </c>
      <c r="D10113" t="s">
        <v>33479</v>
      </c>
      <c r="E10113" t="s">
        <v>16</v>
      </c>
      <c r="F10113" t="s">
        <v>11079</v>
      </c>
      <c r="G10113" t="s">
        <v>33375</v>
      </c>
      <c r="H10113">
        <v>321</v>
      </c>
    </row>
    <row r="10114" spans="1:8">
      <c r="A10114" t="str">
        <f>"0219959 "</f>
        <v xml:space="preserve">0219959 </v>
      </c>
      <c r="B10114" t="s">
        <v>33372</v>
      </c>
      <c r="C10114">
        <v>322</v>
      </c>
      <c r="D10114" t="s">
        <v>33480</v>
      </c>
      <c r="E10114" t="s">
        <v>16</v>
      </c>
      <c r="F10114" t="s">
        <v>11079</v>
      </c>
      <c r="G10114" t="s">
        <v>33375</v>
      </c>
      <c r="H10114">
        <v>322</v>
      </c>
    </row>
    <row r="10115" spans="1:8">
      <c r="A10115" t="str">
        <f>"0218574 "</f>
        <v xml:space="preserve">0218574 </v>
      </c>
      <c r="B10115" t="s">
        <v>33372</v>
      </c>
      <c r="C10115">
        <v>323</v>
      </c>
      <c r="D10115" t="s">
        <v>33481</v>
      </c>
      <c r="E10115" t="s">
        <v>16</v>
      </c>
      <c r="F10115" t="s">
        <v>11079</v>
      </c>
      <c r="G10115" t="s">
        <v>33375</v>
      </c>
      <c r="H10115">
        <v>323</v>
      </c>
    </row>
    <row r="10116" spans="1:8">
      <c r="A10116" t="str">
        <f>"0218577 "</f>
        <v xml:space="preserve">0218577 </v>
      </c>
      <c r="B10116" t="s">
        <v>33372</v>
      </c>
      <c r="C10116">
        <v>324</v>
      </c>
      <c r="D10116" t="s">
        <v>33482</v>
      </c>
      <c r="E10116" t="s">
        <v>16</v>
      </c>
      <c r="F10116" t="s">
        <v>11079</v>
      </c>
      <c r="G10116" t="s">
        <v>33375</v>
      </c>
      <c r="H10116">
        <v>324</v>
      </c>
    </row>
    <row r="10117" spans="1:8">
      <c r="A10117" t="str">
        <f>"0218594 "</f>
        <v xml:space="preserve">0218594 </v>
      </c>
      <c r="B10117" t="s">
        <v>33372</v>
      </c>
      <c r="C10117">
        <v>374</v>
      </c>
      <c r="D10117" t="s">
        <v>33483</v>
      </c>
      <c r="E10117" t="s">
        <v>16</v>
      </c>
      <c r="F10117" t="s">
        <v>654</v>
      </c>
      <c r="G10117" t="s">
        <v>33375</v>
      </c>
      <c r="H10117">
        <v>374</v>
      </c>
    </row>
    <row r="10118" spans="1:8">
      <c r="A10118" t="str">
        <f>"0218485 "</f>
        <v xml:space="preserve">0218485 </v>
      </c>
      <c r="B10118" t="s">
        <v>33372</v>
      </c>
      <c r="C10118" t="s">
        <v>33484</v>
      </c>
      <c r="D10118" t="s">
        <v>33485</v>
      </c>
      <c r="E10118">
        <v>4</v>
      </c>
      <c r="F10118" t="s">
        <v>657</v>
      </c>
      <c r="G10118" t="s">
        <v>33375</v>
      </c>
      <c r="H10118" t="s">
        <v>33484</v>
      </c>
    </row>
    <row r="10119" spans="1:8">
      <c r="A10119" t="str">
        <f>"0218486 "</f>
        <v xml:space="preserve">0218486 </v>
      </c>
      <c r="B10119" t="s">
        <v>33372</v>
      </c>
      <c r="C10119" t="s">
        <v>33486</v>
      </c>
      <c r="D10119" t="s">
        <v>33487</v>
      </c>
      <c r="E10119">
        <v>5</v>
      </c>
      <c r="F10119" t="s">
        <v>654</v>
      </c>
      <c r="G10119" t="s">
        <v>33375</v>
      </c>
      <c r="H10119" t="s">
        <v>33486</v>
      </c>
    </row>
    <row r="10120" spans="1:8">
      <c r="A10120" t="str">
        <f>"0218484 "</f>
        <v xml:space="preserve">0218484 </v>
      </c>
      <c r="B10120" t="s">
        <v>33372</v>
      </c>
      <c r="C10120">
        <v>377</v>
      </c>
      <c r="D10120" t="s">
        <v>33488</v>
      </c>
      <c r="E10120" t="s">
        <v>16</v>
      </c>
      <c r="F10120" t="s">
        <v>654</v>
      </c>
      <c r="G10120" t="s">
        <v>33375</v>
      </c>
      <c r="H10120">
        <v>377</v>
      </c>
    </row>
    <row r="10121" spans="1:8">
      <c r="A10121" t="str">
        <f>"0218487 "</f>
        <v xml:space="preserve">0218487 </v>
      </c>
      <c r="B10121" t="s">
        <v>33372</v>
      </c>
      <c r="C10121" t="s">
        <v>33489</v>
      </c>
      <c r="D10121" t="s">
        <v>33490</v>
      </c>
      <c r="E10121" t="s">
        <v>16</v>
      </c>
      <c r="F10121" t="s">
        <v>654</v>
      </c>
      <c r="G10121" t="s">
        <v>33375</v>
      </c>
      <c r="H10121" t="s">
        <v>33489</v>
      </c>
    </row>
    <row r="10122" spans="1:8">
      <c r="A10122" t="str">
        <f>"0218599 "</f>
        <v xml:space="preserve">0218599 </v>
      </c>
      <c r="B10122" t="s">
        <v>33372</v>
      </c>
      <c r="C10122" t="s">
        <v>33491</v>
      </c>
      <c r="D10122" t="s">
        <v>33492</v>
      </c>
      <c r="E10122" t="s">
        <v>16</v>
      </c>
      <c r="F10122" t="s">
        <v>33493</v>
      </c>
      <c r="G10122" t="s">
        <v>33375</v>
      </c>
      <c r="H10122" t="s">
        <v>33491</v>
      </c>
    </row>
    <row r="10123" spans="1:8">
      <c r="A10123" t="str">
        <f>"0218596 "</f>
        <v xml:space="preserve">0218596 </v>
      </c>
      <c r="B10123" t="s">
        <v>33372</v>
      </c>
      <c r="C10123" t="s">
        <v>33494</v>
      </c>
      <c r="D10123" t="s">
        <v>33495</v>
      </c>
      <c r="E10123" t="s">
        <v>16</v>
      </c>
      <c r="F10123" t="s">
        <v>33493</v>
      </c>
      <c r="G10123" t="s">
        <v>33375</v>
      </c>
      <c r="H10123" t="s">
        <v>33494</v>
      </c>
    </row>
    <row r="10124" spans="1:8">
      <c r="A10124" t="str">
        <f>"0218597 "</f>
        <v xml:space="preserve">0218597 </v>
      </c>
      <c r="B10124" t="s">
        <v>33372</v>
      </c>
      <c r="C10124" t="s">
        <v>33496</v>
      </c>
      <c r="D10124" t="s">
        <v>33497</v>
      </c>
      <c r="E10124" t="s">
        <v>16</v>
      </c>
      <c r="F10124" t="s">
        <v>33493</v>
      </c>
      <c r="G10124" t="s">
        <v>33375</v>
      </c>
      <c r="H10124" t="s">
        <v>33496</v>
      </c>
    </row>
    <row r="10125" spans="1:8">
      <c r="A10125" t="str">
        <f>"0218609 "</f>
        <v xml:space="preserve">0218609 </v>
      </c>
      <c r="B10125" t="s">
        <v>33372</v>
      </c>
      <c r="C10125" t="s">
        <v>33498</v>
      </c>
      <c r="D10125" t="s">
        <v>33499</v>
      </c>
      <c r="E10125" t="s">
        <v>16</v>
      </c>
      <c r="F10125" t="s">
        <v>19724</v>
      </c>
      <c r="G10125" t="s">
        <v>33375</v>
      </c>
      <c r="H10125" t="s">
        <v>33498</v>
      </c>
    </row>
    <row r="10126" spans="1:8">
      <c r="A10126" t="str">
        <f>"0218611 "</f>
        <v xml:space="preserve">0218611 </v>
      </c>
      <c r="B10126" t="s">
        <v>33372</v>
      </c>
      <c r="C10126" t="s">
        <v>33500</v>
      </c>
      <c r="D10126" t="s">
        <v>33501</v>
      </c>
      <c r="E10126">
        <v>1</v>
      </c>
      <c r="F10126" t="s">
        <v>19724</v>
      </c>
      <c r="G10126" t="s">
        <v>33375</v>
      </c>
      <c r="H10126" t="s">
        <v>33500</v>
      </c>
    </row>
    <row r="10127" spans="1:8">
      <c r="A10127" t="str">
        <f>"0218612 "</f>
        <v xml:space="preserve">0218612 </v>
      </c>
      <c r="B10127" t="s">
        <v>33372</v>
      </c>
      <c r="C10127" t="s">
        <v>33502</v>
      </c>
      <c r="D10127" t="s">
        <v>33503</v>
      </c>
      <c r="E10127" t="s">
        <v>16</v>
      </c>
      <c r="F10127" t="s">
        <v>19724</v>
      </c>
      <c r="G10127" t="s">
        <v>33375</v>
      </c>
      <c r="H10127" t="s">
        <v>33502</v>
      </c>
    </row>
    <row r="10128" spans="1:8">
      <c r="A10128" t="str">
        <f>"0218636 "</f>
        <v xml:space="preserve">0218636 </v>
      </c>
      <c r="B10128" t="s">
        <v>33372</v>
      </c>
      <c r="C10128">
        <v>450</v>
      </c>
      <c r="D10128" t="s">
        <v>33504</v>
      </c>
      <c r="E10128" t="s">
        <v>16</v>
      </c>
      <c r="F10128" t="s">
        <v>32136</v>
      </c>
      <c r="G10128" t="s">
        <v>33375</v>
      </c>
      <c r="H10128">
        <v>450</v>
      </c>
    </row>
    <row r="10129" spans="1:8">
      <c r="A10129" t="str">
        <f>"0218638 "</f>
        <v xml:space="preserve">0218638 </v>
      </c>
      <c r="B10129" t="s">
        <v>33372</v>
      </c>
      <c r="C10129">
        <v>451</v>
      </c>
      <c r="D10129" t="s">
        <v>33505</v>
      </c>
      <c r="E10129" t="s">
        <v>16</v>
      </c>
      <c r="F10129" t="s">
        <v>32136</v>
      </c>
      <c r="G10129" t="s">
        <v>33375</v>
      </c>
      <c r="H10129">
        <v>451</v>
      </c>
    </row>
    <row r="10130" spans="1:8">
      <c r="A10130" t="str">
        <f>"0219942 "</f>
        <v xml:space="preserve">0219942 </v>
      </c>
      <c r="B10130" t="s">
        <v>33372</v>
      </c>
      <c r="C10130" t="s">
        <v>33506</v>
      </c>
      <c r="D10130" t="s">
        <v>33507</v>
      </c>
      <c r="E10130" t="s">
        <v>16</v>
      </c>
      <c r="F10130" t="s">
        <v>32136</v>
      </c>
      <c r="G10130" t="s">
        <v>33375</v>
      </c>
      <c r="H10130" t="s">
        <v>33506</v>
      </c>
    </row>
    <row r="10131" spans="1:8">
      <c r="A10131" t="str">
        <f>"0219941 "</f>
        <v xml:space="preserve">0219941 </v>
      </c>
      <c r="B10131" t="s">
        <v>33372</v>
      </c>
      <c r="C10131" t="s">
        <v>33508</v>
      </c>
      <c r="D10131" t="s">
        <v>33509</v>
      </c>
      <c r="E10131" t="s">
        <v>16</v>
      </c>
      <c r="F10131" t="s">
        <v>32136</v>
      </c>
      <c r="G10131" t="s">
        <v>33375</v>
      </c>
      <c r="H10131" t="s">
        <v>33508</v>
      </c>
    </row>
    <row r="10132" spans="1:8">
      <c r="A10132" t="str">
        <f>"0218639 "</f>
        <v xml:space="preserve">0218639 </v>
      </c>
      <c r="B10132" t="s">
        <v>33372</v>
      </c>
      <c r="C10132" t="s">
        <v>33510</v>
      </c>
      <c r="D10132" t="s">
        <v>33511</v>
      </c>
      <c r="E10132" t="s">
        <v>16</v>
      </c>
      <c r="F10132" t="s">
        <v>32136</v>
      </c>
      <c r="G10132" t="s">
        <v>33375</v>
      </c>
      <c r="H10132" t="s">
        <v>33510</v>
      </c>
    </row>
    <row r="10133" spans="1:8">
      <c r="A10133" t="str">
        <f>"0239985 "</f>
        <v xml:space="preserve">0239985 </v>
      </c>
      <c r="B10133" t="s">
        <v>33372</v>
      </c>
      <c r="C10133">
        <v>4659</v>
      </c>
      <c r="D10133" t="s">
        <v>33512</v>
      </c>
      <c r="E10133" t="s">
        <v>16</v>
      </c>
      <c r="F10133" t="s">
        <v>33229</v>
      </c>
      <c r="G10133" t="s">
        <v>33430</v>
      </c>
      <c r="H10133">
        <v>4659</v>
      </c>
    </row>
    <row r="10134" spans="1:8">
      <c r="A10134" t="str">
        <f>"0239984 "</f>
        <v xml:space="preserve">0239984 </v>
      </c>
      <c r="B10134" t="s">
        <v>33372</v>
      </c>
      <c r="C10134">
        <v>4666</v>
      </c>
      <c r="D10134" t="s">
        <v>33513</v>
      </c>
      <c r="E10134" t="s">
        <v>16</v>
      </c>
      <c r="F10134" t="s">
        <v>33229</v>
      </c>
      <c r="G10134" t="s">
        <v>33430</v>
      </c>
      <c r="H10134">
        <v>4666</v>
      </c>
    </row>
    <row r="10135" spans="1:8">
      <c r="A10135" t="str">
        <f>"0218642 "</f>
        <v xml:space="preserve">0218642 </v>
      </c>
      <c r="B10135" t="s">
        <v>33372</v>
      </c>
      <c r="C10135" t="s">
        <v>33514</v>
      </c>
      <c r="D10135" t="s">
        <v>33515</v>
      </c>
      <c r="E10135">
        <v>5</v>
      </c>
      <c r="F10135" t="s">
        <v>33516</v>
      </c>
      <c r="G10135" t="s">
        <v>33375</v>
      </c>
      <c r="H10135" t="s">
        <v>33514</v>
      </c>
    </row>
    <row r="10136" spans="1:8">
      <c r="A10136" t="str">
        <f>"0218506 "</f>
        <v xml:space="preserve">0218506 </v>
      </c>
      <c r="B10136" t="s">
        <v>33372</v>
      </c>
      <c r="C10136" t="s">
        <v>33517</v>
      </c>
      <c r="D10136" t="s">
        <v>33518</v>
      </c>
      <c r="E10136">
        <v>4</v>
      </c>
      <c r="F10136" t="s">
        <v>33516</v>
      </c>
      <c r="G10136" t="s">
        <v>33375</v>
      </c>
      <c r="H10136" t="s">
        <v>33517</v>
      </c>
    </row>
    <row r="10137" spans="1:8">
      <c r="A10137" t="str">
        <f>"0218504 "</f>
        <v xml:space="preserve">0218504 </v>
      </c>
      <c r="B10137" t="s">
        <v>33372</v>
      </c>
      <c r="C10137" t="s">
        <v>33519</v>
      </c>
      <c r="D10137" t="s">
        <v>33520</v>
      </c>
      <c r="E10137">
        <v>4</v>
      </c>
      <c r="F10137" t="s">
        <v>33516</v>
      </c>
      <c r="G10137" t="s">
        <v>33375</v>
      </c>
      <c r="H10137" t="s">
        <v>33519</v>
      </c>
    </row>
    <row r="10138" spans="1:8">
      <c r="A10138" t="str">
        <f>"0218640 "</f>
        <v xml:space="preserve">0218640 </v>
      </c>
      <c r="B10138" t="s">
        <v>33372</v>
      </c>
      <c r="C10138" t="s">
        <v>33521</v>
      </c>
      <c r="D10138" t="s">
        <v>33522</v>
      </c>
      <c r="E10138">
        <v>1</v>
      </c>
      <c r="F10138" t="s">
        <v>33516</v>
      </c>
      <c r="G10138" t="s">
        <v>33375</v>
      </c>
      <c r="H10138" t="s">
        <v>33521</v>
      </c>
    </row>
    <row r="10139" spans="1:8">
      <c r="A10139" t="str">
        <f>"0218507 "</f>
        <v xml:space="preserve">0218507 </v>
      </c>
      <c r="B10139" t="s">
        <v>33372</v>
      </c>
      <c r="C10139" t="s">
        <v>33523</v>
      </c>
      <c r="D10139" t="s">
        <v>33524</v>
      </c>
      <c r="E10139">
        <v>4</v>
      </c>
      <c r="F10139" t="s">
        <v>33525</v>
      </c>
      <c r="G10139" t="s">
        <v>33375</v>
      </c>
      <c r="H10139" t="s">
        <v>33523</v>
      </c>
    </row>
    <row r="10140" spans="1:8">
      <c r="A10140" t="str">
        <f>"0218505 "</f>
        <v xml:space="preserve">0218505 </v>
      </c>
      <c r="B10140" t="s">
        <v>33372</v>
      </c>
      <c r="C10140" t="s">
        <v>33526</v>
      </c>
      <c r="D10140" t="s">
        <v>33527</v>
      </c>
      <c r="E10140">
        <v>5</v>
      </c>
      <c r="F10140" t="s">
        <v>33516</v>
      </c>
      <c r="G10140" t="s">
        <v>33375</v>
      </c>
      <c r="H10140" t="s">
        <v>33526</v>
      </c>
    </row>
    <row r="10141" spans="1:8">
      <c r="A10141" t="str">
        <f>"0218508 "</f>
        <v xml:space="preserve">0218508 </v>
      </c>
      <c r="B10141" t="s">
        <v>33372</v>
      </c>
      <c r="C10141" t="s">
        <v>33528</v>
      </c>
      <c r="D10141" t="s">
        <v>33529</v>
      </c>
      <c r="E10141">
        <v>2</v>
      </c>
      <c r="F10141" t="s">
        <v>33516</v>
      </c>
      <c r="G10141" t="s">
        <v>33375</v>
      </c>
      <c r="H10141" t="s">
        <v>33528</v>
      </c>
    </row>
    <row r="10142" spans="1:8">
      <c r="A10142" t="str">
        <f>"0218509 "</f>
        <v xml:space="preserve">0218509 </v>
      </c>
      <c r="B10142" t="s">
        <v>33372</v>
      </c>
      <c r="C10142" t="s">
        <v>33530</v>
      </c>
      <c r="D10142" t="s">
        <v>33531</v>
      </c>
      <c r="E10142" t="s">
        <v>16</v>
      </c>
      <c r="F10142" t="s">
        <v>19828</v>
      </c>
      <c r="G10142" t="s">
        <v>33375</v>
      </c>
      <c r="H10142" t="s">
        <v>33530</v>
      </c>
    </row>
    <row r="10143" spans="1:8">
      <c r="A10143" t="str">
        <f>"0218510 "</f>
        <v xml:space="preserve">0218510 </v>
      </c>
      <c r="B10143" t="s">
        <v>33372</v>
      </c>
      <c r="C10143" t="s">
        <v>33532</v>
      </c>
      <c r="D10143" t="s">
        <v>33533</v>
      </c>
      <c r="E10143" t="s">
        <v>16</v>
      </c>
      <c r="F10143" t="s">
        <v>19828</v>
      </c>
      <c r="G10143" t="s">
        <v>33375</v>
      </c>
      <c r="H10143" t="s">
        <v>33532</v>
      </c>
    </row>
    <row r="10144" spans="1:8">
      <c r="A10144" t="str">
        <f>"0218643 "</f>
        <v xml:space="preserve">0218643 </v>
      </c>
      <c r="B10144" t="s">
        <v>33372</v>
      </c>
      <c r="C10144" t="s">
        <v>33534</v>
      </c>
      <c r="D10144" t="s">
        <v>33535</v>
      </c>
      <c r="E10144" t="s">
        <v>16</v>
      </c>
      <c r="F10144" t="s">
        <v>19828</v>
      </c>
      <c r="G10144" t="s">
        <v>33375</v>
      </c>
      <c r="H10144" t="s">
        <v>33534</v>
      </c>
    </row>
    <row r="10145" spans="1:8">
      <c r="A10145" t="str">
        <f>"0218511 "</f>
        <v xml:space="preserve">0218511 </v>
      </c>
      <c r="B10145" t="s">
        <v>33372</v>
      </c>
      <c r="C10145" t="s">
        <v>33536</v>
      </c>
      <c r="D10145" t="s">
        <v>33537</v>
      </c>
      <c r="E10145" t="s">
        <v>16</v>
      </c>
      <c r="F10145" t="s">
        <v>19828</v>
      </c>
      <c r="G10145" t="s">
        <v>33375</v>
      </c>
      <c r="H10145" t="s">
        <v>33536</v>
      </c>
    </row>
    <row r="10146" spans="1:8">
      <c r="A10146" t="str">
        <f>"0218512 "</f>
        <v xml:space="preserve">0218512 </v>
      </c>
      <c r="B10146" t="s">
        <v>33372</v>
      </c>
      <c r="C10146" t="s">
        <v>33538</v>
      </c>
      <c r="D10146" t="s">
        <v>33539</v>
      </c>
      <c r="E10146" t="s">
        <v>16</v>
      </c>
      <c r="F10146" t="s">
        <v>19828</v>
      </c>
      <c r="G10146" t="s">
        <v>33375</v>
      </c>
      <c r="H10146" t="s">
        <v>33538</v>
      </c>
    </row>
    <row r="10147" spans="1:8">
      <c r="A10147" t="str">
        <f>"0218513 "</f>
        <v xml:space="preserve">0218513 </v>
      </c>
      <c r="B10147" t="s">
        <v>33372</v>
      </c>
      <c r="C10147" t="s">
        <v>33540</v>
      </c>
      <c r="D10147" t="s">
        <v>33541</v>
      </c>
      <c r="E10147" t="s">
        <v>16</v>
      </c>
      <c r="F10147" t="s">
        <v>19828</v>
      </c>
      <c r="G10147" t="s">
        <v>33375</v>
      </c>
      <c r="H10147" t="s">
        <v>33540</v>
      </c>
    </row>
    <row r="10148" spans="1:8">
      <c r="A10148" t="str">
        <f>"0218665 "</f>
        <v xml:space="preserve">0218665 </v>
      </c>
      <c r="B10148" t="s">
        <v>33372</v>
      </c>
      <c r="C10148">
        <v>622</v>
      </c>
      <c r="D10148" t="s">
        <v>33542</v>
      </c>
      <c r="E10148">
        <v>4</v>
      </c>
      <c r="F10148" t="s">
        <v>33224</v>
      </c>
      <c r="G10148" t="s">
        <v>33375</v>
      </c>
      <c r="H10148">
        <v>622</v>
      </c>
    </row>
    <row r="10149" spans="1:8">
      <c r="A10149" t="str">
        <f>"0218663 "</f>
        <v xml:space="preserve">0218663 </v>
      </c>
      <c r="B10149" t="s">
        <v>33372</v>
      </c>
      <c r="C10149">
        <v>623</v>
      </c>
      <c r="D10149" t="s">
        <v>33543</v>
      </c>
      <c r="E10149" t="s">
        <v>16</v>
      </c>
      <c r="F10149" t="s">
        <v>33224</v>
      </c>
      <c r="G10149" t="s">
        <v>33375</v>
      </c>
      <c r="H10149">
        <v>623</v>
      </c>
    </row>
    <row r="10150" spans="1:8">
      <c r="A10150" t="str">
        <f>"0218666 "</f>
        <v xml:space="preserve">0218666 </v>
      </c>
      <c r="B10150" t="s">
        <v>33372</v>
      </c>
      <c r="C10150">
        <v>624</v>
      </c>
      <c r="D10150" t="s">
        <v>33544</v>
      </c>
      <c r="E10150" t="s">
        <v>16</v>
      </c>
      <c r="F10150" t="s">
        <v>33224</v>
      </c>
      <c r="G10150" t="s">
        <v>33375</v>
      </c>
      <c r="H10150">
        <v>624</v>
      </c>
    </row>
    <row r="10151" spans="1:8">
      <c r="A10151" t="str">
        <f>"0218662 "</f>
        <v xml:space="preserve">0218662 </v>
      </c>
      <c r="B10151" t="s">
        <v>33372</v>
      </c>
      <c r="C10151">
        <v>625</v>
      </c>
      <c r="D10151" t="s">
        <v>33545</v>
      </c>
      <c r="E10151">
        <v>5</v>
      </c>
      <c r="F10151" t="s">
        <v>33224</v>
      </c>
      <c r="G10151" t="s">
        <v>33375</v>
      </c>
      <c r="H10151">
        <v>625</v>
      </c>
    </row>
    <row r="10152" spans="1:8">
      <c r="A10152" t="str">
        <f>"0218664 "</f>
        <v xml:space="preserve">0218664 </v>
      </c>
      <c r="B10152" t="s">
        <v>33372</v>
      </c>
      <c r="C10152">
        <v>626</v>
      </c>
      <c r="D10152" t="s">
        <v>33546</v>
      </c>
      <c r="E10152">
        <v>1</v>
      </c>
      <c r="F10152" t="s">
        <v>33224</v>
      </c>
      <c r="G10152" t="s">
        <v>33375</v>
      </c>
      <c r="H10152">
        <v>626</v>
      </c>
    </row>
    <row r="10153" spans="1:8">
      <c r="A10153" t="str">
        <f>"0218560 "</f>
        <v xml:space="preserve">0218560 </v>
      </c>
      <c r="B10153" t="s">
        <v>33372</v>
      </c>
      <c r="C10153" t="s">
        <v>33547</v>
      </c>
      <c r="D10153" t="s">
        <v>33548</v>
      </c>
      <c r="E10153" t="s">
        <v>16</v>
      </c>
      <c r="F10153" t="s">
        <v>19837</v>
      </c>
      <c r="G10153" t="s">
        <v>33375</v>
      </c>
      <c r="H10153" t="s">
        <v>33547</v>
      </c>
    </row>
    <row r="10154" spans="1:8">
      <c r="A10154" t="str">
        <f>"0218516 "</f>
        <v xml:space="preserve">0218516 </v>
      </c>
      <c r="B10154" t="s">
        <v>33372</v>
      </c>
      <c r="C10154" t="s">
        <v>33549</v>
      </c>
      <c r="D10154" t="s">
        <v>33550</v>
      </c>
      <c r="E10154">
        <v>3</v>
      </c>
      <c r="F10154" t="s">
        <v>33551</v>
      </c>
      <c r="G10154" t="s">
        <v>33375</v>
      </c>
      <c r="H10154" t="s">
        <v>33549</v>
      </c>
    </row>
    <row r="10155" spans="1:8">
      <c r="A10155" t="str">
        <f>"0218515 "</f>
        <v xml:space="preserve">0218515 </v>
      </c>
      <c r="B10155" t="s">
        <v>33372</v>
      </c>
      <c r="C10155" t="s">
        <v>33552</v>
      </c>
      <c r="D10155" t="s">
        <v>33553</v>
      </c>
      <c r="E10155" t="s">
        <v>16</v>
      </c>
      <c r="F10155" t="s">
        <v>33551</v>
      </c>
      <c r="G10155" t="s">
        <v>33375</v>
      </c>
      <c r="H10155" t="s">
        <v>33552</v>
      </c>
    </row>
    <row r="10156" spans="1:8">
      <c r="A10156" t="str">
        <f>"0218517 "</f>
        <v xml:space="preserve">0218517 </v>
      </c>
      <c r="B10156" t="s">
        <v>33372</v>
      </c>
      <c r="C10156">
        <v>704</v>
      </c>
      <c r="D10156" t="s">
        <v>33554</v>
      </c>
      <c r="E10156">
        <v>4</v>
      </c>
      <c r="F10156" t="s">
        <v>33551</v>
      </c>
      <c r="G10156" t="s">
        <v>33375</v>
      </c>
      <c r="H10156">
        <v>704</v>
      </c>
    </row>
    <row r="10157" spans="1:8">
      <c r="A10157" t="str">
        <f>"0218514 "</f>
        <v xml:space="preserve">0218514 </v>
      </c>
      <c r="B10157" t="s">
        <v>33372</v>
      </c>
      <c r="C10157" t="s">
        <v>33555</v>
      </c>
      <c r="D10157" t="s">
        <v>33556</v>
      </c>
      <c r="E10157" t="s">
        <v>16</v>
      </c>
      <c r="F10157" t="s">
        <v>33551</v>
      </c>
      <c r="G10157" t="s">
        <v>33375</v>
      </c>
      <c r="H10157" t="s">
        <v>33555</v>
      </c>
    </row>
    <row r="10158" spans="1:8">
      <c r="A10158" t="str">
        <f>"0242988 "</f>
        <v xml:space="preserve">0242988 </v>
      </c>
      <c r="B10158" t="s">
        <v>33372</v>
      </c>
      <c r="C10158">
        <v>78030</v>
      </c>
      <c r="D10158" t="s">
        <v>33557</v>
      </c>
      <c r="E10158" t="s">
        <v>16</v>
      </c>
      <c r="F10158" t="s">
        <v>33558</v>
      </c>
      <c r="G10158" t="s">
        <v>33405</v>
      </c>
      <c r="H10158">
        <v>78030</v>
      </c>
    </row>
    <row r="10159" spans="1:8">
      <c r="A10159" t="str">
        <f>"0220014 "</f>
        <v xml:space="preserve">0220014 </v>
      </c>
      <c r="B10159" t="s">
        <v>33372</v>
      </c>
      <c r="C10159">
        <v>79924</v>
      </c>
      <c r="D10159" t="s">
        <v>33559</v>
      </c>
      <c r="E10159" t="s">
        <v>16</v>
      </c>
      <c r="F10159" t="s">
        <v>32745</v>
      </c>
      <c r="G10159" t="s">
        <v>33405</v>
      </c>
      <c r="H10159">
        <v>79924</v>
      </c>
    </row>
    <row r="10160" spans="1:8">
      <c r="A10160" t="str">
        <f>"0218621 "</f>
        <v xml:space="preserve">0218621 </v>
      </c>
      <c r="B10160" t="s">
        <v>33372</v>
      </c>
      <c r="C10160" t="s">
        <v>33560</v>
      </c>
      <c r="D10160" t="s">
        <v>33561</v>
      </c>
      <c r="E10160" t="s">
        <v>16</v>
      </c>
      <c r="F10160" t="s">
        <v>5018</v>
      </c>
      <c r="G10160" t="s">
        <v>33375</v>
      </c>
      <c r="H10160" t="s">
        <v>33560</v>
      </c>
    </row>
    <row r="10161" spans="1:8">
      <c r="A10161" t="str">
        <f>"0218626 "</f>
        <v xml:space="preserve">0218626 </v>
      </c>
      <c r="B10161" t="s">
        <v>33372</v>
      </c>
      <c r="C10161" t="s">
        <v>33562</v>
      </c>
      <c r="D10161" t="s">
        <v>33563</v>
      </c>
      <c r="E10161" t="s">
        <v>16</v>
      </c>
      <c r="F10161" t="s">
        <v>5018</v>
      </c>
      <c r="G10161" t="s">
        <v>33375</v>
      </c>
      <c r="H10161" t="s">
        <v>33562</v>
      </c>
    </row>
    <row r="10162" spans="1:8">
      <c r="A10162" t="str">
        <f>"0218624 "</f>
        <v xml:space="preserve">0218624 </v>
      </c>
      <c r="B10162" t="s">
        <v>33372</v>
      </c>
      <c r="C10162">
        <v>822</v>
      </c>
      <c r="D10162" t="s">
        <v>33564</v>
      </c>
      <c r="E10162" t="s">
        <v>16</v>
      </c>
      <c r="F10162" t="s">
        <v>5018</v>
      </c>
      <c r="G10162" t="s">
        <v>33375</v>
      </c>
      <c r="H10162">
        <v>822</v>
      </c>
    </row>
    <row r="10163" spans="1:8">
      <c r="A10163" t="str">
        <f>"0218622 "</f>
        <v xml:space="preserve">0218622 </v>
      </c>
      <c r="B10163" t="s">
        <v>33372</v>
      </c>
      <c r="C10163" t="s">
        <v>33565</v>
      </c>
      <c r="D10163" t="s">
        <v>33566</v>
      </c>
      <c r="E10163" t="s">
        <v>16</v>
      </c>
      <c r="F10163" t="s">
        <v>5018</v>
      </c>
      <c r="G10163" t="s">
        <v>33375</v>
      </c>
      <c r="H10163" t="s">
        <v>33565</v>
      </c>
    </row>
    <row r="10164" spans="1:8">
      <c r="A10164" t="str">
        <f>"0218625 "</f>
        <v xml:space="preserve">0218625 </v>
      </c>
      <c r="B10164" t="s">
        <v>33372</v>
      </c>
      <c r="C10164" t="s">
        <v>33567</v>
      </c>
      <c r="D10164" t="s">
        <v>33568</v>
      </c>
      <c r="E10164" t="s">
        <v>16</v>
      </c>
      <c r="F10164" t="s">
        <v>5018</v>
      </c>
      <c r="G10164" t="s">
        <v>33375</v>
      </c>
      <c r="H10164" t="s">
        <v>33567</v>
      </c>
    </row>
    <row r="10165" spans="1:8">
      <c r="A10165" t="str">
        <f>"0218623 "</f>
        <v xml:space="preserve">0218623 </v>
      </c>
      <c r="B10165" t="s">
        <v>33372</v>
      </c>
      <c r="C10165">
        <v>825</v>
      </c>
      <c r="D10165" t="s">
        <v>33569</v>
      </c>
      <c r="E10165" t="s">
        <v>16</v>
      </c>
      <c r="F10165" t="s">
        <v>5018</v>
      </c>
      <c r="G10165" t="s">
        <v>33375</v>
      </c>
      <c r="H10165">
        <v>825</v>
      </c>
    </row>
    <row r="10166" spans="1:8">
      <c r="A10166" t="str">
        <f>"0220037 "</f>
        <v xml:space="preserve">0220037 </v>
      </c>
      <c r="B10166" t="s">
        <v>33372</v>
      </c>
      <c r="C10166">
        <v>8258</v>
      </c>
      <c r="D10166" t="s">
        <v>33570</v>
      </c>
      <c r="E10166" t="s">
        <v>16</v>
      </c>
      <c r="F10166" s="1">
        <v>42814</v>
      </c>
      <c r="G10166" t="s">
        <v>33458</v>
      </c>
      <c r="H10166">
        <v>8258</v>
      </c>
    </row>
    <row r="10167" spans="1:8">
      <c r="A10167" t="str">
        <f>"0218488 "</f>
        <v xml:space="preserve">0218488 </v>
      </c>
      <c r="B10167" t="s">
        <v>33372</v>
      </c>
      <c r="C10167" t="s">
        <v>33571</v>
      </c>
      <c r="D10167" t="s">
        <v>33572</v>
      </c>
      <c r="E10167" t="s">
        <v>16</v>
      </c>
      <c r="F10167" t="s">
        <v>19744</v>
      </c>
      <c r="G10167" t="s">
        <v>33375</v>
      </c>
      <c r="H10167" t="s">
        <v>33571</v>
      </c>
    </row>
    <row r="10168" spans="1:8">
      <c r="A10168" t="str">
        <f>"0218489 "</f>
        <v xml:space="preserve">0218489 </v>
      </c>
      <c r="B10168" t="s">
        <v>33372</v>
      </c>
      <c r="C10168" t="s">
        <v>33573</v>
      </c>
      <c r="D10168" t="s">
        <v>33574</v>
      </c>
      <c r="E10168" t="s">
        <v>16</v>
      </c>
      <c r="F10168" t="s">
        <v>19744</v>
      </c>
      <c r="G10168" t="s">
        <v>33375</v>
      </c>
      <c r="H10168" t="s">
        <v>33573</v>
      </c>
    </row>
    <row r="10169" spans="1:8">
      <c r="A10169" t="str">
        <f>"0218491 "</f>
        <v xml:space="preserve">0218491 </v>
      </c>
      <c r="B10169" t="s">
        <v>33372</v>
      </c>
      <c r="C10169" t="s">
        <v>33575</v>
      </c>
      <c r="D10169" t="s">
        <v>33576</v>
      </c>
      <c r="E10169" t="s">
        <v>16</v>
      </c>
      <c r="F10169" t="s">
        <v>19744</v>
      </c>
      <c r="G10169" t="s">
        <v>33375</v>
      </c>
      <c r="H10169" t="s">
        <v>33575</v>
      </c>
    </row>
    <row r="10170" spans="1:8">
      <c r="A10170" t="str">
        <f>"0218615 "</f>
        <v xml:space="preserve">0218615 </v>
      </c>
      <c r="B10170" t="s">
        <v>33372</v>
      </c>
      <c r="C10170">
        <v>860</v>
      </c>
      <c r="D10170" t="s">
        <v>33577</v>
      </c>
      <c r="E10170" t="s">
        <v>16</v>
      </c>
      <c r="F10170" t="s">
        <v>19805</v>
      </c>
      <c r="G10170" t="s">
        <v>33375</v>
      </c>
      <c r="H10170">
        <v>860</v>
      </c>
    </row>
    <row r="10171" spans="1:8">
      <c r="A10171" t="str">
        <f>"0218620 "</f>
        <v xml:space="preserve">0218620 </v>
      </c>
      <c r="B10171" t="s">
        <v>33372</v>
      </c>
      <c r="C10171" t="s">
        <v>33578</v>
      </c>
      <c r="D10171" t="s">
        <v>33579</v>
      </c>
      <c r="E10171" t="s">
        <v>16</v>
      </c>
      <c r="F10171" t="s">
        <v>19805</v>
      </c>
      <c r="G10171" t="s">
        <v>33375</v>
      </c>
      <c r="H10171" t="s">
        <v>33578</v>
      </c>
    </row>
    <row r="10172" spans="1:8">
      <c r="A10172" t="str">
        <f>"0218617 "</f>
        <v xml:space="preserve">0218617 </v>
      </c>
      <c r="B10172" t="s">
        <v>33372</v>
      </c>
      <c r="C10172" t="s">
        <v>33580</v>
      </c>
      <c r="D10172" t="s">
        <v>33581</v>
      </c>
      <c r="E10172" t="s">
        <v>16</v>
      </c>
      <c r="F10172" t="s">
        <v>19805</v>
      </c>
      <c r="G10172" t="s">
        <v>33375</v>
      </c>
      <c r="H10172" t="s">
        <v>33580</v>
      </c>
    </row>
    <row r="10173" spans="1:8">
      <c r="A10173" t="str">
        <f>"0218616 "</f>
        <v xml:space="preserve">0218616 </v>
      </c>
      <c r="B10173" t="s">
        <v>33372</v>
      </c>
      <c r="C10173" t="s">
        <v>33582</v>
      </c>
      <c r="D10173" t="s">
        <v>33583</v>
      </c>
      <c r="E10173" t="s">
        <v>16</v>
      </c>
      <c r="F10173" t="s">
        <v>19805</v>
      </c>
      <c r="G10173" t="s">
        <v>33375</v>
      </c>
      <c r="H10173" t="s">
        <v>33582</v>
      </c>
    </row>
    <row r="10174" spans="1:8">
      <c r="A10174" t="str">
        <f>"0218619 "</f>
        <v xml:space="preserve">0218619 </v>
      </c>
      <c r="B10174" t="s">
        <v>33372</v>
      </c>
      <c r="C10174">
        <v>864</v>
      </c>
      <c r="D10174" t="s">
        <v>33584</v>
      </c>
      <c r="E10174" t="s">
        <v>16</v>
      </c>
      <c r="F10174" t="s">
        <v>19805</v>
      </c>
      <c r="G10174" t="s">
        <v>33375</v>
      </c>
      <c r="H10174">
        <v>864</v>
      </c>
    </row>
    <row r="10175" spans="1:8">
      <c r="A10175" t="str">
        <f>"0218618 "</f>
        <v xml:space="preserve">0218618 </v>
      </c>
      <c r="B10175" t="s">
        <v>33372</v>
      </c>
      <c r="C10175">
        <v>865</v>
      </c>
      <c r="D10175" t="s">
        <v>33585</v>
      </c>
      <c r="E10175" t="s">
        <v>16</v>
      </c>
      <c r="F10175" t="s">
        <v>19805</v>
      </c>
      <c r="G10175" t="s">
        <v>33375</v>
      </c>
      <c r="H10175">
        <v>865</v>
      </c>
    </row>
    <row r="10176" spans="1:8">
      <c r="A10176" t="str">
        <f>"0218534 "</f>
        <v xml:space="preserve">0218534 </v>
      </c>
      <c r="B10176" t="s">
        <v>33372</v>
      </c>
      <c r="C10176" t="s">
        <v>33586</v>
      </c>
      <c r="D10176" t="s">
        <v>33587</v>
      </c>
      <c r="E10176" t="s">
        <v>16</v>
      </c>
      <c r="F10176" t="s">
        <v>33588</v>
      </c>
      <c r="G10176" t="s">
        <v>33375</v>
      </c>
      <c r="H10176" t="s">
        <v>33586</v>
      </c>
    </row>
    <row r="10177" spans="1:8">
      <c r="A10177" t="str">
        <f>"0219947 "</f>
        <v xml:space="preserve">0219947 </v>
      </c>
      <c r="B10177" t="s">
        <v>33372</v>
      </c>
      <c r="C10177" t="s">
        <v>33589</v>
      </c>
      <c r="D10177" t="s">
        <v>33590</v>
      </c>
      <c r="E10177" t="s">
        <v>16</v>
      </c>
      <c r="F10177" t="s">
        <v>33588</v>
      </c>
      <c r="G10177" t="s">
        <v>33375</v>
      </c>
      <c r="H10177" t="s">
        <v>33589</v>
      </c>
    </row>
    <row r="10178" spans="1:8">
      <c r="A10178" t="str">
        <f>"0218535 "</f>
        <v xml:space="preserve">0218535 </v>
      </c>
      <c r="B10178" t="s">
        <v>33372</v>
      </c>
      <c r="C10178">
        <v>883</v>
      </c>
      <c r="D10178" t="s">
        <v>33591</v>
      </c>
      <c r="E10178" t="s">
        <v>16</v>
      </c>
      <c r="F10178" t="s">
        <v>33588</v>
      </c>
      <c r="G10178" t="s">
        <v>33375</v>
      </c>
      <c r="H10178">
        <v>883</v>
      </c>
    </row>
    <row r="10179" spans="1:8">
      <c r="A10179" t="str">
        <f>"0219948 "</f>
        <v xml:space="preserve">0219948 </v>
      </c>
      <c r="B10179" t="s">
        <v>33372</v>
      </c>
      <c r="C10179" t="s">
        <v>33592</v>
      </c>
      <c r="D10179" t="s">
        <v>33593</v>
      </c>
      <c r="E10179" t="s">
        <v>16</v>
      </c>
      <c r="F10179" t="s">
        <v>33588</v>
      </c>
      <c r="G10179" t="s">
        <v>33375</v>
      </c>
      <c r="H10179" t="s">
        <v>33592</v>
      </c>
    </row>
    <row r="10180" spans="1:8">
      <c r="A10180" t="str">
        <f>"0218536 "</f>
        <v xml:space="preserve">0218536 </v>
      </c>
      <c r="B10180" t="s">
        <v>33372</v>
      </c>
      <c r="C10180">
        <v>885</v>
      </c>
      <c r="D10180" t="s">
        <v>33594</v>
      </c>
      <c r="E10180" t="s">
        <v>16</v>
      </c>
      <c r="F10180" t="s">
        <v>33588</v>
      </c>
      <c r="G10180" t="s">
        <v>33375</v>
      </c>
      <c r="H10180">
        <v>885</v>
      </c>
    </row>
    <row r="10181" spans="1:8">
      <c r="A10181" t="str">
        <f>"0219949 "</f>
        <v xml:space="preserve">0219949 </v>
      </c>
      <c r="B10181" t="s">
        <v>33372</v>
      </c>
      <c r="C10181">
        <v>886</v>
      </c>
      <c r="D10181" t="s">
        <v>33595</v>
      </c>
      <c r="E10181" t="s">
        <v>16</v>
      </c>
      <c r="F10181" t="s">
        <v>33588</v>
      </c>
      <c r="G10181" t="s">
        <v>33375</v>
      </c>
      <c r="H10181">
        <v>886</v>
      </c>
    </row>
    <row r="10182" spans="1:8">
      <c r="A10182" t="str">
        <f>"0218495 "</f>
        <v xml:space="preserve">0218495 </v>
      </c>
      <c r="B10182" t="s">
        <v>33372</v>
      </c>
      <c r="C10182" t="s">
        <v>33596</v>
      </c>
      <c r="D10182" t="s">
        <v>33597</v>
      </c>
      <c r="E10182">
        <v>1</v>
      </c>
      <c r="F10182" t="s">
        <v>660</v>
      </c>
      <c r="G10182" t="s">
        <v>33372</v>
      </c>
      <c r="H10182" t="s">
        <v>33596</v>
      </c>
    </row>
    <row r="10183" spans="1:8">
      <c r="A10183" t="str">
        <f>"0232610 "</f>
        <v xml:space="preserve">0232610 </v>
      </c>
      <c r="B10183" t="s">
        <v>33372</v>
      </c>
      <c r="C10183" t="s">
        <v>33598</v>
      </c>
      <c r="D10183" t="s">
        <v>33599</v>
      </c>
      <c r="E10183">
        <v>4</v>
      </c>
      <c r="F10183" t="s">
        <v>660</v>
      </c>
      <c r="G10183" t="s">
        <v>33375</v>
      </c>
      <c r="H10183" t="s">
        <v>33598</v>
      </c>
    </row>
    <row r="10184" spans="1:8">
      <c r="A10184" t="str">
        <f>"0231629 "</f>
        <v xml:space="preserve">0231629 </v>
      </c>
      <c r="B10184" t="s">
        <v>33372</v>
      </c>
      <c r="C10184" t="s">
        <v>33600</v>
      </c>
      <c r="D10184" t="s">
        <v>33601</v>
      </c>
      <c r="E10184" t="s">
        <v>16</v>
      </c>
      <c r="F10184" t="s">
        <v>660</v>
      </c>
      <c r="G10184" t="s">
        <v>33375</v>
      </c>
      <c r="H10184" t="s">
        <v>33600</v>
      </c>
    </row>
    <row r="10185" spans="1:8">
      <c r="A10185" t="str">
        <f>"0218496 "</f>
        <v xml:space="preserve">0218496 </v>
      </c>
      <c r="B10185" t="s">
        <v>33372</v>
      </c>
      <c r="C10185" t="s">
        <v>33602</v>
      </c>
      <c r="D10185" t="s">
        <v>33603</v>
      </c>
      <c r="E10185" t="s">
        <v>16</v>
      </c>
      <c r="F10185" t="s">
        <v>660</v>
      </c>
      <c r="G10185" t="s">
        <v>33375</v>
      </c>
      <c r="H10185" t="s">
        <v>33602</v>
      </c>
    </row>
    <row r="10186" spans="1:8">
      <c r="A10186" t="str">
        <f>"0218497 "</f>
        <v xml:space="preserve">0218497 </v>
      </c>
      <c r="B10186" t="s">
        <v>33372</v>
      </c>
      <c r="C10186" t="s">
        <v>33604</v>
      </c>
      <c r="D10186" t="s">
        <v>33605</v>
      </c>
      <c r="E10186" t="s">
        <v>16</v>
      </c>
      <c r="F10186" t="s">
        <v>660</v>
      </c>
      <c r="G10186" t="s">
        <v>33375</v>
      </c>
      <c r="H10186" t="s">
        <v>33604</v>
      </c>
    </row>
    <row r="10187" spans="1:8">
      <c r="A10187" t="str">
        <f>"0257613 "</f>
        <v xml:space="preserve">0257613 </v>
      </c>
      <c r="B10187" t="s">
        <v>33372</v>
      </c>
      <c r="C10187" t="s">
        <v>33606</v>
      </c>
      <c r="D10187" t="s">
        <v>33607</v>
      </c>
      <c r="E10187" t="s">
        <v>16</v>
      </c>
      <c r="F10187" t="s">
        <v>660</v>
      </c>
      <c r="G10187" t="s">
        <v>33372</v>
      </c>
      <c r="H10187" t="s">
        <v>33606</v>
      </c>
    </row>
    <row r="10188" spans="1:8">
      <c r="A10188" t="str">
        <f>"0231630 "</f>
        <v xml:space="preserve">0231630 </v>
      </c>
      <c r="B10188" t="s">
        <v>33372</v>
      </c>
      <c r="C10188" t="s">
        <v>33608</v>
      </c>
      <c r="D10188" t="s">
        <v>33609</v>
      </c>
      <c r="E10188" t="s">
        <v>16</v>
      </c>
      <c r="F10188" t="s">
        <v>660</v>
      </c>
      <c r="G10188" t="s">
        <v>33372</v>
      </c>
      <c r="H10188" t="s">
        <v>33608</v>
      </c>
    </row>
    <row r="10189" spans="1:8">
      <c r="A10189" t="str">
        <f>"0257612 "</f>
        <v xml:space="preserve">0257612 </v>
      </c>
      <c r="B10189" t="s">
        <v>33372</v>
      </c>
      <c r="C10189" t="s">
        <v>33610</v>
      </c>
      <c r="D10189" t="s">
        <v>33611</v>
      </c>
      <c r="E10189" t="s">
        <v>16</v>
      </c>
      <c r="F10189" t="s">
        <v>660</v>
      </c>
      <c r="G10189" t="s">
        <v>33372</v>
      </c>
      <c r="H10189" t="s">
        <v>33610</v>
      </c>
    </row>
    <row r="10190" spans="1:8">
      <c r="A10190" t="str">
        <f>"0218501 "</f>
        <v xml:space="preserve">0218501 </v>
      </c>
      <c r="B10190" t="s">
        <v>33372</v>
      </c>
      <c r="C10190" t="s">
        <v>33612</v>
      </c>
      <c r="D10190" t="s">
        <v>33613</v>
      </c>
      <c r="E10190" t="s">
        <v>16</v>
      </c>
      <c r="F10190" t="s">
        <v>660</v>
      </c>
      <c r="G10190" t="s">
        <v>33375</v>
      </c>
      <c r="H10190" t="s">
        <v>33612</v>
      </c>
    </row>
    <row r="10191" spans="1:8">
      <c r="A10191" t="str">
        <f>"0218502 "</f>
        <v xml:space="preserve">0218502 </v>
      </c>
      <c r="B10191" t="s">
        <v>33372</v>
      </c>
      <c r="C10191" t="s">
        <v>33614</v>
      </c>
      <c r="D10191" t="s">
        <v>33615</v>
      </c>
      <c r="E10191" t="s">
        <v>16</v>
      </c>
      <c r="F10191" t="s">
        <v>660</v>
      </c>
      <c r="G10191" t="s">
        <v>33375</v>
      </c>
      <c r="H10191" t="s">
        <v>33614</v>
      </c>
    </row>
    <row r="10192" spans="1:8">
      <c r="A10192" t="str">
        <f>"0232607 "</f>
        <v xml:space="preserve">0232607 </v>
      </c>
      <c r="B10192" t="s">
        <v>33372</v>
      </c>
      <c r="C10192">
        <v>92095</v>
      </c>
      <c r="D10192" t="s">
        <v>33616</v>
      </c>
      <c r="E10192" t="s">
        <v>16</v>
      </c>
      <c r="F10192" t="s">
        <v>33516</v>
      </c>
      <c r="G10192" t="s">
        <v>33375</v>
      </c>
      <c r="H10192">
        <v>92095</v>
      </c>
    </row>
    <row r="10193" spans="1:8">
      <c r="A10193" t="str">
        <f>"0232609 "</f>
        <v xml:space="preserve">0232609 </v>
      </c>
      <c r="B10193" t="s">
        <v>33372</v>
      </c>
      <c r="C10193">
        <v>92096</v>
      </c>
      <c r="D10193" t="s">
        <v>33617</v>
      </c>
      <c r="E10193">
        <v>5</v>
      </c>
      <c r="F10193" t="s">
        <v>19831</v>
      </c>
      <c r="G10193" t="s">
        <v>33375</v>
      </c>
      <c r="H10193">
        <v>92096</v>
      </c>
    </row>
    <row r="10194" spans="1:8">
      <c r="A10194" t="str">
        <f>"0232606 "</f>
        <v xml:space="preserve">0232606 </v>
      </c>
      <c r="B10194" t="s">
        <v>33372</v>
      </c>
      <c r="C10194">
        <v>92098</v>
      </c>
      <c r="D10194" t="s">
        <v>33618</v>
      </c>
      <c r="E10194" t="s">
        <v>16</v>
      </c>
      <c r="F10194" t="s">
        <v>33516</v>
      </c>
      <c r="G10194" t="s">
        <v>33375</v>
      </c>
      <c r="H10194">
        <v>92098</v>
      </c>
    </row>
    <row r="10195" spans="1:8">
      <c r="A10195" t="str">
        <f>"0232608 "</f>
        <v xml:space="preserve">0232608 </v>
      </c>
      <c r="B10195" t="s">
        <v>33372</v>
      </c>
      <c r="C10195">
        <v>92100</v>
      </c>
      <c r="D10195" t="s">
        <v>33619</v>
      </c>
      <c r="E10195" t="s">
        <v>16</v>
      </c>
      <c r="F10195" t="s">
        <v>33516</v>
      </c>
      <c r="G10195" t="s">
        <v>33375</v>
      </c>
      <c r="H10195">
        <v>92100</v>
      </c>
    </row>
    <row r="10196" spans="1:8">
      <c r="A10196" t="str">
        <f>"0231628 "</f>
        <v xml:space="preserve">0231628 </v>
      </c>
      <c r="B10196" t="s">
        <v>33372</v>
      </c>
      <c r="C10196">
        <v>92120</v>
      </c>
      <c r="D10196" t="s">
        <v>33620</v>
      </c>
      <c r="E10196">
        <v>3</v>
      </c>
      <c r="F10196" t="s">
        <v>33516</v>
      </c>
      <c r="G10196" t="s">
        <v>33375</v>
      </c>
      <c r="H10196">
        <v>92120</v>
      </c>
    </row>
    <row r="10197" spans="1:8">
      <c r="A10197" t="str">
        <f>"0269048 "</f>
        <v xml:space="preserve">0269048 </v>
      </c>
      <c r="B10197" t="s">
        <v>33372</v>
      </c>
      <c r="C10197">
        <v>92251</v>
      </c>
      <c r="D10197" t="s">
        <v>33621</v>
      </c>
      <c r="E10197" t="s">
        <v>16</v>
      </c>
      <c r="F10197" t="s">
        <v>33622</v>
      </c>
      <c r="G10197" t="s">
        <v>33375</v>
      </c>
      <c r="H10197">
        <v>92251</v>
      </c>
    </row>
    <row r="10198" spans="1:8">
      <c r="A10198" t="str">
        <f>"0269049 "</f>
        <v xml:space="preserve">0269049 </v>
      </c>
      <c r="B10198" t="s">
        <v>33372</v>
      </c>
      <c r="C10198">
        <v>92252</v>
      </c>
      <c r="D10198" t="s">
        <v>33623</v>
      </c>
      <c r="E10198" t="s">
        <v>16</v>
      </c>
      <c r="F10198" t="s">
        <v>33622</v>
      </c>
      <c r="G10198" t="s">
        <v>33375</v>
      </c>
      <c r="H10198">
        <v>92252</v>
      </c>
    </row>
    <row r="10199" spans="1:8">
      <c r="A10199" t="str">
        <f>"0257614 "</f>
        <v xml:space="preserve">0257614 </v>
      </c>
      <c r="B10199" t="s">
        <v>33372</v>
      </c>
      <c r="C10199">
        <v>92253</v>
      </c>
      <c r="D10199" t="s">
        <v>33624</v>
      </c>
      <c r="E10199" t="s">
        <v>16</v>
      </c>
      <c r="F10199" t="s">
        <v>33625</v>
      </c>
      <c r="G10199" t="s">
        <v>33375</v>
      </c>
      <c r="H10199">
        <v>92253</v>
      </c>
    </row>
    <row r="10200" spans="1:8">
      <c r="A10200" t="str">
        <f>"0257615 "</f>
        <v xml:space="preserve">0257615 </v>
      </c>
      <c r="B10200" t="s">
        <v>33372</v>
      </c>
      <c r="C10200">
        <v>92259</v>
      </c>
      <c r="D10200" t="s">
        <v>33626</v>
      </c>
      <c r="E10200" t="s">
        <v>16</v>
      </c>
      <c r="F10200" t="s">
        <v>33625</v>
      </c>
      <c r="G10200" t="s">
        <v>33375</v>
      </c>
      <c r="H10200">
        <v>92259</v>
      </c>
    </row>
    <row r="10201" spans="1:8">
      <c r="A10201" t="str">
        <f>"0218558 "</f>
        <v xml:space="preserve">0218558 </v>
      </c>
      <c r="B10201" t="s">
        <v>33372</v>
      </c>
      <c r="C10201">
        <v>92312</v>
      </c>
      <c r="D10201" t="s">
        <v>33627</v>
      </c>
      <c r="E10201" t="s">
        <v>16</v>
      </c>
      <c r="F10201" t="s">
        <v>19837</v>
      </c>
      <c r="G10201" t="s">
        <v>33375</v>
      </c>
      <c r="H10201">
        <v>92312</v>
      </c>
    </row>
    <row r="10202" spans="1:8">
      <c r="A10202" t="str">
        <f>"0218559 "</f>
        <v xml:space="preserve">0218559 </v>
      </c>
      <c r="B10202" t="s">
        <v>33372</v>
      </c>
      <c r="C10202">
        <v>92313</v>
      </c>
      <c r="D10202" t="s">
        <v>33628</v>
      </c>
      <c r="E10202" t="s">
        <v>16</v>
      </c>
      <c r="F10202" t="s">
        <v>19837</v>
      </c>
      <c r="G10202" t="s">
        <v>33375</v>
      </c>
      <c r="H10202">
        <v>92313</v>
      </c>
    </row>
    <row r="10203" spans="1:8">
      <c r="A10203" t="str">
        <f>"0218561 "</f>
        <v xml:space="preserve">0218561 </v>
      </c>
      <c r="B10203" t="s">
        <v>33372</v>
      </c>
      <c r="C10203">
        <v>92315</v>
      </c>
      <c r="D10203" t="s">
        <v>33629</v>
      </c>
      <c r="E10203" t="s">
        <v>16</v>
      </c>
      <c r="F10203" t="s">
        <v>19837</v>
      </c>
      <c r="G10203" t="s">
        <v>33375</v>
      </c>
      <c r="H10203">
        <v>92315</v>
      </c>
    </row>
    <row r="10204" spans="1:8">
      <c r="A10204" t="str">
        <f>"0219958 "</f>
        <v xml:space="preserve">0219958 </v>
      </c>
      <c r="B10204" t="s">
        <v>33372</v>
      </c>
      <c r="C10204">
        <v>92316</v>
      </c>
      <c r="D10204" t="s">
        <v>33630</v>
      </c>
      <c r="E10204" t="s">
        <v>16</v>
      </c>
      <c r="F10204" t="s">
        <v>19840</v>
      </c>
      <c r="G10204" t="s">
        <v>33375</v>
      </c>
      <c r="H10204">
        <v>92316</v>
      </c>
    </row>
    <row r="10205" spans="1:8">
      <c r="A10205" t="str">
        <f>"0218562 "</f>
        <v xml:space="preserve">0218562 </v>
      </c>
      <c r="B10205" t="s">
        <v>33372</v>
      </c>
      <c r="C10205">
        <v>92317</v>
      </c>
      <c r="D10205" t="s">
        <v>33631</v>
      </c>
      <c r="E10205" t="s">
        <v>16</v>
      </c>
      <c r="F10205" t="s">
        <v>19837</v>
      </c>
      <c r="G10205" t="s">
        <v>33375</v>
      </c>
      <c r="H10205">
        <v>92317</v>
      </c>
    </row>
    <row r="10206" spans="1:8">
      <c r="A10206" t="str">
        <f>"0218563 "</f>
        <v xml:space="preserve">0218563 </v>
      </c>
      <c r="B10206" t="s">
        <v>33372</v>
      </c>
      <c r="C10206">
        <v>92318</v>
      </c>
      <c r="D10206" t="s">
        <v>33632</v>
      </c>
      <c r="E10206" t="s">
        <v>16</v>
      </c>
      <c r="F10206" t="s">
        <v>19837</v>
      </c>
      <c r="G10206" t="s">
        <v>33375</v>
      </c>
      <c r="H10206">
        <v>92318</v>
      </c>
    </row>
    <row r="10207" spans="1:8">
      <c r="A10207" t="str">
        <f>"0218522 "</f>
        <v xml:space="preserve">0218522 </v>
      </c>
      <c r="B10207" t="s">
        <v>33372</v>
      </c>
      <c r="C10207">
        <v>92492</v>
      </c>
      <c r="D10207" t="s">
        <v>33633</v>
      </c>
      <c r="E10207" t="s">
        <v>16</v>
      </c>
      <c r="F10207" t="s">
        <v>11079</v>
      </c>
      <c r="G10207" t="s">
        <v>33375</v>
      </c>
      <c r="H10207">
        <v>92492</v>
      </c>
    </row>
    <row r="10208" spans="1:8">
      <c r="A10208" t="str">
        <f>"0218521 "</f>
        <v xml:space="preserve">0218521 </v>
      </c>
      <c r="B10208" t="s">
        <v>33372</v>
      </c>
      <c r="C10208">
        <v>92493</v>
      </c>
      <c r="D10208" t="s">
        <v>33634</v>
      </c>
      <c r="E10208" t="s">
        <v>16</v>
      </c>
      <c r="F10208" t="s">
        <v>11079</v>
      </c>
      <c r="G10208" t="s">
        <v>33375</v>
      </c>
      <c r="H10208">
        <v>92493</v>
      </c>
    </row>
    <row r="10209" spans="1:8">
      <c r="A10209" t="str">
        <f>"0218525 "</f>
        <v xml:space="preserve">0218525 </v>
      </c>
      <c r="B10209" t="s">
        <v>33372</v>
      </c>
      <c r="C10209">
        <v>92494</v>
      </c>
      <c r="D10209" t="s">
        <v>33635</v>
      </c>
      <c r="E10209" t="s">
        <v>16</v>
      </c>
      <c r="F10209" t="s">
        <v>11079</v>
      </c>
      <c r="G10209" t="s">
        <v>33375</v>
      </c>
      <c r="H10209">
        <v>92494</v>
      </c>
    </row>
    <row r="10210" spans="1:8">
      <c r="A10210" t="str">
        <f>"0257616 "</f>
        <v xml:space="preserve">0257616 </v>
      </c>
      <c r="B10210" t="s">
        <v>33372</v>
      </c>
      <c r="C10210">
        <v>92518</v>
      </c>
      <c r="D10210" t="s">
        <v>33636</v>
      </c>
      <c r="E10210" t="s">
        <v>16</v>
      </c>
      <c r="F10210" t="s">
        <v>33625</v>
      </c>
      <c r="G10210" t="s">
        <v>33375</v>
      </c>
      <c r="H10210">
        <v>92518</v>
      </c>
    </row>
    <row r="10211" spans="1:8">
      <c r="A10211" t="str">
        <f>"0218526 "</f>
        <v xml:space="preserve">0218526 </v>
      </c>
      <c r="B10211" t="s">
        <v>33372</v>
      </c>
      <c r="C10211">
        <v>92607</v>
      </c>
      <c r="D10211" t="s">
        <v>33637</v>
      </c>
      <c r="E10211" t="s">
        <v>16</v>
      </c>
      <c r="F10211" t="s">
        <v>11079</v>
      </c>
      <c r="G10211" t="s">
        <v>33375</v>
      </c>
      <c r="H10211">
        <v>92607</v>
      </c>
    </row>
    <row r="10212" spans="1:8">
      <c r="A10212" t="str">
        <f>"0218527 "</f>
        <v xml:space="preserve">0218527 </v>
      </c>
      <c r="B10212" t="s">
        <v>33372</v>
      </c>
      <c r="C10212">
        <v>92608</v>
      </c>
      <c r="D10212" t="s">
        <v>33638</v>
      </c>
      <c r="E10212">
        <v>5</v>
      </c>
      <c r="F10212" t="s">
        <v>11079</v>
      </c>
      <c r="G10212" t="s">
        <v>33375</v>
      </c>
      <c r="H10212">
        <v>92608</v>
      </c>
    </row>
    <row r="10213" spans="1:8">
      <c r="A10213" t="str">
        <f>"0218523 "</f>
        <v xml:space="preserve">0218523 </v>
      </c>
      <c r="B10213" t="s">
        <v>33372</v>
      </c>
      <c r="C10213">
        <v>92617</v>
      </c>
      <c r="D10213" t="s">
        <v>33639</v>
      </c>
      <c r="E10213" t="s">
        <v>16</v>
      </c>
      <c r="F10213" t="s">
        <v>11079</v>
      </c>
      <c r="G10213" t="s">
        <v>33375</v>
      </c>
      <c r="H10213">
        <v>92617</v>
      </c>
    </row>
    <row r="10214" spans="1:8">
      <c r="A10214" t="str">
        <f>"0218524 "</f>
        <v xml:space="preserve">0218524 </v>
      </c>
      <c r="B10214" t="s">
        <v>33372</v>
      </c>
      <c r="C10214">
        <v>92618</v>
      </c>
      <c r="D10214" t="s">
        <v>33640</v>
      </c>
      <c r="E10214" t="s">
        <v>16</v>
      </c>
      <c r="F10214" t="s">
        <v>11079</v>
      </c>
      <c r="G10214" t="s">
        <v>33375</v>
      </c>
      <c r="H10214">
        <v>92618</v>
      </c>
    </row>
    <row r="10215" spans="1:8">
      <c r="A10215" t="str">
        <f>"0218557 "</f>
        <v xml:space="preserve">0218557 </v>
      </c>
      <c r="B10215" t="s">
        <v>33372</v>
      </c>
      <c r="C10215">
        <v>92665</v>
      </c>
      <c r="D10215" t="s">
        <v>33641</v>
      </c>
      <c r="E10215" t="s">
        <v>16</v>
      </c>
      <c r="F10215" t="s">
        <v>33642</v>
      </c>
      <c r="G10215" t="s">
        <v>33375</v>
      </c>
      <c r="H10215">
        <v>92665</v>
      </c>
    </row>
    <row r="10216" spans="1:8">
      <c r="A10216" t="str">
        <f>"0218556 "</f>
        <v xml:space="preserve">0218556 </v>
      </c>
      <c r="B10216" t="s">
        <v>33372</v>
      </c>
      <c r="C10216">
        <v>92666</v>
      </c>
      <c r="D10216" t="s">
        <v>33643</v>
      </c>
      <c r="E10216" t="s">
        <v>16</v>
      </c>
      <c r="F10216" t="s">
        <v>33642</v>
      </c>
      <c r="G10216" t="s">
        <v>33375</v>
      </c>
      <c r="H10216">
        <v>92666</v>
      </c>
    </row>
    <row r="10217" spans="1:8">
      <c r="A10217" t="str">
        <f>"0218589 "</f>
        <v xml:space="preserve">0218589 </v>
      </c>
      <c r="B10217" t="s">
        <v>33372</v>
      </c>
      <c r="C10217">
        <v>92667</v>
      </c>
      <c r="D10217" t="s">
        <v>33644</v>
      </c>
      <c r="E10217" t="s">
        <v>16</v>
      </c>
      <c r="F10217" t="s">
        <v>32742</v>
      </c>
      <c r="G10217" t="s">
        <v>33375</v>
      </c>
      <c r="H10217">
        <v>92667</v>
      </c>
    </row>
    <row r="10218" spans="1:8">
      <c r="A10218" t="str">
        <f>"0218592 "</f>
        <v xml:space="preserve">0218592 </v>
      </c>
      <c r="B10218" t="s">
        <v>33372</v>
      </c>
      <c r="C10218">
        <v>92668</v>
      </c>
      <c r="D10218" t="s">
        <v>33645</v>
      </c>
      <c r="E10218" t="s">
        <v>16</v>
      </c>
      <c r="F10218" t="s">
        <v>32742</v>
      </c>
      <c r="G10218" t="s">
        <v>33375</v>
      </c>
      <c r="H10218">
        <v>92668</v>
      </c>
    </row>
    <row r="10219" spans="1:8">
      <c r="A10219" t="str">
        <f>"0218593 "</f>
        <v xml:space="preserve">0218593 </v>
      </c>
      <c r="B10219" t="s">
        <v>33372</v>
      </c>
      <c r="C10219">
        <v>92669</v>
      </c>
      <c r="D10219" t="s">
        <v>33646</v>
      </c>
      <c r="E10219" t="s">
        <v>16</v>
      </c>
      <c r="F10219" t="s">
        <v>32742</v>
      </c>
      <c r="G10219" t="s">
        <v>33375</v>
      </c>
      <c r="H10219">
        <v>92669</v>
      </c>
    </row>
    <row r="10220" spans="1:8">
      <c r="A10220" t="str">
        <f>"0218590 "</f>
        <v xml:space="preserve">0218590 </v>
      </c>
      <c r="B10220" t="s">
        <v>33372</v>
      </c>
      <c r="C10220">
        <v>92670</v>
      </c>
      <c r="D10220" t="s">
        <v>33647</v>
      </c>
      <c r="E10220" t="s">
        <v>16</v>
      </c>
      <c r="F10220" t="s">
        <v>32742</v>
      </c>
      <c r="G10220" t="s">
        <v>33375</v>
      </c>
      <c r="H10220">
        <v>92670</v>
      </c>
    </row>
    <row r="10221" spans="1:8">
      <c r="A10221" t="str">
        <f>"0219961 "</f>
        <v xml:space="preserve">0219961 </v>
      </c>
      <c r="B10221" t="s">
        <v>33372</v>
      </c>
      <c r="C10221">
        <v>92698</v>
      </c>
      <c r="D10221" t="s">
        <v>33648</v>
      </c>
      <c r="E10221" t="s">
        <v>16</v>
      </c>
      <c r="F10221" t="s">
        <v>32925</v>
      </c>
      <c r="G10221" t="s">
        <v>33375</v>
      </c>
      <c r="H10221">
        <v>92698</v>
      </c>
    </row>
    <row r="10222" spans="1:8">
      <c r="A10222" t="str">
        <f>"0219965 "</f>
        <v xml:space="preserve">0219965 </v>
      </c>
      <c r="B10222" t="s">
        <v>33372</v>
      </c>
      <c r="C10222">
        <v>92699</v>
      </c>
      <c r="D10222" t="s">
        <v>33649</v>
      </c>
      <c r="E10222" t="s">
        <v>16</v>
      </c>
      <c r="F10222" t="s">
        <v>32925</v>
      </c>
      <c r="G10222" t="s">
        <v>33375</v>
      </c>
      <c r="H10222">
        <v>92699</v>
      </c>
    </row>
    <row r="10223" spans="1:8">
      <c r="A10223" t="str">
        <f>"0219964 "</f>
        <v xml:space="preserve">0219964 </v>
      </c>
      <c r="B10223" t="s">
        <v>33372</v>
      </c>
      <c r="C10223">
        <v>92700</v>
      </c>
      <c r="D10223" t="s">
        <v>33650</v>
      </c>
      <c r="E10223" t="s">
        <v>16</v>
      </c>
      <c r="F10223" t="s">
        <v>32925</v>
      </c>
      <c r="G10223" t="s">
        <v>33375</v>
      </c>
      <c r="H10223">
        <v>92700</v>
      </c>
    </row>
    <row r="10224" spans="1:8">
      <c r="A10224" t="str">
        <f>"0219963 "</f>
        <v xml:space="preserve">0219963 </v>
      </c>
      <c r="B10224" t="s">
        <v>33372</v>
      </c>
      <c r="C10224">
        <v>92701</v>
      </c>
      <c r="D10224" t="s">
        <v>33651</v>
      </c>
      <c r="E10224" t="s">
        <v>16</v>
      </c>
      <c r="F10224" t="s">
        <v>32925</v>
      </c>
      <c r="G10224" t="s">
        <v>33375</v>
      </c>
      <c r="H10224">
        <v>92701</v>
      </c>
    </row>
    <row r="10225" spans="1:8">
      <c r="A10225" t="str">
        <f>"0219962 "</f>
        <v xml:space="preserve">0219962 </v>
      </c>
      <c r="B10225" t="s">
        <v>33372</v>
      </c>
      <c r="C10225">
        <v>92702</v>
      </c>
      <c r="D10225" t="s">
        <v>33652</v>
      </c>
      <c r="E10225" t="s">
        <v>16</v>
      </c>
      <c r="F10225" t="s">
        <v>32925</v>
      </c>
      <c r="G10225" t="s">
        <v>33375</v>
      </c>
      <c r="H10225">
        <v>92702</v>
      </c>
    </row>
    <row r="10226" spans="1:8">
      <c r="A10226" t="str">
        <f>"0219956 "</f>
        <v xml:space="preserve">0219956 </v>
      </c>
      <c r="B10226" t="s">
        <v>33372</v>
      </c>
      <c r="C10226">
        <v>92708</v>
      </c>
      <c r="D10226" t="s">
        <v>33653</v>
      </c>
      <c r="E10226" t="s">
        <v>16</v>
      </c>
      <c r="F10226" t="s">
        <v>11079</v>
      </c>
      <c r="G10226" t="s">
        <v>33375</v>
      </c>
      <c r="H10226">
        <v>92708</v>
      </c>
    </row>
    <row r="10227" spans="1:8">
      <c r="A10227" t="str">
        <f>"0219953 "</f>
        <v xml:space="preserve">0219953 </v>
      </c>
      <c r="B10227" t="s">
        <v>33372</v>
      </c>
      <c r="C10227">
        <v>92709</v>
      </c>
      <c r="D10227" t="s">
        <v>33654</v>
      </c>
      <c r="E10227">
        <v>2</v>
      </c>
      <c r="F10227" t="s">
        <v>11079</v>
      </c>
      <c r="G10227" t="s">
        <v>33375</v>
      </c>
      <c r="H10227">
        <v>92709</v>
      </c>
    </row>
    <row r="10228" spans="1:8">
      <c r="A10228" t="str">
        <f>"0219952 "</f>
        <v xml:space="preserve">0219952 </v>
      </c>
      <c r="B10228" t="s">
        <v>33372</v>
      </c>
      <c r="C10228">
        <v>92710</v>
      </c>
      <c r="D10228" t="s">
        <v>33655</v>
      </c>
      <c r="E10228" t="s">
        <v>16</v>
      </c>
      <c r="F10228" t="s">
        <v>11079</v>
      </c>
      <c r="G10228" t="s">
        <v>33375</v>
      </c>
      <c r="H10228">
        <v>92710</v>
      </c>
    </row>
    <row r="10229" spans="1:8">
      <c r="A10229" t="str">
        <f>"0218591 "</f>
        <v xml:space="preserve">0218591 </v>
      </c>
      <c r="B10229" t="s">
        <v>33372</v>
      </c>
      <c r="C10229">
        <v>92714</v>
      </c>
      <c r="D10229" t="s">
        <v>33656</v>
      </c>
      <c r="E10229" t="s">
        <v>16</v>
      </c>
      <c r="F10229" t="s">
        <v>32742</v>
      </c>
      <c r="G10229" t="s">
        <v>33375</v>
      </c>
      <c r="H10229">
        <v>92714</v>
      </c>
    </row>
    <row r="10230" spans="1:8">
      <c r="A10230" t="str">
        <f>"0231297 "</f>
        <v xml:space="preserve">0231297 </v>
      </c>
      <c r="B10230" t="s">
        <v>33372</v>
      </c>
      <c r="C10230">
        <v>92777</v>
      </c>
      <c r="D10230" t="s">
        <v>33657</v>
      </c>
      <c r="E10230">
        <v>3</v>
      </c>
      <c r="F10230" t="s">
        <v>33658</v>
      </c>
      <c r="G10230" t="s">
        <v>33375</v>
      </c>
      <c r="H10230">
        <v>92777</v>
      </c>
    </row>
    <row r="10231" spans="1:8">
      <c r="A10231" t="str">
        <f>"0257528 "</f>
        <v xml:space="preserve">0257528 </v>
      </c>
      <c r="B10231" t="s">
        <v>33372</v>
      </c>
      <c r="C10231">
        <v>92778</v>
      </c>
      <c r="D10231" t="s">
        <v>33659</v>
      </c>
      <c r="E10231">
        <v>5</v>
      </c>
      <c r="F10231" t="str">
        <f>"0.00"</f>
        <v>0.00</v>
      </c>
      <c r="G10231" t="s">
        <v>33375</v>
      </c>
      <c r="H10231">
        <v>92778</v>
      </c>
    </row>
    <row r="10232" spans="1:8">
      <c r="A10232" t="str">
        <f>"0231280 "</f>
        <v xml:space="preserve">0231280 </v>
      </c>
      <c r="B10232" t="s">
        <v>33372</v>
      </c>
      <c r="C10232">
        <v>92779</v>
      </c>
      <c r="D10232" t="s">
        <v>33660</v>
      </c>
      <c r="E10232" t="s">
        <v>16</v>
      </c>
      <c r="F10232" t="s">
        <v>33661</v>
      </c>
      <c r="G10232" t="s">
        <v>33375</v>
      </c>
      <c r="H10232">
        <v>92779</v>
      </c>
    </row>
    <row r="10233" spans="1:8">
      <c r="A10233" t="str">
        <f>"0231296 "</f>
        <v xml:space="preserve">0231296 </v>
      </c>
      <c r="B10233" t="s">
        <v>33372</v>
      </c>
      <c r="C10233">
        <v>92780</v>
      </c>
      <c r="D10233" t="s">
        <v>33662</v>
      </c>
      <c r="E10233">
        <v>4</v>
      </c>
      <c r="F10233" t="s">
        <v>33658</v>
      </c>
      <c r="G10233" t="s">
        <v>33375</v>
      </c>
      <c r="H10233">
        <v>92780</v>
      </c>
    </row>
    <row r="10234" spans="1:8">
      <c r="A10234" t="str">
        <f>"0231281 "</f>
        <v xml:space="preserve">0231281 </v>
      </c>
      <c r="B10234" t="s">
        <v>33372</v>
      </c>
      <c r="C10234">
        <v>92781</v>
      </c>
      <c r="D10234" t="s">
        <v>33663</v>
      </c>
      <c r="E10234" t="s">
        <v>16</v>
      </c>
      <c r="F10234" t="s">
        <v>33658</v>
      </c>
      <c r="G10234" t="s">
        <v>33375</v>
      </c>
      <c r="H10234">
        <v>92781</v>
      </c>
    </row>
    <row r="10235" spans="1:8">
      <c r="A10235" t="str">
        <f>"0231574 "</f>
        <v xml:space="preserve">0231574 </v>
      </c>
      <c r="B10235" t="s">
        <v>33372</v>
      </c>
      <c r="C10235" t="s">
        <v>33664</v>
      </c>
      <c r="D10235" t="s">
        <v>33665</v>
      </c>
      <c r="E10235" t="s">
        <v>16</v>
      </c>
      <c r="F10235" t="s">
        <v>33658</v>
      </c>
      <c r="G10235" t="s">
        <v>33375</v>
      </c>
      <c r="H10235" t="s">
        <v>33664</v>
      </c>
    </row>
    <row r="10236" spans="1:8">
      <c r="A10236" t="str">
        <f>"0257611 "</f>
        <v xml:space="preserve">0257611 </v>
      </c>
      <c r="B10236" t="s">
        <v>33372</v>
      </c>
      <c r="C10236">
        <v>92792</v>
      </c>
      <c r="D10236" t="s">
        <v>33666</v>
      </c>
      <c r="E10236">
        <v>5</v>
      </c>
      <c r="F10236" t="s">
        <v>19810</v>
      </c>
      <c r="G10236" t="s">
        <v>33375</v>
      </c>
      <c r="H10236">
        <v>92792</v>
      </c>
    </row>
    <row r="10237" spans="1:8">
      <c r="A10237" t="str">
        <f>"0231294 "</f>
        <v xml:space="preserve">0231294 </v>
      </c>
      <c r="B10237" t="s">
        <v>33372</v>
      </c>
      <c r="C10237">
        <v>92796</v>
      </c>
      <c r="D10237" t="s">
        <v>33667</v>
      </c>
      <c r="E10237" t="s">
        <v>16</v>
      </c>
      <c r="F10237" t="s">
        <v>660</v>
      </c>
      <c r="G10237" t="s">
        <v>33375</v>
      </c>
      <c r="H10237">
        <v>92796</v>
      </c>
    </row>
    <row r="10238" spans="1:8">
      <c r="A10238" t="str">
        <f>"0251256 "</f>
        <v xml:space="preserve">0251256 </v>
      </c>
      <c r="B10238" t="s">
        <v>33372</v>
      </c>
      <c r="C10238">
        <v>9305</v>
      </c>
      <c r="D10238" t="s">
        <v>33668</v>
      </c>
      <c r="E10238" t="s">
        <v>16</v>
      </c>
      <c r="F10238" s="3">
        <v>21459</v>
      </c>
      <c r="G10238" t="s">
        <v>33405</v>
      </c>
      <c r="H10238">
        <v>9305</v>
      </c>
    </row>
    <row r="10239" spans="1:8">
      <c r="A10239" t="str">
        <f>"0218446 "</f>
        <v xml:space="preserve">0218446 </v>
      </c>
      <c r="B10239" t="s">
        <v>33372</v>
      </c>
      <c r="C10239">
        <v>9305</v>
      </c>
      <c r="D10239" t="s">
        <v>33669</v>
      </c>
      <c r="E10239" t="s">
        <v>16</v>
      </c>
      <c r="F10239" s="3">
        <v>33147</v>
      </c>
      <c r="G10239" t="s">
        <v>33405</v>
      </c>
      <c r="H10239">
        <v>9305</v>
      </c>
    </row>
    <row r="10240" spans="1:8">
      <c r="A10240" t="str">
        <f>"0251259 "</f>
        <v xml:space="preserve">0251259 </v>
      </c>
      <c r="B10240" t="s">
        <v>33372</v>
      </c>
      <c r="C10240">
        <v>9312</v>
      </c>
      <c r="D10240" t="s">
        <v>33670</v>
      </c>
      <c r="E10240" t="s">
        <v>16</v>
      </c>
      <c r="F10240" s="3">
        <v>21459</v>
      </c>
      <c r="G10240" t="s">
        <v>33405</v>
      </c>
      <c r="H10240">
        <v>9312</v>
      </c>
    </row>
    <row r="10241" spans="1:8">
      <c r="A10241" t="str">
        <f>"0218675 "</f>
        <v xml:space="preserve">0218675 </v>
      </c>
      <c r="B10241" t="s">
        <v>33372</v>
      </c>
      <c r="C10241">
        <v>9312</v>
      </c>
      <c r="D10241" t="s">
        <v>33671</v>
      </c>
      <c r="E10241" t="s">
        <v>16</v>
      </c>
      <c r="F10241" s="3">
        <v>33147</v>
      </c>
      <c r="G10241" t="s">
        <v>33405</v>
      </c>
      <c r="H10241">
        <v>9312</v>
      </c>
    </row>
    <row r="10242" spans="1:8">
      <c r="A10242" t="str">
        <f>"0218442 "</f>
        <v xml:space="preserve">0218442 </v>
      </c>
      <c r="B10242" t="s">
        <v>33372</v>
      </c>
      <c r="C10242">
        <v>9329</v>
      </c>
      <c r="D10242" t="s">
        <v>33672</v>
      </c>
      <c r="E10242" t="s">
        <v>16</v>
      </c>
      <c r="F10242" s="3">
        <v>33147</v>
      </c>
      <c r="G10242" t="s">
        <v>33405</v>
      </c>
      <c r="H10242">
        <v>9329</v>
      </c>
    </row>
    <row r="10243" spans="1:8">
      <c r="A10243" t="str">
        <f>"0251257 "</f>
        <v xml:space="preserve">0251257 </v>
      </c>
      <c r="B10243" t="s">
        <v>33372</v>
      </c>
      <c r="C10243">
        <v>9329</v>
      </c>
      <c r="D10243" t="s">
        <v>33673</v>
      </c>
      <c r="E10243" t="s">
        <v>16</v>
      </c>
      <c r="F10243" s="3">
        <v>21459</v>
      </c>
      <c r="G10243" t="s">
        <v>33405</v>
      </c>
      <c r="H10243">
        <v>9329</v>
      </c>
    </row>
    <row r="10244" spans="1:8">
      <c r="A10244" t="str">
        <f>"0251949 "</f>
        <v xml:space="preserve">0251949 </v>
      </c>
      <c r="B10244" t="s">
        <v>33372</v>
      </c>
      <c r="C10244">
        <v>9343</v>
      </c>
      <c r="D10244" t="s">
        <v>33674</v>
      </c>
      <c r="E10244" t="s">
        <v>16</v>
      </c>
      <c r="F10244" s="3">
        <v>21459</v>
      </c>
      <c r="G10244" t="s">
        <v>33405</v>
      </c>
      <c r="H10244">
        <v>9343</v>
      </c>
    </row>
    <row r="10245" spans="1:8">
      <c r="A10245" t="str">
        <f>"0218676 "</f>
        <v xml:space="preserve">0218676 </v>
      </c>
      <c r="B10245" t="s">
        <v>33372</v>
      </c>
      <c r="C10245">
        <v>9343</v>
      </c>
      <c r="D10245" t="s">
        <v>33675</v>
      </c>
      <c r="E10245" t="s">
        <v>16</v>
      </c>
      <c r="F10245" s="3">
        <v>33147</v>
      </c>
      <c r="G10245" t="s">
        <v>33405</v>
      </c>
      <c r="H10245">
        <v>9343</v>
      </c>
    </row>
    <row r="10246" spans="1:8">
      <c r="A10246" t="str">
        <f>"0251250 "</f>
        <v xml:space="preserve">0251250 </v>
      </c>
      <c r="B10246" t="s">
        <v>33372</v>
      </c>
      <c r="C10246">
        <v>9350</v>
      </c>
      <c r="D10246" t="s">
        <v>33676</v>
      </c>
      <c r="E10246" t="s">
        <v>16</v>
      </c>
      <c r="F10246" s="3">
        <v>21459</v>
      </c>
      <c r="G10246" t="s">
        <v>33405</v>
      </c>
      <c r="H10246">
        <v>9350</v>
      </c>
    </row>
    <row r="10247" spans="1:8">
      <c r="A10247" t="str">
        <f>"0251255 "</f>
        <v xml:space="preserve">0251255 </v>
      </c>
      <c r="B10247" t="s">
        <v>33372</v>
      </c>
      <c r="C10247">
        <v>9367</v>
      </c>
      <c r="D10247" t="s">
        <v>33677</v>
      </c>
      <c r="E10247" t="s">
        <v>16</v>
      </c>
      <c r="F10247" s="3">
        <v>21459</v>
      </c>
      <c r="G10247" t="s">
        <v>33405</v>
      </c>
      <c r="H10247">
        <v>9367</v>
      </c>
    </row>
    <row r="10248" spans="1:8">
      <c r="A10248" t="str">
        <f>"0218680 "</f>
        <v xml:space="preserve">0218680 </v>
      </c>
      <c r="B10248" t="s">
        <v>33372</v>
      </c>
      <c r="C10248">
        <v>9367</v>
      </c>
      <c r="D10248" t="s">
        <v>33678</v>
      </c>
      <c r="E10248" t="s">
        <v>16</v>
      </c>
      <c r="F10248" s="3">
        <v>33147</v>
      </c>
      <c r="G10248" t="s">
        <v>33405</v>
      </c>
      <c r="H10248">
        <v>9367</v>
      </c>
    </row>
    <row r="10249" spans="1:8">
      <c r="A10249" t="str">
        <f>"0251258 "</f>
        <v xml:space="preserve">0251258 </v>
      </c>
      <c r="B10249" t="s">
        <v>33372</v>
      </c>
      <c r="C10249">
        <v>9374</v>
      </c>
      <c r="D10249" t="s">
        <v>33679</v>
      </c>
      <c r="E10249" t="s">
        <v>16</v>
      </c>
      <c r="F10249" s="3">
        <v>21459</v>
      </c>
      <c r="G10249" t="s">
        <v>33405</v>
      </c>
      <c r="H10249">
        <v>9374</v>
      </c>
    </row>
    <row r="10250" spans="1:8">
      <c r="A10250" t="str">
        <f>"0218580 "</f>
        <v xml:space="preserve">0218580 </v>
      </c>
      <c r="B10250" t="s">
        <v>33372</v>
      </c>
      <c r="C10250">
        <v>9374</v>
      </c>
      <c r="D10250" t="s">
        <v>33680</v>
      </c>
      <c r="E10250" t="s">
        <v>16</v>
      </c>
      <c r="F10250" s="3">
        <v>33147</v>
      </c>
      <c r="G10250" t="s">
        <v>33405</v>
      </c>
      <c r="H10250">
        <v>9374</v>
      </c>
    </row>
    <row r="10251" spans="1:8">
      <c r="A10251" t="str">
        <f>"0251253 "</f>
        <v xml:space="preserve">0251253 </v>
      </c>
      <c r="B10251" t="s">
        <v>33372</v>
      </c>
      <c r="C10251">
        <v>9381</v>
      </c>
      <c r="D10251" t="s">
        <v>33681</v>
      </c>
      <c r="E10251" t="s">
        <v>16</v>
      </c>
      <c r="F10251" s="3">
        <v>21459</v>
      </c>
      <c r="G10251" t="s">
        <v>33405</v>
      </c>
      <c r="H10251">
        <v>9381</v>
      </c>
    </row>
    <row r="10252" spans="1:8">
      <c r="A10252" t="str">
        <f>"0218677 "</f>
        <v xml:space="preserve">0218677 </v>
      </c>
      <c r="B10252" t="s">
        <v>33372</v>
      </c>
      <c r="C10252">
        <v>9381</v>
      </c>
      <c r="D10252" t="s">
        <v>33682</v>
      </c>
      <c r="E10252" t="s">
        <v>16</v>
      </c>
      <c r="F10252" s="3">
        <v>33147</v>
      </c>
      <c r="G10252" t="s">
        <v>33405</v>
      </c>
      <c r="H10252">
        <v>9381</v>
      </c>
    </row>
    <row r="10253" spans="1:8">
      <c r="A10253" t="str">
        <f>"0251254 "</f>
        <v xml:space="preserve">0251254 </v>
      </c>
      <c r="B10253" t="s">
        <v>33372</v>
      </c>
      <c r="C10253">
        <v>9398</v>
      </c>
      <c r="D10253" t="s">
        <v>33683</v>
      </c>
      <c r="E10253" t="s">
        <v>16</v>
      </c>
      <c r="F10253" s="3">
        <v>21459</v>
      </c>
      <c r="G10253" t="s">
        <v>33405</v>
      </c>
      <c r="H10253">
        <v>9398</v>
      </c>
    </row>
    <row r="10254" spans="1:8">
      <c r="A10254" t="str">
        <f>"0218679 "</f>
        <v xml:space="preserve">0218679 </v>
      </c>
      <c r="B10254" t="s">
        <v>33372</v>
      </c>
      <c r="C10254">
        <v>9398</v>
      </c>
      <c r="D10254" t="s">
        <v>33684</v>
      </c>
      <c r="E10254" t="s">
        <v>16</v>
      </c>
      <c r="F10254" s="3">
        <v>33147</v>
      </c>
      <c r="G10254" t="s">
        <v>33405</v>
      </c>
      <c r="H10254">
        <v>9398</v>
      </c>
    </row>
    <row r="10255" spans="1:8">
      <c r="A10255" t="str">
        <f>"0251252 "</f>
        <v xml:space="preserve">0251252 </v>
      </c>
      <c r="B10255" t="s">
        <v>33372</v>
      </c>
      <c r="C10255">
        <v>9404</v>
      </c>
      <c r="D10255" t="s">
        <v>33685</v>
      </c>
      <c r="E10255" t="s">
        <v>16</v>
      </c>
      <c r="F10255" s="3">
        <v>21459</v>
      </c>
      <c r="G10255" t="s">
        <v>33405</v>
      </c>
      <c r="H10255">
        <v>9404</v>
      </c>
    </row>
    <row r="10256" spans="1:8">
      <c r="A10256" t="str">
        <f>"0218447 "</f>
        <v xml:space="preserve">0218447 </v>
      </c>
      <c r="B10256" t="s">
        <v>33372</v>
      </c>
      <c r="C10256">
        <v>9404</v>
      </c>
      <c r="D10256" t="s">
        <v>33686</v>
      </c>
      <c r="E10256" t="s">
        <v>16</v>
      </c>
      <c r="F10256" s="3">
        <v>33147</v>
      </c>
      <c r="G10256" t="s">
        <v>33405</v>
      </c>
      <c r="H10256">
        <v>9404</v>
      </c>
    </row>
    <row r="10257" spans="1:8">
      <c r="A10257" t="str">
        <f>"0251262 "</f>
        <v xml:space="preserve">0251262 </v>
      </c>
      <c r="B10257" t="s">
        <v>33372</v>
      </c>
      <c r="C10257">
        <v>9411</v>
      </c>
      <c r="D10257" t="s">
        <v>33687</v>
      </c>
      <c r="E10257" t="s">
        <v>16</v>
      </c>
      <c r="F10257" s="3">
        <v>21459</v>
      </c>
      <c r="G10257" t="s">
        <v>33405</v>
      </c>
      <c r="H10257">
        <v>9411</v>
      </c>
    </row>
    <row r="10258" spans="1:8">
      <c r="A10258" t="str">
        <f>"0218449 "</f>
        <v xml:space="preserve">0218449 </v>
      </c>
      <c r="B10258" t="s">
        <v>33372</v>
      </c>
      <c r="C10258">
        <v>9411</v>
      </c>
      <c r="D10258" t="s">
        <v>33688</v>
      </c>
      <c r="E10258" t="s">
        <v>16</v>
      </c>
      <c r="F10258" s="3">
        <v>33147</v>
      </c>
      <c r="G10258" t="s">
        <v>33405</v>
      </c>
      <c r="H10258">
        <v>9411</v>
      </c>
    </row>
    <row r="10259" spans="1:8">
      <c r="A10259" t="str">
        <f>"0251260 "</f>
        <v xml:space="preserve">0251260 </v>
      </c>
      <c r="B10259" t="s">
        <v>33372</v>
      </c>
      <c r="C10259">
        <v>9428</v>
      </c>
      <c r="D10259" t="s">
        <v>33689</v>
      </c>
      <c r="E10259" t="s">
        <v>16</v>
      </c>
      <c r="F10259" s="3">
        <v>21459</v>
      </c>
      <c r="G10259" t="s">
        <v>33405</v>
      </c>
      <c r="H10259">
        <v>9428</v>
      </c>
    </row>
    <row r="10260" spans="1:8">
      <c r="A10260" t="str">
        <f>"0218678 "</f>
        <v xml:space="preserve">0218678 </v>
      </c>
      <c r="B10260" t="s">
        <v>33372</v>
      </c>
      <c r="C10260">
        <v>9428</v>
      </c>
      <c r="D10260" t="s">
        <v>33690</v>
      </c>
      <c r="E10260" t="s">
        <v>16</v>
      </c>
      <c r="F10260" s="3">
        <v>33147</v>
      </c>
      <c r="G10260" t="s">
        <v>33405</v>
      </c>
      <c r="H10260">
        <v>9428</v>
      </c>
    </row>
    <row r="10261" spans="1:8">
      <c r="A10261" t="str">
        <f>"0251261 "</f>
        <v xml:space="preserve">0251261 </v>
      </c>
      <c r="B10261" t="s">
        <v>33372</v>
      </c>
      <c r="C10261">
        <v>9435</v>
      </c>
      <c r="D10261" t="s">
        <v>33691</v>
      </c>
      <c r="E10261" t="s">
        <v>16</v>
      </c>
      <c r="F10261" s="3">
        <v>21459</v>
      </c>
      <c r="G10261" t="s">
        <v>33405</v>
      </c>
      <c r="H10261">
        <v>9435</v>
      </c>
    </row>
    <row r="10262" spans="1:8">
      <c r="A10262" t="str">
        <f>"0218448 "</f>
        <v xml:space="preserve">0218448 </v>
      </c>
      <c r="B10262" t="s">
        <v>33372</v>
      </c>
      <c r="C10262">
        <v>9435</v>
      </c>
      <c r="D10262" t="s">
        <v>33692</v>
      </c>
      <c r="E10262" t="s">
        <v>16</v>
      </c>
      <c r="F10262" s="3">
        <v>33147</v>
      </c>
      <c r="G10262" t="s">
        <v>33405</v>
      </c>
      <c r="H10262">
        <v>9435</v>
      </c>
    </row>
    <row r="10263" spans="1:8">
      <c r="A10263" t="str">
        <f>"0251251 "</f>
        <v xml:space="preserve">0251251 </v>
      </c>
      <c r="B10263" t="s">
        <v>33372</v>
      </c>
      <c r="C10263">
        <v>9442</v>
      </c>
      <c r="D10263" t="s">
        <v>33693</v>
      </c>
      <c r="E10263" t="s">
        <v>16</v>
      </c>
      <c r="F10263" s="3">
        <v>21459</v>
      </c>
      <c r="G10263" t="s">
        <v>33405</v>
      </c>
      <c r="H10263">
        <v>9442</v>
      </c>
    </row>
    <row r="10264" spans="1:8">
      <c r="A10264" t="str">
        <f>"0220006 "</f>
        <v xml:space="preserve">0220006 </v>
      </c>
      <c r="B10264" t="s">
        <v>33372</v>
      </c>
      <c r="C10264">
        <v>9442</v>
      </c>
      <c r="D10264" t="s">
        <v>33694</v>
      </c>
      <c r="E10264" t="s">
        <v>16</v>
      </c>
      <c r="F10264" s="3">
        <v>33147</v>
      </c>
      <c r="G10264" t="s">
        <v>33405</v>
      </c>
      <c r="H10264">
        <v>9442</v>
      </c>
    </row>
    <row r="10265" spans="1:8">
      <c r="A10265" t="str">
        <f>"0218443 "</f>
        <v xml:space="preserve">0218443 </v>
      </c>
      <c r="B10265" t="s">
        <v>33372</v>
      </c>
      <c r="C10265" t="s">
        <v>33695</v>
      </c>
      <c r="D10265" t="s">
        <v>33696</v>
      </c>
      <c r="E10265" t="s">
        <v>16</v>
      </c>
      <c r="F10265" t="s">
        <v>32745</v>
      </c>
      <c r="G10265" t="s">
        <v>33405</v>
      </c>
      <c r="H10265" t="s">
        <v>33695</v>
      </c>
    </row>
    <row r="10266" spans="1:8">
      <c r="A10266" t="str">
        <f>"0218444 "</f>
        <v xml:space="preserve">0218444 </v>
      </c>
      <c r="B10266" t="s">
        <v>33372</v>
      </c>
      <c r="C10266" t="s">
        <v>33695</v>
      </c>
      <c r="D10266" t="s">
        <v>33697</v>
      </c>
      <c r="E10266" t="s">
        <v>16</v>
      </c>
      <c r="F10266" t="s">
        <v>32745</v>
      </c>
      <c r="G10266" t="s">
        <v>33405</v>
      </c>
      <c r="H10266" t="s">
        <v>33695</v>
      </c>
    </row>
    <row r="10267" spans="1:8">
      <c r="A10267" t="str">
        <f>"0218481 "</f>
        <v xml:space="preserve">0218481 </v>
      </c>
      <c r="B10267" t="s">
        <v>33372</v>
      </c>
      <c r="C10267" t="s">
        <v>33695</v>
      </c>
      <c r="D10267" t="s">
        <v>33698</v>
      </c>
      <c r="E10267" t="s">
        <v>16</v>
      </c>
      <c r="F10267" t="s">
        <v>32745</v>
      </c>
      <c r="G10267" t="s">
        <v>33405</v>
      </c>
      <c r="H10267" t="s">
        <v>33695</v>
      </c>
    </row>
    <row r="10268" spans="1:8">
      <c r="A10268" t="str">
        <f>"0218482 "</f>
        <v xml:space="preserve">0218482 </v>
      </c>
      <c r="B10268" t="s">
        <v>33372</v>
      </c>
      <c r="C10268" t="s">
        <v>33695</v>
      </c>
      <c r="D10268" t="s">
        <v>33699</v>
      </c>
      <c r="E10268" t="s">
        <v>16</v>
      </c>
      <c r="F10268" t="s">
        <v>32745</v>
      </c>
      <c r="G10268" t="s">
        <v>33405</v>
      </c>
      <c r="H10268" t="s">
        <v>33695</v>
      </c>
    </row>
    <row r="10269" spans="1:8">
      <c r="A10269" t="str">
        <f>"0218578 "</f>
        <v xml:space="preserve">0218578 </v>
      </c>
      <c r="B10269" t="s">
        <v>33372</v>
      </c>
      <c r="C10269" t="s">
        <v>33695</v>
      </c>
      <c r="D10269" t="s">
        <v>33700</v>
      </c>
      <c r="E10269" t="s">
        <v>16</v>
      </c>
      <c r="F10269" t="s">
        <v>33419</v>
      </c>
      <c r="G10269" t="s">
        <v>33405</v>
      </c>
      <c r="H10269" t="s">
        <v>33695</v>
      </c>
    </row>
    <row r="10270" spans="1:8">
      <c r="A10270" t="str">
        <f>"0218669 "</f>
        <v xml:space="preserve">0218669 </v>
      </c>
      <c r="B10270" t="s">
        <v>33372</v>
      </c>
      <c r="C10270" t="s">
        <v>33695</v>
      </c>
      <c r="D10270" t="s">
        <v>33701</v>
      </c>
      <c r="E10270">
        <v>1</v>
      </c>
      <c r="F10270" t="s">
        <v>33419</v>
      </c>
      <c r="G10270" t="s">
        <v>33405</v>
      </c>
      <c r="H10270" t="s">
        <v>33695</v>
      </c>
    </row>
    <row r="10271" spans="1:8">
      <c r="A10271" t="str">
        <f>"0218683 "</f>
        <v xml:space="preserve">0218683 </v>
      </c>
      <c r="B10271" t="s">
        <v>33372</v>
      </c>
      <c r="C10271" t="s">
        <v>33695</v>
      </c>
      <c r="D10271" t="s">
        <v>33702</v>
      </c>
      <c r="E10271" t="s">
        <v>16</v>
      </c>
      <c r="F10271" t="s">
        <v>33703</v>
      </c>
      <c r="G10271" t="s">
        <v>33405</v>
      </c>
      <c r="H10271" t="s">
        <v>33695</v>
      </c>
    </row>
    <row r="10272" spans="1:8">
      <c r="A10272" t="str">
        <f>"0218441 "</f>
        <v xml:space="preserve">0218441 </v>
      </c>
      <c r="B10272" t="s">
        <v>33372</v>
      </c>
      <c r="C10272" t="s">
        <v>33695</v>
      </c>
      <c r="D10272" t="s">
        <v>33704</v>
      </c>
      <c r="E10272" t="s">
        <v>16</v>
      </c>
      <c r="F10272" t="s">
        <v>11079</v>
      </c>
      <c r="G10272" t="s">
        <v>33405</v>
      </c>
      <c r="H10272" t="s">
        <v>33695</v>
      </c>
    </row>
    <row r="10273" spans="1:8">
      <c r="A10273" t="str">
        <f>"0218684 "</f>
        <v xml:space="preserve">0218684 </v>
      </c>
      <c r="B10273" t="s">
        <v>33372</v>
      </c>
      <c r="C10273" t="s">
        <v>33695</v>
      </c>
      <c r="D10273" t="s">
        <v>33705</v>
      </c>
      <c r="E10273" t="s">
        <v>16</v>
      </c>
      <c r="F10273" t="s">
        <v>11079</v>
      </c>
      <c r="G10273" t="s">
        <v>33405</v>
      </c>
      <c r="H10273" t="s">
        <v>33695</v>
      </c>
    </row>
    <row r="10274" spans="1:8">
      <c r="A10274" t="str">
        <f>"0218583 "</f>
        <v xml:space="preserve">0218583 </v>
      </c>
      <c r="B10274" t="s">
        <v>33372</v>
      </c>
      <c r="C10274" t="s">
        <v>33695</v>
      </c>
      <c r="D10274" t="s">
        <v>33706</v>
      </c>
      <c r="E10274" t="s">
        <v>16</v>
      </c>
      <c r="F10274" t="s">
        <v>11079</v>
      </c>
      <c r="G10274" t="s">
        <v>33405</v>
      </c>
      <c r="H10274" t="s">
        <v>33695</v>
      </c>
    </row>
    <row r="10275" spans="1:8">
      <c r="A10275" t="str">
        <f>"0218685 "</f>
        <v xml:space="preserve">0218685 </v>
      </c>
      <c r="B10275" t="s">
        <v>33372</v>
      </c>
      <c r="C10275" t="s">
        <v>33695</v>
      </c>
      <c r="D10275" t="s">
        <v>33707</v>
      </c>
      <c r="E10275" t="s">
        <v>16</v>
      </c>
      <c r="F10275" t="s">
        <v>11079</v>
      </c>
      <c r="G10275" t="s">
        <v>33405</v>
      </c>
      <c r="H10275" t="s">
        <v>33695</v>
      </c>
    </row>
    <row r="10276" spans="1:8">
      <c r="A10276" t="str">
        <f>"0218686 "</f>
        <v xml:space="preserve">0218686 </v>
      </c>
      <c r="B10276" t="s">
        <v>33372</v>
      </c>
      <c r="C10276" t="s">
        <v>33695</v>
      </c>
      <c r="D10276" t="s">
        <v>33708</v>
      </c>
      <c r="E10276" t="s">
        <v>16</v>
      </c>
      <c r="F10276" t="s">
        <v>11079</v>
      </c>
      <c r="G10276" t="s">
        <v>33405</v>
      </c>
      <c r="H10276" t="s">
        <v>33695</v>
      </c>
    </row>
    <row r="10277" spans="1:8">
      <c r="A10277" t="str">
        <f>"0218440 "</f>
        <v xml:space="preserve">0218440 </v>
      </c>
      <c r="B10277" t="s">
        <v>33372</v>
      </c>
      <c r="C10277" t="s">
        <v>33695</v>
      </c>
      <c r="D10277" t="s">
        <v>33709</v>
      </c>
      <c r="E10277" t="s">
        <v>16</v>
      </c>
      <c r="F10277" t="s">
        <v>11079</v>
      </c>
      <c r="G10277" t="s">
        <v>33405</v>
      </c>
      <c r="H10277" t="s">
        <v>33695</v>
      </c>
    </row>
    <row r="10278" spans="1:8">
      <c r="A10278" t="str">
        <f>"0218687 "</f>
        <v xml:space="preserve">0218687 </v>
      </c>
      <c r="B10278" t="s">
        <v>33372</v>
      </c>
      <c r="C10278" t="s">
        <v>33695</v>
      </c>
      <c r="D10278" t="s">
        <v>33710</v>
      </c>
      <c r="E10278" t="s">
        <v>16</v>
      </c>
      <c r="F10278" t="s">
        <v>11079</v>
      </c>
      <c r="G10278" t="s">
        <v>33405</v>
      </c>
      <c r="H10278" t="s">
        <v>33695</v>
      </c>
    </row>
    <row r="10279" spans="1:8">
      <c r="A10279" t="str">
        <f>"0218688 "</f>
        <v xml:space="preserve">0218688 </v>
      </c>
      <c r="B10279" t="s">
        <v>33372</v>
      </c>
      <c r="C10279" t="s">
        <v>33695</v>
      </c>
      <c r="D10279" t="s">
        <v>33711</v>
      </c>
      <c r="E10279" t="s">
        <v>16</v>
      </c>
      <c r="F10279" t="s">
        <v>11079</v>
      </c>
      <c r="G10279" t="s">
        <v>33405</v>
      </c>
      <c r="H10279" t="s">
        <v>33695</v>
      </c>
    </row>
    <row r="10280" spans="1:8">
      <c r="A10280" t="str">
        <f>"0218689 "</f>
        <v xml:space="preserve">0218689 </v>
      </c>
      <c r="B10280" t="s">
        <v>33372</v>
      </c>
      <c r="C10280" t="s">
        <v>33695</v>
      </c>
      <c r="D10280" t="s">
        <v>33712</v>
      </c>
      <c r="E10280" t="s">
        <v>16</v>
      </c>
      <c r="F10280" t="s">
        <v>11079</v>
      </c>
      <c r="G10280" t="s">
        <v>33405</v>
      </c>
      <c r="H10280" t="s">
        <v>33695</v>
      </c>
    </row>
    <row r="10281" spans="1:8">
      <c r="A10281" t="str">
        <f>"0218690 "</f>
        <v xml:space="preserve">0218690 </v>
      </c>
      <c r="B10281" t="s">
        <v>33372</v>
      </c>
      <c r="C10281" t="s">
        <v>33695</v>
      </c>
      <c r="D10281" t="s">
        <v>33713</v>
      </c>
      <c r="E10281">
        <v>1</v>
      </c>
      <c r="F10281" t="s">
        <v>9748</v>
      </c>
      <c r="G10281" t="s">
        <v>33405</v>
      </c>
      <c r="H10281" t="s">
        <v>33695</v>
      </c>
    </row>
    <row r="10282" spans="1:8">
      <c r="A10282" t="str">
        <f>"0219950 "</f>
        <v xml:space="preserve">0219950 </v>
      </c>
      <c r="B10282" t="s">
        <v>33372</v>
      </c>
      <c r="C10282" t="s">
        <v>33714</v>
      </c>
      <c r="D10282" t="s">
        <v>33715</v>
      </c>
      <c r="E10282">
        <v>1</v>
      </c>
      <c r="F10282" t="s">
        <v>33716</v>
      </c>
      <c r="G10282" t="s">
        <v>33375</v>
      </c>
      <c r="H10282" t="s">
        <v>33714</v>
      </c>
    </row>
    <row r="10283" spans="1:8">
      <c r="A10283" t="str">
        <f>"0218656 "</f>
        <v xml:space="preserve">0218656 </v>
      </c>
      <c r="B10283" t="s">
        <v>33372</v>
      </c>
      <c r="C10283" t="s">
        <v>33717</v>
      </c>
      <c r="D10283" t="s">
        <v>33718</v>
      </c>
      <c r="E10283">
        <v>1</v>
      </c>
      <c r="F10283" t="s">
        <v>33719</v>
      </c>
      <c r="G10283" t="s">
        <v>33375</v>
      </c>
      <c r="H10283" t="s">
        <v>33717</v>
      </c>
    </row>
    <row r="10284" spans="1:8">
      <c r="A10284" t="str">
        <f>"0219944 "</f>
        <v xml:space="preserve">0219944 </v>
      </c>
      <c r="B10284" t="s">
        <v>33372</v>
      </c>
      <c r="C10284" t="s">
        <v>33720</v>
      </c>
      <c r="D10284" t="s">
        <v>33721</v>
      </c>
      <c r="E10284">
        <v>1</v>
      </c>
      <c r="F10284" t="s">
        <v>33722</v>
      </c>
      <c r="G10284" t="s">
        <v>33375</v>
      </c>
      <c r="H10284" t="s">
        <v>33720</v>
      </c>
    </row>
    <row r="10285" spans="1:8">
      <c r="A10285" t="str">
        <f>"0218659 "</f>
        <v xml:space="preserve">0218659 </v>
      </c>
      <c r="B10285" t="s">
        <v>33372</v>
      </c>
      <c r="C10285" t="s">
        <v>33723</v>
      </c>
      <c r="D10285" t="s">
        <v>33724</v>
      </c>
      <c r="E10285">
        <v>1</v>
      </c>
      <c r="F10285" t="s">
        <v>33725</v>
      </c>
      <c r="G10285" t="s">
        <v>33375</v>
      </c>
      <c r="H10285" t="s">
        <v>33723</v>
      </c>
    </row>
    <row r="10286" spans="1:8">
      <c r="A10286" t="str">
        <f>"0232614 "</f>
        <v xml:space="preserve">0232614 </v>
      </c>
      <c r="B10286" t="s">
        <v>33372</v>
      </c>
      <c r="C10286" t="s">
        <v>33726</v>
      </c>
      <c r="D10286" t="s">
        <v>33727</v>
      </c>
      <c r="E10286">
        <v>1</v>
      </c>
      <c r="F10286" t="s">
        <v>33728</v>
      </c>
      <c r="G10286" t="s">
        <v>33375</v>
      </c>
      <c r="H10286" t="s">
        <v>33726</v>
      </c>
    </row>
    <row r="10287" spans="1:8">
      <c r="A10287" t="str">
        <f>"0218660 "</f>
        <v xml:space="preserve">0218660 </v>
      </c>
      <c r="B10287" t="s">
        <v>33372</v>
      </c>
      <c r="C10287" t="s">
        <v>33729</v>
      </c>
      <c r="D10287" t="s">
        <v>33730</v>
      </c>
      <c r="E10287">
        <v>2</v>
      </c>
      <c r="F10287" t="s">
        <v>33731</v>
      </c>
      <c r="G10287" t="s">
        <v>33375</v>
      </c>
      <c r="H10287" t="s">
        <v>33729</v>
      </c>
    </row>
    <row r="10288" spans="1:8">
      <c r="A10288" t="str">
        <f>"0241299 "</f>
        <v xml:space="preserve">0241299 </v>
      </c>
      <c r="B10288" t="s">
        <v>33732</v>
      </c>
      <c r="C10288" t="s">
        <v>33733</v>
      </c>
      <c r="D10288" t="s">
        <v>33734</v>
      </c>
      <c r="E10288" t="s">
        <v>16</v>
      </c>
      <c r="F10288" s="1">
        <v>43091</v>
      </c>
      <c r="G10288" t="s">
        <v>19092</v>
      </c>
      <c r="H10288" t="s">
        <v>33733</v>
      </c>
    </row>
    <row r="10289" spans="1:8">
      <c r="A10289" t="str">
        <f>"0241300 "</f>
        <v xml:space="preserve">0241300 </v>
      </c>
      <c r="B10289" t="s">
        <v>33732</v>
      </c>
      <c r="C10289" t="s">
        <v>33735</v>
      </c>
      <c r="D10289" t="s">
        <v>33736</v>
      </c>
      <c r="E10289">
        <v>5</v>
      </c>
      <c r="F10289" t="s">
        <v>11069</v>
      </c>
      <c r="G10289" t="s">
        <v>19092</v>
      </c>
      <c r="H10289" t="s">
        <v>33735</v>
      </c>
    </row>
    <row r="10290" spans="1:8">
      <c r="A10290" t="str">
        <f>"0241301 "</f>
        <v xml:space="preserve">0241301 </v>
      </c>
      <c r="B10290" t="s">
        <v>33732</v>
      </c>
      <c r="C10290" t="s">
        <v>33737</v>
      </c>
      <c r="D10290" t="s">
        <v>33738</v>
      </c>
      <c r="E10290" t="s">
        <v>16</v>
      </c>
      <c r="F10290" t="s">
        <v>33558</v>
      </c>
      <c r="G10290" t="s">
        <v>19092</v>
      </c>
      <c r="H10290" t="s">
        <v>33737</v>
      </c>
    </row>
    <row r="10291" spans="1:8">
      <c r="A10291" t="str">
        <f>"0241302 "</f>
        <v xml:space="preserve">0241302 </v>
      </c>
      <c r="B10291" t="s">
        <v>33732</v>
      </c>
      <c r="C10291" t="s">
        <v>33739</v>
      </c>
      <c r="D10291" t="s">
        <v>33740</v>
      </c>
      <c r="E10291" t="s">
        <v>16</v>
      </c>
      <c r="F10291" t="s">
        <v>33741</v>
      </c>
      <c r="G10291" t="s">
        <v>19092</v>
      </c>
      <c r="H10291" t="s">
        <v>33739</v>
      </c>
    </row>
    <row r="10292" spans="1:8">
      <c r="A10292" t="str">
        <f>"0241303 "</f>
        <v xml:space="preserve">0241303 </v>
      </c>
      <c r="B10292" t="s">
        <v>33732</v>
      </c>
      <c r="C10292" t="s">
        <v>33742</v>
      </c>
      <c r="D10292" t="s">
        <v>33743</v>
      </c>
      <c r="E10292">
        <v>2</v>
      </c>
      <c r="F10292" t="s">
        <v>33493</v>
      </c>
      <c r="G10292" t="s">
        <v>19092</v>
      </c>
      <c r="H10292" t="s">
        <v>33742</v>
      </c>
    </row>
    <row r="10293" spans="1:8">
      <c r="A10293" t="str">
        <f>"0241304 "</f>
        <v xml:space="preserve">0241304 </v>
      </c>
      <c r="B10293" t="s">
        <v>33732</v>
      </c>
      <c r="C10293" t="s">
        <v>33744</v>
      </c>
      <c r="D10293" t="s">
        <v>33745</v>
      </c>
      <c r="E10293">
        <v>5</v>
      </c>
      <c r="F10293" t="s">
        <v>28266</v>
      </c>
      <c r="G10293" t="s">
        <v>19092</v>
      </c>
      <c r="H10293" t="s">
        <v>33744</v>
      </c>
    </row>
    <row r="10294" spans="1:8">
      <c r="A10294" t="str">
        <f>"0232690 "</f>
        <v xml:space="preserve">0232690 </v>
      </c>
      <c r="B10294" t="s">
        <v>33732</v>
      </c>
      <c r="C10294" t="s">
        <v>33746</v>
      </c>
      <c r="D10294" t="s">
        <v>33747</v>
      </c>
      <c r="E10294" t="s">
        <v>16</v>
      </c>
      <c r="F10294" t="s">
        <v>19810</v>
      </c>
      <c r="G10294" t="s">
        <v>1818</v>
      </c>
      <c r="H10294" t="s">
        <v>33746</v>
      </c>
    </row>
    <row r="10295" spans="1:8">
      <c r="A10295" t="str">
        <f>"0218187 "</f>
        <v xml:space="preserve">0218187 </v>
      </c>
      <c r="B10295" t="s">
        <v>33732</v>
      </c>
      <c r="C10295" t="s">
        <v>33748</v>
      </c>
      <c r="D10295" t="s">
        <v>33749</v>
      </c>
      <c r="E10295">
        <v>4</v>
      </c>
      <c r="F10295" t="s">
        <v>32922</v>
      </c>
      <c r="G10295" t="s">
        <v>1818</v>
      </c>
      <c r="H10295" t="s">
        <v>33748</v>
      </c>
    </row>
    <row r="10296" spans="1:8">
      <c r="A10296" t="str">
        <f>"0218186 "</f>
        <v xml:space="preserve">0218186 </v>
      </c>
      <c r="B10296" t="s">
        <v>33732</v>
      </c>
      <c r="C10296" t="s">
        <v>33750</v>
      </c>
      <c r="D10296" t="s">
        <v>33751</v>
      </c>
      <c r="E10296" t="s">
        <v>16</v>
      </c>
      <c r="F10296" t="s">
        <v>32745</v>
      </c>
      <c r="G10296" t="s">
        <v>1818</v>
      </c>
      <c r="H10296" t="s">
        <v>33750</v>
      </c>
    </row>
    <row r="10297" spans="1:8">
      <c r="A10297" t="str">
        <f>"0218185 "</f>
        <v xml:space="preserve">0218185 </v>
      </c>
      <c r="B10297" t="s">
        <v>33732</v>
      </c>
      <c r="C10297" t="s">
        <v>33752</v>
      </c>
      <c r="D10297" t="s">
        <v>33753</v>
      </c>
      <c r="E10297" t="s">
        <v>16</v>
      </c>
      <c r="F10297" t="s">
        <v>32745</v>
      </c>
      <c r="G10297" t="s">
        <v>1818</v>
      </c>
      <c r="H10297" t="s">
        <v>33752</v>
      </c>
    </row>
    <row r="10298" spans="1:8">
      <c r="A10298" t="str">
        <f>"0232692 "</f>
        <v xml:space="preserve">0232692 </v>
      </c>
      <c r="B10298" t="s">
        <v>33732</v>
      </c>
      <c r="C10298" t="s">
        <v>33754</v>
      </c>
      <c r="D10298" t="s">
        <v>33755</v>
      </c>
      <c r="E10298" t="s">
        <v>16</v>
      </c>
      <c r="F10298" t="s">
        <v>33625</v>
      </c>
      <c r="G10298" t="s">
        <v>1818</v>
      </c>
      <c r="H10298" t="s">
        <v>33754</v>
      </c>
    </row>
    <row r="10299" spans="1:8">
      <c r="A10299" t="str">
        <f>"0232691 "</f>
        <v xml:space="preserve">0232691 </v>
      </c>
      <c r="B10299" t="s">
        <v>33732</v>
      </c>
      <c r="C10299" t="s">
        <v>33756</v>
      </c>
      <c r="D10299" t="s">
        <v>33757</v>
      </c>
      <c r="E10299">
        <v>4</v>
      </c>
      <c r="F10299" t="s">
        <v>33625</v>
      </c>
      <c r="G10299" t="s">
        <v>1818</v>
      </c>
      <c r="H10299" t="s">
        <v>33756</v>
      </c>
    </row>
    <row r="10300" spans="1:8">
      <c r="A10300" t="str">
        <f>"0218191 "</f>
        <v xml:space="preserve">0218191 </v>
      </c>
      <c r="B10300" t="s">
        <v>33732</v>
      </c>
      <c r="C10300" t="s">
        <v>33758</v>
      </c>
      <c r="D10300" t="s">
        <v>33759</v>
      </c>
      <c r="E10300" t="s">
        <v>16</v>
      </c>
      <c r="F10300" t="s">
        <v>32925</v>
      </c>
      <c r="G10300" t="s">
        <v>1818</v>
      </c>
      <c r="H10300" t="s">
        <v>33758</v>
      </c>
    </row>
    <row r="10301" spans="1:8">
      <c r="A10301" t="str">
        <f>"0218190 "</f>
        <v xml:space="preserve">0218190 </v>
      </c>
      <c r="B10301" t="s">
        <v>33732</v>
      </c>
      <c r="C10301" t="s">
        <v>33760</v>
      </c>
      <c r="D10301" t="s">
        <v>33761</v>
      </c>
      <c r="E10301" t="s">
        <v>16</v>
      </c>
      <c r="F10301" t="s">
        <v>32925</v>
      </c>
      <c r="G10301" t="s">
        <v>1818</v>
      </c>
      <c r="H10301" t="s">
        <v>33760</v>
      </c>
    </row>
    <row r="10302" spans="1:8">
      <c r="A10302" t="str">
        <f>"0218188 "</f>
        <v xml:space="preserve">0218188 </v>
      </c>
      <c r="B10302" t="s">
        <v>33732</v>
      </c>
      <c r="C10302" t="s">
        <v>33762</v>
      </c>
      <c r="D10302" t="s">
        <v>33763</v>
      </c>
      <c r="E10302" t="s">
        <v>16</v>
      </c>
      <c r="F10302" t="s">
        <v>33764</v>
      </c>
      <c r="G10302" t="s">
        <v>1818</v>
      </c>
      <c r="H10302" t="s">
        <v>33762</v>
      </c>
    </row>
    <row r="10303" spans="1:8">
      <c r="A10303" t="str">
        <f>"0218189 "</f>
        <v xml:space="preserve">0218189 </v>
      </c>
      <c r="B10303" t="s">
        <v>33732</v>
      </c>
      <c r="C10303" t="s">
        <v>33765</v>
      </c>
      <c r="D10303" t="s">
        <v>33766</v>
      </c>
      <c r="E10303">
        <v>4</v>
      </c>
      <c r="F10303" t="s">
        <v>33764</v>
      </c>
      <c r="G10303" t="s">
        <v>1818</v>
      </c>
      <c r="H10303" t="s">
        <v>33765</v>
      </c>
    </row>
    <row r="10304" spans="1:8">
      <c r="A10304" t="str">
        <f>"0218179 "</f>
        <v xml:space="preserve">0218179 </v>
      </c>
      <c r="B10304" t="s">
        <v>33732</v>
      </c>
      <c r="C10304" t="s">
        <v>33767</v>
      </c>
      <c r="D10304" t="s">
        <v>33768</v>
      </c>
      <c r="E10304" t="s">
        <v>16</v>
      </c>
      <c r="F10304" t="s">
        <v>33769</v>
      </c>
      <c r="G10304" t="s">
        <v>1818</v>
      </c>
      <c r="H10304" t="s">
        <v>33767</v>
      </c>
    </row>
    <row r="10305" spans="1:8">
      <c r="A10305" t="str">
        <f>"0218180 "</f>
        <v xml:space="preserve">0218180 </v>
      </c>
      <c r="B10305" t="s">
        <v>33732</v>
      </c>
      <c r="C10305" t="s">
        <v>33770</v>
      </c>
      <c r="D10305" t="s">
        <v>33771</v>
      </c>
      <c r="E10305" t="s">
        <v>16</v>
      </c>
      <c r="F10305" t="s">
        <v>33769</v>
      </c>
      <c r="G10305" t="s">
        <v>1818</v>
      </c>
      <c r="H10305" t="s">
        <v>33770</v>
      </c>
    </row>
    <row r="10306" spans="1:8">
      <c r="A10306" t="str">
        <f>"0218181 "</f>
        <v xml:space="preserve">0218181 </v>
      </c>
      <c r="B10306" t="s">
        <v>33732</v>
      </c>
      <c r="C10306" t="s">
        <v>33772</v>
      </c>
      <c r="D10306" t="s">
        <v>33773</v>
      </c>
      <c r="E10306" t="s">
        <v>16</v>
      </c>
      <c r="F10306" t="s">
        <v>5434</v>
      </c>
      <c r="G10306" t="s">
        <v>1818</v>
      </c>
      <c r="H10306" t="s">
        <v>33772</v>
      </c>
    </row>
    <row r="10307" spans="1:8">
      <c r="A10307" t="str">
        <f>"0218183 "</f>
        <v xml:space="preserve">0218183 </v>
      </c>
      <c r="B10307" t="s">
        <v>33732</v>
      </c>
      <c r="C10307" t="s">
        <v>33774</v>
      </c>
      <c r="D10307" t="s">
        <v>33775</v>
      </c>
      <c r="E10307" t="s">
        <v>16</v>
      </c>
      <c r="F10307" t="s">
        <v>33776</v>
      </c>
      <c r="G10307" t="s">
        <v>1818</v>
      </c>
      <c r="H10307" t="s">
        <v>33774</v>
      </c>
    </row>
    <row r="10308" spans="1:8">
      <c r="A10308" t="str">
        <f>"0218184 "</f>
        <v xml:space="preserve">0218184 </v>
      </c>
      <c r="B10308" t="s">
        <v>33732</v>
      </c>
      <c r="C10308" t="s">
        <v>33777</v>
      </c>
      <c r="D10308" t="s">
        <v>33778</v>
      </c>
      <c r="E10308" t="s">
        <v>16</v>
      </c>
      <c r="F10308" t="s">
        <v>33776</v>
      </c>
      <c r="G10308" t="s">
        <v>1818</v>
      </c>
      <c r="H10308" t="s">
        <v>33777</v>
      </c>
    </row>
    <row r="10309" spans="1:8">
      <c r="A10309" t="str">
        <f>"0241306 "</f>
        <v xml:space="preserve">0241306 </v>
      </c>
      <c r="B10309" t="s">
        <v>33732</v>
      </c>
      <c r="C10309" t="s">
        <v>33779</v>
      </c>
      <c r="D10309" t="s">
        <v>33780</v>
      </c>
      <c r="E10309" t="s">
        <v>16</v>
      </c>
      <c r="F10309" t="s">
        <v>33781</v>
      </c>
      <c r="G10309" t="s">
        <v>19092</v>
      </c>
      <c r="H10309" t="s">
        <v>33779</v>
      </c>
    </row>
    <row r="10310" spans="1:8">
      <c r="A10310" t="str">
        <f>"0241308 "</f>
        <v xml:space="preserve">0241308 </v>
      </c>
      <c r="B10310" t="s">
        <v>33732</v>
      </c>
      <c r="C10310" t="s">
        <v>33782</v>
      </c>
      <c r="D10310" t="s">
        <v>33783</v>
      </c>
      <c r="E10310">
        <v>1</v>
      </c>
      <c r="F10310" t="s">
        <v>33781</v>
      </c>
      <c r="G10310" t="s">
        <v>19092</v>
      </c>
      <c r="H10310" t="s">
        <v>33782</v>
      </c>
    </row>
    <row r="10311" spans="1:8">
      <c r="A10311" t="str">
        <f>"0241307 "</f>
        <v xml:space="preserve">0241307 </v>
      </c>
      <c r="B10311" t="s">
        <v>33732</v>
      </c>
      <c r="C10311" t="s">
        <v>33784</v>
      </c>
      <c r="D10311" t="s">
        <v>33785</v>
      </c>
      <c r="E10311">
        <v>4</v>
      </c>
      <c r="F10311" t="s">
        <v>33781</v>
      </c>
      <c r="G10311" t="s">
        <v>19092</v>
      </c>
      <c r="H10311" t="s">
        <v>33784</v>
      </c>
    </row>
    <row r="10312" spans="1:8">
      <c r="A10312" t="str">
        <f>"0241305 "</f>
        <v xml:space="preserve">0241305 </v>
      </c>
      <c r="B10312" t="s">
        <v>33732</v>
      </c>
      <c r="C10312" t="s">
        <v>33786</v>
      </c>
      <c r="D10312" t="s">
        <v>33787</v>
      </c>
      <c r="E10312" t="s">
        <v>16</v>
      </c>
      <c r="F10312" t="s">
        <v>19452</v>
      </c>
      <c r="G10312" t="s">
        <v>19092</v>
      </c>
      <c r="H10312" t="s">
        <v>33786</v>
      </c>
    </row>
    <row r="10313" spans="1:8">
      <c r="A10313" t="str">
        <f>"0218192 "</f>
        <v xml:space="preserve">0218192 </v>
      </c>
      <c r="B10313" t="s">
        <v>33732</v>
      </c>
      <c r="C10313" t="s">
        <v>33788</v>
      </c>
      <c r="D10313" t="s">
        <v>33789</v>
      </c>
      <c r="E10313" t="s">
        <v>16</v>
      </c>
      <c r="F10313" t="s">
        <v>33790</v>
      </c>
      <c r="G10313" t="s">
        <v>19092</v>
      </c>
      <c r="H10313" t="s">
        <v>33788</v>
      </c>
    </row>
    <row r="10314" spans="1:8">
      <c r="A10314" t="str">
        <f>"0218193 "</f>
        <v xml:space="preserve">0218193 </v>
      </c>
      <c r="B10314" t="s">
        <v>33732</v>
      </c>
      <c r="C10314" t="s">
        <v>33791</v>
      </c>
      <c r="D10314" t="s">
        <v>33792</v>
      </c>
      <c r="E10314">
        <v>5</v>
      </c>
      <c r="F10314" t="s">
        <v>33790</v>
      </c>
      <c r="G10314" t="s">
        <v>19092</v>
      </c>
      <c r="H10314" t="s">
        <v>33791</v>
      </c>
    </row>
    <row r="10315" spans="1:8">
      <c r="A10315" t="str">
        <f>"0218732 "</f>
        <v xml:space="preserve">0218732 </v>
      </c>
      <c r="B10315" t="s">
        <v>33793</v>
      </c>
      <c r="C10315" t="s">
        <v>33794</v>
      </c>
      <c r="D10315" t="s">
        <v>33795</v>
      </c>
      <c r="E10315" t="s">
        <v>16</v>
      </c>
      <c r="F10315" t="s">
        <v>33796</v>
      </c>
      <c r="G10315" t="s">
        <v>33797</v>
      </c>
      <c r="H10315" t="s">
        <v>33794</v>
      </c>
    </row>
    <row r="10316" spans="1:8">
      <c r="A10316" t="str">
        <f>"0218733 "</f>
        <v xml:space="preserve">0218733 </v>
      </c>
      <c r="B10316" t="s">
        <v>33793</v>
      </c>
      <c r="C10316" t="s">
        <v>33798</v>
      </c>
      <c r="D10316" t="s">
        <v>33799</v>
      </c>
      <c r="E10316" t="s">
        <v>16</v>
      </c>
      <c r="F10316" t="s">
        <v>660</v>
      </c>
      <c r="G10316" t="s">
        <v>33797</v>
      </c>
      <c r="H10316" t="s">
        <v>33798</v>
      </c>
    </row>
    <row r="10317" spans="1:8">
      <c r="A10317" t="str">
        <f>"0219355 "</f>
        <v xml:space="preserve">0219355 </v>
      </c>
      <c r="B10317" t="s">
        <v>33793</v>
      </c>
      <c r="C10317" t="s">
        <v>33800</v>
      </c>
      <c r="D10317" t="s">
        <v>33801</v>
      </c>
      <c r="E10317" t="s">
        <v>16</v>
      </c>
      <c r="F10317" t="s">
        <v>33802</v>
      </c>
      <c r="G10317" t="s">
        <v>33803</v>
      </c>
      <c r="H10317" t="s">
        <v>33800</v>
      </c>
    </row>
    <row r="10318" spans="1:8">
      <c r="A10318" t="str">
        <f>"0218749 "</f>
        <v xml:space="preserve">0218749 </v>
      </c>
      <c r="B10318" t="s">
        <v>33793</v>
      </c>
      <c r="C10318" t="s">
        <v>33804</v>
      </c>
      <c r="D10318" t="s">
        <v>33805</v>
      </c>
      <c r="E10318" t="s">
        <v>16</v>
      </c>
      <c r="F10318" t="s">
        <v>33361</v>
      </c>
      <c r="G10318" t="s">
        <v>33803</v>
      </c>
      <c r="H10318" t="s">
        <v>33804</v>
      </c>
    </row>
    <row r="10319" spans="1:8">
      <c r="A10319" t="str">
        <f>"0276538 "</f>
        <v xml:space="preserve">0276538 </v>
      </c>
      <c r="B10319" t="s">
        <v>33793</v>
      </c>
      <c r="C10319" t="s">
        <v>33806</v>
      </c>
      <c r="D10319" t="s">
        <v>33807</v>
      </c>
      <c r="E10319" t="s">
        <v>16</v>
      </c>
      <c r="F10319" t="s">
        <v>669</v>
      </c>
      <c r="G10319" t="s">
        <v>33803</v>
      </c>
      <c r="H10319" t="s">
        <v>33806</v>
      </c>
    </row>
    <row r="10320" spans="1:8">
      <c r="A10320" t="str">
        <f>"0276539 "</f>
        <v xml:space="preserve">0276539 </v>
      </c>
      <c r="B10320" t="s">
        <v>33793</v>
      </c>
      <c r="C10320" t="s">
        <v>33808</v>
      </c>
      <c r="D10320" t="s">
        <v>33809</v>
      </c>
      <c r="E10320" t="s">
        <v>16</v>
      </c>
      <c r="F10320" t="s">
        <v>4999</v>
      </c>
      <c r="G10320" t="s">
        <v>33803</v>
      </c>
      <c r="H10320" t="s">
        <v>33808</v>
      </c>
    </row>
    <row r="10321" spans="1:8">
      <c r="A10321" t="str">
        <f>"0276543 "</f>
        <v xml:space="preserve">0276543 </v>
      </c>
      <c r="B10321" t="s">
        <v>33793</v>
      </c>
      <c r="C10321" t="s">
        <v>33810</v>
      </c>
      <c r="D10321" t="s">
        <v>33811</v>
      </c>
      <c r="E10321" t="s">
        <v>16</v>
      </c>
      <c r="F10321" t="s">
        <v>33812</v>
      </c>
      <c r="G10321" t="s">
        <v>33803</v>
      </c>
      <c r="H10321" t="s">
        <v>33810</v>
      </c>
    </row>
    <row r="10322" spans="1:8">
      <c r="A10322" t="str">
        <f>"0276542 "</f>
        <v xml:space="preserve">0276542 </v>
      </c>
      <c r="B10322" t="s">
        <v>33793</v>
      </c>
      <c r="C10322" t="s">
        <v>33813</v>
      </c>
      <c r="D10322" t="s">
        <v>33814</v>
      </c>
      <c r="E10322" t="s">
        <v>16</v>
      </c>
      <c r="F10322" t="s">
        <v>33815</v>
      </c>
      <c r="G10322" t="s">
        <v>33803</v>
      </c>
      <c r="H10322" t="s">
        <v>33813</v>
      </c>
    </row>
    <row r="10323" spans="1:8">
      <c r="A10323" t="str">
        <f>"0276540 "</f>
        <v xml:space="preserve">0276540 </v>
      </c>
      <c r="B10323" t="s">
        <v>33793</v>
      </c>
      <c r="C10323" t="s">
        <v>33816</v>
      </c>
      <c r="D10323" t="s">
        <v>33817</v>
      </c>
      <c r="E10323" t="s">
        <v>16</v>
      </c>
      <c r="F10323" t="s">
        <v>33818</v>
      </c>
      <c r="G10323" t="s">
        <v>33803</v>
      </c>
      <c r="H10323" t="s">
        <v>33816</v>
      </c>
    </row>
    <row r="10324" spans="1:8">
      <c r="A10324" t="str">
        <f>"0276541 "</f>
        <v xml:space="preserve">0276541 </v>
      </c>
      <c r="B10324" t="s">
        <v>33793</v>
      </c>
      <c r="C10324" t="s">
        <v>33819</v>
      </c>
      <c r="D10324" t="s">
        <v>33820</v>
      </c>
      <c r="E10324" t="s">
        <v>16</v>
      </c>
      <c r="F10324" t="s">
        <v>33821</v>
      </c>
      <c r="G10324" t="s">
        <v>33803</v>
      </c>
      <c r="H10324" t="s">
        <v>33819</v>
      </c>
    </row>
    <row r="10325" spans="1:8">
      <c r="A10325" t="str">
        <f>"0276546 "</f>
        <v xml:space="preserve">0276546 </v>
      </c>
      <c r="B10325" t="s">
        <v>33793</v>
      </c>
      <c r="C10325" t="s">
        <v>33822</v>
      </c>
      <c r="D10325" t="s">
        <v>33823</v>
      </c>
      <c r="E10325" t="s">
        <v>16</v>
      </c>
      <c r="F10325" t="s">
        <v>33824</v>
      </c>
      <c r="G10325" t="s">
        <v>33803</v>
      </c>
      <c r="H10325" t="s">
        <v>33822</v>
      </c>
    </row>
    <row r="10326" spans="1:8">
      <c r="A10326" t="str">
        <f>"0276545 "</f>
        <v xml:space="preserve">0276545 </v>
      </c>
      <c r="B10326" t="s">
        <v>33793</v>
      </c>
      <c r="C10326" t="s">
        <v>33825</v>
      </c>
      <c r="D10326" t="s">
        <v>33826</v>
      </c>
      <c r="E10326" t="s">
        <v>16</v>
      </c>
      <c r="F10326" t="s">
        <v>5699</v>
      </c>
      <c r="G10326" t="s">
        <v>33803</v>
      </c>
      <c r="H10326" t="s">
        <v>33825</v>
      </c>
    </row>
    <row r="10327" spans="1:8">
      <c r="A10327" t="str">
        <f>"0276544 "</f>
        <v xml:space="preserve">0276544 </v>
      </c>
      <c r="B10327" t="s">
        <v>33793</v>
      </c>
      <c r="C10327" t="s">
        <v>33827</v>
      </c>
      <c r="D10327" t="s">
        <v>33828</v>
      </c>
      <c r="E10327" t="s">
        <v>16</v>
      </c>
      <c r="F10327" t="s">
        <v>33829</v>
      </c>
      <c r="G10327" t="s">
        <v>33803</v>
      </c>
      <c r="H10327" t="s">
        <v>33827</v>
      </c>
    </row>
    <row r="10328" spans="1:8">
      <c r="A10328" t="str">
        <f>"0218730 "</f>
        <v xml:space="preserve">0218730 </v>
      </c>
      <c r="B10328" t="s">
        <v>33793</v>
      </c>
      <c r="C10328" t="s">
        <v>33830</v>
      </c>
      <c r="D10328" t="s">
        <v>33831</v>
      </c>
      <c r="E10328" t="s">
        <v>16</v>
      </c>
      <c r="F10328" t="s">
        <v>19796</v>
      </c>
      <c r="G10328" t="s">
        <v>33832</v>
      </c>
      <c r="H10328" t="s">
        <v>33830</v>
      </c>
    </row>
    <row r="10329" spans="1:8">
      <c r="A10329" t="str">
        <f>"0218743 "</f>
        <v xml:space="preserve">0218743 </v>
      </c>
      <c r="B10329" t="s">
        <v>33793</v>
      </c>
      <c r="C10329" t="s">
        <v>33833</v>
      </c>
      <c r="D10329" t="s">
        <v>33834</v>
      </c>
      <c r="E10329" t="s">
        <v>16</v>
      </c>
      <c r="F10329" t="s">
        <v>3329</v>
      </c>
      <c r="G10329" t="s">
        <v>32614</v>
      </c>
      <c r="H10329" t="s">
        <v>33833</v>
      </c>
    </row>
    <row r="10330" spans="1:8">
      <c r="A10330" t="str">
        <f>"0218742 "</f>
        <v xml:space="preserve">0218742 </v>
      </c>
      <c r="B10330" t="s">
        <v>33793</v>
      </c>
      <c r="C10330" t="s">
        <v>33835</v>
      </c>
      <c r="D10330" t="s">
        <v>33836</v>
      </c>
      <c r="E10330" t="s">
        <v>16</v>
      </c>
      <c r="F10330" t="s">
        <v>33764</v>
      </c>
      <c r="G10330" t="s">
        <v>32614</v>
      </c>
      <c r="H10330" t="s">
        <v>33835</v>
      </c>
    </row>
    <row r="10331" spans="1:8">
      <c r="A10331" t="str">
        <f>"0218741 "</f>
        <v xml:space="preserve">0218741 </v>
      </c>
      <c r="B10331" t="s">
        <v>33793</v>
      </c>
      <c r="C10331" t="s">
        <v>33837</v>
      </c>
      <c r="D10331" t="s">
        <v>33838</v>
      </c>
      <c r="E10331" t="s">
        <v>16</v>
      </c>
      <c r="F10331" s="1">
        <v>43057</v>
      </c>
      <c r="G10331" t="s">
        <v>32614</v>
      </c>
      <c r="H10331" t="s">
        <v>33837</v>
      </c>
    </row>
    <row r="10332" spans="1:8">
      <c r="A10332" t="str">
        <f>"0239355 "</f>
        <v xml:space="preserve">0239355 </v>
      </c>
      <c r="B10332" t="s">
        <v>33793</v>
      </c>
      <c r="C10332" t="s">
        <v>33839</v>
      </c>
      <c r="D10332" t="s">
        <v>33840</v>
      </c>
      <c r="E10332" t="s">
        <v>16</v>
      </c>
      <c r="F10332" s="1">
        <v>43022</v>
      </c>
      <c r="G10332" t="s">
        <v>32614</v>
      </c>
      <c r="H10332" t="s">
        <v>33839</v>
      </c>
    </row>
    <row r="10333" spans="1:8">
      <c r="A10333" t="str">
        <f>"0239354 "</f>
        <v xml:space="preserve">0239354 </v>
      </c>
      <c r="B10333" t="s">
        <v>33793</v>
      </c>
      <c r="C10333" t="s">
        <v>33841</v>
      </c>
      <c r="D10333" t="s">
        <v>33842</v>
      </c>
      <c r="E10333" t="s">
        <v>16</v>
      </c>
      <c r="F10333" s="3">
        <v>29799</v>
      </c>
      <c r="G10333" t="s">
        <v>32614</v>
      </c>
      <c r="H10333" t="s">
        <v>33841</v>
      </c>
    </row>
    <row r="10334" spans="1:8">
      <c r="A10334" t="str">
        <f>"0218740 "</f>
        <v xml:space="preserve">0218740 </v>
      </c>
      <c r="B10334" t="s">
        <v>33793</v>
      </c>
      <c r="C10334" t="s">
        <v>33843</v>
      </c>
      <c r="D10334" t="s">
        <v>33844</v>
      </c>
      <c r="E10334" t="s">
        <v>16</v>
      </c>
      <c r="F10334" t="s">
        <v>33845</v>
      </c>
      <c r="G10334" t="s">
        <v>32614</v>
      </c>
      <c r="H10334" t="s">
        <v>33843</v>
      </c>
    </row>
    <row r="10335" spans="1:8">
      <c r="A10335" t="str">
        <f>"0218739 "</f>
        <v xml:space="preserve">0218739 </v>
      </c>
      <c r="B10335" t="s">
        <v>33793</v>
      </c>
      <c r="C10335" t="s">
        <v>33846</v>
      </c>
      <c r="D10335" t="s">
        <v>33847</v>
      </c>
      <c r="E10335" t="s">
        <v>16</v>
      </c>
      <c r="F10335" s="3">
        <v>28734</v>
      </c>
      <c r="G10335" t="s">
        <v>32614</v>
      </c>
      <c r="H10335" t="s">
        <v>33846</v>
      </c>
    </row>
    <row r="10336" spans="1:8">
      <c r="A10336" t="str">
        <f>"0218738 "</f>
        <v xml:space="preserve">0218738 </v>
      </c>
      <c r="B10336" t="s">
        <v>33793</v>
      </c>
      <c r="C10336" t="s">
        <v>33848</v>
      </c>
      <c r="D10336" t="s">
        <v>33849</v>
      </c>
      <c r="E10336" t="s">
        <v>16</v>
      </c>
      <c r="F10336" t="s">
        <v>33850</v>
      </c>
      <c r="G10336" t="s">
        <v>32614</v>
      </c>
      <c r="H10336" t="s">
        <v>33848</v>
      </c>
    </row>
    <row r="10337" spans="1:8">
      <c r="A10337" t="str">
        <f>"0231631 "</f>
        <v xml:space="preserve">0231631 </v>
      </c>
      <c r="B10337" t="s">
        <v>33793</v>
      </c>
      <c r="C10337" t="s">
        <v>33851</v>
      </c>
      <c r="D10337" t="s">
        <v>33852</v>
      </c>
      <c r="E10337" t="s">
        <v>16</v>
      </c>
      <c r="F10337" t="s">
        <v>33853</v>
      </c>
      <c r="G10337" t="s">
        <v>32614</v>
      </c>
      <c r="H10337" t="s">
        <v>33851</v>
      </c>
    </row>
    <row r="10338" spans="1:8">
      <c r="A10338" t="str">
        <f>"0218736 "</f>
        <v xml:space="preserve">0218736 </v>
      </c>
      <c r="B10338" t="s">
        <v>33793</v>
      </c>
      <c r="C10338" t="s">
        <v>33854</v>
      </c>
      <c r="D10338" t="s">
        <v>33855</v>
      </c>
      <c r="E10338" t="s">
        <v>16</v>
      </c>
      <c r="F10338" s="3">
        <v>44378</v>
      </c>
      <c r="G10338" t="s">
        <v>32614</v>
      </c>
      <c r="H10338" t="s">
        <v>33854</v>
      </c>
    </row>
    <row r="10339" spans="1:8">
      <c r="A10339" t="str">
        <f>"0257624 "</f>
        <v xml:space="preserve">0257624 </v>
      </c>
      <c r="B10339" t="s">
        <v>33793</v>
      </c>
      <c r="C10339" t="s">
        <v>33856</v>
      </c>
      <c r="D10339" t="s">
        <v>33857</v>
      </c>
      <c r="E10339" t="s">
        <v>16</v>
      </c>
      <c r="F10339" s="1">
        <v>42984</v>
      </c>
      <c r="G10339" t="s">
        <v>32614</v>
      </c>
      <c r="H10339" t="s">
        <v>33856</v>
      </c>
    </row>
    <row r="10340" spans="1:8">
      <c r="A10340" t="str">
        <f>"0218746 "</f>
        <v xml:space="preserve">0218746 </v>
      </c>
      <c r="B10340" t="s">
        <v>33793</v>
      </c>
      <c r="C10340" t="s">
        <v>33858</v>
      </c>
      <c r="D10340" t="s">
        <v>33859</v>
      </c>
      <c r="E10340">
        <v>2</v>
      </c>
      <c r="F10340" t="s">
        <v>33361</v>
      </c>
      <c r="G10340" t="s">
        <v>32614</v>
      </c>
      <c r="H10340" t="s">
        <v>33858</v>
      </c>
    </row>
    <row r="10341" spans="1:8">
      <c r="A10341" t="str">
        <f>"0276551 "</f>
        <v xml:space="preserve">0276551 </v>
      </c>
      <c r="B10341" t="s">
        <v>33793</v>
      </c>
      <c r="C10341" t="s">
        <v>33860</v>
      </c>
      <c r="D10341" t="s">
        <v>33861</v>
      </c>
      <c r="E10341" t="s">
        <v>16</v>
      </c>
      <c r="F10341" t="s">
        <v>19810</v>
      </c>
      <c r="G10341" t="s">
        <v>1818</v>
      </c>
      <c r="H10341" t="s">
        <v>33860</v>
      </c>
    </row>
    <row r="10342" spans="1:8">
      <c r="A10342" t="str">
        <f>"0258051 "</f>
        <v xml:space="preserve">0258051 </v>
      </c>
      <c r="B10342" t="s">
        <v>33793</v>
      </c>
      <c r="C10342" t="s">
        <v>33862</v>
      </c>
      <c r="D10342" t="s">
        <v>33863</v>
      </c>
      <c r="E10342" t="s">
        <v>16</v>
      </c>
      <c r="F10342" t="s">
        <v>33864</v>
      </c>
      <c r="G10342" t="s">
        <v>1818</v>
      </c>
      <c r="H10342" t="s">
        <v>33862</v>
      </c>
    </row>
    <row r="10343" spans="1:8">
      <c r="A10343" t="str">
        <f>"0258050 "</f>
        <v xml:space="preserve">0258050 </v>
      </c>
      <c r="B10343" t="s">
        <v>33793</v>
      </c>
      <c r="C10343" t="s">
        <v>33865</v>
      </c>
      <c r="D10343" t="s">
        <v>33866</v>
      </c>
      <c r="E10343" t="s">
        <v>16</v>
      </c>
      <c r="F10343" t="s">
        <v>33867</v>
      </c>
      <c r="G10343" t="s">
        <v>1818</v>
      </c>
      <c r="H10343" t="s">
        <v>33865</v>
      </c>
    </row>
    <row r="10344" spans="1:8">
      <c r="A10344" t="str">
        <f>"0258053 "</f>
        <v xml:space="preserve">0258053 </v>
      </c>
      <c r="B10344" t="s">
        <v>33793</v>
      </c>
      <c r="C10344" t="s">
        <v>33868</v>
      </c>
      <c r="D10344" t="s">
        <v>33869</v>
      </c>
      <c r="E10344" t="s">
        <v>16</v>
      </c>
      <c r="F10344" t="s">
        <v>19750</v>
      </c>
      <c r="G10344" t="s">
        <v>1818</v>
      </c>
      <c r="H10344" t="s">
        <v>33868</v>
      </c>
    </row>
    <row r="10345" spans="1:8">
      <c r="A10345" t="str">
        <f>"0258048 "</f>
        <v xml:space="preserve">0258048 </v>
      </c>
      <c r="B10345" t="s">
        <v>33793</v>
      </c>
      <c r="C10345" t="s">
        <v>33870</v>
      </c>
      <c r="D10345" t="s">
        <v>33871</v>
      </c>
      <c r="E10345" t="s">
        <v>16</v>
      </c>
      <c r="F10345" t="s">
        <v>33872</v>
      </c>
      <c r="G10345" t="s">
        <v>1818</v>
      </c>
      <c r="H10345" t="s">
        <v>33870</v>
      </c>
    </row>
    <row r="10346" spans="1:8">
      <c r="A10346" t="str">
        <f>"0219360 "</f>
        <v xml:space="preserve">0219360 </v>
      </c>
      <c r="B10346" t="s">
        <v>33793</v>
      </c>
      <c r="C10346" t="s">
        <v>33873</v>
      </c>
      <c r="D10346" t="s">
        <v>33874</v>
      </c>
      <c r="E10346">
        <v>5</v>
      </c>
      <c r="F10346" t="s">
        <v>33875</v>
      </c>
      <c r="G10346" t="s">
        <v>33797</v>
      </c>
      <c r="H10346" t="s">
        <v>33873</v>
      </c>
    </row>
    <row r="10347" spans="1:8">
      <c r="A10347" t="str">
        <f>"0219361 "</f>
        <v xml:space="preserve">0219361 </v>
      </c>
      <c r="B10347" t="s">
        <v>33793</v>
      </c>
      <c r="C10347" t="s">
        <v>33876</v>
      </c>
      <c r="D10347" t="s">
        <v>33877</v>
      </c>
      <c r="E10347" t="s">
        <v>16</v>
      </c>
      <c r="F10347" t="s">
        <v>33878</v>
      </c>
      <c r="G10347" t="s">
        <v>33797</v>
      </c>
      <c r="H10347" t="s">
        <v>33876</v>
      </c>
    </row>
    <row r="10348" spans="1:8">
      <c r="A10348" t="str">
        <f>"0219356 "</f>
        <v xml:space="preserve">0219356 </v>
      </c>
      <c r="B10348" t="s">
        <v>33793</v>
      </c>
      <c r="C10348" t="s">
        <v>33879</v>
      </c>
      <c r="D10348" t="s">
        <v>33880</v>
      </c>
      <c r="E10348" t="s">
        <v>16</v>
      </c>
      <c r="F10348" t="s">
        <v>25153</v>
      </c>
      <c r="G10348" t="s">
        <v>33797</v>
      </c>
      <c r="H10348" t="s">
        <v>33879</v>
      </c>
    </row>
    <row r="10349" spans="1:8">
      <c r="A10349" t="str">
        <f>"0219358 "</f>
        <v xml:space="preserve">0219358 </v>
      </c>
      <c r="B10349" t="s">
        <v>33793</v>
      </c>
      <c r="C10349" t="s">
        <v>33881</v>
      </c>
      <c r="D10349" t="s">
        <v>33882</v>
      </c>
      <c r="E10349" t="s">
        <v>16</v>
      </c>
      <c r="F10349" t="s">
        <v>33883</v>
      </c>
      <c r="G10349" t="s">
        <v>33797</v>
      </c>
      <c r="H10349" t="s">
        <v>33881</v>
      </c>
    </row>
    <row r="10350" spans="1:8">
      <c r="A10350" t="str">
        <f>"0219359 "</f>
        <v xml:space="preserve">0219359 </v>
      </c>
      <c r="B10350" t="s">
        <v>33793</v>
      </c>
      <c r="C10350" t="s">
        <v>33884</v>
      </c>
      <c r="D10350" t="s">
        <v>33885</v>
      </c>
      <c r="E10350" t="s">
        <v>16</v>
      </c>
      <c r="F10350" t="s">
        <v>33886</v>
      </c>
      <c r="G10350" t="s">
        <v>33797</v>
      </c>
      <c r="H10350" t="s">
        <v>33884</v>
      </c>
    </row>
    <row r="10351" spans="1:8">
      <c r="A10351" t="str">
        <f>"0219357 "</f>
        <v xml:space="preserve">0219357 </v>
      </c>
      <c r="B10351" t="s">
        <v>33793</v>
      </c>
      <c r="C10351" t="s">
        <v>33887</v>
      </c>
      <c r="D10351" t="s">
        <v>33888</v>
      </c>
      <c r="E10351" t="s">
        <v>16</v>
      </c>
      <c r="F10351" t="s">
        <v>33889</v>
      </c>
      <c r="G10351" t="s">
        <v>33797</v>
      </c>
      <c r="H10351" t="s">
        <v>33887</v>
      </c>
    </row>
    <row r="10352" spans="1:8">
      <c r="A10352" t="str">
        <f>"0218923 "</f>
        <v xml:space="preserve">0218923 </v>
      </c>
      <c r="B10352" t="s">
        <v>33890</v>
      </c>
      <c r="C10352" t="s">
        <v>33891</v>
      </c>
      <c r="D10352" t="s">
        <v>33892</v>
      </c>
      <c r="E10352">
        <v>1</v>
      </c>
      <c r="F10352" t="s">
        <v>33893</v>
      </c>
      <c r="G10352" t="s">
        <v>33832</v>
      </c>
      <c r="H10352" t="s">
        <v>33891</v>
      </c>
    </row>
    <row r="10353" spans="1:8">
      <c r="A10353" t="str">
        <f>"0218924 "</f>
        <v xml:space="preserve">0218924 </v>
      </c>
      <c r="B10353" t="s">
        <v>33890</v>
      </c>
      <c r="C10353" t="s">
        <v>33894</v>
      </c>
      <c r="D10353" t="s">
        <v>33895</v>
      </c>
      <c r="E10353">
        <v>4</v>
      </c>
      <c r="F10353" t="s">
        <v>33896</v>
      </c>
      <c r="G10353" t="s">
        <v>33832</v>
      </c>
      <c r="H10353" t="s">
        <v>33894</v>
      </c>
    </row>
    <row r="10354" spans="1:8">
      <c r="A10354" t="str">
        <f>"0218925 "</f>
        <v xml:space="preserve">0218925 </v>
      </c>
      <c r="B10354" t="s">
        <v>33890</v>
      </c>
      <c r="C10354" t="s">
        <v>33897</v>
      </c>
      <c r="D10354" t="s">
        <v>33898</v>
      </c>
      <c r="E10354">
        <v>4</v>
      </c>
      <c r="F10354" t="s">
        <v>33899</v>
      </c>
      <c r="G10354" t="s">
        <v>33832</v>
      </c>
      <c r="H10354" t="s">
        <v>33897</v>
      </c>
    </row>
    <row r="10355" spans="1:8">
      <c r="A10355" t="str">
        <f>"0232649 "</f>
        <v xml:space="preserve">0232649 </v>
      </c>
      <c r="B10355" t="s">
        <v>33890</v>
      </c>
      <c r="C10355" t="s">
        <v>33900</v>
      </c>
      <c r="D10355" t="s">
        <v>33901</v>
      </c>
      <c r="E10355">
        <v>4</v>
      </c>
      <c r="F10355" t="s">
        <v>33902</v>
      </c>
      <c r="G10355" t="s">
        <v>33832</v>
      </c>
      <c r="H10355" t="s">
        <v>33900</v>
      </c>
    </row>
    <row r="10356" spans="1:8">
      <c r="A10356" t="str">
        <f>"0218926 "</f>
        <v xml:space="preserve">0218926 </v>
      </c>
      <c r="B10356" t="s">
        <v>33890</v>
      </c>
      <c r="C10356" t="s">
        <v>33903</v>
      </c>
      <c r="D10356" t="s">
        <v>33904</v>
      </c>
      <c r="E10356">
        <v>5</v>
      </c>
      <c r="F10356" t="s">
        <v>33905</v>
      </c>
      <c r="G10356" t="s">
        <v>33832</v>
      </c>
      <c r="H10356" t="s">
        <v>33903</v>
      </c>
    </row>
    <row r="10357" spans="1:8">
      <c r="A10357" t="str">
        <f>"0218927 "</f>
        <v xml:space="preserve">0218927 </v>
      </c>
      <c r="B10357" t="s">
        <v>33890</v>
      </c>
      <c r="C10357" t="s">
        <v>33906</v>
      </c>
      <c r="D10357" t="s">
        <v>33907</v>
      </c>
      <c r="E10357">
        <v>5</v>
      </c>
      <c r="F10357" t="s">
        <v>33908</v>
      </c>
      <c r="G10357" t="s">
        <v>33832</v>
      </c>
      <c r="H10357" t="s">
        <v>33906</v>
      </c>
    </row>
    <row r="10358" spans="1:8">
      <c r="A10358" t="str">
        <f>"0231316 "</f>
        <v xml:space="preserve">0231316 </v>
      </c>
      <c r="B10358" t="s">
        <v>33890</v>
      </c>
      <c r="C10358" t="s">
        <v>33909</v>
      </c>
      <c r="D10358" t="s">
        <v>33910</v>
      </c>
      <c r="E10358">
        <v>1</v>
      </c>
      <c r="F10358" t="s">
        <v>33911</v>
      </c>
      <c r="G10358" t="s">
        <v>33832</v>
      </c>
      <c r="H10358" t="s">
        <v>33909</v>
      </c>
    </row>
    <row r="10359" spans="1:8">
      <c r="A10359" t="str">
        <f>"0232648 "</f>
        <v xml:space="preserve">0232648 </v>
      </c>
      <c r="B10359" t="s">
        <v>33890</v>
      </c>
      <c r="C10359" t="s">
        <v>33912</v>
      </c>
      <c r="D10359" t="s">
        <v>33913</v>
      </c>
      <c r="E10359">
        <v>1</v>
      </c>
      <c r="F10359" t="s">
        <v>33914</v>
      </c>
      <c r="G10359" t="s">
        <v>33832</v>
      </c>
      <c r="H10359" t="s">
        <v>33912</v>
      </c>
    </row>
    <row r="10360" spans="1:8">
      <c r="A10360" t="str">
        <f>"0232650 "</f>
        <v xml:space="preserve">0232650 </v>
      </c>
      <c r="B10360" t="s">
        <v>33890</v>
      </c>
      <c r="C10360" t="s">
        <v>33915</v>
      </c>
      <c r="D10360" t="s">
        <v>33916</v>
      </c>
      <c r="E10360">
        <v>1</v>
      </c>
      <c r="F10360" t="s">
        <v>33917</v>
      </c>
      <c r="G10360" t="s">
        <v>33832</v>
      </c>
      <c r="H10360" t="s">
        <v>33915</v>
      </c>
    </row>
    <row r="10361" spans="1:8">
      <c r="A10361" t="str">
        <f>"0218915 "</f>
        <v xml:space="preserve">0218915 </v>
      </c>
      <c r="B10361" t="s">
        <v>33890</v>
      </c>
      <c r="C10361" t="s">
        <v>33918</v>
      </c>
      <c r="D10361" t="s">
        <v>33919</v>
      </c>
      <c r="E10361">
        <v>1</v>
      </c>
      <c r="F10361" t="s">
        <v>33920</v>
      </c>
      <c r="G10361" t="s">
        <v>33832</v>
      </c>
      <c r="H10361" t="s">
        <v>33918</v>
      </c>
    </row>
    <row r="10362" spans="1:8">
      <c r="A10362" t="str">
        <f>"0258116 "</f>
        <v xml:space="preserve">0258116 </v>
      </c>
      <c r="B10362" t="s">
        <v>33890</v>
      </c>
      <c r="C10362" t="s">
        <v>33921</v>
      </c>
      <c r="D10362" t="s">
        <v>33922</v>
      </c>
      <c r="E10362">
        <v>4</v>
      </c>
      <c r="F10362" t="s">
        <v>33923</v>
      </c>
      <c r="G10362" t="s">
        <v>33924</v>
      </c>
      <c r="H10362" t="s">
        <v>33921</v>
      </c>
    </row>
    <row r="10363" spans="1:8">
      <c r="A10363" t="str">
        <f>"0239677 "</f>
        <v xml:space="preserve">0239677 </v>
      </c>
      <c r="B10363" t="s">
        <v>33890</v>
      </c>
      <c r="C10363" t="s">
        <v>33925</v>
      </c>
      <c r="D10363" t="s">
        <v>33926</v>
      </c>
      <c r="E10363">
        <v>4</v>
      </c>
      <c r="F10363" t="s">
        <v>33927</v>
      </c>
      <c r="G10363" t="s">
        <v>33924</v>
      </c>
      <c r="H10363" t="s">
        <v>33925</v>
      </c>
    </row>
    <row r="10364" spans="1:8">
      <c r="A10364" t="str">
        <f>"0239682 "</f>
        <v xml:space="preserve">0239682 </v>
      </c>
      <c r="B10364" t="s">
        <v>33890</v>
      </c>
      <c r="C10364" t="s">
        <v>33928</v>
      </c>
      <c r="D10364" t="s">
        <v>33929</v>
      </c>
      <c r="E10364">
        <v>3</v>
      </c>
      <c r="F10364" t="s">
        <v>33930</v>
      </c>
      <c r="G10364" t="s">
        <v>33924</v>
      </c>
      <c r="H10364" t="s">
        <v>33928</v>
      </c>
    </row>
    <row r="10365" spans="1:8">
      <c r="A10365" t="str">
        <f>"0239686 "</f>
        <v xml:space="preserve">0239686 </v>
      </c>
      <c r="B10365" t="s">
        <v>33890</v>
      </c>
      <c r="C10365" t="s">
        <v>33931</v>
      </c>
      <c r="D10365" t="s">
        <v>33932</v>
      </c>
      <c r="E10365">
        <v>1</v>
      </c>
      <c r="F10365" t="s">
        <v>33933</v>
      </c>
      <c r="G10365" t="s">
        <v>33924</v>
      </c>
      <c r="H10365" t="s">
        <v>33931</v>
      </c>
    </row>
    <row r="10366" spans="1:8">
      <c r="A10366" t="str">
        <f>"0239676 "</f>
        <v xml:space="preserve">0239676 </v>
      </c>
      <c r="B10366" t="s">
        <v>33890</v>
      </c>
      <c r="C10366" t="s">
        <v>33934</v>
      </c>
      <c r="D10366" t="s">
        <v>33935</v>
      </c>
      <c r="E10366">
        <v>3</v>
      </c>
      <c r="F10366" t="s">
        <v>33936</v>
      </c>
      <c r="G10366" t="s">
        <v>33924</v>
      </c>
      <c r="H10366" t="s">
        <v>33934</v>
      </c>
    </row>
    <row r="10367" spans="1:8">
      <c r="A10367" t="str">
        <f>"0239679 "</f>
        <v xml:space="preserve">0239679 </v>
      </c>
      <c r="B10367" t="s">
        <v>33890</v>
      </c>
      <c r="C10367" t="s">
        <v>33937</v>
      </c>
      <c r="D10367" t="s">
        <v>33938</v>
      </c>
      <c r="E10367">
        <v>1</v>
      </c>
      <c r="F10367" t="s">
        <v>33939</v>
      </c>
      <c r="G10367" t="s">
        <v>33924</v>
      </c>
      <c r="H10367" t="s">
        <v>33937</v>
      </c>
    </row>
    <row r="10368" spans="1:8">
      <c r="A10368" t="str">
        <f>"0239678 "</f>
        <v xml:space="preserve">0239678 </v>
      </c>
      <c r="B10368" t="s">
        <v>33890</v>
      </c>
      <c r="C10368" t="s">
        <v>33940</v>
      </c>
      <c r="D10368" t="s">
        <v>33941</v>
      </c>
      <c r="E10368">
        <v>3</v>
      </c>
      <c r="F10368" t="s">
        <v>33942</v>
      </c>
      <c r="G10368" t="s">
        <v>33924</v>
      </c>
      <c r="H10368" t="s">
        <v>33940</v>
      </c>
    </row>
    <row r="10369" spans="1:8">
      <c r="A10369" t="str">
        <f>"0239681 "</f>
        <v xml:space="preserve">0239681 </v>
      </c>
      <c r="B10369" t="s">
        <v>33890</v>
      </c>
      <c r="C10369" t="s">
        <v>33943</v>
      </c>
      <c r="D10369" t="s">
        <v>33944</v>
      </c>
      <c r="E10369" t="s">
        <v>16</v>
      </c>
      <c r="F10369" t="s">
        <v>33945</v>
      </c>
      <c r="G10369" t="s">
        <v>33924</v>
      </c>
      <c r="H10369" t="s">
        <v>33943</v>
      </c>
    </row>
    <row r="10370" spans="1:8">
      <c r="A10370" t="str">
        <f>"0239683 "</f>
        <v xml:space="preserve">0239683 </v>
      </c>
      <c r="B10370" t="s">
        <v>33890</v>
      </c>
      <c r="C10370" t="s">
        <v>33946</v>
      </c>
      <c r="D10370" t="s">
        <v>33947</v>
      </c>
      <c r="E10370" t="s">
        <v>16</v>
      </c>
      <c r="F10370" t="s">
        <v>33948</v>
      </c>
      <c r="G10370" t="s">
        <v>33924</v>
      </c>
      <c r="H10370" t="s">
        <v>33946</v>
      </c>
    </row>
    <row r="10371" spans="1:8">
      <c r="A10371" t="str">
        <f>"0218920 "</f>
        <v xml:space="preserve">0218920 </v>
      </c>
      <c r="B10371" t="s">
        <v>33890</v>
      </c>
      <c r="C10371" t="s">
        <v>33949</v>
      </c>
      <c r="D10371" t="s">
        <v>33950</v>
      </c>
      <c r="E10371">
        <v>5</v>
      </c>
      <c r="F10371" t="s">
        <v>33951</v>
      </c>
      <c r="G10371" t="s">
        <v>32614</v>
      </c>
      <c r="H10371" t="s">
        <v>33949</v>
      </c>
    </row>
    <row r="10372" spans="1:8">
      <c r="A10372" t="str">
        <f>"0218909 "</f>
        <v xml:space="preserve">0218909 </v>
      </c>
      <c r="B10372" t="s">
        <v>33890</v>
      </c>
      <c r="C10372" t="s">
        <v>33952</v>
      </c>
      <c r="D10372" t="s">
        <v>33953</v>
      </c>
      <c r="E10372">
        <v>2</v>
      </c>
      <c r="F10372" t="s">
        <v>33954</v>
      </c>
      <c r="G10372" t="s">
        <v>32614</v>
      </c>
      <c r="H10372" t="s">
        <v>33952</v>
      </c>
    </row>
    <row r="10373" spans="1:8">
      <c r="A10373" t="str">
        <f>"0218908 "</f>
        <v xml:space="preserve">0218908 </v>
      </c>
      <c r="B10373" t="s">
        <v>33890</v>
      </c>
      <c r="C10373" t="s">
        <v>33955</v>
      </c>
      <c r="D10373" t="s">
        <v>33956</v>
      </c>
      <c r="E10373">
        <v>3</v>
      </c>
      <c r="F10373" t="s">
        <v>13847</v>
      </c>
      <c r="G10373" t="s">
        <v>32614</v>
      </c>
      <c r="H10373" t="s">
        <v>33955</v>
      </c>
    </row>
    <row r="10374" spans="1:8">
      <c r="A10374" t="str">
        <f>"0218907 "</f>
        <v xml:space="preserve">0218907 </v>
      </c>
      <c r="B10374" t="s">
        <v>33890</v>
      </c>
      <c r="C10374" t="s">
        <v>33957</v>
      </c>
      <c r="D10374" t="s">
        <v>33958</v>
      </c>
      <c r="E10374">
        <v>1</v>
      </c>
      <c r="F10374" t="s">
        <v>33959</v>
      </c>
      <c r="G10374" t="s">
        <v>32614</v>
      </c>
      <c r="H10374" t="s">
        <v>33957</v>
      </c>
    </row>
    <row r="10375" spans="1:8">
      <c r="A10375" t="str">
        <f>"0218921 "</f>
        <v xml:space="preserve">0218921 </v>
      </c>
      <c r="B10375" t="s">
        <v>33890</v>
      </c>
      <c r="C10375" t="s">
        <v>33960</v>
      </c>
      <c r="D10375" t="s">
        <v>33961</v>
      </c>
      <c r="E10375" t="s">
        <v>16</v>
      </c>
      <c r="F10375" t="s">
        <v>33962</v>
      </c>
      <c r="G10375" t="s">
        <v>32614</v>
      </c>
      <c r="H10375" t="s">
        <v>33960</v>
      </c>
    </row>
    <row r="10376" spans="1:8">
      <c r="A10376" t="str">
        <f>"0218906 "</f>
        <v xml:space="preserve">0218906 </v>
      </c>
      <c r="B10376" t="s">
        <v>33890</v>
      </c>
      <c r="C10376" t="s">
        <v>33963</v>
      </c>
      <c r="D10376" t="s">
        <v>33964</v>
      </c>
      <c r="E10376" t="s">
        <v>16</v>
      </c>
      <c r="F10376" t="s">
        <v>33965</v>
      </c>
      <c r="G10376" t="s">
        <v>32614</v>
      </c>
      <c r="H10376" t="s">
        <v>33963</v>
      </c>
    </row>
    <row r="10377" spans="1:8">
      <c r="A10377" t="str">
        <f>"0248878 "</f>
        <v xml:space="preserve">0248878 </v>
      </c>
      <c r="B10377" t="s">
        <v>33966</v>
      </c>
      <c r="C10377" t="s">
        <v>33967</v>
      </c>
      <c r="D10377" t="s">
        <v>33968</v>
      </c>
      <c r="E10377">
        <v>5</v>
      </c>
      <c r="F10377" t="s">
        <v>33969</v>
      </c>
      <c r="G10377" t="s">
        <v>33970</v>
      </c>
      <c r="H10377" t="s">
        <v>33967</v>
      </c>
    </row>
    <row r="10378" spans="1:8">
      <c r="A10378" t="str">
        <f>"0248879 "</f>
        <v xml:space="preserve">0248879 </v>
      </c>
      <c r="B10378" t="s">
        <v>33966</v>
      </c>
      <c r="C10378" t="s">
        <v>33971</v>
      </c>
      <c r="D10378" t="s">
        <v>33972</v>
      </c>
      <c r="E10378">
        <v>3</v>
      </c>
      <c r="F10378" t="s">
        <v>33973</v>
      </c>
      <c r="G10378" t="s">
        <v>33970</v>
      </c>
      <c r="H10378" t="s">
        <v>33971</v>
      </c>
    </row>
    <row r="10379" spans="1:8">
      <c r="A10379" t="str">
        <f>"0248880 "</f>
        <v xml:space="preserve">0248880 </v>
      </c>
      <c r="B10379" t="s">
        <v>33966</v>
      </c>
      <c r="C10379" t="s">
        <v>33974</v>
      </c>
      <c r="D10379" t="s">
        <v>33975</v>
      </c>
      <c r="E10379">
        <v>5</v>
      </c>
      <c r="F10379" t="s">
        <v>33976</v>
      </c>
      <c r="G10379" t="s">
        <v>33970</v>
      </c>
      <c r="H10379" t="s">
        <v>33974</v>
      </c>
    </row>
    <row r="10380" spans="1:8">
      <c r="A10380" t="str">
        <f>"0248881 "</f>
        <v xml:space="preserve">0248881 </v>
      </c>
      <c r="B10380" t="s">
        <v>33966</v>
      </c>
      <c r="C10380" t="s">
        <v>33977</v>
      </c>
      <c r="D10380" t="s">
        <v>33978</v>
      </c>
      <c r="E10380">
        <v>5</v>
      </c>
      <c r="F10380" t="s">
        <v>33979</v>
      </c>
      <c r="G10380" t="s">
        <v>33970</v>
      </c>
      <c r="H10380" t="s">
        <v>33977</v>
      </c>
    </row>
    <row r="10381" spans="1:8">
      <c r="A10381" t="str">
        <f>"0219560 "</f>
        <v xml:space="preserve">0219560 </v>
      </c>
      <c r="B10381" t="s">
        <v>33966</v>
      </c>
      <c r="C10381" t="s">
        <v>33980</v>
      </c>
      <c r="D10381" t="s">
        <v>33981</v>
      </c>
      <c r="E10381">
        <v>4</v>
      </c>
      <c r="F10381" t="s">
        <v>33982</v>
      </c>
      <c r="G10381" t="s">
        <v>32614</v>
      </c>
      <c r="H10381" t="s">
        <v>33980</v>
      </c>
    </row>
    <row r="10382" spans="1:8">
      <c r="A10382" t="str">
        <f>"0219559 "</f>
        <v xml:space="preserve">0219559 </v>
      </c>
      <c r="B10382" t="s">
        <v>33966</v>
      </c>
      <c r="C10382" t="s">
        <v>33983</v>
      </c>
      <c r="D10382" t="s">
        <v>33984</v>
      </c>
      <c r="E10382">
        <v>5</v>
      </c>
      <c r="F10382" t="s">
        <v>17352</v>
      </c>
      <c r="G10382" t="s">
        <v>32614</v>
      </c>
      <c r="H10382" t="s">
        <v>33983</v>
      </c>
    </row>
    <row r="10383" spans="1:8">
      <c r="A10383" t="str">
        <f>"0248766 "</f>
        <v xml:space="preserve">0248766 </v>
      </c>
      <c r="B10383" t="s">
        <v>33966</v>
      </c>
      <c r="C10383" t="s">
        <v>33985</v>
      </c>
      <c r="D10383" t="s">
        <v>33986</v>
      </c>
      <c r="E10383">
        <v>1</v>
      </c>
      <c r="F10383" t="s">
        <v>33987</v>
      </c>
      <c r="G10383" t="s">
        <v>32614</v>
      </c>
      <c r="H10383" t="s">
        <v>33985</v>
      </c>
    </row>
    <row r="10384" spans="1:8">
      <c r="A10384" t="str">
        <f>"0219970 "</f>
        <v xml:space="preserve">0219970 </v>
      </c>
      <c r="B10384" t="s">
        <v>33966</v>
      </c>
      <c r="C10384" t="s">
        <v>33988</v>
      </c>
      <c r="D10384" t="s">
        <v>33989</v>
      </c>
      <c r="E10384">
        <v>2</v>
      </c>
      <c r="F10384" t="s">
        <v>32706</v>
      </c>
      <c r="G10384" t="s">
        <v>32614</v>
      </c>
      <c r="H10384" t="s">
        <v>33988</v>
      </c>
    </row>
    <row r="10385" spans="1:8">
      <c r="A10385" t="str">
        <f>"0219561 "</f>
        <v xml:space="preserve">0219561 </v>
      </c>
      <c r="B10385" t="s">
        <v>33966</v>
      </c>
      <c r="C10385" t="s">
        <v>33990</v>
      </c>
      <c r="D10385" t="s">
        <v>33991</v>
      </c>
      <c r="E10385">
        <v>5</v>
      </c>
      <c r="F10385" t="s">
        <v>33992</v>
      </c>
      <c r="G10385" t="s">
        <v>32614</v>
      </c>
      <c r="H10385" t="s">
        <v>33990</v>
      </c>
    </row>
    <row r="10386" spans="1:8">
      <c r="A10386" t="str">
        <f>"0219562 "</f>
        <v xml:space="preserve">0219562 </v>
      </c>
      <c r="B10386" t="s">
        <v>33966</v>
      </c>
      <c r="C10386" t="s">
        <v>33993</v>
      </c>
      <c r="D10386" t="s">
        <v>33994</v>
      </c>
      <c r="E10386">
        <v>4</v>
      </c>
      <c r="F10386" t="s">
        <v>33995</v>
      </c>
      <c r="G10386" t="s">
        <v>32614</v>
      </c>
      <c r="H10386" t="s">
        <v>33993</v>
      </c>
    </row>
    <row r="10387" spans="1:8">
      <c r="A10387" t="str">
        <f>"0248767 "</f>
        <v xml:space="preserve">0248767 </v>
      </c>
      <c r="B10387" t="s">
        <v>33966</v>
      </c>
      <c r="C10387" t="s">
        <v>33996</v>
      </c>
      <c r="D10387" t="s">
        <v>33997</v>
      </c>
      <c r="E10387">
        <v>2</v>
      </c>
      <c r="F10387" t="s">
        <v>15374</v>
      </c>
      <c r="G10387" t="s">
        <v>32614</v>
      </c>
      <c r="H10387" t="s">
        <v>33996</v>
      </c>
    </row>
    <row r="10388" spans="1:8">
      <c r="A10388" t="str">
        <f>"0219971 "</f>
        <v xml:space="preserve">0219971 </v>
      </c>
      <c r="B10388" t="s">
        <v>33966</v>
      </c>
      <c r="C10388" t="s">
        <v>33998</v>
      </c>
      <c r="D10388" t="s">
        <v>33999</v>
      </c>
      <c r="E10388">
        <v>2</v>
      </c>
      <c r="F10388" t="s">
        <v>34000</v>
      </c>
      <c r="G10388" t="s">
        <v>32614</v>
      </c>
      <c r="H10388" t="s">
        <v>33998</v>
      </c>
    </row>
    <row r="10389" spans="1:8">
      <c r="A10389" t="str">
        <f>"0219564 "</f>
        <v xml:space="preserve">0219564 </v>
      </c>
      <c r="B10389" t="s">
        <v>33966</v>
      </c>
      <c r="C10389" t="s">
        <v>34001</v>
      </c>
      <c r="D10389" t="s">
        <v>34002</v>
      </c>
      <c r="E10389" t="s">
        <v>16</v>
      </c>
      <c r="F10389" t="s">
        <v>5606</v>
      </c>
      <c r="G10389" t="s">
        <v>32614</v>
      </c>
      <c r="H10389" t="s">
        <v>34001</v>
      </c>
    </row>
    <row r="10390" spans="1:8">
      <c r="A10390" t="str">
        <f>"0219563 "</f>
        <v xml:space="preserve">0219563 </v>
      </c>
      <c r="B10390" t="s">
        <v>33966</v>
      </c>
      <c r="C10390" t="s">
        <v>34003</v>
      </c>
      <c r="D10390" t="s">
        <v>34004</v>
      </c>
      <c r="E10390" t="s">
        <v>16</v>
      </c>
      <c r="F10390" t="s">
        <v>34005</v>
      </c>
      <c r="G10390" t="s">
        <v>32614</v>
      </c>
      <c r="H10390" t="s">
        <v>34003</v>
      </c>
    </row>
    <row r="10391" spans="1:8">
      <c r="A10391" t="str">
        <f>"0219566 "</f>
        <v xml:space="preserve">0219566 </v>
      </c>
      <c r="B10391" t="s">
        <v>33966</v>
      </c>
      <c r="C10391" t="s">
        <v>34006</v>
      </c>
      <c r="D10391" t="s">
        <v>34007</v>
      </c>
      <c r="E10391">
        <v>3</v>
      </c>
      <c r="F10391" t="s">
        <v>12244</v>
      </c>
      <c r="G10391" t="s">
        <v>32614</v>
      </c>
      <c r="H10391" t="s">
        <v>34006</v>
      </c>
    </row>
    <row r="10392" spans="1:8">
      <c r="A10392" t="str">
        <f>"0219565 "</f>
        <v xml:space="preserve">0219565 </v>
      </c>
      <c r="B10392" t="s">
        <v>33966</v>
      </c>
      <c r="C10392" t="s">
        <v>34008</v>
      </c>
      <c r="D10392" t="s">
        <v>34009</v>
      </c>
      <c r="E10392">
        <v>5</v>
      </c>
      <c r="F10392" t="s">
        <v>34010</v>
      </c>
      <c r="G10392" t="s">
        <v>32614</v>
      </c>
      <c r="H10392" t="s">
        <v>34008</v>
      </c>
    </row>
    <row r="10393" spans="1:8">
      <c r="A10393" t="str">
        <f>"0219546 "</f>
        <v xml:space="preserve">0219546 </v>
      </c>
      <c r="B10393" t="s">
        <v>33966</v>
      </c>
      <c r="C10393" t="s">
        <v>34011</v>
      </c>
      <c r="D10393" t="s">
        <v>34012</v>
      </c>
      <c r="E10393" t="s">
        <v>16</v>
      </c>
      <c r="F10393" t="s">
        <v>33815</v>
      </c>
      <c r="G10393" t="s">
        <v>34013</v>
      </c>
      <c r="H10393" t="s">
        <v>34011</v>
      </c>
    </row>
    <row r="10394" spans="1:8">
      <c r="A10394" t="str">
        <f>"0219592 "</f>
        <v xml:space="preserve">0219592 </v>
      </c>
      <c r="B10394" t="s">
        <v>33966</v>
      </c>
      <c r="C10394" t="s">
        <v>34014</v>
      </c>
      <c r="D10394" t="s">
        <v>34015</v>
      </c>
      <c r="E10394">
        <v>4</v>
      </c>
      <c r="F10394" t="s">
        <v>34016</v>
      </c>
      <c r="G10394" t="s">
        <v>34013</v>
      </c>
      <c r="H10394" t="s">
        <v>34014</v>
      </c>
    </row>
    <row r="10395" spans="1:8">
      <c r="A10395" t="str">
        <f>"0219548 "</f>
        <v xml:space="preserve">0219548 </v>
      </c>
      <c r="B10395" t="s">
        <v>33966</v>
      </c>
      <c r="C10395" t="s">
        <v>34017</v>
      </c>
      <c r="D10395" t="s">
        <v>34015</v>
      </c>
      <c r="E10395" t="s">
        <v>16</v>
      </c>
      <c r="F10395" t="s">
        <v>34016</v>
      </c>
      <c r="G10395" t="s">
        <v>34013</v>
      </c>
      <c r="H10395" t="s">
        <v>34017</v>
      </c>
    </row>
    <row r="10396" spans="1:8">
      <c r="A10396" t="str">
        <f>"0219554 "</f>
        <v xml:space="preserve">0219554 </v>
      </c>
      <c r="B10396" t="s">
        <v>33966</v>
      </c>
      <c r="C10396" t="s">
        <v>34018</v>
      </c>
      <c r="D10396" t="s">
        <v>34019</v>
      </c>
      <c r="E10396" t="s">
        <v>16</v>
      </c>
      <c r="F10396" t="s">
        <v>34020</v>
      </c>
      <c r="G10396" t="s">
        <v>34013</v>
      </c>
      <c r="H10396" t="s">
        <v>34018</v>
      </c>
    </row>
    <row r="10397" spans="1:8">
      <c r="A10397" t="str">
        <f>"0219555 "</f>
        <v xml:space="preserve">0219555 </v>
      </c>
      <c r="B10397" t="s">
        <v>33966</v>
      </c>
      <c r="C10397" t="s">
        <v>34021</v>
      </c>
      <c r="D10397" t="s">
        <v>34022</v>
      </c>
      <c r="E10397">
        <v>5</v>
      </c>
      <c r="F10397" t="s">
        <v>7671</v>
      </c>
      <c r="G10397" t="s">
        <v>34013</v>
      </c>
      <c r="H10397" t="s">
        <v>34021</v>
      </c>
    </row>
    <row r="10398" spans="1:8">
      <c r="A10398" t="str">
        <f>"0219556 "</f>
        <v xml:space="preserve">0219556 </v>
      </c>
      <c r="B10398" t="s">
        <v>33966</v>
      </c>
      <c r="C10398" t="s">
        <v>34023</v>
      </c>
      <c r="D10398" t="s">
        <v>34024</v>
      </c>
      <c r="E10398">
        <v>1</v>
      </c>
      <c r="F10398" t="s">
        <v>34025</v>
      </c>
      <c r="G10398" t="s">
        <v>34013</v>
      </c>
      <c r="H10398" t="s">
        <v>34023</v>
      </c>
    </row>
    <row r="10399" spans="1:8">
      <c r="A10399" t="str">
        <f>"0252338 "</f>
        <v xml:space="preserve">0252338 </v>
      </c>
      <c r="B10399" t="s">
        <v>33966</v>
      </c>
      <c r="C10399" t="s">
        <v>34026</v>
      </c>
      <c r="D10399" t="s">
        <v>34027</v>
      </c>
      <c r="E10399">
        <v>5</v>
      </c>
      <c r="F10399" t="s">
        <v>34028</v>
      </c>
      <c r="G10399" t="s">
        <v>32614</v>
      </c>
      <c r="H10399" t="s">
        <v>34026</v>
      </c>
    </row>
    <row r="10400" spans="1:8">
      <c r="A10400" t="str">
        <f>"0252350 "</f>
        <v xml:space="preserve">0252350 </v>
      </c>
      <c r="B10400" t="s">
        <v>33966</v>
      </c>
      <c r="C10400" t="s">
        <v>34029</v>
      </c>
      <c r="D10400" t="s">
        <v>34030</v>
      </c>
      <c r="E10400" t="s">
        <v>16</v>
      </c>
      <c r="F10400" t="s">
        <v>6068</v>
      </c>
      <c r="G10400" t="s">
        <v>32614</v>
      </c>
      <c r="H10400" t="s">
        <v>34029</v>
      </c>
    </row>
    <row r="10401" spans="1:8">
      <c r="A10401" t="str">
        <f>"0219572 "</f>
        <v xml:space="preserve">0219572 </v>
      </c>
      <c r="B10401" t="s">
        <v>33966</v>
      </c>
      <c r="C10401" t="s">
        <v>34031</v>
      </c>
      <c r="D10401" t="s">
        <v>34032</v>
      </c>
      <c r="E10401" t="s">
        <v>16</v>
      </c>
      <c r="F10401" t="s">
        <v>32913</v>
      </c>
      <c r="G10401" t="s">
        <v>32614</v>
      </c>
      <c r="H10401" t="s">
        <v>34031</v>
      </c>
    </row>
    <row r="10402" spans="1:8">
      <c r="A10402" t="str">
        <f>"0219573 "</f>
        <v xml:space="preserve">0219573 </v>
      </c>
      <c r="B10402" t="s">
        <v>33966</v>
      </c>
      <c r="C10402" t="s">
        <v>34033</v>
      </c>
      <c r="D10402" t="s">
        <v>34034</v>
      </c>
      <c r="E10402" t="s">
        <v>16</v>
      </c>
      <c r="F10402" t="s">
        <v>19709</v>
      </c>
      <c r="G10402" t="s">
        <v>32614</v>
      </c>
      <c r="H10402" t="s">
        <v>34033</v>
      </c>
    </row>
    <row r="10403" spans="1:8">
      <c r="A10403" t="str">
        <f>"0219570 "</f>
        <v xml:space="preserve">0219570 </v>
      </c>
      <c r="B10403" t="s">
        <v>33966</v>
      </c>
      <c r="C10403" t="s">
        <v>34035</v>
      </c>
      <c r="D10403" t="s">
        <v>34036</v>
      </c>
      <c r="E10403">
        <v>2</v>
      </c>
      <c r="F10403" t="s">
        <v>34037</v>
      </c>
      <c r="G10403" t="s">
        <v>33832</v>
      </c>
      <c r="H10403" t="s">
        <v>34035</v>
      </c>
    </row>
    <row r="10404" spans="1:8">
      <c r="A10404" t="str">
        <f>"0219567 "</f>
        <v xml:space="preserve">0219567 </v>
      </c>
      <c r="B10404" t="s">
        <v>33966</v>
      </c>
      <c r="C10404" t="s">
        <v>34038</v>
      </c>
      <c r="D10404" t="s">
        <v>34039</v>
      </c>
      <c r="E10404">
        <v>5</v>
      </c>
      <c r="F10404" t="s">
        <v>18803</v>
      </c>
      <c r="G10404" t="s">
        <v>33832</v>
      </c>
      <c r="H10404" t="s">
        <v>34038</v>
      </c>
    </row>
    <row r="10405" spans="1:8">
      <c r="A10405" t="str">
        <f>"0219568 "</f>
        <v xml:space="preserve">0219568 </v>
      </c>
      <c r="B10405" t="s">
        <v>33966</v>
      </c>
      <c r="C10405" t="s">
        <v>34040</v>
      </c>
      <c r="D10405" t="s">
        <v>34041</v>
      </c>
      <c r="E10405">
        <v>1</v>
      </c>
      <c r="F10405" t="s">
        <v>34042</v>
      </c>
      <c r="G10405" t="s">
        <v>33832</v>
      </c>
      <c r="H10405" t="s">
        <v>34040</v>
      </c>
    </row>
    <row r="10406" spans="1:8">
      <c r="A10406" t="str">
        <f>"0219552 "</f>
        <v xml:space="preserve">0219552 </v>
      </c>
      <c r="B10406" t="s">
        <v>33966</v>
      </c>
      <c r="C10406" t="s">
        <v>34043</v>
      </c>
      <c r="D10406" t="s">
        <v>34044</v>
      </c>
      <c r="E10406">
        <v>3</v>
      </c>
      <c r="F10406" t="s">
        <v>34045</v>
      </c>
      <c r="G10406" t="s">
        <v>33832</v>
      </c>
      <c r="H10406" t="s">
        <v>34043</v>
      </c>
    </row>
    <row r="10407" spans="1:8">
      <c r="A10407" t="str">
        <f>"0219553 "</f>
        <v xml:space="preserve">0219553 </v>
      </c>
      <c r="B10407" t="s">
        <v>33966</v>
      </c>
      <c r="C10407" t="s">
        <v>34046</v>
      </c>
      <c r="D10407" t="s">
        <v>34047</v>
      </c>
      <c r="E10407">
        <v>2</v>
      </c>
      <c r="F10407" t="s">
        <v>33976</v>
      </c>
      <c r="G10407" t="s">
        <v>33832</v>
      </c>
      <c r="H10407" t="s">
        <v>34046</v>
      </c>
    </row>
    <row r="10408" spans="1:8">
      <c r="A10408" t="str">
        <f>"0219569 "</f>
        <v xml:space="preserve">0219569 </v>
      </c>
      <c r="B10408" t="s">
        <v>33966</v>
      </c>
      <c r="C10408" t="s">
        <v>34048</v>
      </c>
      <c r="D10408" t="s">
        <v>34049</v>
      </c>
      <c r="E10408" t="s">
        <v>16</v>
      </c>
      <c r="F10408" t="s">
        <v>34050</v>
      </c>
      <c r="G10408" t="s">
        <v>33832</v>
      </c>
      <c r="H10408" t="s">
        <v>34048</v>
      </c>
    </row>
    <row r="10409" spans="1:8">
      <c r="A10409" t="str">
        <f>"0219558 "</f>
        <v xml:space="preserve">0219558 </v>
      </c>
      <c r="B10409" t="s">
        <v>33966</v>
      </c>
      <c r="C10409" t="s">
        <v>34051</v>
      </c>
      <c r="D10409" t="s">
        <v>34052</v>
      </c>
      <c r="E10409">
        <v>4</v>
      </c>
      <c r="F10409" t="s">
        <v>32673</v>
      </c>
      <c r="G10409" t="s">
        <v>34013</v>
      </c>
      <c r="H10409" t="s">
        <v>34051</v>
      </c>
    </row>
    <row r="10410" spans="1:8">
      <c r="A10410" t="str">
        <f>"0219156 "</f>
        <v xml:space="preserve">0219156 </v>
      </c>
      <c r="B10410" t="s">
        <v>34053</v>
      </c>
      <c r="C10410" t="s">
        <v>34054</v>
      </c>
      <c r="D10410" t="s">
        <v>34055</v>
      </c>
      <c r="E10410">
        <v>3</v>
      </c>
      <c r="F10410" t="s">
        <v>25153</v>
      </c>
      <c r="G10410" t="s">
        <v>32853</v>
      </c>
      <c r="H10410" t="s">
        <v>34054</v>
      </c>
    </row>
    <row r="10411" spans="1:8">
      <c r="A10411" t="str">
        <f>"0219153 "</f>
        <v xml:space="preserve">0219153 </v>
      </c>
      <c r="B10411" t="s">
        <v>34053</v>
      </c>
      <c r="C10411" t="s">
        <v>34056</v>
      </c>
      <c r="D10411" t="s">
        <v>34057</v>
      </c>
      <c r="E10411" t="s">
        <v>16</v>
      </c>
      <c r="F10411" s="3">
        <v>15128</v>
      </c>
      <c r="G10411" t="s">
        <v>32853</v>
      </c>
      <c r="H10411" t="s">
        <v>34056</v>
      </c>
    </row>
    <row r="10412" spans="1:8">
      <c r="A10412" t="str">
        <f>"0219151 "</f>
        <v xml:space="preserve">0219151 </v>
      </c>
      <c r="B10412" t="s">
        <v>34053</v>
      </c>
      <c r="C10412" t="s">
        <v>34058</v>
      </c>
      <c r="D10412" t="s">
        <v>34059</v>
      </c>
      <c r="E10412" t="s">
        <v>16</v>
      </c>
      <c r="F10412" s="3">
        <v>22402</v>
      </c>
      <c r="G10412" t="s">
        <v>32853</v>
      </c>
      <c r="H10412" t="s">
        <v>34058</v>
      </c>
    </row>
    <row r="10413" spans="1:8">
      <c r="A10413" t="str">
        <f>"0219163 "</f>
        <v xml:space="preserve">0219163 </v>
      </c>
      <c r="B10413" t="s">
        <v>34053</v>
      </c>
      <c r="C10413" t="s">
        <v>34060</v>
      </c>
      <c r="D10413" t="s">
        <v>34061</v>
      </c>
      <c r="E10413">
        <v>2</v>
      </c>
      <c r="F10413" t="s">
        <v>19709</v>
      </c>
      <c r="G10413" t="s">
        <v>32853</v>
      </c>
      <c r="H10413" t="s">
        <v>34060</v>
      </c>
    </row>
    <row r="10414" spans="1:8">
      <c r="A10414" t="str">
        <f>"0219159 "</f>
        <v xml:space="preserve">0219159 </v>
      </c>
      <c r="B10414" t="s">
        <v>34053</v>
      </c>
      <c r="C10414" t="s">
        <v>34062</v>
      </c>
      <c r="D10414" t="s">
        <v>34063</v>
      </c>
      <c r="E10414" t="s">
        <v>16</v>
      </c>
      <c r="F10414" t="s">
        <v>19709</v>
      </c>
      <c r="G10414" t="s">
        <v>32853</v>
      </c>
      <c r="H10414" t="s">
        <v>34062</v>
      </c>
    </row>
    <row r="10415" spans="1:8">
      <c r="A10415" t="str">
        <f>"0219162 "</f>
        <v xml:space="preserve">0219162 </v>
      </c>
      <c r="B10415" t="s">
        <v>34053</v>
      </c>
      <c r="C10415" t="s">
        <v>34064</v>
      </c>
      <c r="D10415" t="s">
        <v>34065</v>
      </c>
      <c r="E10415" t="s">
        <v>16</v>
      </c>
      <c r="F10415" t="s">
        <v>34066</v>
      </c>
      <c r="G10415" t="s">
        <v>32853</v>
      </c>
      <c r="H10415" t="s">
        <v>34064</v>
      </c>
    </row>
    <row r="10416" spans="1:8">
      <c r="A10416" t="str">
        <f>"0219148 "</f>
        <v xml:space="preserve">0219148 </v>
      </c>
      <c r="B10416" t="s">
        <v>34053</v>
      </c>
      <c r="C10416" t="s">
        <v>34067</v>
      </c>
      <c r="D10416" t="s">
        <v>34068</v>
      </c>
      <c r="E10416" t="s">
        <v>16</v>
      </c>
      <c r="F10416" s="3">
        <v>15615</v>
      </c>
      <c r="G10416" t="s">
        <v>33832</v>
      </c>
      <c r="H10416" t="s">
        <v>34067</v>
      </c>
    </row>
    <row r="10417" spans="1:8">
      <c r="A10417" t="str">
        <f>"0219145 "</f>
        <v xml:space="preserve">0219145 </v>
      </c>
      <c r="B10417" t="s">
        <v>34053</v>
      </c>
      <c r="C10417" t="s">
        <v>34069</v>
      </c>
      <c r="D10417" t="s">
        <v>34070</v>
      </c>
      <c r="E10417" t="s">
        <v>16</v>
      </c>
      <c r="F10417" s="3">
        <v>25873</v>
      </c>
      <c r="G10417" t="s">
        <v>33832</v>
      </c>
      <c r="H10417" t="s">
        <v>34069</v>
      </c>
    </row>
    <row r="10418" spans="1:8">
      <c r="A10418" t="str">
        <f>"0219146 "</f>
        <v xml:space="preserve">0219146 </v>
      </c>
      <c r="B10418" t="s">
        <v>34053</v>
      </c>
      <c r="C10418" t="s">
        <v>34071</v>
      </c>
      <c r="D10418" t="s">
        <v>34072</v>
      </c>
      <c r="E10418" t="s">
        <v>16</v>
      </c>
      <c r="F10418" t="s">
        <v>33845</v>
      </c>
      <c r="G10418" t="s">
        <v>33832</v>
      </c>
      <c r="H10418" t="s">
        <v>34071</v>
      </c>
    </row>
    <row r="10419" spans="1:8">
      <c r="A10419" t="str">
        <f>"0219170 "</f>
        <v xml:space="preserve">0219170 </v>
      </c>
      <c r="B10419" t="s">
        <v>34053</v>
      </c>
      <c r="C10419" t="s">
        <v>34073</v>
      </c>
      <c r="D10419" t="s">
        <v>34074</v>
      </c>
      <c r="E10419" t="s">
        <v>16</v>
      </c>
      <c r="F10419" t="s">
        <v>34075</v>
      </c>
      <c r="G10419" t="s">
        <v>33832</v>
      </c>
      <c r="H10419" t="s">
        <v>34073</v>
      </c>
    </row>
    <row r="10420" spans="1:8">
      <c r="A10420" t="str">
        <f>"0219169 "</f>
        <v xml:space="preserve">0219169 </v>
      </c>
      <c r="B10420" t="s">
        <v>34053</v>
      </c>
      <c r="C10420" t="s">
        <v>34076</v>
      </c>
      <c r="D10420" t="s">
        <v>34077</v>
      </c>
      <c r="E10420" t="s">
        <v>16</v>
      </c>
      <c r="F10420" t="s">
        <v>34075</v>
      </c>
      <c r="G10420" t="s">
        <v>33832</v>
      </c>
      <c r="H10420" t="s">
        <v>34076</v>
      </c>
    </row>
    <row r="10421" spans="1:8">
      <c r="A10421" t="str">
        <f>"0219168 "</f>
        <v xml:space="preserve">0219168 </v>
      </c>
      <c r="B10421" t="s">
        <v>34053</v>
      </c>
      <c r="C10421" t="s">
        <v>34078</v>
      </c>
      <c r="D10421" t="s">
        <v>34079</v>
      </c>
      <c r="E10421" t="s">
        <v>16</v>
      </c>
      <c r="F10421" t="s">
        <v>34080</v>
      </c>
      <c r="G10421" t="s">
        <v>33832</v>
      </c>
      <c r="H10421" t="s">
        <v>34078</v>
      </c>
    </row>
    <row r="10422" spans="1:8">
      <c r="A10422" t="str">
        <f>"0219143 "</f>
        <v xml:space="preserve">0219143 </v>
      </c>
      <c r="B10422" t="s">
        <v>34053</v>
      </c>
      <c r="C10422" t="s">
        <v>34081</v>
      </c>
      <c r="D10422" t="s">
        <v>34082</v>
      </c>
      <c r="E10422" t="s">
        <v>16</v>
      </c>
      <c r="F10422" t="s">
        <v>34080</v>
      </c>
      <c r="G10422" t="s">
        <v>33832</v>
      </c>
      <c r="H10422" t="s">
        <v>34081</v>
      </c>
    </row>
    <row r="10423" spans="1:8">
      <c r="A10423" t="str">
        <f>"0219164 "</f>
        <v xml:space="preserve">0219164 </v>
      </c>
      <c r="B10423" t="s">
        <v>34053</v>
      </c>
      <c r="C10423" t="s">
        <v>34083</v>
      </c>
      <c r="D10423" t="s">
        <v>34084</v>
      </c>
      <c r="E10423" t="s">
        <v>16</v>
      </c>
      <c r="F10423" t="s">
        <v>34080</v>
      </c>
      <c r="G10423" t="s">
        <v>33832</v>
      </c>
      <c r="H10423" t="s">
        <v>34083</v>
      </c>
    </row>
    <row r="10424" spans="1:8">
      <c r="A10424" t="str">
        <f>"0219165 "</f>
        <v xml:space="preserve">0219165 </v>
      </c>
      <c r="B10424" t="s">
        <v>34053</v>
      </c>
      <c r="C10424" t="s">
        <v>34085</v>
      </c>
      <c r="D10424" t="s">
        <v>34086</v>
      </c>
      <c r="E10424">
        <v>5</v>
      </c>
      <c r="F10424" t="s">
        <v>34080</v>
      </c>
      <c r="G10424" t="s">
        <v>33832</v>
      </c>
      <c r="H10424" t="s">
        <v>34085</v>
      </c>
    </row>
    <row r="10425" spans="1:8">
      <c r="A10425" t="str">
        <f>"0219166 "</f>
        <v xml:space="preserve">0219166 </v>
      </c>
      <c r="B10425" t="s">
        <v>34053</v>
      </c>
      <c r="C10425" t="s">
        <v>34087</v>
      </c>
      <c r="D10425" t="s">
        <v>34088</v>
      </c>
      <c r="E10425" t="s">
        <v>16</v>
      </c>
      <c r="F10425" t="s">
        <v>34080</v>
      </c>
      <c r="G10425" t="s">
        <v>33832</v>
      </c>
      <c r="H10425" t="s">
        <v>34087</v>
      </c>
    </row>
    <row r="10426" spans="1:8">
      <c r="A10426" t="str">
        <f>"0219167 "</f>
        <v xml:space="preserve">0219167 </v>
      </c>
      <c r="B10426" t="s">
        <v>34053</v>
      </c>
      <c r="C10426" t="s">
        <v>34089</v>
      </c>
      <c r="D10426" t="s">
        <v>34090</v>
      </c>
      <c r="E10426">
        <v>5</v>
      </c>
      <c r="F10426" t="s">
        <v>34080</v>
      </c>
      <c r="G10426" t="s">
        <v>33832</v>
      </c>
      <c r="H10426" t="s">
        <v>34089</v>
      </c>
    </row>
    <row r="10427" spans="1:8">
      <c r="A10427" t="str">
        <f>"0219147 "</f>
        <v xml:space="preserve">0219147 </v>
      </c>
      <c r="B10427" t="s">
        <v>34053</v>
      </c>
      <c r="C10427" t="s">
        <v>34091</v>
      </c>
      <c r="D10427" t="s">
        <v>34092</v>
      </c>
      <c r="E10427" t="s">
        <v>16</v>
      </c>
      <c r="F10427" t="s">
        <v>34093</v>
      </c>
      <c r="G10427" t="s">
        <v>33832</v>
      </c>
      <c r="H10427" t="s">
        <v>34091</v>
      </c>
    </row>
    <row r="10428" spans="1:8">
      <c r="A10428" t="str">
        <f>"0220041 "</f>
        <v xml:space="preserve">0220041 </v>
      </c>
      <c r="B10428" t="s">
        <v>34053</v>
      </c>
      <c r="C10428" t="s">
        <v>34094</v>
      </c>
      <c r="D10428" t="s">
        <v>34095</v>
      </c>
      <c r="E10428" t="s">
        <v>16</v>
      </c>
      <c r="F10428" t="s">
        <v>28814</v>
      </c>
      <c r="G10428" t="s">
        <v>33832</v>
      </c>
      <c r="H10428" t="s">
        <v>34094</v>
      </c>
    </row>
    <row r="10429" spans="1:8">
      <c r="A10429" t="str">
        <f>"0220042 "</f>
        <v xml:space="preserve">0220042 </v>
      </c>
      <c r="B10429" t="s">
        <v>34053</v>
      </c>
      <c r="C10429" t="s">
        <v>34096</v>
      </c>
      <c r="D10429" t="s">
        <v>34097</v>
      </c>
      <c r="E10429" t="s">
        <v>16</v>
      </c>
      <c r="F10429" t="s">
        <v>28814</v>
      </c>
      <c r="G10429" t="s">
        <v>33832</v>
      </c>
      <c r="H10429" t="s">
        <v>34096</v>
      </c>
    </row>
    <row r="10430" spans="1:8">
      <c r="A10430" t="str">
        <f>"0220043 "</f>
        <v xml:space="preserve">0220043 </v>
      </c>
      <c r="B10430" t="s">
        <v>34053</v>
      </c>
      <c r="C10430" t="s">
        <v>34098</v>
      </c>
      <c r="D10430" t="s">
        <v>34099</v>
      </c>
      <c r="E10430" t="s">
        <v>16</v>
      </c>
      <c r="F10430" t="s">
        <v>28814</v>
      </c>
      <c r="G10430" t="s">
        <v>33832</v>
      </c>
      <c r="H10430" t="s">
        <v>34098</v>
      </c>
    </row>
    <row r="10431" spans="1:8">
      <c r="A10431" t="str">
        <f>"0220044 "</f>
        <v xml:space="preserve">0220044 </v>
      </c>
      <c r="B10431" t="s">
        <v>34053</v>
      </c>
      <c r="C10431" t="s">
        <v>34100</v>
      </c>
      <c r="D10431" t="s">
        <v>34101</v>
      </c>
      <c r="E10431" t="s">
        <v>16</v>
      </c>
      <c r="F10431" t="s">
        <v>28814</v>
      </c>
      <c r="G10431" t="s">
        <v>33832</v>
      </c>
      <c r="H10431" t="s">
        <v>34100</v>
      </c>
    </row>
    <row r="10432" spans="1:8">
      <c r="A10432" t="str">
        <f>"0220045 "</f>
        <v xml:space="preserve">0220045 </v>
      </c>
      <c r="B10432" t="s">
        <v>34053</v>
      </c>
      <c r="C10432" t="s">
        <v>34102</v>
      </c>
      <c r="D10432" t="s">
        <v>34103</v>
      </c>
      <c r="E10432" t="s">
        <v>16</v>
      </c>
      <c r="F10432" t="s">
        <v>28814</v>
      </c>
      <c r="G10432" t="s">
        <v>33832</v>
      </c>
      <c r="H10432" t="s">
        <v>34102</v>
      </c>
    </row>
    <row r="10433" spans="1:8">
      <c r="A10433" t="str">
        <f>"0220046 "</f>
        <v xml:space="preserve">0220046 </v>
      </c>
      <c r="B10433" t="s">
        <v>34053</v>
      </c>
      <c r="C10433" t="s">
        <v>34104</v>
      </c>
      <c r="D10433" t="s">
        <v>34105</v>
      </c>
      <c r="E10433" t="s">
        <v>16</v>
      </c>
      <c r="F10433" t="s">
        <v>28814</v>
      </c>
      <c r="G10433" t="s">
        <v>33832</v>
      </c>
      <c r="H10433" t="s">
        <v>34104</v>
      </c>
    </row>
    <row r="10434" spans="1:8">
      <c r="A10434" t="str">
        <f>"0219144 "</f>
        <v xml:space="preserve">0219144 </v>
      </c>
      <c r="B10434" t="s">
        <v>34053</v>
      </c>
      <c r="C10434" t="s">
        <v>34106</v>
      </c>
      <c r="D10434" t="s">
        <v>34107</v>
      </c>
      <c r="E10434" t="s">
        <v>16</v>
      </c>
      <c r="F10434" t="s">
        <v>34108</v>
      </c>
      <c r="G10434" t="s">
        <v>33832</v>
      </c>
      <c r="H10434" t="s">
        <v>34106</v>
      </c>
    </row>
    <row r="10435" spans="1:8">
      <c r="A10435" t="str">
        <f>"0218931 "</f>
        <v xml:space="preserve">0218931 </v>
      </c>
      <c r="B10435" t="s">
        <v>34109</v>
      </c>
      <c r="C10435" t="s">
        <v>34110</v>
      </c>
      <c r="D10435" t="s">
        <v>34111</v>
      </c>
      <c r="E10435">
        <v>5</v>
      </c>
      <c r="F10435" t="s">
        <v>33642</v>
      </c>
      <c r="G10435" t="s">
        <v>32614</v>
      </c>
      <c r="H10435" t="s">
        <v>34110</v>
      </c>
    </row>
    <row r="10436" spans="1:8">
      <c r="A10436" t="str">
        <f>"0218933 "</f>
        <v xml:space="preserve">0218933 </v>
      </c>
      <c r="B10436" t="s">
        <v>34109</v>
      </c>
      <c r="C10436" t="s">
        <v>34112</v>
      </c>
      <c r="D10436" t="s">
        <v>34113</v>
      </c>
      <c r="E10436" t="s">
        <v>16</v>
      </c>
      <c r="F10436" t="s">
        <v>34114</v>
      </c>
      <c r="G10436" t="s">
        <v>32614</v>
      </c>
      <c r="H10436" t="s">
        <v>34112</v>
      </c>
    </row>
    <row r="10437" spans="1:8">
      <c r="A10437" t="str">
        <f>"0218935 "</f>
        <v xml:space="preserve">0218935 </v>
      </c>
      <c r="B10437" t="s">
        <v>34109</v>
      </c>
      <c r="C10437" t="s">
        <v>34115</v>
      </c>
      <c r="D10437" t="s">
        <v>34116</v>
      </c>
      <c r="E10437" t="s">
        <v>16</v>
      </c>
      <c r="F10437" t="s">
        <v>648</v>
      </c>
      <c r="G10437" t="s">
        <v>32614</v>
      </c>
      <c r="H10437" t="s">
        <v>34115</v>
      </c>
    </row>
    <row r="10438" spans="1:8">
      <c r="A10438" t="str">
        <f>"0251955 "</f>
        <v xml:space="preserve">0251955 </v>
      </c>
      <c r="B10438" t="s">
        <v>34109</v>
      </c>
      <c r="C10438" t="s">
        <v>34117</v>
      </c>
      <c r="D10438" t="s">
        <v>34111</v>
      </c>
      <c r="E10438" t="s">
        <v>16</v>
      </c>
      <c r="F10438" t="s">
        <v>19874</v>
      </c>
      <c r="G10438" t="s">
        <v>32614</v>
      </c>
      <c r="H10438" t="s">
        <v>34117</v>
      </c>
    </row>
    <row r="10439" spans="1:8">
      <c r="A10439" t="str">
        <f>"0218936 "</f>
        <v xml:space="preserve">0218936 </v>
      </c>
      <c r="B10439" t="s">
        <v>34109</v>
      </c>
      <c r="C10439" t="s">
        <v>34118</v>
      </c>
      <c r="D10439" t="s">
        <v>34119</v>
      </c>
      <c r="E10439" t="s">
        <v>16</v>
      </c>
      <c r="F10439" t="s">
        <v>34120</v>
      </c>
      <c r="G10439" t="s">
        <v>32614</v>
      </c>
      <c r="H10439" t="s">
        <v>34118</v>
      </c>
    </row>
    <row r="10440" spans="1:8">
      <c r="A10440" t="str">
        <f>"0218938 "</f>
        <v xml:space="preserve">0218938 </v>
      </c>
      <c r="B10440" t="s">
        <v>34109</v>
      </c>
      <c r="C10440" t="s">
        <v>34121</v>
      </c>
      <c r="D10440" t="s">
        <v>34122</v>
      </c>
      <c r="E10440" t="s">
        <v>16</v>
      </c>
      <c r="F10440" t="s">
        <v>19724</v>
      </c>
      <c r="G10440" t="s">
        <v>32614</v>
      </c>
      <c r="H10440" t="s">
        <v>34121</v>
      </c>
    </row>
    <row r="10441" spans="1:8">
      <c r="A10441" t="str">
        <f>"0218939 "</f>
        <v xml:space="preserve">0218939 </v>
      </c>
      <c r="B10441" t="s">
        <v>34109</v>
      </c>
      <c r="C10441" t="s">
        <v>34123</v>
      </c>
      <c r="D10441" t="s">
        <v>34124</v>
      </c>
      <c r="E10441" t="s">
        <v>16</v>
      </c>
      <c r="F10441" t="s">
        <v>1821</v>
      </c>
      <c r="G10441" t="s">
        <v>32614</v>
      </c>
      <c r="H10441" t="s">
        <v>34123</v>
      </c>
    </row>
    <row r="10442" spans="1:8">
      <c r="A10442" t="str">
        <f>"0218940 "</f>
        <v xml:space="preserve">0218940 </v>
      </c>
      <c r="B10442" t="s">
        <v>34109</v>
      </c>
      <c r="C10442" t="s">
        <v>34125</v>
      </c>
      <c r="D10442" t="s">
        <v>34126</v>
      </c>
      <c r="E10442" t="s">
        <v>16</v>
      </c>
      <c r="F10442" t="s">
        <v>34127</v>
      </c>
      <c r="G10442" t="s">
        <v>32614</v>
      </c>
      <c r="H10442" t="s">
        <v>34125</v>
      </c>
    </row>
    <row r="10443" spans="1:8">
      <c r="A10443" t="str">
        <f>"0218943 "</f>
        <v xml:space="preserve">0218943 </v>
      </c>
      <c r="B10443" t="s">
        <v>34109</v>
      </c>
      <c r="C10443" t="s">
        <v>34128</v>
      </c>
      <c r="D10443" t="s">
        <v>34129</v>
      </c>
      <c r="E10443">
        <v>2</v>
      </c>
      <c r="F10443" t="s">
        <v>19709</v>
      </c>
      <c r="G10443" t="s">
        <v>33832</v>
      </c>
      <c r="H10443" t="s">
        <v>34128</v>
      </c>
    </row>
    <row r="10444" spans="1:8">
      <c r="A10444" t="str">
        <f>"0240562 "</f>
        <v xml:space="preserve">0240562 </v>
      </c>
      <c r="B10444" t="s">
        <v>34109</v>
      </c>
      <c r="C10444" t="s">
        <v>34130</v>
      </c>
      <c r="D10444" t="s">
        <v>34131</v>
      </c>
      <c r="E10444" t="s">
        <v>16</v>
      </c>
      <c r="F10444" t="s">
        <v>31033</v>
      </c>
      <c r="G10444" t="s">
        <v>33832</v>
      </c>
      <c r="H10444" t="s">
        <v>34130</v>
      </c>
    </row>
    <row r="10445" spans="1:8">
      <c r="A10445" t="str">
        <f>"0218937 "</f>
        <v xml:space="preserve">0218937 </v>
      </c>
      <c r="B10445" t="s">
        <v>34109</v>
      </c>
      <c r="C10445" t="s">
        <v>34132</v>
      </c>
      <c r="D10445" t="s">
        <v>34133</v>
      </c>
      <c r="E10445" t="s">
        <v>16</v>
      </c>
      <c r="F10445" t="s">
        <v>34134</v>
      </c>
      <c r="G10445" t="s">
        <v>32614</v>
      </c>
      <c r="H10445" t="s">
        <v>34132</v>
      </c>
    </row>
    <row r="10446" spans="1:8">
      <c r="A10446" t="str">
        <f>"0217451 "</f>
        <v xml:space="preserve">0217451 </v>
      </c>
      <c r="B10446" t="s">
        <v>34135</v>
      </c>
      <c r="D10446" t="s">
        <v>34136</v>
      </c>
      <c r="E10446" t="s">
        <v>16</v>
      </c>
      <c r="F10446" t="s">
        <v>34137</v>
      </c>
      <c r="G10446" t="s">
        <v>34135</v>
      </c>
    </row>
    <row r="10447" spans="1:8">
      <c r="A10447" t="str">
        <f>"0217453 "</f>
        <v xml:space="preserve">0217453 </v>
      </c>
      <c r="B10447" t="s">
        <v>34135</v>
      </c>
      <c r="D10447" t="s">
        <v>34138</v>
      </c>
      <c r="E10447" t="s">
        <v>16</v>
      </c>
      <c r="F10447" t="s">
        <v>34139</v>
      </c>
      <c r="G10447" t="s">
        <v>34135</v>
      </c>
    </row>
    <row r="10448" spans="1:8">
      <c r="A10448" t="str">
        <f>"0217452 "</f>
        <v xml:space="preserve">0217452 </v>
      </c>
      <c r="B10448" t="s">
        <v>34135</v>
      </c>
      <c r="D10448" t="s">
        <v>34140</v>
      </c>
      <c r="E10448" t="s">
        <v>16</v>
      </c>
      <c r="F10448" t="s">
        <v>34141</v>
      </c>
      <c r="G10448" t="s">
        <v>34135</v>
      </c>
    </row>
    <row r="10449" spans="1:8">
      <c r="A10449" t="str">
        <f>"0217448 "</f>
        <v xml:space="preserve">0217448 </v>
      </c>
      <c r="B10449" t="s">
        <v>34135</v>
      </c>
      <c r="D10449" t="s">
        <v>34142</v>
      </c>
      <c r="E10449" t="s">
        <v>16</v>
      </c>
      <c r="F10449" t="s">
        <v>34137</v>
      </c>
      <c r="G10449" t="s">
        <v>34135</v>
      </c>
    </row>
    <row r="10450" spans="1:8">
      <c r="A10450" t="str">
        <f>"0217450 "</f>
        <v xml:space="preserve">0217450 </v>
      </c>
      <c r="B10450" t="s">
        <v>34135</v>
      </c>
      <c r="D10450" t="s">
        <v>34143</v>
      </c>
      <c r="E10450" t="s">
        <v>16</v>
      </c>
      <c r="F10450" t="s">
        <v>34139</v>
      </c>
      <c r="G10450" t="s">
        <v>34135</v>
      </c>
    </row>
    <row r="10451" spans="1:8">
      <c r="A10451" t="str">
        <f>"0217449 "</f>
        <v xml:space="preserve">0217449 </v>
      </c>
      <c r="B10451" t="s">
        <v>34135</v>
      </c>
      <c r="D10451" t="s">
        <v>34144</v>
      </c>
      <c r="E10451" t="s">
        <v>16</v>
      </c>
      <c r="F10451" t="s">
        <v>34141</v>
      </c>
      <c r="G10451" t="s">
        <v>34135</v>
      </c>
    </row>
    <row r="10452" spans="1:8">
      <c r="A10452" t="str">
        <f>"0012558 "</f>
        <v xml:space="preserve">0012558 </v>
      </c>
      <c r="B10452" t="s">
        <v>34135</v>
      </c>
      <c r="C10452" t="str">
        <f>"0012558"</f>
        <v>0012558</v>
      </c>
      <c r="D10452" t="s">
        <v>34145</v>
      </c>
      <c r="E10452" t="s">
        <v>16</v>
      </c>
      <c r="F10452" t="s">
        <v>34146</v>
      </c>
      <c r="G10452" t="s">
        <v>34135</v>
      </c>
      <c r="H10452" t="str">
        <f>"0012558"</f>
        <v>0012558</v>
      </c>
    </row>
    <row r="10453" spans="1:8">
      <c r="A10453" t="str">
        <f>"0012559 "</f>
        <v xml:space="preserve">0012559 </v>
      </c>
      <c r="B10453" t="s">
        <v>34135</v>
      </c>
      <c r="C10453" t="str">
        <f>"0012559"</f>
        <v>0012559</v>
      </c>
      <c r="D10453" t="s">
        <v>34147</v>
      </c>
      <c r="E10453" t="s">
        <v>16</v>
      </c>
      <c r="F10453" t="s">
        <v>34148</v>
      </c>
      <c r="G10453" t="s">
        <v>34135</v>
      </c>
      <c r="H10453" t="str">
        <f>"0012559"</f>
        <v>0012559</v>
      </c>
    </row>
    <row r="10454" spans="1:8">
      <c r="A10454" t="str">
        <f>"0012560 "</f>
        <v xml:space="preserve">0012560 </v>
      </c>
      <c r="B10454" t="s">
        <v>34135</v>
      </c>
      <c r="C10454" t="str">
        <f>"0012560"</f>
        <v>0012560</v>
      </c>
      <c r="D10454" t="s">
        <v>34149</v>
      </c>
      <c r="E10454" t="s">
        <v>16</v>
      </c>
      <c r="F10454" t="s">
        <v>34146</v>
      </c>
      <c r="G10454" t="s">
        <v>34135</v>
      </c>
      <c r="H10454" t="str">
        <f>"0012560"</f>
        <v>0012560</v>
      </c>
    </row>
    <row r="10455" spans="1:8">
      <c r="A10455" t="str">
        <f>"0012561 "</f>
        <v xml:space="preserve">0012561 </v>
      </c>
      <c r="B10455" t="s">
        <v>34135</v>
      </c>
      <c r="C10455" t="str">
        <f>"0012561"</f>
        <v>0012561</v>
      </c>
      <c r="D10455" t="s">
        <v>34150</v>
      </c>
      <c r="E10455" t="s">
        <v>16</v>
      </c>
      <c r="F10455" t="s">
        <v>34148</v>
      </c>
      <c r="G10455" t="s">
        <v>34135</v>
      </c>
      <c r="H10455" t="str">
        <f>"0012561"</f>
        <v>0012561</v>
      </c>
    </row>
    <row r="10456" spans="1:8">
      <c r="A10456" t="str">
        <f>"0015159 "</f>
        <v xml:space="preserve">0015159 </v>
      </c>
      <c r="B10456" t="s">
        <v>34135</v>
      </c>
      <c r="C10456" t="str">
        <f>"0015159"</f>
        <v>0015159</v>
      </c>
      <c r="D10456" t="s">
        <v>34151</v>
      </c>
      <c r="E10456" t="s">
        <v>16</v>
      </c>
      <c r="F10456" t="s">
        <v>34152</v>
      </c>
      <c r="G10456" t="s">
        <v>34135</v>
      </c>
      <c r="H10456" t="str">
        <f>"0015159"</f>
        <v>0015159</v>
      </c>
    </row>
    <row r="10457" spans="1:8">
      <c r="A10457" t="str">
        <f>"0019082 "</f>
        <v xml:space="preserve">0019082 </v>
      </c>
      <c r="B10457" t="s">
        <v>34135</v>
      </c>
      <c r="C10457" t="str">
        <f>"0019082"</f>
        <v>0019082</v>
      </c>
      <c r="D10457" t="s">
        <v>34153</v>
      </c>
      <c r="E10457" t="s">
        <v>16</v>
      </c>
      <c r="F10457" t="s">
        <v>34154</v>
      </c>
      <c r="G10457" t="s">
        <v>34135</v>
      </c>
      <c r="H10457" t="str">
        <f>"0019082"</f>
        <v>0019082</v>
      </c>
    </row>
    <row r="10458" spans="1:8">
      <c r="A10458" t="str">
        <f>"0038914 "</f>
        <v xml:space="preserve">0038914 </v>
      </c>
      <c r="B10458" t="s">
        <v>34135</v>
      </c>
      <c r="C10458" t="str">
        <f>"0038914"</f>
        <v>0038914</v>
      </c>
      <c r="D10458" t="s">
        <v>34155</v>
      </c>
      <c r="E10458" t="s">
        <v>16</v>
      </c>
      <c r="F10458" t="s">
        <v>34156</v>
      </c>
      <c r="G10458" t="s">
        <v>34135</v>
      </c>
      <c r="H10458" t="str">
        <f>"0038914"</f>
        <v>0038914</v>
      </c>
    </row>
    <row r="10459" spans="1:8">
      <c r="A10459" t="str">
        <f>"0086648 "</f>
        <v xml:space="preserve">0086648 </v>
      </c>
      <c r="B10459" t="s">
        <v>34135</v>
      </c>
      <c r="C10459" t="str">
        <f>"0086648"</f>
        <v>0086648</v>
      </c>
      <c r="D10459" t="s">
        <v>34157</v>
      </c>
      <c r="E10459">
        <v>3</v>
      </c>
      <c r="F10459" t="s">
        <v>34158</v>
      </c>
      <c r="G10459" t="s">
        <v>34135</v>
      </c>
      <c r="H10459" t="str">
        <f>"0086648"</f>
        <v>0086648</v>
      </c>
    </row>
    <row r="10460" spans="1:8">
      <c r="A10460" t="str">
        <f>"0086649 "</f>
        <v xml:space="preserve">0086649 </v>
      </c>
      <c r="B10460" t="s">
        <v>34135</v>
      </c>
      <c r="C10460" t="str">
        <f>"0086649"</f>
        <v>0086649</v>
      </c>
      <c r="D10460" t="s">
        <v>34159</v>
      </c>
      <c r="E10460" t="s">
        <v>16</v>
      </c>
      <c r="F10460" t="s">
        <v>34158</v>
      </c>
      <c r="G10460" t="s">
        <v>34135</v>
      </c>
      <c r="H10460" t="str">
        <f>"0086649"</f>
        <v>0086649</v>
      </c>
    </row>
    <row r="10461" spans="1:8">
      <c r="A10461" t="str">
        <f>"0154067 "</f>
        <v xml:space="preserve">0154067 </v>
      </c>
      <c r="B10461" t="s">
        <v>34135</v>
      </c>
      <c r="C10461" t="str">
        <f>"0154067"</f>
        <v>0154067</v>
      </c>
      <c r="D10461" t="s">
        <v>34160</v>
      </c>
      <c r="E10461" t="s">
        <v>16</v>
      </c>
      <c r="F10461" t="s">
        <v>34161</v>
      </c>
      <c r="G10461" t="s">
        <v>34135</v>
      </c>
      <c r="H10461" t="str">
        <f>"0154067"</f>
        <v>0154067</v>
      </c>
    </row>
    <row r="10462" spans="1:8">
      <c r="A10462" t="str">
        <f>"0159214 "</f>
        <v xml:space="preserve">0159214 </v>
      </c>
      <c r="B10462" t="s">
        <v>34135</v>
      </c>
      <c r="C10462" t="str">
        <f>"0159214"</f>
        <v>0159214</v>
      </c>
      <c r="D10462" t="s">
        <v>34162</v>
      </c>
      <c r="E10462" t="s">
        <v>16</v>
      </c>
      <c r="F10462" t="s">
        <v>30223</v>
      </c>
      <c r="G10462" t="s">
        <v>34135</v>
      </c>
      <c r="H10462" t="str">
        <f>"0159214"</f>
        <v>0159214</v>
      </c>
    </row>
    <row r="10463" spans="1:8">
      <c r="A10463" t="str">
        <f>"0159285 "</f>
        <v xml:space="preserve">0159285 </v>
      </c>
      <c r="B10463" t="s">
        <v>34135</v>
      </c>
      <c r="C10463" t="str">
        <f>"0159285"</f>
        <v>0159285</v>
      </c>
      <c r="D10463" t="s">
        <v>34163</v>
      </c>
      <c r="E10463" t="s">
        <v>16</v>
      </c>
      <c r="F10463" t="s">
        <v>34164</v>
      </c>
      <c r="G10463" t="s">
        <v>34135</v>
      </c>
      <c r="H10463" t="str">
        <f>"0159285"</f>
        <v>0159285</v>
      </c>
    </row>
    <row r="10464" spans="1:8">
      <c r="A10464" t="str">
        <f>"0160614 "</f>
        <v xml:space="preserve">0160614 </v>
      </c>
      <c r="B10464" t="s">
        <v>34135</v>
      </c>
      <c r="C10464" t="str">
        <f>"0160614"</f>
        <v>0160614</v>
      </c>
      <c r="D10464" t="s">
        <v>34165</v>
      </c>
      <c r="E10464" t="s">
        <v>16</v>
      </c>
      <c r="F10464" t="s">
        <v>34166</v>
      </c>
      <c r="G10464" t="s">
        <v>34135</v>
      </c>
      <c r="H10464" t="str">
        <f>"0160614"</f>
        <v>0160614</v>
      </c>
    </row>
    <row r="10465" spans="1:8">
      <c r="A10465" t="str">
        <f>"0160615 "</f>
        <v xml:space="preserve">0160615 </v>
      </c>
      <c r="B10465" t="s">
        <v>34135</v>
      </c>
      <c r="C10465" t="str">
        <f>"0160615"</f>
        <v>0160615</v>
      </c>
      <c r="D10465" t="s">
        <v>34167</v>
      </c>
      <c r="E10465" t="s">
        <v>16</v>
      </c>
      <c r="F10465" t="s">
        <v>34168</v>
      </c>
      <c r="G10465" t="s">
        <v>34135</v>
      </c>
      <c r="H10465" t="str">
        <f>"0160615"</f>
        <v>0160615</v>
      </c>
    </row>
    <row r="10466" spans="1:8">
      <c r="A10466" t="str">
        <f>"0160797 "</f>
        <v xml:space="preserve">0160797 </v>
      </c>
      <c r="B10466" t="s">
        <v>34135</v>
      </c>
      <c r="C10466" t="str">
        <f>"0160797"</f>
        <v>0160797</v>
      </c>
      <c r="D10466" t="s">
        <v>34169</v>
      </c>
      <c r="E10466">
        <v>2</v>
      </c>
      <c r="F10466" t="s">
        <v>30223</v>
      </c>
      <c r="G10466" t="s">
        <v>34135</v>
      </c>
      <c r="H10466" t="str">
        <f>"0160797"</f>
        <v>0160797</v>
      </c>
    </row>
    <row r="10467" spans="1:8">
      <c r="A10467" t="str">
        <f>"0161424 "</f>
        <v xml:space="preserve">0161424 </v>
      </c>
      <c r="B10467" t="s">
        <v>34135</v>
      </c>
      <c r="C10467" t="str">
        <f>"0161424"</f>
        <v>0161424</v>
      </c>
      <c r="D10467" t="s">
        <v>34170</v>
      </c>
      <c r="E10467" t="s">
        <v>16</v>
      </c>
      <c r="F10467" t="s">
        <v>34137</v>
      </c>
      <c r="G10467" t="s">
        <v>34135</v>
      </c>
      <c r="H10467" t="str">
        <f>"0161424"</f>
        <v>0161424</v>
      </c>
    </row>
    <row r="10468" spans="1:8">
      <c r="A10468" t="str">
        <f>"0161425 "</f>
        <v xml:space="preserve">0161425 </v>
      </c>
      <c r="B10468" t="s">
        <v>34135</v>
      </c>
      <c r="C10468" t="str">
        <f>"0161425"</f>
        <v>0161425</v>
      </c>
      <c r="D10468" t="s">
        <v>34171</v>
      </c>
      <c r="E10468" t="s">
        <v>16</v>
      </c>
      <c r="F10468" t="s">
        <v>34141</v>
      </c>
      <c r="G10468" t="s">
        <v>34135</v>
      </c>
      <c r="H10468" t="str">
        <f>"0161425"</f>
        <v>0161425</v>
      </c>
    </row>
    <row r="10469" spans="1:8">
      <c r="A10469" t="str">
        <f>"0161426 "</f>
        <v xml:space="preserve">0161426 </v>
      </c>
      <c r="B10469" t="s">
        <v>34135</v>
      </c>
      <c r="C10469" t="str">
        <f>"0161426"</f>
        <v>0161426</v>
      </c>
      <c r="D10469" t="s">
        <v>34172</v>
      </c>
      <c r="E10469" t="s">
        <v>16</v>
      </c>
      <c r="F10469" t="s">
        <v>34139</v>
      </c>
      <c r="G10469" t="s">
        <v>34135</v>
      </c>
      <c r="H10469" t="str">
        <f>"0161426"</f>
        <v>0161426</v>
      </c>
    </row>
    <row r="10470" spans="1:8">
      <c r="A10470" t="str">
        <f>"0161428 "</f>
        <v xml:space="preserve">0161428 </v>
      </c>
      <c r="B10470" t="s">
        <v>34135</v>
      </c>
      <c r="C10470" t="str">
        <f>"0161428"</f>
        <v>0161428</v>
      </c>
      <c r="D10470" t="s">
        <v>34173</v>
      </c>
      <c r="E10470" t="s">
        <v>16</v>
      </c>
      <c r="F10470" t="s">
        <v>34137</v>
      </c>
      <c r="G10470" t="s">
        <v>34135</v>
      </c>
      <c r="H10470" t="str">
        <f>"0161428"</f>
        <v>0161428</v>
      </c>
    </row>
    <row r="10471" spans="1:8">
      <c r="A10471" t="str">
        <f>"0161429 "</f>
        <v xml:space="preserve">0161429 </v>
      </c>
      <c r="B10471" t="s">
        <v>34135</v>
      </c>
      <c r="C10471" t="str">
        <f>"0161429"</f>
        <v>0161429</v>
      </c>
      <c r="D10471" t="s">
        <v>34174</v>
      </c>
      <c r="E10471" t="s">
        <v>16</v>
      </c>
      <c r="F10471" t="s">
        <v>34141</v>
      </c>
      <c r="G10471" t="s">
        <v>34135</v>
      </c>
      <c r="H10471" t="str">
        <f>"0161429"</f>
        <v>0161429</v>
      </c>
    </row>
    <row r="10472" spans="1:8">
      <c r="A10472" t="str">
        <f>"0161430 "</f>
        <v xml:space="preserve">0161430 </v>
      </c>
      <c r="B10472" t="s">
        <v>34135</v>
      </c>
      <c r="C10472" t="str">
        <f>"0161430"</f>
        <v>0161430</v>
      </c>
      <c r="D10472" t="s">
        <v>34175</v>
      </c>
      <c r="E10472" t="s">
        <v>16</v>
      </c>
      <c r="F10472" t="s">
        <v>34139</v>
      </c>
      <c r="G10472" t="s">
        <v>34135</v>
      </c>
      <c r="H10472" t="str">
        <f>"0161430"</f>
        <v>0161430</v>
      </c>
    </row>
    <row r="10473" spans="1:8">
      <c r="A10473" t="str">
        <f>"0161436 "</f>
        <v xml:space="preserve">0161436 </v>
      </c>
      <c r="B10473" t="s">
        <v>34135</v>
      </c>
      <c r="C10473" t="str">
        <f>"0161436"</f>
        <v>0161436</v>
      </c>
      <c r="D10473" t="s">
        <v>34176</v>
      </c>
      <c r="E10473" t="s">
        <v>16</v>
      </c>
      <c r="F10473" t="s">
        <v>34177</v>
      </c>
      <c r="G10473" t="s">
        <v>34135</v>
      </c>
      <c r="H10473" t="str">
        <f>"0161436"</f>
        <v>0161436</v>
      </c>
    </row>
    <row r="10474" spans="1:8">
      <c r="A10474" t="str">
        <f>"0234610 "</f>
        <v xml:space="preserve">0234610 </v>
      </c>
      <c r="B10474" t="s">
        <v>34178</v>
      </c>
      <c r="C10474">
        <v>90100</v>
      </c>
      <c r="D10474" t="s">
        <v>34179</v>
      </c>
      <c r="E10474" t="s">
        <v>16</v>
      </c>
      <c r="F10474" t="s">
        <v>34180</v>
      </c>
      <c r="G10474" t="s">
        <v>34181</v>
      </c>
      <c r="H10474">
        <v>90100</v>
      </c>
    </row>
    <row r="10475" spans="1:8">
      <c r="A10475" t="str">
        <f>"0219056 "</f>
        <v xml:space="preserve">0219056 </v>
      </c>
      <c r="B10475" t="s">
        <v>34178</v>
      </c>
      <c r="C10475">
        <v>90110</v>
      </c>
      <c r="D10475" t="s">
        <v>34182</v>
      </c>
      <c r="E10475" t="s">
        <v>16</v>
      </c>
      <c r="F10475" t="s">
        <v>34183</v>
      </c>
      <c r="G10475" t="s">
        <v>34181</v>
      </c>
      <c r="H10475">
        <v>90110</v>
      </c>
    </row>
    <row r="10476" spans="1:8">
      <c r="A10476" t="str">
        <f>"0219055 "</f>
        <v xml:space="preserve">0219055 </v>
      </c>
      <c r="B10476" t="s">
        <v>34178</v>
      </c>
      <c r="C10476">
        <v>90120</v>
      </c>
      <c r="D10476" t="s">
        <v>34184</v>
      </c>
      <c r="E10476" t="s">
        <v>16</v>
      </c>
      <c r="F10476" t="s">
        <v>33899</v>
      </c>
      <c r="G10476" t="s">
        <v>34181</v>
      </c>
      <c r="H10476">
        <v>90120</v>
      </c>
    </row>
    <row r="10477" spans="1:8">
      <c r="A10477" t="str">
        <f>"0219057 "</f>
        <v xml:space="preserve">0219057 </v>
      </c>
      <c r="B10477" t="s">
        <v>34178</v>
      </c>
      <c r="C10477">
        <v>90130</v>
      </c>
      <c r="D10477" t="s">
        <v>34184</v>
      </c>
      <c r="E10477" t="s">
        <v>16</v>
      </c>
      <c r="F10477" t="s">
        <v>34185</v>
      </c>
      <c r="G10477" t="s">
        <v>34181</v>
      </c>
      <c r="H10477">
        <v>90130</v>
      </c>
    </row>
    <row r="10478" spans="1:8">
      <c r="A10478" t="str">
        <f>"0219058 "</f>
        <v xml:space="preserve">0219058 </v>
      </c>
      <c r="B10478" t="s">
        <v>34178</v>
      </c>
      <c r="C10478">
        <v>90135</v>
      </c>
      <c r="D10478" t="s">
        <v>34186</v>
      </c>
      <c r="E10478" t="s">
        <v>16</v>
      </c>
      <c r="F10478" t="s">
        <v>34187</v>
      </c>
      <c r="G10478" t="s">
        <v>34181</v>
      </c>
      <c r="H10478">
        <v>90135</v>
      </c>
    </row>
    <row r="10479" spans="1:8">
      <c r="A10479" t="str">
        <f>"0219059 "</f>
        <v xml:space="preserve">0219059 </v>
      </c>
      <c r="B10479" t="s">
        <v>34178</v>
      </c>
      <c r="C10479">
        <v>90140</v>
      </c>
      <c r="D10479" t="s">
        <v>34188</v>
      </c>
      <c r="E10479" t="s">
        <v>16</v>
      </c>
      <c r="F10479" t="s">
        <v>34189</v>
      </c>
      <c r="G10479" t="s">
        <v>34181</v>
      </c>
      <c r="H10479">
        <v>90140</v>
      </c>
    </row>
    <row r="10480" spans="1:8">
      <c r="A10480" t="str">
        <f>"0219060 "</f>
        <v xml:space="preserve">0219060 </v>
      </c>
      <c r="B10480" t="s">
        <v>34178</v>
      </c>
      <c r="C10480">
        <v>90170</v>
      </c>
      <c r="D10480" t="s">
        <v>34190</v>
      </c>
      <c r="E10480" t="s">
        <v>16</v>
      </c>
      <c r="F10480" t="s">
        <v>34191</v>
      </c>
      <c r="G10480" t="s">
        <v>34181</v>
      </c>
      <c r="H10480">
        <v>90170</v>
      </c>
    </row>
    <row r="10481" spans="1:8">
      <c r="A10481" t="str">
        <f>"0219061 "</f>
        <v xml:space="preserve">0219061 </v>
      </c>
      <c r="B10481" t="s">
        <v>34178</v>
      </c>
      <c r="C10481">
        <v>90180</v>
      </c>
      <c r="D10481" t="s">
        <v>34192</v>
      </c>
      <c r="E10481" t="s">
        <v>16</v>
      </c>
      <c r="F10481" t="s">
        <v>34193</v>
      </c>
      <c r="G10481" t="s">
        <v>34181</v>
      </c>
      <c r="H10481">
        <v>90180</v>
      </c>
    </row>
    <row r="10482" spans="1:8">
      <c r="A10482" t="str">
        <f>"0219062 "</f>
        <v xml:space="preserve">0219062 </v>
      </c>
      <c r="B10482" t="s">
        <v>34178</v>
      </c>
      <c r="C10482">
        <v>90190</v>
      </c>
      <c r="D10482" t="s">
        <v>34194</v>
      </c>
      <c r="E10482" t="s">
        <v>16</v>
      </c>
      <c r="F10482" t="s">
        <v>34195</v>
      </c>
      <c r="G10482" t="s">
        <v>34181</v>
      </c>
      <c r="H10482">
        <v>90190</v>
      </c>
    </row>
    <row r="10483" spans="1:8">
      <c r="A10483" t="str">
        <f>"0219048 "</f>
        <v xml:space="preserve">0219048 </v>
      </c>
      <c r="B10483" t="s">
        <v>34178</v>
      </c>
      <c r="C10483" t="s">
        <v>34196</v>
      </c>
      <c r="D10483" t="s">
        <v>34197</v>
      </c>
      <c r="E10483">
        <v>5</v>
      </c>
      <c r="F10483" t="s">
        <v>34198</v>
      </c>
      <c r="G10483" t="s">
        <v>32853</v>
      </c>
      <c r="H10483" t="s">
        <v>34196</v>
      </c>
    </row>
    <row r="10484" spans="1:8">
      <c r="A10484" t="str">
        <f>"0219037 "</f>
        <v xml:space="preserve">0219037 </v>
      </c>
      <c r="B10484" t="s">
        <v>34178</v>
      </c>
      <c r="C10484" t="s">
        <v>34199</v>
      </c>
      <c r="D10484" t="s">
        <v>34200</v>
      </c>
      <c r="E10484">
        <v>5</v>
      </c>
      <c r="F10484" t="s">
        <v>34201</v>
      </c>
      <c r="G10484" t="s">
        <v>32853</v>
      </c>
      <c r="H10484" t="s">
        <v>34199</v>
      </c>
    </row>
    <row r="10485" spans="1:8">
      <c r="A10485" t="str">
        <f>"0232656 "</f>
        <v xml:space="preserve">0232656 </v>
      </c>
      <c r="B10485" t="s">
        <v>34178</v>
      </c>
      <c r="C10485" t="s">
        <v>34202</v>
      </c>
      <c r="D10485" t="s">
        <v>34197</v>
      </c>
      <c r="E10485" t="s">
        <v>16</v>
      </c>
      <c r="F10485" t="s">
        <v>34203</v>
      </c>
      <c r="G10485" t="s">
        <v>32853</v>
      </c>
      <c r="H10485" t="s">
        <v>34202</v>
      </c>
    </row>
    <row r="10486" spans="1:8">
      <c r="A10486" t="str">
        <f>"0219049 "</f>
        <v xml:space="preserve">0219049 </v>
      </c>
      <c r="B10486" t="s">
        <v>34178</v>
      </c>
      <c r="C10486" t="s">
        <v>34204</v>
      </c>
      <c r="D10486" t="s">
        <v>34205</v>
      </c>
      <c r="E10486">
        <v>4</v>
      </c>
      <c r="F10486" t="s">
        <v>34206</v>
      </c>
      <c r="G10486" t="s">
        <v>32853</v>
      </c>
      <c r="H10486" t="s">
        <v>34204</v>
      </c>
    </row>
    <row r="10487" spans="1:8">
      <c r="A10487" t="str">
        <f>"0219050 "</f>
        <v xml:space="preserve">0219050 </v>
      </c>
      <c r="B10487" t="s">
        <v>34178</v>
      </c>
      <c r="C10487" t="s">
        <v>34207</v>
      </c>
      <c r="D10487" t="s">
        <v>34208</v>
      </c>
      <c r="E10487">
        <v>4</v>
      </c>
      <c r="F10487" t="s">
        <v>34209</v>
      </c>
      <c r="G10487" t="s">
        <v>32853</v>
      </c>
      <c r="H10487" t="s">
        <v>34207</v>
      </c>
    </row>
    <row r="10488" spans="1:8">
      <c r="A10488" t="str">
        <f>"0219026 "</f>
        <v xml:space="preserve">0219026 </v>
      </c>
      <c r="B10488" t="s">
        <v>34178</v>
      </c>
      <c r="C10488" t="s">
        <v>34210</v>
      </c>
      <c r="D10488" t="s">
        <v>34211</v>
      </c>
      <c r="E10488">
        <v>4</v>
      </c>
      <c r="F10488" t="s">
        <v>34212</v>
      </c>
      <c r="G10488" t="s">
        <v>32853</v>
      </c>
      <c r="H10488" t="s">
        <v>34210</v>
      </c>
    </row>
    <row r="10489" spans="1:8">
      <c r="A10489" t="str">
        <f>"0219052 "</f>
        <v xml:space="preserve">0219052 </v>
      </c>
      <c r="B10489" t="s">
        <v>34178</v>
      </c>
      <c r="C10489" t="s">
        <v>34213</v>
      </c>
      <c r="D10489" t="s">
        <v>34214</v>
      </c>
      <c r="E10489" t="s">
        <v>16</v>
      </c>
      <c r="F10489" t="s">
        <v>32777</v>
      </c>
      <c r="G10489" t="s">
        <v>32853</v>
      </c>
      <c r="H10489" t="s">
        <v>34213</v>
      </c>
    </row>
    <row r="10490" spans="1:8">
      <c r="A10490" t="str">
        <f>"0219053 "</f>
        <v xml:space="preserve">0219053 </v>
      </c>
      <c r="B10490" t="s">
        <v>34178</v>
      </c>
      <c r="C10490" t="s">
        <v>34215</v>
      </c>
      <c r="D10490" t="s">
        <v>34216</v>
      </c>
      <c r="E10490" t="s">
        <v>16</v>
      </c>
      <c r="F10490" t="s">
        <v>34217</v>
      </c>
      <c r="G10490" t="s">
        <v>32853</v>
      </c>
      <c r="H10490" t="s">
        <v>34215</v>
      </c>
    </row>
    <row r="10491" spans="1:8">
      <c r="A10491" t="str">
        <f>"0219054 "</f>
        <v xml:space="preserve">0219054 </v>
      </c>
      <c r="B10491" t="s">
        <v>34178</v>
      </c>
      <c r="C10491" t="s">
        <v>34218</v>
      </c>
      <c r="D10491" t="s">
        <v>34219</v>
      </c>
      <c r="E10491" t="s">
        <v>16</v>
      </c>
      <c r="F10491" t="s">
        <v>34220</v>
      </c>
      <c r="G10491" t="s">
        <v>32853</v>
      </c>
      <c r="H10491" t="s">
        <v>34218</v>
      </c>
    </row>
    <row r="10492" spans="1:8">
      <c r="A10492" t="str">
        <f>"0219034 "</f>
        <v xml:space="preserve">0219034 </v>
      </c>
      <c r="B10492" t="s">
        <v>34178</v>
      </c>
      <c r="C10492" t="s">
        <v>34221</v>
      </c>
      <c r="D10492" t="s">
        <v>34222</v>
      </c>
      <c r="E10492" t="s">
        <v>16</v>
      </c>
      <c r="F10492" t="s">
        <v>34223</v>
      </c>
      <c r="G10492" t="s">
        <v>33832</v>
      </c>
      <c r="H10492" t="s">
        <v>34221</v>
      </c>
    </row>
    <row r="10493" spans="1:8">
      <c r="A10493" t="str">
        <f>"0219035 "</f>
        <v xml:space="preserve">0219035 </v>
      </c>
      <c r="B10493" t="s">
        <v>34178</v>
      </c>
      <c r="C10493" t="s">
        <v>34224</v>
      </c>
      <c r="D10493" t="s">
        <v>34225</v>
      </c>
      <c r="E10493" t="s">
        <v>16</v>
      </c>
      <c r="F10493" t="s">
        <v>34226</v>
      </c>
      <c r="G10493" t="s">
        <v>33832</v>
      </c>
      <c r="H10493" t="s">
        <v>34224</v>
      </c>
    </row>
    <row r="10494" spans="1:8">
      <c r="A10494" t="str">
        <f>"0219033 "</f>
        <v xml:space="preserve">0219033 </v>
      </c>
      <c r="B10494" t="s">
        <v>34178</v>
      </c>
      <c r="C10494" t="s">
        <v>34227</v>
      </c>
      <c r="D10494" t="s">
        <v>34228</v>
      </c>
      <c r="E10494">
        <v>4</v>
      </c>
      <c r="F10494" t="s">
        <v>34229</v>
      </c>
      <c r="G10494" t="s">
        <v>33832</v>
      </c>
      <c r="H10494" t="s">
        <v>34227</v>
      </c>
    </row>
    <row r="10495" spans="1:8">
      <c r="A10495" t="str">
        <f>"0219036 "</f>
        <v xml:space="preserve">0219036 </v>
      </c>
      <c r="B10495" t="s">
        <v>34178</v>
      </c>
      <c r="C10495" t="s">
        <v>34230</v>
      </c>
      <c r="D10495" t="s">
        <v>34231</v>
      </c>
      <c r="E10495">
        <v>4</v>
      </c>
      <c r="F10495" t="s">
        <v>34232</v>
      </c>
      <c r="G10495" t="s">
        <v>33832</v>
      </c>
      <c r="H10495" t="s">
        <v>34230</v>
      </c>
    </row>
    <row r="10496" spans="1:8">
      <c r="A10496" t="str">
        <f>"0231218 "</f>
        <v xml:space="preserve">0231218 </v>
      </c>
      <c r="B10496" t="s">
        <v>34178</v>
      </c>
      <c r="C10496" t="s">
        <v>34233</v>
      </c>
      <c r="D10496" t="s">
        <v>34234</v>
      </c>
      <c r="E10496">
        <v>3</v>
      </c>
      <c r="F10496" t="s">
        <v>34235</v>
      </c>
      <c r="G10496" t="s">
        <v>33832</v>
      </c>
      <c r="H10496" t="s">
        <v>34233</v>
      </c>
    </row>
    <row r="10497" spans="1:8">
      <c r="A10497" t="str">
        <f>"0219038 "</f>
        <v xml:space="preserve">0219038 </v>
      </c>
      <c r="B10497" t="s">
        <v>34178</v>
      </c>
      <c r="C10497" t="s">
        <v>34236</v>
      </c>
      <c r="D10497" t="s">
        <v>34237</v>
      </c>
      <c r="E10497">
        <v>2</v>
      </c>
      <c r="F10497" t="s">
        <v>34238</v>
      </c>
      <c r="G10497" t="s">
        <v>33832</v>
      </c>
      <c r="H10497" t="s">
        <v>34236</v>
      </c>
    </row>
    <row r="10498" spans="1:8">
      <c r="A10498" t="str">
        <f>"0219044 "</f>
        <v xml:space="preserve">0219044 </v>
      </c>
      <c r="B10498" t="s">
        <v>34178</v>
      </c>
      <c r="C10498" t="s">
        <v>34239</v>
      </c>
      <c r="D10498" t="s">
        <v>34240</v>
      </c>
      <c r="E10498" t="s">
        <v>16</v>
      </c>
      <c r="F10498" t="s">
        <v>34241</v>
      </c>
      <c r="G10498" t="s">
        <v>33832</v>
      </c>
      <c r="H10498" t="s">
        <v>34239</v>
      </c>
    </row>
    <row r="10499" spans="1:8">
      <c r="A10499" t="str">
        <f>"0219040 "</f>
        <v xml:space="preserve">0219040 </v>
      </c>
      <c r="B10499" t="s">
        <v>34178</v>
      </c>
      <c r="C10499" t="s">
        <v>34242</v>
      </c>
      <c r="D10499" t="s">
        <v>34243</v>
      </c>
      <c r="E10499">
        <v>4</v>
      </c>
      <c r="F10499" t="s">
        <v>34244</v>
      </c>
      <c r="G10499" t="s">
        <v>33832</v>
      </c>
      <c r="H10499" t="s">
        <v>34242</v>
      </c>
    </row>
    <row r="10500" spans="1:8">
      <c r="A10500" t="str">
        <f>"0219041 "</f>
        <v xml:space="preserve">0219041 </v>
      </c>
      <c r="B10500" t="s">
        <v>34178</v>
      </c>
      <c r="C10500" t="s">
        <v>34245</v>
      </c>
      <c r="D10500" t="s">
        <v>34246</v>
      </c>
      <c r="E10500" t="s">
        <v>16</v>
      </c>
      <c r="F10500" t="s">
        <v>32808</v>
      </c>
      <c r="G10500" t="s">
        <v>33832</v>
      </c>
      <c r="H10500" t="s">
        <v>34245</v>
      </c>
    </row>
    <row r="10501" spans="1:8">
      <c r="A10501" t="str">
        <f>"0219043 "</f>
        <v xml:space="preserve">0219043 </v>
      </c>
      <c r="B10501" t="s">
        <v>34178</v>
      </c>
      <c r="C10501" t="s">
        <v>34247</v>
      </c>
      <c r="D10501" t="s">
        <v>34248</v>
      </c>
      <c r="E10501" t="s">
        <v>16</v>
      </c>
      <c r="F10501" t="s">
        <v>33893</v>
      </c>
      <c r="G10501" t="s">
        <v>33832</v>
      </c>
      <c r="H10501" t="s">
        <v>34247</v>
      </c>
    </row>
    <row r="10502" spans="1:8">
      <c r="A10502" t="str">
        <f>"0219046 "</f>
        <v xml:space="preserve">0219046 </v>
      </c>
      <c r="B10502" t="s">
        <v>34178</v>
      </c>
      <c r="C10502" t="s">
        <v>34249</v>
      </c>
      <c r="D10502" t="s">
        <v>34250</v>
      </c>
      <c r="E10502">
        <v>3</v>
      </c>
      <c r="F10502" t="s">
        <v>34251</v>
      </c>
      <c r="G10502" t="s">
        <v>33832</v>
      </c>
      <c r="H10502" t="s">
        <v>34249</v>
      </c>
    </row>
    <row r="10503" spans="1:8">
      <c r="A10503" t="str">
        <f>"0219047 "</f>
        <v xml:space="preserve">0219047 </v>
      </c>
      <c r="B10503" t="s">
        <v>34178</v>
      </c>
      <c r="C10503" t="s">
        <v>34252</v>
      </c>
      <c r="D10503" t="s">
        <v>34253</v>
      </c>
      <c r="E10503" t="s">
        <v>16</v>
      </c>
      <c r="F10503" t="s">
        <v>34254</v>
      </c>
      <c r="G10503" t="s">
        <v>33832</v>
      </c>
      <c r="H10503" t="s">
        <v>34252</v>
      </c>
    </row>
    <row r="10504" spans="1:8">
      <c r="A10504" t="str">
        <f>"0219084 "</f>
        <v xml:space="preserve">0219084 </v>
      </c>
      <c r="B10504" t="s">
        <v>34255</v>
      </c>
      <c r="C10504" t="s">
        <v>34256</v>
      </c>
      <c r="D10504" t="s">
        <v>34257</v>
      </c>
      <c r="E10504">
        <v>4</v>
      </c>
      <c r="F10504" t="s">
        <v>34020</v>
      </c>
      <c r="G10504" t="s">
        <v>32614</v>
      </c>
      <c r="H10504" t="s">
        <v>34256</v>
      </c>
    </row>
    <row r="10505" spans="1:8">
      <c r="A10505" t="str">
        <f>"0219077 "</f>
        <v xml:space="preserve">0219077 </v>
      </c>
      <c r="B10505" t="s">
        <v>34255</v>
      </c>
      <c r="C10505" t="s">
        <v>34258</v>
      </c>
      <c r="D10505" t="s">
        <v>34259</v>
      </c>
      <c r="E10505" t="s">
        <v>16</v>
      </c>
      <c r="F10505" t="s">
        <v>1129</v>
      </c>
      <c r="G10505" t="s">
        <v>32614</v>
      </c>
      <c r="H10505" t="s">
        <v>34258</v>
      </c>
    </row>
    <row r="10506" spans="1:8">
      <c r="A10506" t="str">
        <f>"0219070 "</f>
        <v xml:space="preserve">0219070 </v>
      </c>
      <c r="B10506" t="s">
        <v>34255</v>
      </c>
      <c r="C10506" t="s">
        <v>34260</v>
      </c>
      <c r="D10506" t="s">
        <v>34261</v>
      </c>
      <c r="E10506">
        <v>5</v>
      </c>
      <c r="F10506" t="s">
        <v>34262</v>
      </c>
      <c r="G10506" t="s">
        <v>32614</v>
      </c>
      <c r="H10506" t="s">
        <v>34260</v>
      </c>
    </row>
    <row r="10507" spans="1:8">
      <c r="A10507" t="str">
        <f>"0219074 "</f>
        <v xml:space="preserve">0219074 </v>
      </c>
      <c r="B10507" t="s">
        <v>34255</v>
      </c>
      <c r="C10507" t="s">
        <v>34263</v>
      </c>
      <c r="D10507" t="s">
        <v>34264</v>
      </c>
      <c r="E10507" t="s">
        <v>16</v>
      </c>
      <c r="F10507" t="s">
        <v>34265</v>
      </c>
      <c r="G10507" t="s">
        <v>32614</v>
      </c>
      <c r="H10507" t="s">
        <v>34263</v>
      </c>
    </row>
    <row r="10508" spans="1:8">
      <c r="A10508" t="str">
        <f>"0219064 "</f>
        <v xml:space="preserve">0219064 </v>
      </c>
      <c r="B10508" t="s">
        <v>34255</v>
      </c>
      <c r="C10508" t="s">
        <v>34266</v>
      </c>
      <c r="D10508" t="s">
        <v>34267</v>
      </c>
      <c r="E10508">
        <v>2</v>
      </c>
      <c r="F10508" t="s">
        <v>34268</v>
      </c>
      <c r="G10508" t="s">
        <v>32614</v>
      </c>
      <c r="H10508" t="s">
        <v>34266</v>
      </c>
    </row>
    <row r="10509" spans="1:8">
      <c r="A10509" t="str">
        <f>"0219065 "</f>
        <v xml:space="preserve">0219065 </v>
      </c>
      <c r="B10509" t="s">
        <v>34255</v>
      </c>
      <c r="C10509" t="s">
        <v>34269</v>
      </c>
      <c r="D10509" t="s">
        <v>34270</v>
      </c>
      <c r="E10509">
        <v>4</v>
      </c>
      <c r="F10509" t="s">
        <v>34271</v>
      </c>
      <c r="G10509" t="s">
        <v>32614</v>
      </c>
      <c r="H10509" t="s">
        <v>34269</v>
      </c>
    </row>
    <row r="10510" spans="1:8">
      <c r="A10510" t="str">
        <f>"0219066 "</f>
        <v xml:space="preserve">0219066 </v>
      </c>
      <c r="B10510" t="s">
        <v>34255</v>
      </c>
      <c r="C10510" t="s">
        <v>34272</v>
      </c>
      <c r="D10510" t="s">
        <v>34273</v>
      </c>
      <c r="E10510">
        <v>2</v>
      </c>
      <c r="F10510" t="s">
        <v>34274</v>
      </c>
      <c r="G10510" t="s">
        <v>32614</v>
      </c>
      <c r="H10510" t="s">
        <v>34272</v>
      </c>
    </row>
    <row r="10511" spans="1:8">
      <c r="A10511" t="str">
        <f>"0219078 "</f>
        <v xml:space="preserve">0219078 </v>
      </c>
      <c r="B10511" t="s">
        <v>34255</v>
      </c>
      <c r="C10511" t="s">
        <v>34275</v>
      </c>
      <c r="D10511" t="s">
        <v>34276</v>
      </c>
      <c r="E10511">
        <v>2</v>
      </c>
      <c r="F10511" t="s">
        <v>34277</v>
      </c>
      <c r="G10511" t="s">
        <v>32614</v>
      </c>
      <c r="H10511" t="s">
        <v>34275</v>
      </c>
    </row>
    <row r="10512" spans="1:8">
      <c r="A10512" t="str">
        <f>"0219071 "</f>
        <v xml:space="preserve">0219071 </v>
      </c>
      <c r="B10512" t="s">
        <v>34255</v>
      </c>
      <c r="C10512" t="s">
        <v>34278</v>
      </c>
      <c r="D10512" t="s">
        <v>34279</v>
      </c>
      <c r="E10512">
        <v>5</v>
      </c>
      <c r="F10512" t="s">
        <v>34280</v>
      </c>
      <c r="G10512" t="s">
        <v>32614</v>
      </c>
      <c r="H10512" t="s">
        <v>34278</v>
      </c>
    </row>
    <row r="10513" spans="1:8">
      <c r="A10513" t="str">
        <f>"0219075 "</f>
        <v xml:space="preserve">0219075 </v>
      </c>
      <c r="B10513" t="s">
        <v>34255</v>
      </c>
      <c r="C10513" t="s">
        <v>34281</v>
      </c>
      <c r="D10513" t="s">
        <v>34282</v>
      </c>
      <c r="E10513" t="s">
        <v>16</v>
      </c>
      <c r="F10513" t="s">
        <v>34283</v>
      </c>
      <c r="G10513" t="s">
        <v>32614</v>
      </c>
      <c r="H10513" t="s">
        <v>34281</v>
      </c>
    </row>
    <row r="10514" spans="1:8">
      <c r="A10514" t="str">
        <f>"0219087 "</f>
        <v xml:space="preserve">0219087 </v>
      </c>
      <c r="B10514" t="s">
        <v>34255</v>
      </c>
      <c r="C10514" t="s">
        <v>34284</v>
      </c>
      <c r="D10514" t="s">
        <v>34285</v>
      </c>
      <c r="E10514">
        <v>1</v>
      </c>
      <c r="F10514" t="s">
        <v>34286</v>
      </c>
      <c r="G10514" t="s">
        <v>32614</v>
      </c>
      <c r="H10514" t="s">
        <v>34284</v>
      </c>
    </row>
    <row r="10515" spans="1:8">
      <c r="A10515" t="str">
        <f>"0219090 "</f>
        <v xml:space="preserve">0219090 </v>
      </c>
      <c r="B10515" t="s">
        <v>34255</v>
      </c>
      <c r="C10515" t="s">
        <v>34287</v>
      </c>
      <c r="D10515" t="s">
        <v>34288</v>
      </c>
      <c r="E10515">
        <v>4</v>
      </c>
      <c r="F10515" t="s">
        <v>34289</v>
      </c>
      <c r="G10515" t="s">
        <v>32614</v>
      </c>
      <c r="H10515" t="s">
        <v>34287</v>
      </c>
    </row>
    <row r="10516" spans="1:8">
      <c r="A10516" t="str">
        <f>"0219089 "</f>
        <v xml:space="preserve">0219089 </v>
      </c>
      <c r="B10516" t="s">
        <v>34255</v>
      </c>
      <c r="C10516" t="s">
        <v>34290</v>
      </c>
      <c r="D10516" t="s">
        <v>34291</v>
      </c>
      <c r="E10516">
        <v>2</v>
      </c>
      <c r="F10516" t="s">
        <v>34289</v>
      </c>
      <c r="G10516" t="s">
        <v>32614</v>
      </c>
      <c r="H10516" t="s">
        <v>34290</v>
      </c>
    </row>
    <row r="10517" spans="1:8">
      <c r="A10517" t="str">
        <f>"0219091 "</f>
        <v xml:space="preserve">0219091 </v>
      </c>
      <c r="B10517" t="s">
        <v>34255</v>
      </c>
      <c r="C10517" t="s">
        <v>34292</v>
      </c>
      <c r="D10517" t="s">
        <v>34293</v>
      </c>
      <c r="E10517">
        <v>3</v>
      </c>
      <c r="F10517" t="s">
        <v>34289</v>
      </c>
      <c r="G10517" t="s">
        <v>32614</v>
      </c>
      <c r="H10517" t="s">
        <v>34292</v>
      </c>
    </row>
    <row r="10518" spans="1:8">
      <c r="A10518" t="str">
        <f>"0219094 "</f>
        <v xml:space="preserve">0219094 </v>
      </c>
      <c r="B10518" t="s">
        <v>34255</v>
      </c>
      <c r="C10518" t="s">
        <v>34294</v>
      </c>
      <c r="D10518" t="s">
        <v>34295</v>
      </c>
      <c r="E10518">
        <v>4</v>
      </c>
      <c r="F10518" t="s">
        <v>34289</v>
      </c>
      <c r="G10518" t="s">
        <v>32614</v>
      </c>
      <c r="H10518" t="s">
        <v>34294</v>
      </c>
    </row>
    <row r="10519" spans="1:8">
      <c r="A10519" t="str">
        <f>"0219093 "</f>
        <v xml:space="preserve">0219093 </v>
      </c>
      <c r="B10519" t="s">
        <v>34255</v>
      </c>
      <c r="C10519" t="s">
        <v>34296</v>
      </c>
      <c r="D10519" t="s">
        <v>34297</v>
      </c>
      <c r="E10519">
        <v>2</v>
      </c>
      <c r="F10519" t="s">
        <v>34289</v>
      </c>
      <c r="G10519" t="s">
        <v>32614</v>
      </c>
      <c r="H10519" t="s">
        <v>34296</v>
      </c>
    </row>
    <row r="10520" spans="1:8">
      <c r="A10520" t="str">
        <f>"0219095 "</f>
        <v xml:space="preserve">0219095 </v>
      </c>
      <c r="B10520" t="s">
        <v>34255</v>
      </c>
      <c r="C10520" t="s">
        <v>34298</v>
      </c>
      <c r="D10520" t="s">
        <v>34299</v>
      </c>
      <c r="E10520">
        <v>4</v>
      </c>
      <c r="F10520" t="s">
        <v>34289</v>
      </c>
      <c r="G10520" t="s">
        <v>32614</v>
      </c>
      <c r="H10520" t="s">
        <v>34298</v>
      </c>
    </row>
    <row r="10521" spans="1:8">
      <c r="A10521" t="str">
        <f>"0219098 "</f>
        <v xml:space="preserve">0219098 </v>
      </c>
      <c r="B10521" t="s">
        <v>34255</v>
      </c>
      <c r="C10521" t="s">
        <v>34300</v>
      </c>
      <c r="D10521" t="s">
        <v>34301</v>
      </c>
      <c r="E10521">
        <v>4</v>
      </c>
      <c r="F10521" t="s">
        <v>19312</v>
      </c>
      <c r="G10521" t="s">
        <v>32614</v>
      </c>
      <c r="H10521" t="s">
        <v>34300</v>
      </c>
    </row>
    <row r="10522" spans="1:8">
      <c r="A10522" t="str">
        <f>"0219097 "</f>
        <v xml:space="preserve">0219097 </v>
      </c>
      <c r="B10522" t="s">
        <v>34255</v>
      </c>
      <c r="C10522" t="s">
        <v>34302</v>
      </c>
      <c r="D10522" t="s">
        <v>34303</v>
      </c>
      <c r="E10522">
        <v>4</v>
      </c>
      <c r="F10522" t="s">
        <v>19312</v>
      </c>
      <c r="G10522" t="s">
        <v>32614</v>
      </c>
      <c r="H10522" t="s">
        <v>34302</v>
      </c>
    </row>
    <row r="10523" spans="1:8">
      <c r="A10523" t="str">
        <f>"0219096 "</f>
        <v xml:space="preserve">0219096 </v>
      </c>
      <c r="B10523" t="s">
        <v>34255</v>
      </c>
      <c r="C10523" t="s">
        <v>34304</v>
      </c>
      <c r="D10523" t="s">
        <v>34305</v>
      </c>
      <c r="E10523">
        <v>3</v>
      </c>
      <c r="F10523" t="s">
        <v>19312</v>
      </c>
      <c r="G10523" t="s">
        <v>32614</v>
      </c>
      <c r="H10523" t="s">
        <v>34304</v>
      </c>
    </row>
    <row r="10524" spans="1:8">
      <c r="A10524" t="str">
        <f>"0219099 "</f>
        <v xml:space="preserve">0219099 </v>
      </c>
      <c r="B10524" t="s">
        <v>34255</v>
      </c>
      <c r="C10524" t="s">
        <v>34306</v>
      </c>
      <c r="D10524" t="s">
        <v>34307</v>
      </c>
      <c r="E10524">
        <v>2</v>
      </c>
      <c r="F10524" t="s">
        <v>19312</v>
      </c>
      <c r="G10524" t="s">
        <v>32614</v>
      </c>
      <c r="H10524" t="s">
        <v>34306</v>
      </c>
    </row>
    <row r="10525" spans="1:8">
      <c r="A10525" t="str">
        <f>"0219102 "</f>
        <v xml:space="preserve">0219102 </v>
      </c>
      <c r="B10525" t="s">
        <v>34255</v>
      </c>
      <c r="C10525" t="s">
        <v>34308</v>
      </c>
      <c r="D10525" t="s">
        <v>34309</v>
      </c>
      <c r="E10525">
        <v>4</v>
      </c>
      <c r="F10525" t="s">
        <v>19312</v>
      </c>
      <c r="G10525" t="s">
        <v>32614</v>
      </c>
      <c r="H10525" t="s">
        <v>34308</v>
      </c>
    </row>
    <row r="10526" spans="1:8">
      <c r="A10526" t="str">
        <f>"0219101 "</f>
        <v xml:space="preserve">0219101 </v>
      </c>
      <c r="B10526" t="s">
        <v>34255</v>
      </c>
      <c r="C10526" t="s">
        <v>34310</v>
      </c>
      <c r="D10526" t="s">
        <v>34311</v>
      </c>
      <c r="E10526">
        <v>3</v>
      </c>
      <c r="F10526" t="s">
        <v>19312</v>
      </c>
      <c r="G10526" t="s">
        <v>32614</v>
      </c>
      <c r="H10526" t="s">
        <v>34310</v>
      </c>
    </row>
    <row r="10527" spans="1:8">
      <c r="A10527" t="str">
        <f>"0219100 "</f>
        <v xml:space="preserve">0219100 </v>
      </c>
      <c r="B10527" t="s">
        <v>34255</v>
      </c>
      <c r="C10527" t="s">
        <v>34312</v>
      </c>
      <c r="D10527" t="s">
        <v>34313</v>
      </c>
      <c r="E10527" t="s">
        <v>16</v>
      </c>
      <c r="F10527" t="s">
        <v>19312</v>
      </c>
      <c r="G10527" t="s">
        <v>32614</v>
      </c>
      <c r="H10527" t="s">
        <v>34312</v>
      </c>
    </row>
    <row r="10528" spans="1:8">
      <c r="A10528" t="str">
        <f>"0219103 "</f>
        <v xml:space="preserve">0219103 </v>
      </c>
      <c r="B10528" t="s">
        <v>34255</v>
      </c>
      <c r="C10528" t="s">
        <v>34314</v>
      </c>
      <c r="D10528" t="s">
        <v>34315</v>
      </c>
      <c r="E10528">
        <v>5</v>
      </c>
      <c r="F10528" t="s">
        <v>19312</v>
      </c>
      <c r="G10528" t="s">
        <v>32614</v>
      </c>
      <c r="H10528" t="s">
        <v>34314</v>
      </c>
    </row>
    <row r="10529" spans="1:8">
      <c r="A10529" t="str">
        <f>"0267407 "</f>
        <v xml:space="preserve">0267407 </v>
      </c>
      <c r="B10529" t="s">
        <v>34255</v>
      </c>
      <c r="C10529" t="s">
        <v>34316</v>
      </c>
      <c r="D10529" t="s">
        <v>34317</v>
      </c>
      <c r="E10529" t="s">
        <v>16</v>
      </c>
      <c r="F10529" t="s">
        <v>34318</v>
      </c>
      <c r="G10529" t="s">
        <v>32614</v>
      </c>
      <c r="H10529" t="s">
        <v>34316</v>
      </c>
    </row>
    <row r="10530" spans="1:8">
      <c r="A10530" t="str">
        <f>"0267415 "</f>
        <v xml:space="preserve">0267415 </v>
      </c>
      <c r="B10530" t="s">
        <v>34255</v>
      </c>
      <c r="C10530" t="s">
        <v>34319</v>
      </c>
      <c r="D10530" t="s">
        <v>34320</v>
      </c>
      <c r="E10530" t="s">
        <v>16</v>
      </c>
      <c r="F10530" t="s">
        <v>34321</v>
      </c>
      <c r="G10530" t="s">
        <v>32614</v>
      </c>
      <c r="H10530" t="s">
        <v>34319</v>
      </c>
    </row>
    <row r="10531" spans="1:8">
      <c r="A10531" t="str">
        <f>"0267414 "</f>
        <v xml:space="preserve">0267414 </v>
      </c>
      <c r="B10531" t="s">
        <v>34255</v>
      </c>
      <c r="C10531" t="s">
        <v>34322</v>
      </c>
      <c r="D10531" t="s">
        <v>34320</v>
      </c>
      <c r="E10531" t="s">
        <v>16</v>
      </c>
      <c r="F10531" t="s">
        <v>34321</v>
      </c>
      <c r="G10531" t="s">
        <v>32614</v>
      </c>
      <c r="H10531" t="s">
        <v>34322</v>
      </c>
    </row>
    <row r="10532" spans="1:8">
      <c r="A10532" t="str">
        <f>"0267412 "</f>
        <v xml:space="preserve">0267412 </v>
      </c>
      <c r="B10532" t="s">
        <v>34255</v>
      </c>
      <c r="C10532" t="s">
        <v>34323</v>
      </c>
      <c r="D10532" t="s">
        <v>34320</v>
      </c>
      <c r="E10532">
        <v>5</v>
      </c>
      <c r="F10532" t="s">
        <v>34321</v>
      </c>
      <c r="G10532" t="s">
        <v>32614</v>
      </c>
      <c r="H10532" t="s">
        <v>34323</v>
      </c>
    </row>
    <row r="10533" spans="1:8">
      <c r="A10533" t="str">
        <f>"0267418 "</f>
        <v xml:space="preserve">0267418 </v>
      </c>
      <c r="B10533" t="s">
        <v>34255</v>
      </c>
      <c r="C10533" t="s">
        <v>34324</v>
      </c>
      <c r="D10533" t="s">
        <v>34325</v>
      </c>
      <c r="E10533" t="s">
        <v>16</v>
      </c>
      <c r="F10533" t="s">
        <v>34321</v>
      </c>
      <c r="G10533" t="s">
        <v>32614</v>
      </c>
      <c r="H10533" t="s">
        <v>34324</v>
      </c>
    </row>
    <row r="10534" spans="1:8">
      <c r="A10534" t="str">
        <f>"0267417 "</f>
        <v xml:space="preserve">0267417 </v>
      </c>
      <c r="B10534" t="s">
        <v>34255</v>
      </c>
      <c r="C10534" t="s">
        <v>34326</v>
      </c>
      <c r="D10534" t="s">
        <v>34325</v>
      </c>
      <c r="E10534" t="s">
        <v>16</v>
      </c>
      <c r="F10534" t="s">
        <v>34321</v>
      </c>
      <c r="G10534" t="s">
        <v>32614</v>
      </c>
      <c r="H10534" t="s">
        <v>34326</v>
      </c>
    </row>
    <row r="10535" spans="1:8">
      <c r="A10535" t="str">
        <f>"0267416 "</f>
        <v xml:space="preserve">0267416 </v>
      </c>
      <c r="B10535" t="s">
        <v>34255</v>
      </c>
      <c r="C10535" t="s">
        <v>34327</v>
      </c>
      <c r="D10535" t="s">
        <v>34325</v>
      </c>
      <c r="E10535">
        <v>5</v>
      </c>
      <c r="F10535" t="s">
        <v>34321</v>
      </c>
      <c r="G10535" t="s">
        <v>32614</v>
      </c>
      <c r="H10535" t="s">
        <v>34327</v>
      </c>
    </row>
    <row r="10536" spans="1:8">
      <c r="A10536" t="str">
        <f>"0267409 "</f>
        <v xml:space="preserve">0267409 </v>
      </c>
      <c r="B10536" t="s">
        <v>34255</v>
      </c>
      <c r="C10536" t="s">
        <v>34328</v>
      </c>
      <c r="D10536" t="s">
        <v>34317</v>
      </c>
      <c r="E10536" t="s">
        <v>16</v>
      </c>
      <c r="F10536" t="s">
        <v>34321</v>
      </c>
      <c r="G10536" t="s">
        <v>32614</v>
      </c>
      <c r="H10536" t="s">
        <v>34328</v>
      </c>
    </row>
    <row r="10537" spans="1:8">
      <c r="A10537" t="str">
        <f>"0267408 "</f>
        <v xml:space="preserve">0267408 </v>
      </c>
      <c r="B10537" t="s">
        <v>34255</v>
      </c>
      <c r="C10537" t="s">
        <v>34329</v>
      </c>
      <c r="D10537" t="s">
        <v>34317</v>
      </c>
      <c r="E10537" t="s">
        <v>16</v>
      </c>
      <c r="F10537" t="s">
        <v>34321</v>
      </c>
      <c r="G10537" t="s">
        <v>32614</v>
      </c>
      <c r="H10537" t="s">
        <v>34329</v>
      </c>
    </row>
    <row r="10538" spans="1:8">
      <c r="A10538" t="str">
        <f>"0269026 "</f>
        <v xml:space="preserve">0269026 </v>
      </c>
      <c r="B10538" t="s">
        <v>34255</v>
      </c>
      <c r="C10538" t="s">
        <v>34330</v>
      </c>
      <c r="D10538" t="s">
        <v>34317</v>
      </c>
      <c r="E10538">
        <v>5</v>
      </c>
      <c r="F10538" t="s">
        <v>34321</v>
      </c>
      <c r="G10538" t="s">
        <v>32614</v>
      </c>
      <c r="H10538" t="s">
        <v>34330</v>
      </c>
    </row>
    <row r="10539" spans="1:8">
      <c r="A10539" t="str">
        <f>"0267413 "</f>
        <v xml:space="preserve">0267413 </v>
      </c>
      <c r="B10539" t="s">
        <v>34255</v>
      </c>
      <c r="C10539" t="s">
        <v>34331</v>
      </c>
      <c r="D10539" t="s">
        <v>34317</v>
      </c>
      <c r="E10539">
        <v>4</v>
      </c>
      <c r="F10539" t="s">
        <v>32536</v>
      </c>
      <c r="G10539" t="s">
        <v>32614</v>
      </c>
      <c r="H10539" t="s">
        <v>34331</v>
      </c>
    </row>
    <row r="10540" spans="1:8">
      <c r="A10540" t="str">
        <f>"0267411 "</f>
        <v xml:space="preserve">0267411 </v>
      </c>
      <c r="B10540" t="s">
        <v>34255</v>
      </c>
      <c r="C10540" t="s">
        <v>34332</v>
      </c>
      <c r="D10540" t="s">
        <v>34317</v>
      </c>
      <c r="E10540">
        <v>3</v>
      </c>
      <c r="F10540" t="s">
        <v>32536</v>
      </c>
      <c r="G10540" t="s">
        <v>32614</v>
      </c>
      <c r="H10540" t="s">
        <v>34332</v>
      </c>
    </row>
    <row r="10541" spans="1:8">
      <c r="A10541" t="str">
        <f>"0267410 "</f>
        <v xml:space="preserve">0267410 </v>
      </c>
      <c r="B10541" t="s">
        <v>34255</v>
      </c>
      <c r="C10541" t="s">
        <v>34333</v>
      </c>
      <c r="D10541" t="s">
        <v>34317</v>
      </c>
      <c r="E10541">
        <v>5</v>
      </c>
      <c r="F10541" t="s">
        <v>32536</v>
      </c>
      <c r="G10541" t="s">
        <v>32614</v>
      </c>
      <c r="H10541" t="s">
        <v>34333</v>
      </c>
    </row>
    <row r="10542" spans="1:8">
      <c r="A10542" t="str">
        <f>"0219105 "</f>
        <v xml:space="preserve">0219105 </v>
      </c>
      <c r="B10542" t="s">
        <v>34255</v>
      </c>
      <c r="C10542" t="s">
        <v>34334</v>
      </c>
      <c r="D10542" t="s">
        <v>34335</v>
      </c>
      <c r="E10542">
        <v>2</v>
      </c>
      <c r="F10542" t="s">
        <v>34336</v>
      </c>
      <c r="G10542" t="s">
        <v>32614</v>
      </c>
      <c r="H10542" t="s">
        <v>34334</v>
      </c>
    </row>
    <row r="10543" spans="1:8">
      <c r="A10543" t="str">
        <f>"0219106 "</f>
        <v xml:space="preserve">0219106 </v>
      </c>
      <c r="B10543" t="s">
        <v>34255</v>
      </c>
      <c r="C10543" t="s">
        <v>34337</v>
      </c>
      <c r="D10543" t="s">
        <v>34338</v>
      </c>
      <c r="E10543">
        <v>1</v>
      </c>
      <c r="F10543" t="s">
        <v>34336</v>
      </c>
      <c r="G10543" t="s">
        <v>32614</v>
      </c>
      <c r="H10543" t="s">
        <v>34337</v>
      </c>
    </row>
    <row r="10544" spans="1:8">
      <c r="A10544" t="str">
        <f>"0231635 "</f>
        <v xml:space="preserve">0231635 </v>
      </c>
      <c r="B10544" t="s">
        <v>34255</v>
      </c>
      <c r="C10544" t="s">
        <v>34339</v>
      </c>
      <c r="D10544" t="s">
        <v>34340</v>
      </c>
      <c r="E10544">
        <v>2</v>
      </c>
      <c r="F10544" t="s">
        <v>34341</v>
      </c>
      <c r="G10544" t="s">
        <v>32614</v>
      </c>
      <c r="H10544" t="s">
        <v>34339</v>
      </c>
    </row>
    <row r="10545" spans="1:8">
      <c r="A10545" t="str">
        <f>"0231634 "</f>
        <v xml:space="preserve">0231634 </v>
      </c>
      <c r="B10545" t="s">
        <v>34255</v>
      </c>
      <c r="C10545" t="s">
        <v>34342</v>
      </c>
      <c r="D10545" t="s">
        <v>34340</v>
      </c>
      <c r="E10545">
        <v>2</v>
      </c>
      <c r="F10545" t="s">
        <v>34341</v>
      </c>
      <c r="G10545" t="s">
        <v>32614</v>
      </c>
      <c r="H10545" t="s">
        <v>34342</v>
      </c>
    </row>
    <row r="10546" spans="1:8">
      <c r="A10546" t="str">
        <f>"0219109 "</f>
        <v xml:space="preserve">0219109 </v>
      </c>
      <c r="B10546" t="s">
        <v>34255</v>
      </c>
      <c r="C10546" t="s">
        <v>34343</v>
      </c>
      <c r="D10546" t="s">
        <v>34344</v>
      </c>
      <c r="E10546">
        <v>2</v>
      </c>
      <c r="F10546" t="s">
        <v>33393</v>
      </c>
      <c r="G10546" t="s">
        <v>32614</v>
      </c>
      <c r="H10546" t="s">
        <v>34343</v>
      </c>
    </row>
    <row r="10547" spans="1:8">
      <c r="A10547" t="str">
        <f>"0219110 "</f>
        <v xml:space="preserve">0219110 </v>
      </c>
      <c r="B10547" t="s">
        <v>34255</v>
      </c>
      <c r="C10547" t="s">
        <v>34345</v>
      </c>
      <c r="D10547" t="s">
        <v>34346</v>
      </c>
      <c r="E10547">
        <v>3</v>
      </c>
      <c r="F10547" t="s">
        <v>34347</v>
      </c>
      <c r="G10547" t="s">
        <v>32614</v>
      </c>
      <c r="H10547" t="s">
        <v>34345</v>
      </c>
    </row>
    <row r="10548" spans="1:8">
      <c r="A10548" t="str">
        <f>"0219111 "</f>
        <v xml:space="preserve">0219111 </v>
      </c>
      <c r="B10548" t="s">
        <v>34255</v>
      </c>
      <c r="C10548" t="s">
        <v>34348</v>
      </c>
      <c r="D10548" t="s">
        <v>34349</v>
      </c>
      <c r="E10548">
        <v>3</v>
      </c>
      <c r="F10548" t="s">
        <v>33217</v>
      </c>
      <c r="G10548" t="s">
        <v>32614</v>
      </c>
      <c r="H10548" t="s">
        <v>34348</v>
      </c>
    </row>
    <row r="10549" spans="1:8">
      <c r="A10549" t="str">
        <f>"0219116 "</f>
        <v xml:space="preserve">0219116 </v>
      </c>
      <c r="B10549" t="s">
        <v>34255</v>
      </c>
      <c r="C10549" t="s">
        <v>34350</v>
      </c>
      <c r="D10549" t="s">
        <v>34351</v>
      </c>
      <c r="E10549">
        <v>1</v>
      </c>
      <c r="F10549" t="s">
        <v>34352</v>
      </c>
      <c r="G10549" t="s">
        <v>32614</v>
      </c>
      <c r="H10549" t="s">
        <v>34350</v>
      </c>
    </row>
    <row r="10550" spans="1:8">
      <c r="A10550" t="str">
        <f>"0219119 "</f>
        <v xml:space="preserve">0219119 </v>
      </c>
      <c r="B10550" t="s">
        <v>34255</v>
      </c>
      <c r="C10550" t="s">
        <v>34353</v>
      </c>
      <c r="D10550" t="s">
        <v>34354</v>
      </c>
      <c r="E10550">
        <v>1</v>
      </c>
      <c r="F10550" t="s">
        <v>34352</v>
      </c>
      <c r="G10550" t="s">
        <v>32614</v>
      </c>
      <c r="H10550" t="s">
        <v>34353</v>
      </c>
    </row>
    <row r="10551" spans="1:8">
      <c r="A10551" t="str">
        <f>"0219121 "</f>
        <v xml:space="preserve">0219121 </v>
      </c>
      <c r="B10551" t="s">
        <v>34255</v>
      </c>
      <c r="C10551" t="s">
        <v>34355</v>
      </c>
      <c r="D10551" t="s">
        <v>34356</v>
      </c>
      <c r="E10551">
        <v>2</v>
      </c>
      <c r="F10551" t="s">
        <v>34336</v>
      </c>
      <c r="G10551" t="s">
        <v>32614</v>
      </c>
      <c r="H10551" t="s">
        <v>34355</v>
      </c>
    </row>
    <row r="10552" spans="1:8">
      <c r="A10552" t="str">
        <f>"0219122 "</f>
        <v xml:space="preserve">0219122 </v>
      </c>
      <c r="B10552" t="s">
        <v>34255</v>
      </c>
      <c r="C10552" t="s">
        <v>34357</v>
      </c>
      <c r="D10552" t="s">
        <v>34358</v>
      </c>
      <c r="E10552">
        <v>2</v>
      </c>
      <c r="F10552" t="s">
        <v>34336</v>
      </c>
      <c r="G10552" t="s">
        <v>32614</v>
      </c>
      <c r="H10552" t="s">
        <v>34357</v>
      </c>
    </row>
    <row r="10553" spans="1:8">
      <c r="A10553" t="str">
        <f>"0231637 "</f>
        <v xml:space="preserve">0231637 </v>
      </c>
      <c r="B10553" t="s">
        <v>34255</v>
      </c>
      <c r="C10553" t="s">
        <v>34359</v>
      </c>
      <c r="D10553" t="s">
        <v>34360</v>
      </c>
      <c r="E10553">
        <v>2</v>
      </c>
      <c r="F10553" t="s">
        <v>33217</v>
      </c>
      <c r="G10553" t="s">
        <v>32614</v>
      </c>
      <c r="H10553" t="s">
        <v>34359</v>
      </c>
    </row>
    <row r="10554" spans="1:8">
      <c r="A10554" t="str">
        <f>"0219124 "</f>
        <v xml:space="preserve">0219124 </v>
      </c>
      <c r="B10554" t="s">
        <v>34255</v>
      </c>
      <c r="C10554" t="s">
        <v>34361</v>
      </c>
      <c r="D10554" t="s">
        <v>34362</v>
      </c>
      <c r="E10554">
        <v>3</v>
      </c>
      <c r="F10554" t="s">
        <v>33217</v>
      </c>
      <c r="G10554" t="s">
        <v>32614</v>
      </c>
      <c r="H10554" t="s">
        <v>34361</v>
      </c>
    </row>
    <row r="10555" spans="1:8">
      <c r="A10555" t="str">
        <f>"0219125 "</f>
        <v xml:space="preserve">0219125 </v>
      </c>
      <c r="B10555" t="s">
        <v>34255</v>
      </c>
      <c r="C10555" t="s">
        <v>34363</v>
      </c>
      <c r="D10555" t="s">
        <v>34364</v>
      </c>
      <c r="E10555">
        <v>2</v>
      </c>
      <c r="F10555" t="s">
        <v>33217</v>
      </c>
      <c r="G10555" t="s">
        <v>32614</v>
      </c>
      <c r="H10555" t="s">
        <v>34363</v>
      </c>
    </row>
    <row r="10556" spans="1:8">
      <c r="A10556" t="str">
        <f>"0219127 "</f>
        <v xml:space="preserve">0219127 </v>
      </c>
      <c r="B10556" t="s">
        <v>34255</v>
      </c>
      <c r="C10556" t="s">
        <v>34365</v>
      </c>
      <c r="D10556" t="s">
        <v>34366</v>
      </c>
      <c r="E10556">
        <v>3</v>
      </c>
      <c r="F10556" t="s">
        <v>34367</v>
      </c>
      <c r="G10556" t="s">
        <v>32614</v>
      </c>
      <c r="H10556" t="s">
        <v>34365</v>
      </c>
    </row>
    <row r="10557" spans="1:8">
      <c r="A10557" t="str">
        <f>"0219130 "</f>
        <v xml:space="preserve">0219130 </v>
      </c>
      <c r="B10557" t="s">
        <v>34255</v>
      </c>
      <c r="C10557" t="s">
        <v>34368</v>
      </c>
      <c r="D10557" t="s">
        <v>34369</v>
      </c>
      <c r="E10557">
        <v>1</v>
      </c>
      <c r="F10557" t="s">
        <v>34370</v>
      </c>
      <c r="G10557" t="s">
        <v>32614</v>
      </c>
      <c r="H10557" t="s">
        <v>34368</v>
      </c>
    </row>
    <row r="10558" spans="1:8">
      <c r="A10558" t="str">
        <f>"0267424 "</f>
        <v xml:space="preserve">0267424 </v>
      </c>
      <c r="B10558" t="s">
        <v>34255</v>
      </c>
      <c r="C10558" t="s">
        <v>34371</v>
      </c>
      <c r="D10558" t="s">
        <v>34372</v>
      </c>
      <c r="E10558" t="s">
        <v>16</v>
      </c>
      <c r="F10558" t="s">
        <v>34000</v>
      </c>
      <c r="G10558" t="s">
        <v>32614</v>
      </c>
      <c r="H10558" t="s">
        <v>34371</v>
      </c>
    </row>
    <row r="10559" spans="1:8">
      <c r="A10559" t="str">
        <f>"0267423 "</f>
        <v xml:space="preserve">0267423 </v>
      </c>
      <c r="B10559" t="s">
        <v>34255</v>
      </c>
      <c r="C10559" t="s">
        <v>34373</v>
      </c>
      <c r="D10559" t="s">
        <v>34372</v>
      </c>
      <c r="E10559" t="s">
        <v>16</v>
      </c>
      <c r="F10559" t="s">
        <v>34000</v>
      </c>
      <c r="G10559" t="s">
        <v>32614</v>
      </c>
      <c r="H10559" t="s">
        <v>34373</v>
      </c>
    </row>
    <row r="10560" spans="1:8">
      <c r="A10560" t="str">
        <f>"0267422 "</f>
        <v xml:space="preserve">0267422 </v>
      </c>
      <c r="B10560" t="s">
        <v>34255</v>
      </c>
      <c r="C10560" t="s">
        <v>34374</v>
      </c>
      <c r="D10560" t="s">
        <v>34372</v>
      </c>
      <c r="E10560">
        <v>5</v>
      </c>
      <c r="F10560" t="s">
        <v>34000</v>
      </c>
      <c r="G10560" t="s">
        <v>32614</v>
      </c>
      <c r="H10560" t="s">
        <v>34374</v>
      </c>
    </row>
    <row r="10561" spans="1:8">
      <c r="A10561" t="str">
        <f>"0267421 "</f>
        <v xml:space="preserve">0267421 </v>
      </c>
      <c r="B10561" t="s">
        <v>34255</v>
      </c>
      <c r="C10561" t="s">
        <v>34375</v>
      </c>
      <c r="D10561" t="s">
        <v>34376</v>
      </c>
      <c r="E10561" t="s">
        <v>16</v>
      </c>
      <c r="F10561" t="s">
        <v>34377</v>
      </c>
      <c r="G10561" t="s">
        <v>32614</v>
      </c>
      <c r="H10561" t="s">
        <v>34375</v>
      </c>
    </row>
    <row r="10562" spans="1:8">
      <c r="A10562" t="str">
        <f>"0267420 "</f>
        <v xml:space="preserve">0267420 </v>
      </c>
      <c r="B10562" t="s">
        <v>34255</v>
      </c>
      <c r="C10562" t="s">
        <v>34378</v>
      </c>
      <c r="D10562" t="s">
        <v>34376</v>
      </c>
      <c r="E10562" t="s">
        <v>16</v>
      </c>
      <c r="F10562" t="s">
        <v>34377</v>
      </c>
      <c r="G10562" t="s">
        <v>32614</v>
      </c>
      <c r="H10562" t="s">
        <v>34378</v>
      </c>
    </row>
    <row r="10563" spans="1:8">
      <c r="A10563" t="str">
        <f>"0267427 "</f>
        <v xml:space="preserve">0267427 </v>
      </c>
      <c r="B10563" t="s">
        <v>34255</v>
      </c>
      <c r="C10563" t="s">
        <v>34379</v>
      </c>
      <c r="D10563" t="s">
        <v>34372</v>
      </c>
      <c r="E10563" t="s">
        <v>16</v>
      </c>
      <c r="F10563" t="s">
        <v>5606</v>
      </c>
      <c r="G10563" t="s">
        <v>32614</v>
      </c>
      <c r="H10563" t="s">
        <v>34379</v>
      </c>
    </row>
    <row r="10564" spans="1:8">
      <c r="A10564" t="str">
        <f>"0267425 "</f>
        <v xml:space="preserve">0267425 </v>
      </c>
      <c r="B10564" t="s">
        <v>34255</v>
      </c>
      <c r="C10564" t="s">
        <v>34380</v>
      </c>
      <c r="D10564" t="s">
        <v>34372</v>
      </c>
      <c r="E10564">
        <v>4</v>
      </c>
      <c r="F10564" t="s">
        <v>5606</v>
      </c>
      <c r="G10564" t="s">
        <v>32614</v>
      </c>
      <c r="H10564" t="s">
        <v>34380</v>
      </c>
    </row>
    <row r="10565" spans="1:8">
      <c r="A10565" t="str">
        <f>"0267436 "</f>
        <v xml:space="preserve">0267436 </v>
      </c>
      <c r="B10565" t="s">
        <v>34255</v>
      </c>
      <c r="C10565" t="s">
        <v>34381</v>
      </c>
      <c r="D10565" t="s">
        <v>34382</v>
      </c>
      <c r="E10565">
        <v>3</v>
      </c>
      <c r="F10565" t="s">
        <v>34383</v>
      </c>
      <c r="G10565" t="s">
        <v>32614</v>
      </c>
      <c r="H10565" t="s">
        <v>34381</v>
      </c>
    </row>
    <row r="10566" spans="1:8">
      <c r="A10566" t="str">
        <f>"0267430 "</f>
        <v xml:space="preserve">0267430 </v>
      </c>
      <c r="B10566" t="s">
        <v>34255</v>
      </c>
      <c r="C10566" t="s">
        <v>34384</v>
      </c>
      <c r="D10566" t="s">
        <v>34372</v>
      </c>
      <c r="E10566" t="s">
        <v>16</v>
      </c>
      <c r="F10566" t="s">
        <v>28277</v>
      </c>
      <c r="G10566" t="s">
        <v>32614</v>
      </c>
      <c r="H10566" t="s">
        <v>34384</v>
      </c>
    </row>
    <row r="10567" spans="1:8">
      <c r="A10567" t="str">
        <f>"0267428 "</f>
        <v xml:space="preserve">0267428 </v>
      </c>
      <c r="B10567" t="s">
        <v>34255</v>
      </c>
      <c r="C10567" t="s">
        <v>34385</v>
      </c>
      <c r="D10567" t="s">
        <v>34372</v>
      </c>
      <c r="E10567">
        <v>4</v>
      </c>
      <c r="F10567" t="s">
        <v>28277</v>
      </c>
      <c r="G10567" t="s">
        <v>32614</v>
      </c>
      <c r="H10567" t="s">
        <v>34385</v>
      </c>
    </row>
    <row r="10568" spans="1:8">
      <c r="A10568" t="str">
        <f>"0269106 "</f>
        <v xml:space="preserve">0269106 </v>
      </c>
      <c r="B10568" t="s">
        <v>34255</v>
      </c>
      <c r="C10568" t="s">
        <v>34386</v>
      </c>
      <c r="D10568" t="s">
        <v>34372</v>
      </c>
      <c r="E10568">
        <v>4</v>
      </c>
      <c r="F10568" t="s">
        <v>34387</v>
      </c>
      <c r="G10568" t="s">
        <v>32614</v>
      </c>
      <c r="H10568" t="s">
        <v>34386</v>
      </c>
    </row>
    <row r="10569" spans="1:8">
      <c r="A10569" t="str">
        <f>"0269107 "</f>
        <v xml:space="preserve">0269107 </v>
      </c>
      <c r="B10569" t="s">
        <v>34255</v>
      </c>
      <c r="C10569" t="s">
        <v>34388</v>
      </c>
      <c r="D10569" t="s">
        <v>34372</v>
      </c>
      <c r="E10569" t="s">
        <v>16</v>
      </c>
      <c r="F10569" t="s">
        <v>34387</v>
      </c>
      <c r="G10569" t="s">
        <v>32614</v>
      </c>
      <c r="H10569" t="s">
        <v>34388</v>
      </c>
    </row>
    <row r="10570" spans="1:8">
      <c r="A10570" t="str">
        <f>"0269105 "</f>
        <v xml:space="preserve">0269105 </v>
      </c>
      <c r="B10570" t="s">
        <v>34255</v>
      </c>
      <c r="C10570" t="s">
        <v>34389</v>
      </c>
      <c r="D10570" t="s">
        <v>34372</v>
      </c>
      <c r="E10570">
        <v>5</v>
      </c>
      <c r="F10570" t="s">
        <v>34387</v>
      </c>
      <c r="G10570" t="s">
        <v>32614</v>
      </c>
      <c r="H10570" t="s">
        <v>34389</v>
      </c>
    </row>
    <row r="10571" spans="1:8">
      <c r="A10571" t="str">
        <f>"0269108 "</f>
        <v xml:space="preserve">0269108 </v>
      </c>
      <c r="B10571" t="s">
        <v>34255</v>
      </c>
      <c r="C10571" t="s">
        <v>34390</v>
      </c>
      <c r="D10571" t="s">
        <v>34372</v>
      </c>
      <c r="E10571" t="s">
        <v>16</v>
      </c>
      <c r="F10571" t="s">
        <v>34391</v>
      </c>
      <c r="G10571" t="s">
        <v>32614</v>
      </c>
      <c r="H10571" t="s">
        <v>34390</v>
      </c>
    </row>
    <row r="10572" spans="1:8">
      <c r="A10572" t="str">
        <f>"0219081 "</f>
        <v xml:space="preserve">0219081 </v>
      </c>
      <c r="B10572" t="s">
        <v>34255</v>
      </c>
      <c r="C10572" t="s">
        <v>34392</v>
      </c>
      <c r="D10572" t="s">
        <v>34393</v>
      </c>
      <c r="E10572" t="s">
        <v>16</v>
      </c>
      <c r="F10572" t="s">
        <v>19281</v>
      </c>
      <c r="G10572" t="s">
        <v>32614</v>
      </c>
      <c r="H10572" t="s">
        <v>34392</v>
      </c>
    </row>
    <row r="10573" spans="1:8">
      <c r="A10573" t="str">
        <f>"0219082 "</f>
        <v xml:space="preserve">0219082 </v>
      </c>
      <c r="B10573" t="s">
        <v>34255</v>
      </c>
      <c r="C10573" t="s">
        <v>34394</v>
      </c>
      <c r="D10573" t="s">
        <v>34395</v>
      </c>
      <c r="E10573" t="s">
        <v>16</v>
      </c>
      <c r="F10573" t="s">
        <v>34396</v>
      </c>
      <c r="G10573" t="s">
        <v>32614</v>
      </c>
      <c r="H10573" t="s">
        <v>34394</v>
      </c>
    </row>
    <row r="10574" spans="1:8">
      <c r="A10574" t="str">
        <f>"0219083 "</f>
        <v xml:space="preserve">0219083 </v>
      </c>
      <c r="B10574" t="s">
        <v>34255</v>
      </c>
      <c r="C10574" t="s">
        <v>34397</v>
      </c>
      <c r="D10574" t="s">
        <v>34398</v>
      </c>
      <c r="E10574" t="s">
        <v>16</v>
      </c>
      <c r="F10574" t="s">
        <v>34399</v>
      </c>
      <c r="G10574" t="s">
        <v>32614</v>
      </c>
      <c r="H10574" t="s">
        <v>34397</v>
      </c>
    </row>
    <row r="10575" spans="1:8">
      <c r="A10575" t="str">
        <f>"0219135 "</f>
        <v xml:space="preserve">0219135 </v>
      </c>
      <c r="B10575" t="s">
        <v>34400</v>
      </c>
      <c r="C10575" t="s">
        <v>34401</v>
      </c>
      <c r="D10575" t="s">
        <v>34402</v>
      </c>
      <c r="E10575" t="s">
        <v>16</v>
      </c>
      <c r="F10575" t="s">
        <v>32898</v>
      </c>
      <c r="G10575" t="s">
        <v>34403</v>
      </c>
      <c r="H10575" t="s">
        <v>34401</v>
      </c>
    </row>
    <row r="10576" spans="1:8">
      <c r="A10576" t="str">
        <f>"0219134 "</f>
        <v xml:space="preserve">0219134 </v>
      </c>
      <c r="B10576" t="s">
        <v>34400</v>
      </c>
      <c r="C10576" t="s">
        <v>34404</v>
      </c>
      <c r="D10576" t="s">
        <v>34405</v>
      </c>
      <c r="E10576" t="s">
        <v>16</v>
      </c>
      <c r="F10576" t="s">
        <v>32898</v>
      </c>
      <c r="G10576" t="s">
        <v>34403</v>
      </c>
      <c r="H10576" t="s">
        <v>34404</v>
      </c>
    </row>
    <row r="10577" spans="1:8">
      <c r="A10577" t="str">
        <f>"0219983 "</f>
        <v xml:space="preserve">0219983 </v>
      </c>
      <c r="B10577" t="s">
        <v>34400</v>
      </c>
      <c r="C10577" t="s">
        <v>34406</v>
      </c>
      <c r="D10577" t="s">
        <v>34407</v>
      </c>
      <c r="E10577" t="s">
        <v>16</v>
      </c>
      <c r="F10577" t="s">
        <v>34408</v>
      </c>
      <c r="G10577" t="s">
        <v>34403</v>
      </c>
      <c r="H10577" t="s">
        <v>34406</v>
      </c>
    </row>
    <row r="10578" spans="1:8">
      <c r="A10578" t="str">
        <f>"0276547 "</f>
        <v xml:space="preserve">0276547 </v>
      </c>
      <c r="B10578" t="s">
        <v>34400</v>
      </c>
      <c r="C10578" t="s">
        <v>34409</v>
      </c>
      <c r="D10578" t="s">
        <v>34410</v>
      </c>
      <c r="E10578">
        <v>3</v>
      </c>
      <c r="F10578" t="s">
        <v>32639</v>
      </c>
      <c r="G10578" t="s">
        <v>34403</v>
      </c>
      <c r="H10578" t="s">
        <v>34409</v>
      </c>
    </row>
    <row r="10579" spans="1:8">
      <c r="A10579" t="str">
        <f>"0219138 "</f>
        <v xml:space="preserve">0219138 </v>
      </c>
      <c r="B10579" t="s">
        <v>34400</v>
      </c>
      <c r="C10579" t="s">
        <v>34411</v>
      </c>
      <c r="D10579" t="s">
        <v>34412</v>
      </c>
      <c r="E10579" t="s">
        <v>16</v>
      </c>
      <c r="F10579" t="s">
        <v>34396</v>
      </c>
      <c r="G10579" t="s">
        <v>34403</v>
      </c>
      <c r="H10579" t="s">
        <v>34411</v>
      </c>
    </row>
    <row r="10580" spans="1:8">
      <c r="A10580" t="str">
        <f>"0219137 "</f>
        <v xml:space="preserve">0219137 </v>
      </c>
      <c r="B10580" t="s">
        <v>34400</v>
      </c>
      <c r="C10580" t="s">
        <v>34413</v>
      </c>
      <c r="D10580" t="s">
        <v>34414</v>
      </c>
      <c r="E10580" t="s">
        <v>16</v>
      </c>
      <c r="F10580" t="s">
        <v>34408</v>
      </c>
      <c r="G10580" t="s">
        <v>34403</v>
      </c>
      <c r="H10580" t="s">
        <v>34413</v>
      </c>
    </row>
    <row r="10581" spans="1:8">
      <c r="A10581" t="str">
        <f>"0219142 "</f>
        <v xml:space="preserve">0219142 </v>
      </c>
      <c r="B10581" t="s">
        <v>34400</v>
      </c>
      <c r="C10581" t="s">
        <v>34415</v>
      </c>
      <c r="D10581" t="s">
        <v>34416</v>
      </c>
      <c r="E10581" t="s">
        <v>16</v>
      </c>
      <c r="F10581" t="s">
        <v>34417</v>
      </c>
      <c r="G10581" t="s">
        <v>34403</v>
      </c>
      <c r="H10581" t="s">
        <v>34415</v>
      </c>
    </row>
    <row r="10582" spans="1:8">
      <c r="A10582" t="str">
        <f>"0276549 "</f>
        <v xml:space="preserve">0276549 </v>
      </c>
      <c r="B10582" t="s">
        <v>34400</v>
      </c>
      <c r="C10582" t="s">
        <v>34418</v>
      </c>
      <c r="D10582" t="s">
        <v>34419</v>
      </c>
      <c r="E10582">
        <v>5</v>
      </c>
      <c r="F10582" t="s">
        <v>34420</v>
      </c>
      <c r="G10582" t="s">
        <v>34403</v>
      </c>
      <c r="H10582" t="s">
        <v>34418</v>
      </c>
    </row>
    <row r="10583" spans="1:8">
      <c r="A10583" t="str">
        <f>"0219141 "</f>
        <v xml:space="preserve">0219141 </v>
      </c>
      <c r="B10583" t="s">
        <v>34400</v>
      </c>
      <c r="C10583" t="s">
        <v>34421</v>
      </c>
      <c r="D10583" t="s">
        <v>34422</v>
      </c>
      <c r="E10583" t="s">
        <v>16</v>
      </c>
      <c r="F10583" t="s">
        <v>34417</v>
      </c>
      <c r="G10583" t="s">
        <v>34403</v>
      </c>
      <c r="H10583" t="s">
        <v>34421</v>
      </c>
    </row>
    <row r="10584" spans="1:8">
      <c r="A10584" t="str">
        <f>"0276550 "</f>
        <v xml:space="preserve">0276550 </v>
      </c>
      <c r="B10584" t="s">
        <v>34400</v>
      </c>
      <c r="C10584" t="s">
        <v>34423</v>
      </c>
      <c r="D10584" t="s">
        <v>34424</v>
      </c>
      <c r="E10584" t="s">
        <v>16</v>
      </c>
      <c r="F10584" t="s">
        <v>34420</v>
      </c>
      <c r="G10584" t="s">
        <v>34403</v>
      </c>
      <c r="H10584" t="s">
        <v>34423</v>
      </c>
    </row>
    <row r="10585" spans="1:8">
      <c r="A10585" t="str">
        <f>"0219140 "</f>
        <v xml:space="preserve">0219140 </v>
      </c>
      <c r="B10585" t="s">
        <v>34400</v>
      </c>
      <c r="C10585" t="s">
        <v>34425</v>
      </c>
      <c r="D10585" t="s">
        <v>34426</v>
      </c>
      <c r="E10585" t="s">
        <v>16</v>
      </c>
      <c r="F10585" t="s">
        <v>34417</v>
      </c>
      <c r="G10585" t="s">
        <v>34403</v>
      </c>
      <c r="H10585" t="s">
        <v>34425</v>
      </c>
    </row>
    <row r="10586" spans="1:8">
      <c r="A10586" t="str">
        <f>"0219139 "</f>
        <v xml:space="preserve">0219139 </v>
      </c>
      <c r="B10586" t="s">
        <v>34400</v>
      </c>
      <c r="C10586" t="s">
        <v>34427</v>
      </c>
      <c r="D10586" t="s">
        <v>34428</v>
      </c>
      <c r="E10586" t="s">
        <v>16</v>
      </c>
      <c r="F10586" t="s">
        <v>34417</v>
      </c>
      <c r="G10586" t="s">
        <v>34403</v>
      </c>
      <c r="H10586" t="s">
        <v>34427</v>
      </c>
    </row>
    <row r="10587" spans="1:8">
      <c r="A10587" t="str">
        <f>"0241240 "</f>
        <v xml:space="preserve">0241240 </v>
      </c>
      <c r="B10587" t="s">
        <v>34429</v>
      </c>
      <c r="D10587" t="s">
        <v>34430</v>
      </c>
      <c r="E10587" t="s">
        <v>16</v>
      </c>
      <c r="F10587" t="str">
        <f>"0.32"</f>
        <v>0.32</v>
      </c>
      <c r="G10587" t="s">
        <v>32656</v>
      </c>
    </row>
    <row r="10588" spans="1:8">
      <c r="A10588" t="str">
        <f>"0240511 "</f>
        <v xml:space="preserve">0240511 </v>
      </c>
      <c r="B10588" t="s">
        <v>34429</v>
      </c>
      <c r="D10588" t="s">
        <v>34431</v>
      </c>
      <c r="E10588" t="s">
        <v>16</v>
      </c>
      <c r="F10588" t="str">
        <f>"0.32"</f>
        <v>0.32</v>
      </c>
      <c r="G10588" t="s">
        <v>1818</v>
      </c>
    </row>
    <row r="10589" spans="1:8">
      <c r="A10589" t="str">
        <f>"0231304 "</f>
        <v xml:space="preserve">0231304 </v>
      </c>
      <c r="B10589" t="s">
        <v>34429</v>
      </c>
      <c r="C10589">
        <v>1580</v>
      </c>
      <c r="D10589" t="s">
        <v>34432</v>
      </c>
      <c r="E10589" t="s">
        <v>16</v>
      </c>
      <c r="F10589" s="3">
        <v>32540</v>
      </c>
      <c r="G10589" t="s">
        <v>34433</v>
      </c>
      <c r="H10589">
        <v>1580</v>
      </c>
    </row>
    <row r="10590" spans="1:8">
      <c r="A10590" t="str">
        <f>"0240563 "</f>
        <v xml:space="preserve">0240563 </v>
      </c>
      <c r="B10590" t="s">
        <v>34429</v>
      </c>
      <c r="C10590">
        <v>30321</v>
      </c>
      <c r="D10590" t="s">
        <v>34434</v>
      </c>
      <c r="E10590">
        <v>5</v>
      </c>
      <c r="F10590" t="s">
        <v>34435</v>
      </c>
      <c r="G10590" t="s">
        <v>34436</v>
      </c>
      <c r="H10590">
        <v>30321</v>
      </c>
    </row>
    <row r="10591" spans="1:8">
      <c r="A10591" t="str">
        <f>"0239356 "</f>
        <v xml:space="preserve">0239356 </v>
      </c>
      <c r="B10591" t="s">
        <v>34429</v>
      </c>
      <c r="C10591">
        <v>30322</v>
      </c>
      <c r="D10591" t="s">
        <v>34437</v>
      </c>
      <c r="E10591">
        <v>2</v>
      </c>
      <c r="F10591" t="s">
        <v>34438</v>
      </c>
      <c r="G10591" t="s">
        <v>34436</v>
      </c>
      <c r="H10591">
        <v>30322</v>
      </c>
    </row>
    <row r="10592" spans="1:8">
      <c r="A10592" t="str">
        <f>"0252360 "</f>
        <v xml:space="preserve">0252360 </v>
      </c>
      <c r="B10592" t="s">
        <v>34429</v>
      </c>
      <c r="C10592">
        <v>32322</v>
      </c>
      <c r="D10592" t="s">
        <v>34439</v>
      </c>
      <c r="E10592">
        <v>5</v>
      </c>
      <c r="F10592" t="s">
        <v>34440</v>
      </c>
      <c r="G10592" t="s">
        <v>34436</v>
      </c>
      <c r="H10592">
        <v>32322</v>
      </c>
    </row>
    <row r="10593" spans="1:8">
      <c r="A10593" t="str">
        <f>"0231303 "</f>
        <v xml:space="preserve">0231303 </v>
      </c>
      <c r="B10593" t="s">
        <v>34429</v>
      </c>
      <c r="C10593">
        <v>66546</v>
      </c>
      <c r="D10593" t="s">
        <v>34441</v>
      </c>
      <c r="E10593" t="s">
        <v>16</v>
      </c>
      <c r="F10593" s="3">
        <v>29768</v>
      </c>
      <c r="G10593" t="s">
        <v>34433</v>
      </c>
      <c r="H10593">
        <v>66546</v>
      </c>
    </row>
    <row r="10594" spans="1:8">
      <c r="A10594" t="str">
        <f>"0219270 "</f>
        <v xml:space="preserve">0219270 </v>
      </c>
      <c r="B10594" t="s">
        <v>34429</v>
      </c>
      <c r="C10594" t="s">
        <v>34442</v>
      </c>
      <c r="D10594" t="s">
        <v>34443</v>
      </c>
      <c r="E10594">
        <v>3</v>
      </c>
      <c r="F10594" t="s">
        <v>19881</v>
      </c>
      <c r="G10594" t="s">
        <v>32614</v>
      </c>
      <c r="H10594" t="s">
        <v>34442</v>
      </c>
    </row>
    <row r="10595" spans="1:8">
      <c r="A10595" t="str">
        <f>"0219245 "</f>
        <v xml:space="preserve">0219245 </v>
      </c>
      <c r="B10595" t="s">
        <v>34429</v>
      </c>
      <c r="C10595" t="s">
        <v>34444</v>
      </c>
      <c r="D10595" t="s">
        <v>34445</v>
      </c>
      <c r="E10595" t="s">
        <v>16</v>
      </c>
      <c r="F10595" t="s">
        <v>10278</v>
      </c>
      <c r="G10595" t="s">
        <v>32614</v>
      </c>
      <c r="H10595" t="s">
        <v>34444</v>
      </c>
    </row>
    <row r="10596" spans="1:8">
      <c r="A10596" t="str">
        <f>"0219246 "</f>
        <v xml:space="preserve">0219246 </v>
      </c>
      <c r="B10596" t="s">
        <v>34429</v>
      </c>
      <c r="C10596" t="s">
        <v>34446</v>
      </c>
      <c r="D10596" t="s">
        <v>34447</v>
      </c>
      <c r="E10596">
        <v>4</v>
      </c>
      <c r="F10596" t="s">
        <v>34448</v>
      </c>
      <c r="G10596" t="s">
        <v>32614</v>
      </c>
      <c r="H10596" t="s">
        <v>34446</v>
      </c>
    </row>
    <row r="10597" spans="1:8">
      <c r="A10597" t="str">
        <f>"0219171 "</f>
        <v xml:space="preserve">0219171 </v>
      </c>
      <c r="B10597" t="s">
        <v>34429</v>
      </c>
      <c r="C10597" t="s">
        <v>34449</v>
      </c>
      <c r="D10597" t="s">
        <v>34450</v>
      </c>
      <c r="E10597" t="s">
        <v>16</v>
      </c>
      <c r="F10597" t="s">
        <v>34451</v>
      </c>
      <c r="G10597" t="s">
        <v>32614</v>
      </c>
      <c r="H10597" t="s">
        <v>34449</v>
      </c>
    </row>
    <row r="10598" spans="1:8">
      <c r="A10598" t="str">
        <f>"0219172 "</f>
        <v xml:space="preserve">0219172 </v>
      </c>
      <c r="B10598" t="s">
        <v>34429</v>
      </c>
      <c r="C10598" t="s">
        <v>34452</v>
      </c>
      <c r="D10598" t="s">
        <v>34453</v>
      </c>
      <c r="E10598" t="s">
        <v>16</v>
      </c>
      <c r="F10598" t="s">
        <v>32893</v>
      </c>
      <c r="G10598" t="s">
        <v>32614</v>
      </c>
      <c r="H10598" t="s">
        <v>34452</v>
      </c>
    </row>
    <row r="10599" spans="1:8">
      <c r="A10599" t="str">
        <f>"0219173 "</f>
        <v xml:space="preserve">0219173 </v>
      </c>
      <c r="B10599" t="s">
        <v>34429</v>
      </c>
      <c r="C10599" t="s">
        <v>34454</v>
      </c>
      <c r="D10599" t="s">
        <v>34455</v>
      </c>
      <c r="E10599" t="s">
        <v>16</v>
      </c>
      <c r="F10599" t="s">
        <v>34456</v>
      </c>
      <c r="G10599" t="s">
        <v>32614</v>
      </c>
      <c r="H10599" t="s">
        <v>34454</v>
      </c>
    </row>
    <row r="10600" spans="1:8">
      <c r="A10600" t="str">
        <f>"0219174 "</f>
        <v xml:space="preserve">0219174 </v>
      </c>
      <c r="B10600" t="s">
        <v>34429</v>
      </c>
      <c r="C10600" t="s">
        <v>34457</v>
      </c>
      <c r="D10600" t="s">
        <v>34458</v>
      </c>
      <c r="E10600" t="s">
        <v>16</v>
      </c>
      <c r="F10600" t="s">
        <v>19810</v>
      </c>
      <c r="G10600" t="s">
        <v>32614</v>
      </c>
      <c r="H10600" t="s">
        <v>34457</v>
      </c>
    </row>
    <row r="10601" spans="1:8">
      <c r="A10601" t="str">
        <f>"0219283 "</f>
        <v xml:space="preserve">0219283 </v>
      </c>
      <c r="B10601" t="s">
        <v>34429</v>
      </c>
      <c r="C10601" t="s">
        <v>34459</v>
      </c>
      <c r="D10601" t="s">
        <v>34460</v>
      </c>
      <c r="E10601" t="s">
        <v>16</v>
      </c>
      <c r="F10601" s="3">
        <v>18111</v>
      </c>
      <c r="G10601" t="s">
        <v>32614</v>
      </c>
      <c r="H10601" t="s">
        <v>34459</v>
      </c>
    </row>
    <row r="10602" spans="1:8">
      <c r="A10602" t="str">
        <f>"0231250 "</f>
        <v xml:space="preserve">0231250 </v>
      </c>
      <c r="B10602" t="s">
        <v>34429</v>
      </c>
      <c r="C10602" t="s">
        <v>34461</v>
      </c>
      <c r="D10602" t="s">
        <v>34462</v>
      </c>
      <c r="E10602">
        <v>3</v>
      </c>
      <c r="F10602" t="s">
        <v>34463</v>
      </c>
      <c r="G10602" t="s">
        <v>32614</v>
      </c>
      <c r="H10602" t="s">
        <v>34461</v>
      </c>
    </row>
    <row r="10603" spans="1:8">
      <c r="A10603" t="str">
        <f>"0219242 "</f>
        <v xml:space="preserve">0219242 </v>
      </c>
      <c r="B10603" t="s">
        <v>34429</v>
      </c>
      <c r="C10603" t="s">
        <v>34464</v>
      </c>
      <c r="D10603" t="s">
        <v>34465</v>
      </c>
      <c r="E10603">
        <v>1</v>
      </c>
      <c r="F10603" s="1">
        <v>42810</v>
      </c>
      <c r="G10603" t="s">
        <v>32614</v>
      </c>
      <c r="H10603" t="s">
        <v>34464</v>
      </c>
    </row>
    <row r="10604" spans="1:8">
      <c r="A10604" t="str">
        <f>"0219243 "</f>
        <v xml:space="preserve">0219243 </v>
      </c>
      <c r="B10604" t="s">
        <v>34429</v>
      </c>
      <c r="C10604" t="s">
        <v>34466</v>
      </c>
      <c r="D10604" t="s">
        <v>34467</v>
      </c>
      <c r="E10604" t="s">
        <v>16</v>
      </c>
      <c r="F10604" t="s">
        <v>34468</v>
      </c>
      <c r="G10604" t="s">
        <v>32614</v>
      </c>
      <c r="H10604" t="s">
        <v>34466</v>
      </c>
    </row>
    <row r="10605" spans="1:8">
      <c r="A10605" t="str">
        <f>"0219244 "</f>
        <v xml:space="preserve">0219244 </v>
      </c>
      <c r="B10605" t="s">
        <v>34429</v>
      </c>
      <c r="C10605" t="s">
        <v>34469</v>
      </c>
      <c r="D10605" t="s">
        <v>34470</v>
      </c>
      <c r="E10605" t="s">
        <v>16</v>
      </c>
      <c r="F10605" t="s">
        <v>34471</v>
      </c>
      <c r="G10605" t="s">
        <v>32614</v>
      </c>
      <c r="H10605" t="s">
        <v>34469</v>
      </c>
    </row>
    <row r="10606" spans="1:8">
      <c r="A10606" t="str">
        <f>"0219228 "</f>
        <v xml:space="preserve">0219228 </v>
      </c>
      <c r="B10606" t="s">
        <v>34429</v>
      </c>
      <c r="C10606" t="s">
        <v>34472</v>
      </c>
      <c r="D10606" t="s">
        <v>34473</v>
      </c>
      <c r="E10606">
        <v>2</v>
      </c>
      <c r="F10606" t="s">
        <v>34474</v>
      </c>
      <c r="G10606" t="s">
        <v>34475</v>
      </c>
      <c r="H10606" t="s">
        <v>34472</v>
      </c>
    </row>
    <row r="10607" spans="1:8">
      <c r="A10607" t="str">
        <f>"0219230 "</f>
        <v xml:space="preserve">0219230 </v>
      </c>
      <c r="B10607" t="s">
        <v>34429</v>
      </c>
      <c r="C10607" t="s">
        <v>34476</v>
      </c>
      <c r="D10607" t="s">
        <v>34477</v>
      </c>
      <c r="E10607">
        <v>3</v>
      </c>
      <c r="F10607" t="s">
        <v>34478</v>
      </c>
      <c r="G10607" t="s">
        <v>34475</v>
      </c>
      <c r="H10607" t="s">
        <v>34476</v>
      </c>
    </row>
    <row r="10608" spans="1:8">
      <c r="A10608" t="str">
        <f>"0231627 "</f>
        <v xml:space="preserve">0231627 </v>
      </c>
      <c r="B10608" t="s">
        <v>34429</v>
      </c>
      <c r="C10608" t="s">
        <v>34479</v>
      </c>
      <c r="D10608" t="s">
        <v>34480</v>
      </c>
      <c r="E10608" t="s">
        <v>16</v>
      </c>
      <c r="F10608" t="s">
        <v>34481</v>
      </c>
      <c r="G10608" t="s">
        <v>34475</v>
      </c>
      <c r="H10608" t="s">
        <v>34479</v>
      </c>
    </row>
    <row r="10609" spans="1:8">
      <c r="A10609" t="str">
        <f>"0231626 "</f>
        <v xml:space="preserve">0231626 </v>
      </c>
      <c r="B10609" t="s">
        <v>34429</v>
      </c>
      <c r="C10609" t="s">
        <v>34482</v>
      </c>
      <c r="D10609" t="s">
        <v>34483</v>
      </c>
      <c r="E10609" t="s">
        <v>16</v>
      </c>
      <c r="F10609" t="s">
        <v>34481</v>
      </c>
      <c r="G10609" t="s">
        <v>34475</v>
      </c>
      <c r="H10609" t="s">
        <v>34482</v>
      </c>
    </row>
    <row r="10610" spans="1:8">
      <c r="A10610" t="str">
        <f>"0219187 "</f>
        <v xml:space="preserve">0219187 </v>
      </c>
      <c r="B10610" t="s">
        <v>34429</v>
      </c>
      <c r="C10610" t="s">
        <v>34484</v>
      </c>
      <c r="D10610" t="s">
        <v>34485</v>
      </c>
      <c r="E10610">
        <v>2</v>
      </c>
      <c r="F10610" t="s">
        <v>34486</v>
      </c>
      <c r="G10610" t="s">
        <v>32614</v>
      </c>
      <c r="H10610" t="s">
        <v>34484</v>
      </c>
    </row>
    <row r="10611" spans="1:8">
      <c r="A10611" t="str">
        <f>"0219975 "</f>
        <v xml:space="preserve">0219975 </v>
      </c>
      <c r="B10611" t="s">
        <v>34429</v>
      </c>
      <c r="C10611" t="s">
        <v>34487</v>
      </c>
      <c r="D10611" t="s">
        <v>34488</v>
      </c>
      <c r="E10611">
        <v>3</v>
      </c>
      <c r="F10611" t="s">
        <v>34489</v>
      </c>
      <c r="G10611" t="s">
        <v>32614</v>
      </c>
      <c r="H10611" t="s">
        <v>34487</v>
      </c>
    </row>
    <row r="10612" spans="1:8">
      <c r="A10612" t="str">
        <f>"0219188 "</f>
        <v xml:space="preserve">0219188 </v>
      </c>
      <c r="B10612" t="s">
        <v>34429</v>
      </c>
      <c r="C10612" t="s">
        <v>34490</v>
      </c>
      <c r="D10612" t="s">
        <v>34491</v>
      </c>
      <c r="E10612">
        <v>2</v>
      </c>
      <c r="F10612" t="s">
        <v>32913</v>
      </c>
      <c r="G10612" t="s">
        <v>32614</v>
      </c>
      <c r="H10612" t="s">
        <v>34490</v>
      </c>
    </row>
    <row r="10613" spans="1:8">
      <c r="A10613" t="str">
        <f>"0219186 "</f>
        <v xml:space="preserve">0219186 </v>
      </c>
      <c r="B10613" t="s">
        <v>34429</v>
      </c>
      <c r="C10613" t="s">
        <v>34492</v>
      </c>
      <c r="D10613" t="s">
        <v>34493</v>
      </c>
      <c r="E10613">
        <v>5</v>
      </c>
      <c r="F10613" t="s">
        <v>33002</v>
      </c>
      <c r="G10613" t="s">
        <v>32614</v>
      </c>
      <c r="H10613" t="s">
        <v>34492</v>
      </c>
    </row>
    <row r="10614" spans="1:8">
      <c r="A10614" t="str">
        <f>"0219183 "</f>
        <v xml:space="preserve">0219183 </v>
      </c>
      <c r="B10614" t="s">
        <v>34429</v>
      </c>
      <c r="C10614" t="s">
        <v>34494</v>
      </c>
      <c r="D10614" t="s">
        <v>34495</v>
      </c>
      <c r="E10614">
        <v>4</v>
      </c>
      <c r="F10614" t="s">
        <v>32870</v>
      </c>
      <c r="G10614" t="s">
        <v>32614</v>
      </c>
      <c r="H10614" t="s">
        <v>34494</v>
      </c>
    </row>
    <row r="10615" spans="1:8">
      <c r="A10615" t="str">
        <f>"0219185 "</f>
        <v xml:space="preserve">0219185 </v>
      </c>
      <c r="B10615" t="s">
        <v>34429</v>
      </c>
      <c r="C10615" t="s">
        <v>34496</v>
      </c>
      <c r="D10615" t="s">
        <v>34497</v>
      </c>
      <c r="E10615">
        <v>1</v>
      </c>
      <c r="F10615" t="s">
        <v>33032</v>
      </c>
      <c r="G10615" t="s">
        <v>32614</v>
      </c>
      <c r="H10615" t="s">
        <v>34496</v>
      </c>
    </row>
    <row r="10616" spans="1:8">
      <c r="A10616" t="str">
        <f>"0219182 "</f>
        <v xml:space="preserve">0219182 </v>
      </c>
      <c r="B10616" t="s">
        <v>34429</v>
      </c>
      <c r="C10616" t="s">
        <v>34498</v>
      </c>
      <c r="D10616" t="s">
        <v>34499</v>
      </c>
      <c r="E10616">
        <v>2</v>
      </c>
      <c r="F10616" t="s">
        <v>22441</v>
      </c>
      <c r="G10616" t="s">
        <v>32614</v>
      </c>
      <c r="H10616" t="s">
        <v>34498</v>
      </c>
    </row>
    <row r="10617" spans="1:8">
      <c r="A10617" t="str">
        <f>"0219184 "</f>
        <v xml:space="preserve">0219184 </v>
      </c>
      <c r="B10617" t="s">
        <v>34429</v>
      </c>
      <c r="C10617" t="s">
        <v>34500</v>
      </c>
      <c r="D10617" t="s">
        <v>34501</v>
      </c>
      <c r="E10617">
        <v>2</v>
      </c>
      <c r="F10617" t="s">
        <v>34417</v>
      </c>
      <c r="G10617" t="s">
        <v>32614</v>
      </c>
      <c r="H10617" t="s">
        <v>34500</v>
      </c>
    </row>
    <row r="10618" spans="1:8">
      <c r="A10618" t="str">
        <f>"0219976 "</f>
        <v xml:space="preserve">0219976 </v>
      </c>
      <c r="B10618" t="s">
        <v>34429</v>
      </c>
      <c r="C10618" t="s">
        <v>34502</v>
      </c>
      <c r="D10618" t="s">
        <v>34503</v>
      </c>
      <c r="E10618">
        <v>4</v>
      </c>
      <c r="F10618" t="s">
        <v>19747</v>
      </c>
      <c r="G10618" t="s">
        <v>32614</v>
      </c>
      <c r="H10618" t="s">
        <v>34502</v>
      </c>
    </row>
    <row r="10619" spans="1:8">
      <c r="A10619" t="str">
        <f>"0219979 "</f>
        <v xml:space="preserve">0219979 </v>
      </c>
      <c r="B10619" t="s">
        <v>34429</v>
      </c>
      <c r="C10619" t="s">
        <v>34504</v>
      </c>
      <c r="D10619" t="s">
        <v>34505</v>
      </c>
      <c r="E10619">
        <v>2</v>
      </c>
      <c r="F10619" t="s">
        <v>10604</v>
      </c>
      <c r="G10619" t="s">
        <v>32614</v>
      </c>
      <c r="H10619" t="s">
        <v>34504</v>
      </c>
    </row>
    <row r="10620" spans="1:8">
      <c r="A10620" t="str">
        <f>"0219980 "</f>
        <v xml:space="preserve">0219980 </v>
      </c>
      <c r="B10620" t="s">
        <v>34429</v>
      </c>
      <c r="C10620" t="s">
        <v>34506</v>
      </c>
      <c r="D10620" t="s">
        <v>34507</v>
      </c>
      <c r="E10620">
        <v>2</v>
      </c>
      <c r="F10620" t="s">
        <v>33886</v>
      </c>
      <c r="G10620" t="s">
        <v>32614</v>
      </c>
      <c r="H10620" t="s">
        <v>34506</v>
      </c>
    </row>
    <row r="10621" spans="1:8">
      <c r="A10621" t="str">
        <f>"0219978 "</f>
        <v xml:space="preserve">0219978 </v>
      </c>
      <c r="B10621" t="s">
        <v>34429</v>
      </c>
      <c r="C10621" t="s">
        <v>34508</v>
      </c>
      <c r="D10621" t="s">
        <v>34509</v>
      </c>
      <c r="E10621">
        <v>2</v>
      </c>
      <c r="F10621" t="s">
        <v>34510</v>
      </c>
      <c r="G10621" t="s">
        <v>32614</v>
      </c>
      <c r="H10621" t="s">
        <v>34508</v>
      </c>
    </row>
    <row r="10622" spans="1:8">
      <c r="A10622" t="str">
        <f>"0257623 "</f>
        <v xml:space="preserve">0257623 </v>
      </c>
      <c r="B10622" t="s">
        <v>34429</v>
      </c>
      <c r="C10622" t="s">
        <v>34511</v>
      </c>
      <c r="D10622" t="s">
        <v>34512</v>
      </c>
      <c r="E10622">
        <v>1</v>
      </c>
      <c r="F10622" t="s">
        <v>34513</v>
      </c>
      <c r="G10622" t="s">
        <v>32614</v>
      </c>
      <c r="H10622" t="s">
        <v>34511</v>
      </c>
    </row>
    <row r="10623" spans="1:8">
      <c r="A10623" t="str">
        <f>"0219981 "</f>
        <v xml:space="preserve">0219981 </v>
      </c>
      <c r="B10623" t="s">
        <v>34429</v>
      </c>
      <c r="C10623" t="s">
        <v>34514</v>
      </c>
      <c r="D10623" t="s">
        <v>34515</v>
      </c>
      <c r="E10623">
        <v>2</v>
      </c>
      <c r="F10623" t="s">
        <v>34516</v>
      </c>
      <c r="G10623" t="s">
        <v>32614</v>
      </c>
      <c r="H10623" t="s">
        <v>34514</v>
      </c>
    </row>
    <row r="10624" spans="1:8">
      <c r="A10624" t="str">
        <f>"0219274 "</f>
        <v xml:space="preserve">0219274 </v>
      </c>
      <c r="B10624" t="s">
        <v>34429</v>
      </c>
      <c r="C10624" t="s">
        <v>34517</v>
      </c>
      <c r="D10624" t="s">
        <v>34518</v>
      </c>
      <c r="E10624" t="s">
        <v>16</v>
      </c>
      <c r="F10624" s="3">
        <v>41395</v>
      </c>
      <c r="G10624" t="s">
        <v>32853</v>
      </c>
      <c r="H10624" t="s">
        <v>34517</v>
      </c>
    </row>
    <row r="10625" spans="1:8">
      <c r="A10625" t="str">
        <f>"0219275 "</f>
        <v xml:space="preserve">0219275 </v>
      </c>
      <c r="B10625" t="s">
        <v>34429</v>
      </c>
      <c r="C10625" t="s">
        <v>34519</v>
      </c>
      <c r="D10625" t="s">
        <v>34520</v>
      </c>
      <c r="E10625" t="s">
        <v>16</v>
      </c>
      <c r="F10625" s="1">
        <v>42778</v>
      </c>
      <c r="G10625" t="s">
        <v>32853</v>
      </c>
      <c r="H10625" t="s">
        <v>34519</v>
      </c>
    </row>
    <row r="10626" spans="1:8">
      <c r="A10626" t="str">
        <f>"0219272 "</f>
        <v xml:space="preserve">0219272 </v>
      </c>
      <c r="B10626" t="s">
        <v>34429</v>
      </c>
      <c r="C10626" t="s">
        <v>34521</v>
      </c>
      <c r="D10626" t="s">
        <v>34522</v>
      </c>
      <c r="E10626" t="s">
        <v>16</v>
      </c>
      <c r="F10626" s="3">
        <v>41395</v>
      </c>
      <c r="G10626" t="s">
        <v>32853</v>
      </c>
      <c r="H10626" t="s">
        <v>34521</v>
      </c>
    </row>
    <row r="10627" spans="1:8">
      <c r="A10627" t="str">
        <f>"0219273 "</f>
        <v xml:space="preserve">0219273 </v>
      </c>
      <c r="B10627" t="s">
        <v>34429</v>
      </c>
      <c r="C10627" t="s">
        <v>34523</v>
      </c>
      <c r="D10627" t="s">
        <v>34524</v>
      </c>
      <c r="E10627" t="s">
        <v>16</v>
      </c>
      <c r="F10627" s="1">
        <v>42778</v>
      </c>
      <c r="G10627" t="s">
        <v>32853</v>
      </c>
      <c r="H10627" t="s">
        <v>34523</v>
      </c>
    </row>
    <row r="10628" spans="1:8">
      <c r="A10628" t="str">
        <f>"0219265 "</f>
        <v xml:space="preserve">0219265 </v>
      </c>
      <c r="B10628" t="s">
        <v>34429</v>
      </c>
      <c r="C10628" t="s">
        <v>34525</v>
      </c>
      <c r="D10628" t="s">
        <v>34526</v>
      </c>
      <c r="E10628" t="s">
        <v>16</v>
      </c>
      <c r="F10628" t="s">
        <v>34527</v>
      </c>
      <c r="G10628" t="s">
        <v>33832</v>
      </c>
      <c r="H10628" t="s">
        <v>34525</v>
      </c>
    </row>
    <row r="10629" spans="1:8">
      <c r="A10629" t="str">
        <f>"0219267 "</f>
        <v xml:space="preserve">0219267 </v>
      </c>
      <c r="B10629" t="s">
        <v>34429</v>
      </c>
      <c r="C10629" t="s">
        <v>34528</v>
      </c>
      <c r="D10629" t="s">
        <v>34529</v>
      </c>
      <c r="E10629" t="s">
        <v>16</v>
      </c>
      <c r="F10629" t="s">
        <v>34530</v>
      </c>
      <c r="G10629" t="s">
        <v>33832</v>
      </c>
      <c r="H10629" t="s">
        <v>34528</v>
      </c>
    </row>
    <row r="10630" spans="1:8">
      <c r="A10630" t="str">
        <f>"0219266 "</f>
        <v xml:space="preserve">0219266 </v>
      </c>
      <c r="B10630" t="s">
        <v>34429</v>
      </c>
      <c r="C10630" t="s">
        <v>11431</v>
      </c>
      <c r="D10630" t="s">
        <v>34531</v>
      </c>
      <c r="E10630" t="s">
        <v>16</v>
      </c>
      <c r="F10630" t="s">
        <v>34532</v>
      </c>
      <c r="G10630" t="s">
        <v>33832</v>
      </c>
      <c r="H10630" t="s">
        <v>11431</v>
      </c>
    </row>
    <row r="10631" spans="1:8">
      <c r="A10631" t="str">
        <f>"0219175 "</f>
        <v xml:space="preserve">0219175 </v>
      </c>
      <c r="B10631" t="s">
        <v>34429</v>
      </c>
      <c r="C10631" t="s">
        <v>34533</v>
      </c>
      <c r="D10631" t="s">
        <v>34534</v>
      </c>
      <c r="E10631" t="s">
        <v>16</v>
      </c>
      <c r="F10631" t="s">
        <v>1660</v>
      </c>
      <c r="G10631" t="s">
        <v>32614</v>
      </c>
      <c r="H10631" t="s">
        <v>34533</v>
      </c>
    </row>
    <row r="10632" spans="1:8">
      <c r="A10632" t="str">
        <f>"0219280 "</f>
        <v xml:space="preserve">0219280 </v>
      </c>
      <c r="B10632" t="s">
        <v>34429</v>
      </c>
      <c r="C10632" t="s">
        <v>34535</v>
      </c>
      <c r="D10632" t="s">
        <v>34536</v>
      </c>
      <c r="E10632" t="s">
        <v>16</v>
      </c>
      <c r="F10632" t="s">
        <v>34114</v>
      </c>
      <c r="G10632" t="s">
        <v>32614</v>
      </c>
      <c r="H10632" t="s">
        <v>34535</v>
      </c>
    </row>
    <row r="10633" spans="1:8">
      <c r="A10633" t="str">
        <f>"0219176 "</f>
        <v xml:space="preserve">0219176 </v>
      </c>
      <c r="B10633" t="s">
        <v>34429</v>
      </c>
      <c r="C10633" t="s">
        <v>34537</v>
      </c>
      <c r="D10633" t="s">
        <v>34538</v>
      </c>
      <c r="E10633" t="s">
        <v>16</v>
      </c>
      <c r="F10633" t="s">
        <v>33525</v>
      </c>
      <c r="G10633" t="s">
        <v>32614</v>
      </c>
      <c r="H10633" t="s">
        <v>34537</v>
      </c>
    </row>
    <row r="10634" spans="1:8">
      <c r="A10634" t="str">
        <f>"0219205 "</f>
        <v xml:space="preserve">0219205 </v>
      </c>
      <c r="B10634" t="s">
        <v>34429</v>
      </c>
      <c r="C10634" t="s">
        <v>34539</v>
      </c>
      <c r="D10634" t="s">
        <v>34540</v>
      </c>
      <c r="E10634">
        <v>2</v>
      </c>
      <c r="F10634" t="s">
        <v>34028</v>
      </c>
      <c r="G10634" t="s">
        <v>32614</v>
      </c>
      <c r="H10634" t="s">
        <v>34539</v>
      </c>
    </row>
    <row r="10635" spans="1:8">
      <c r="A10635" t="str">
        <f>"0219208 "</f>
        <v xml:space="preserve">0219208 </v>
      </c>
      <c r="B10635" t="s">
        <v>34429</v>
      </c>
      <c r="C10635" t="s">
        <v>34541</v>
      </c>
      <c r="D10635" t="s">
        <v>34542</v>
      </c>
      <c r="E10635">
        <v>4</v>
      </c>
      <c r="F10635" t="s">
        <v>34543</v>
      </c>
      <c r="G10635" t="s">
        <v>32614</v>
      </c>
      <c r="H10635" t="s">
        <v>34541</v>
      </c>
    </row>
    <row r="10636" spans="1:8">
      <c r="A10636" t="str">
        <f>"0219209 "</f>
        <v xml:space="preserve">0219209 </v>
      </c>
      <c r="B10636" t="s">
        <v>34429</v>
      </c>
      <c r="C10636" t="s">
        <v>34544</v>
      </c>
      <c r="D10636" t="s">
        <v>34542</v>
      </c>
      <c r="E10636">
        <v>4</v>
      </c>
      <c r="F10636" t="s">
        <v>34543</v>
      </c>
      <c r="G10636" t="s">
        <v>32614</v>
      </c>
      <c r="H10636" t="s">
        <v>34544</v>
      </c>
    </row>
    <row r="10637" spans="1:8">
      <c r="A10637" t="str">
        <f>"0252348 "</f>
        <v xml:space="preserve">0252348 </v>
      </c>
      <c r="B10637" t="s">
        <v>34429</v>
      </c>
      <c r="C10637" t="s">
        <v>34545</v>
      </c>
      <c r="D10637" t="s">
        <v>34546</v>
      </c>
      <c r="E10637" t="s">
        <v>16</v>
      </c>
      <c r="F10637" t="s">
        <v>1836</v>
      </c>
      <c r="G10637" t="s">
        <v>32614</v>
      </c>
      <c r="H10637" t="s">
        <v>34545</v>
      </c>
    </row>
    <row r="10638" spans="1:8">
      <c r="A10638" t="str">
        <f>"0219189 "</f>
        <v xml:space="preserve">0219189 </v>
      </c>
      <c r="B10638" t="s">
        <v>34429</v>
      </c>
      <c r="C10638" t="s">
        <v>34547</v>
      </c>
      <c r="D10638" t="s">
        <v>34548</v>
      </c>
      <c r="E10638" t="s">
        <v>16</v>
      </c>
      <c r="F10638" t="s">
        <v>33769</v>
      </c>
      <c r="G10638" t="s">
        <v>32614</v>
      </c>
      <c r="H10638" t="s">
        <v>34547</v>
      </c>
    </row>
    <row r="10639" spans="1:8">
      <c r="A10639" t="str">
        <f>"0219190 "</f>
        <v xml:space="preserve">0219190 </v>
      </c>
      <c r="B10639" t="s">
        <v>34429</v>
      </c>
      <c r="C10639" t="s">
        <v>34549</v>
      </c>
      <c r="D10639" t="s">
        <v>34550</v>
      </c>
      <c r="E10639" t="s">
        <v>16</v>
      </c>
      <c r="F10639" t="s">
        <v>32893</v>
      </c>
      <c r="G10639" t="s">
        <v>32614</v>
      </c>
      <c r="H10639" t="s">
        <v>34549</v>
      </c>
    </row>
    <row r="10640" spans="1:8">
      <c r="A10640" t="str">
        <f>"0219268 "</f>
        <v xml:space="preserve">0219268 </v>
      </c>
      <c r="B10640" t="s">
        <v>34429</v>
      </c>
      <c r="C10640" t="s">
        <v>34551</v>
      </c>
      <c r="D10640" t="s">
        <v>34552</v>
      </c>
      <c r="E10640" t="s">
        <v>16</v>
      </c>
      <c r="F10640" t="s">
        <v>33516</v>
      </c>
      <c r="G10640" t="s">
        <v>32614</v>
      </c>
      <c r="H10640" t="s">
        <v>34551</v>
      </c>
    </row>
    <row r="10641" spans="1:8">
      <c r="A10641" t="str">
        <f>"0219276 "</f>
        <v xml:space="preserve">0219276 </v>
      </c>
      <c r="B10641" t="s">
        <v>34429</v>
      </c>
      <c r="C10641" t="s">
        <v>34553</v>
      </c>
      <c r="D10641" t="s">
        <v>34554</v>
      </c>
      <c r="E10641">
        <v>1</v>
      </c>
      <c r="F10641" t="s">
        <v>34555</v>
      </c>
      <c r="G10641" t="s">
        <v>32614</v>
      </c>
      <c r="H10641" t="s">
        <v>34553</v>
      </c>
    </row>
    <row r="10642" spans="1:8">
      <c r="A10642" t="str">
        <f>"0219196 "</f>
        <v xml:space="preserve">0219196 </v>
      </c>
      <c r="B10642" t="s">
        <v>34429</v>
      </c>
      <c r="C10642" t="s">
        <v>34556</v>
      </c>
      <c r="D10642" t="s">
        <v>34557</v>
      </c>
      <c r="E10642">
        <v>4</v>
      </c>
      <c r="F10642" t="s">
        <v>34558</v>
      </c>
      <c r="G10642" t="s">
        <v>32614</v>
      </c>
      <c r="H10642" t="s">
        <v>34556</v>
      </c>
    </row>
    <row r="10643" spans="1:8">
      <c r="A10643" t="str">
        <f>"0219197 "</f>
        <v xml:space="preserve">0219197 </v>
      </c>
      <c r="B10643" t="s">
        <v>34429</v>
      </c>
      <c r="C10643" t="s">
        <v>34559</v>
      </c>
      <c r="D10643" t="s">
        <v>34560</v>
      </c>
      <c r="E10643" t="s">
        <v>16</v>
      </c>
      <c r="F10643" t="s">
        <v>20011</v>
      </c>
      <c r="G10643" t="s">
        <v>32614</v>
      </c>
      <c r="H10643" t="s">
        <v>34559</v>
      </c>
    </row>
    <row r="10644" spans="1:8">
      <c r="A10644" t="str">
        <f>"0219289 "</f>
        <v xml:space="preserve">0219289 </v>
      </c>
      <c r="B10644" t="s">
        <v>34429</v>
      </c>
      <c r="C10644" t="s">
        <v>34561</v>
      </c>
      <c r="D10644" t="s">
        <v>34562</v>
      </c>
      <c r="E10644" t="s">
        <v>16</v>
      </c>
      <c r="F10644" t="s">
        <v>33867</v>
      </c>
      <c r="G10644" t="s">
        <v>32614</v>
      </c>
      <c r="H10644" t="s">
        <v>34561</v>
      </c>
    </row>
    <row r="10645" spans="1:8">
      <c r="A10645" t="str">
        <f>"0219284 "</f>
        <v xml:space="preserve">0219284 </v>
      </c>
      <c r="B10645" t="s">
        <v>34429</v>
      </c>
      <c r="C10645" t="s">
        <v>34563</v>
      </c>
      <c r="D10645" t="s">
        <v>34564</v>
      </c>
      <c r="E10645" t="s">
        <v>16</v>
      </c>
      <c r="F10645" t="s">
        <v>34565</v>
      </c>
      <c r="G10645" t="s">
        <v>32614</v>
      </c>
      <c r="H10645" t="s">
        <v>34563</v>
      </c>
    </row>
    <row r="10646" spans="1:8">
      <c r="A10646" t="str">
        <f>"0219195 "</f>
        <v xml:space="preserve">0219195 </v>
      </c>
      <c r="B10646" t="s">
        <v>34429</v>
      </c>
      <c r="C10646" t="s">
        <v>34566</v>
      </c>
      <c r="D10646" t="s">
        <v>34567</v>
      </c>
      <c r="E10646" t="s">
        <v>16</v>
      </c>
      <c r="F10646" t="s">
        <v>135</v>
      </c>
      <c r="G10646" t="s">
        <v>32614</v>
      </c>
      <c r="H10646" t="s">
        <v>34566</v>
      </c>
    </row>
    <row r="10647" spans="1:8">
      <c r="A10647" t="str">
        <f>"0219177 "</f>
        <v xml:space="preserve">0219177 </v>
      </c>
      <c r="B10647" t="s">
        <v>34429</v>
      </c>
      <c r="C10647" t="s">
        <v>34568</v>
      </c>
      <c r="D10647" t="s">
        <v>34569</v>
      </c>
      <c r="E10647">
        <v>3</v>
      </c>
      <c r="F10647" t="s">
        <v>660</v>
      </c>
      <c r="G10647" t="s">
        <v>32614</v>
      </c>
      <c r="H10647" t="s">
        <v>34568</v>
      </c>
    </row>
    <row r="10648" spans="1:8">
      <c r="A10648" t="str">
        <f>"0219178 "</f>
        <v xml:space="preserve">0219178 </v>
      </c>
      <c r="B10648" t="s">
        <v>34429</v>
      </c>
      <c r="C10648" t="s">
        <v>34570</v>
      </c>
      <c r="D10648" t="s">
        <v>34571</v>
      </c>
      <c r="E10648" t="s">
        <v>16</v>
      </c>
      <c r="F10648" t="s">
        <v>660</v>
      </c>
      <c r="G10648" t="s">
        <v>32614</v>
      </c>
      <c r="H10648" t="s">
        <v>34570</v>
      </c>
    </row>
    <row r="10649" spans="1:8">
      <c r="A10649" t="str">
        <f>"0219179 "</f>
        <v xml:space="preserve">0219179 </v>
      </c>
      <c r="B10649" t="s">
        <v>34429</v>
      </c>
      <c r="C10649" t="s">
        <v>34572</v>
      </c>
      <c r="D10649" t="s">
        <v>34573</v>
      </c>
      <c r="E10649">
        <v>1</v>
      </c>
      <c r="F10649" t="s">
        <v>4626</v>
      </c>
      <c r="G10649" t="s">
        <v>32614</v>
      </c>
      <c r="H10649" t="s">
        <v>34572</v>
      </c>
    </row>
    <row r="10650" spans="1:8">
      <c r="A10650" t="str">
        <f>"0219180 "</f>
        <v xml:space="preserve">0219180 </v>
      </c>
      <c r="B10650" t="s">
        <v>34429</v>
      </c>
      <c r="C10650" t="s">
        <v>34574</v>
      </c>
      <c r="D10650" t="s">
        <v>34575</v>
      </c>
      <c r="E10650">
        <v>5</v>
      </c>
      <c r="F10650" t="s">
        <v>4626</v>
      </c>
      <c r="G10650" t="s">
        <v>32614</v>
      </c>
      <c r="H10650" t="s">
        <v>34574</v>
      </c>
    </row>
    <row r="10651" spans="1:8">
      <c r="A10651" t="str">
        <f>"0219192 "</f>
        <v xml:space="preserve">0219192 </v>
      </c>
      <c r="B10651" t="s">
        <v>34429</v>
      </c>
      <c r="C10651" t="s">
        <v>34576</v>
      </c>
      <c r="D10651" t="s">
        <v>34577</v>
      </c>
      <c r="E10651" t="s">
        <v>16</v>
      </c>
      <c r="F10651" t="s">
        <v>1821</v>
      </c>
      <c r="G10651" t="s">
        <v>32614</v>
      </c>
      <c r="H10651" t="s">
        <v>34576</v>
      </c>
    </row>
    <row r="10652" spans="1:8">
      <c r="A10652" t="str">
        <f>"0219193 "</f>
        <v xml:space="preserve">0219193 </v>
      </c>
      <c r="B10652" t="s">
        <v>34429</v>
      </c>
      <c r="C10652" t="s">
        <v>34578</v>
      </c>
      <c r="D10652" t="s">
        <v>34579</v>
      </c>
      <c r="E10652">
        <v>3</v>
      </c>
      <c r="F10652" t="s">
        <v>34580</v>
      </c>
      <c r="G10652" t="s">
        <v>32614</v>
      </c>
      <c r="H10652" t="s">
        <v>34578</v>
      </c>
    </row>
    <row r="10653" spans="1:8">
      <c r="A10653" t="str">
        <f>"0219277 "</f>
        <v xml:space="preserve">0219277 </v>
      </c>
      <c r="B10653" t="s">
        <v>34429</v>
      </c>
      <c r="C10653" t="s">
        <v>34581</v>
      </c>
      <c r="D10653" t="s">
        <v>34582</v>
      </c>
      <c r="E10653" t="s">
        <v>16</v>
      </c>
      <c r="F10653" s="1">
        <v>42764</v>
      </c>
      <c r="G10653" t="s">
        <v>32614</v>
      </c>
      <c r="H10653" t="s">
        <v>34581</v>
      </c>
    </row>
    <row r="10654" spans="1:8">
      <c r="A10654" t="str">
        <f>"0219229 "</f>
        <v xml:space="preserve">0219229 </v>
      </c>
      <c r="B10654" t="s">
        <v>34429</v>
      </c>
      <c r="C10654" t="s">
        <v>34583</v>
      </c>
      <c r="D10654" t="s">
        <v>34584</v>
      </c>
      <c r="E10654" t="s">
        <v>16</v>
      </c>
      <c r="F10654" t="s">
        <v>19840</v>
      </c>
      <c r="G10654" t="s">
        <v>32614</v>
      </c>
      <c r="H10654" t="s">
        <v>34583</v>
      </c>
    </row>
    <row r="10655" spans="1:8">
      <c r="A10655" t="str">
        <f>"0219279 "</f>
        <v xml:space="preserve">0219279 </v>
      </c>
      <c r="B10655" t="s">
        <v>34429</v>
      </c>
      <c r="C10655" t="s">
        <v>34585</v>
      </c>
      <c r="D10655" t="s">
        <v>34586</v>
      </c>
      <c r="E10655" t="s">
        <v>16</v>
      </c>
      <c r="F10655" t="s">
        <v>4626</v>
      </c>
      <c r="G10655" t="s">
        <v>32614</v>
      </c>
      <c r="H10655" t="s">
        <v>34585</v>
      </c>
    </row>
    <row r="10656" spans="1:8">
      <c r="A10656" t="str">
        <f>"0219216 "</f>
        <v xml:space="preserve">0219216 </v>
      </c>
      <c r="B10656" t="s">
        <v>34429</v>
      </c>
      <c r="C10656" t="s">
        <v>34587</v>
      </c>
      <c r="D10656" t="s">
        <v>34588</v>
      </c>
      <c r="E10656" t="s">
        <v>16</v>
      </c>
      <c r="F10656" t="s">
        <v>34396</v>
      </c>
      <c r="G10656" t="s">
        <v>32614</v>
      </c>
      <c r="H10656" t="s">
        <v>34587</v>
      </c>
    </row>
    <row r="10657" spans="1:8">
      <c r="A10657" t="str">
        <f>"0219227 "</f>
        <v xml:space="preserve">0219227 </v>
      </c>
      <c r="B10657" t="s">
        <v>34429</v>
      </c>
      <c r="C10657" t="s">
        <v>34589</v>
      </c>
      <c r="D10657" t="s">
        <v>34590</v>
      </c>
      <c r="E10657" t="s">
        <v>16</v>
      </c>
      <c r="F10657" t="s">
        <v>19479</v>
      </c>
      <c r="G10657" t="s">
        <v>32614</v>
      </c>
      <c r="H10657" t="s">
        <v>34589</v>
      </c>
    </row>
    <row r="10658" spans="1:8">
      <c r="A10658" t="str">
        <f>"0219199 "</f>
        <v xml:space="preserve">0219199 </v>
      </c>
      <c r="B10658" t="s">
        <v>34429</v>
      </c>
      <c r="C10658" t="s">
        <v>34591</v>
      </c>
      <c r="D10658" t="s">
        <v>34592</v>
      </c>
      <c r="E10658" t="s">
        <v>16</v>
      </c>
      <c r="F10658" t="s">
        <v>34593</v>
      </c>
      <c r="G10658" t="s">
        <v>32614</v>
      </c>
      <c r="H10658" t="s">
        <v>34591</v>
      </c>
    </row>
    <row r="10659" spans="1:8">
      <c r="A10659" t="str">
        <f>"0231305 "</f>
        <v xml:space="preserve">0231305 </v>
      </c>
      <c r="B10659" t="s">
        <v>34429</v>
      </c>
      <c r="C10659" t="s">
        <v>34594</v>
      </c>
      <c r="D10659" t="s">
        <v>34595</v>
      </c>
      <c r="E10659">
        <v>5</v>
      </c>
      <c r="F10659" t="s">
        <v>34596</v>
      </c>
      <c r="G10659" t="s">
        <v>33797</v>
      </c>
      <c r="H10659" t="s">
        <v>34594</v>
      </c>
    </row>
    <row r="10660" spans="1:8">
      <c r="A10660" t="str">
        <f>"0219219 "</f>
        <v xml:space="preserve">0219219 </v>
      </c>
      <c r="B10660" t="s">
        <v>34429</v>
      </c>
      <c r="C10660" t="s">
        <v>34597</v>
      </c>
      <c r="D10660" t="s">
        <v>34598</v>
      </c>
      <c r="E10660">
        <v>4</v>
      </c>
      <c r="F10660" t="s">
        <v>33493</v>
      </c>
      <c r="G10660" t="s">
        <v>32614</v>
      </c>
      <c r="H10660" t="s">
        <v>34597</v>
      </c>
    </row>
    <row r="10661" spans="1:8">
      <c r="A10661" t="str">
        <f>"0219220 "</f>
        <v xml:space="preserve">0219220 </v>
      </c>
      <c r="B10661" t="s">
        <v>34429</v>
      </c>
      <c r="C10661" t="s">
        <v>34599</v>
      </c>
      <c r="D10661" t="s">
        <v>34598</v>
      </c>
      <c r="E10661" t="s">
        <v>16</v>
      </c>
      <c r="F10661" t="s">
        <v>5336</v>
      </c>
      <c r="G10661" t="s">
        <v>32614</v>
      </c>
      <c r="H10661" t="s">
        <v>34599</v>
      </c>
    </row>
    <row r="10662" spans="1:8">
      <c r="A10662" t="str">
        <f>"0219238 "</f>
        <v xml:space="preserve">0219238 </v>
      </c>
      <c r="B10662" t="s">
        <v>34429</v>
      </c>
      <c r="C10662" t="s">
        <v>34600</v>
      </c>
      <c r="D10662" t="s">
        <v>34601</v>
      </c>
      <c r="E10662">
        <v>5</v>
      </c>
      <c r="F10662" t="s">
        <v>34602</v>
      </c>
      <c r="G10662" t="s">
        <v>34475</v>
      </c>
      <c r="H10662" t="s">
        <v>34600</v>
      </c>
    </row>
    <row r="10663" spans="1:8">
      <c r="A10663" t="str">
        <f>"0219247 "</f>
        <v xml:space="preserve">0219247 </v>
      </c>
      <c r="B10663" t="s">
        <v>34429</v>
      </c>
      <c r="C10663" t="s">
        <v>34603</v>
      </c>
      <c r="D10663" t="s">
        <v>34604</v>
      </c>
      <c r="E10663" t="s">
        <v>16</v>
      </c>
      <c r="F10663" t="s">
        <v>34602</v>
      </c>
      <c r="G10663" t="s">
        <v>34475</v>
      </c>
      <c r="H10663" t="s">
        <v>34603</v>
      </c>
    </row>
    <row r="10664" spans="1:8">
      <c r="A10664" t="str">
        <f>"0219248 "</f>
        <v xml:space="preserve">0219248 </v>
      </c>
      <c r="B10664" t="s">
        <v>34429</v>
      </c>
      <c r="C10664" t="s">
        <v>34605</v>
      </c>
      <c r="D10664" t="s">
        <v>34606</v>
      </c>
      <c r="E10664" t="s">
        <v>16</v>
      </c>
      <c r="F10664" t="s">
        <v>34607</v>
      </c>
      <c r="G10664" t="s">
        <v>34475</v>
      </c>
      <c r="H10664" t="s">
        <v>34605</v>
      </c>
    </row>
    <row r="10665" spans="1:8">
      <c r="A10665" t="str">
        <f>"0232720 "</f>
        <v xml:space="preserve">0232720 </v>
      </c>
      <c r="B10665" t="s">
        <v>34429</v>
      </c>
      <c r="C10665" t="s">
        <v>34608</v>
      </c>
      <c r="D10665" t="s">
        <v>34609</v>
      </c>
      <c r="E10665">
        <v>4</v>
      </c>
      <c r="F10665" t="s">
        <v>34610</v>
      </c>
      <c r="G10665" t="s">
        <v>34475</v>
      </c>
      <c r="H10665" t="s">
        <v>34608</v>
      </c>
    </row>
    <row r="10666" spans="1:8">
      <c r="A10666" t="str">
        <f>"0232721 "</f>
        <v xml:space="preserve">0232721 </v>
      </c>
      <c r="B10666" t="s">
        <v>34429</v>
      </c>
      <c r="C10666" t="s">
        <v>34611</v>
      </c>
      <c r="D10666" t="s">
        <v>34612</v>
      </c>
      <c r="E10666" t="s">
        <v>16</v>
      </c>
      <c r="F10666" t="s">
        <v>1913</v>
      </c>
      <c r="G10666" t="s">
        <v>34475</v>
      </c>
      <c r="H10666" t="s">
        <v>34611</v>
      </c>
    </row>
    <row r="10667" spans="1:8">
      <c r="A10667" t="str">
        <f>"0269170 "</f>
        <v xml:space="preserve">0269170 </v>
      </c>
      <c r="B10667" t="s">
        <v>34429</v>
      </c>
      <c r="C10667" t="s">
        <v>34613</v>
      </c>
      <c r="D10667" t="s">
        <v>34614</v>
      </c>
      <c r="E10667">
        <v>1</v>
      </c>
      <c r="F10667" t="s">
        <v>34615</v>
      </c>
      <c r="G10667" t="s">
        <v>34475</v>
      </c>
      <c r="H10667" t="s">
        <v>34613</v>
      </c>
    </row>
    <row r="10668" spans="1:8">
      <c r="A10668" t="str">
        <f>"0232719 "</f>
        <v xml:space="preserve">0232719 </v>
      </c>
      <c r="B10668" t="s">
        <v>34429</v>
      </c>
      <c r="C10668" t="s">
        <v>34616</v>
      </c>
      <c r="D10668" t="s">
        <v>34617</v>
      </c>
      <c r="E10668">
        <v>2</v>
      </c>
      <c r="F10668" t="s">
        <v>34618</v>
      </c>
      <c r="G10668" t="s">
        <v>34475</v>
      </c>
      <c r="H10668" t="s">
        <v>34616</v>
      </c>
    </row>
    <row r="10669" spans="1:8">
      <c r="A10669" t="str">
        <f>"0232624 "</f>
        <v xml:space="preserve">0232624 </v>
      </c>
      <c r="B10669" t="s">
        <v>34429</v>
      </c>
      <c r="C10669" t="s">
        <v>34619</v>
      </c>
      <c r="D10669" t="s">
        <v>34620</v>
      </c>
      <c r="E10669" t="s">
        <v>16</v>
      </c>
      <c r="F10669" t="s">
        <v>5805</v>
      </c>
      <c r="G10669" t="s">
        <v>34475</v>
      </c>
      <c r="H10669" t="s">
        <v>34619</v>
      </c>
    </row>
    <row r="10670" spans="1:8">
      <c r="A10670" t="str">
        <f>"0219320 "</f>
        <v xml:space="preserve">0219320 </v>
      </c>
      <c r="B10670" t="s">
        <v>34621</v>
      </c>
      <c r="C10670" t="s">
        <v>34622</v>
      </c>
      <c r="D10670" t="s">
        <v>34623</v>
      </c>
      <c r="E10670" t="s">
        <v>16</v>
      </c>
      <c r="F10670" t="s">
        <v>34624</v>
      </c>
      <c r="G10670" t="s">
        <v>32614</v>
      </c>
      <c r="H10670" t="s">
        <v>34622</v>
      </c>
    </row>
    <row r="10671" spans="1:8">
      <c r="A10671" t="str">
        <f>"0219340 "</f>
        <v xml:space="preserve">0219340 </v>
      </c>
      <c r="B10671" t="s">
        <v>34621</v>
      </c>
      <c r="C10671" t="s">
        <v>34625</v>
      </c>
      <c r="D10671" t="s">
        <v>34626</v>
      </c>
      <c r="E10671" t="s">
        <v>16</v>
      </c>
      <c r="F10671" s="1">
        <v>42814</v>
      </c>
      <c r="G10671" t="s">
        <v>32614</v>
      </c>
      <c r="H10671" t="s">
        <v>34625</v>
      </c>
    </row>
    <row r="10672" spans="1:8">
      <c r="A10672" t="str">
        <f>"0219341 "</f>
        <v xml:space="preserve">0219341 </v>
      </c>
      <c r="B10672" t="s">
        <v>34621</v>
      </c>
      <c r="C10672" t="s">
        <v>34627</v>
      </c>
      <c r="D10672" t="s">
        <v>34628</v>
      </c>
      <c r="E10672" t="s">
        <v>16</v>
      </c>
      <c r="F10672" s="1">
        <v>42814</v>
      </c>
      <c r="G10672" t="s">
        <v>32614</v>
      </c>
      <c r="H10672" t="s">
        <v>34627</v>
      </c>
    </row>
    <row r="10673" spans="1:8">
      <c r="A10673" t="str">
        <f>"0219342 "</f>
        <v xml:space="preserve">0219342 </v>
      </c>
      <c r="B10673" t="s">
        <v>34621</v>
      </c>
      <c r="C10673" t="s">
        <v>34629</v>
      </c>
      <c r="D10673" t="s">
        <v>34630</v>
      </c>
      <c r="E10673" t="s">
        <v>16</v>
      </c>
      <c r="F10673" t="s">
        <v>1817</v>
      </c>
      <c r="G10673" t="s">
        <v>32614</v>
      </c>
      <c r="H10673" t="s">
        <v>34629</v>
      </c>
    </row>
    <row r="10674" spans="1:8">
      <c r="A10674" t="str">
        <f>"0219306 "</f>
        <v xml:space="preserve">0219306 </v>
      </c>
      <c r="B10674" t="s">
        <v>34621</v>
      </c>
      <c r="C10674" t="s">
        <v>34631</v>
      </c>
      <c r="D10674" t="s">
        <v>34632</v>
      </c>
      <c r="E10674">
        <v>2</v>
      </c>
      <c r="F10674" s="1">
        <v>42814</v>
      </c>
      <c r="G10674" t="s">
        <v>32614</v>
      </c>
      <c r="H10674" t="s">
        <v>34631</v>
      </c>
    </row>
    <row r="10675" spans="1:8">
      <c r="A10675" t="str">
        <f>"0219337 "</f>
        <v xml:space="preserve">0219337 </v>
      </c>
      <c r="B10675" t="s">
        <v>34621</v>
      </c>
      <c r="C10675" t="s">
        <v>34633</v>
      </c>
      <c r="D10675" t="s">
        <v>34634</v>
      </c>
      <c r="E10675" t="s">
        <v>16</v>
      </c>
      <c r="F10675" s="1">
        <v>42814</v>
      </c>
      <c r="G10675" t="s">
        <v>32614</v>
      </c>
      <c r="H10675" t="s">
        <v>34633</v>
      </c>
    </row>
    <row r="10676" spans="1:8">
      <c r="A10676" t="str">
        <f>"0219335 "</f>
        <v xml:space="preserve">0219335 </v>
      </c>
      <c r="B10676" t="s">
        <v>34621</v>
      </c>
      <c r="C10676" t="s">
        <v>34635</v>
      </c>
      <c r="D10676" t="s">
        <v>34636</v>
      </c>
      <c r="E10676">
        <v>4</v>
      </c>
      <c r="F10676" s="1">
        <v>42814</v>
      </c>
      <c r="G10676" t="s">
        <v>32614</v>
      </c>
      <c r="H10676" t="s">
        <v>34635</v>
      </c>
    </row>
    <row r="10677" spans="1:8">
      <c r="A10677" t="str">
        <f>"0219334 "</f>
        <v xml:space="preserve">0219334 </v>
      </c>
      <c r="B10677" t="s">
        <v>34621</v>
      </c>
      <c r="C10677" t="s">
        <v>34637</v>
      </c>
      <c r="D10677" t="s">
        <v>34638</v>
      </c>
      <c r="E10677">
        <v>3</v>
      </c>
      <c r="F10677" s="1">
        <v>42814</v>
      </c>
      <c r="G10677" t="s">
        <v>32614</v>
      </c>
      <c r="H10677" t="s">
        <v>34637</v>
      </c>
    </row>
    <row r="10678" spans="1:8">
      <c r="A10678" t="str">
        <f>"0219300 "</f>
        <v xml:space="preserve">0219300 </v>
      </c>
      <c r="B10678" t="s">
        <v>34621</v>
      </c>
      <c r="C10678" t="s">
        <v>34639</v>
      </c>
      <c r="D10678" t="s">
        <v>34640</v>
      </c>
      <c r="E10678" t="s">
        <v>16</v>
      </c>
      <c r="F10678" s="1">
        <v>42814</v>
      </c>
      <c r="G10678" t="s">
        <v>32614</v>
      </c>
      <c r="H10678" t="s">
        <v>34639</v>
      </c>
    </row>
    <row r="10679" spans="1:8">
      <c r="A10679" t="str">
        <f>"0219311 "</f>
        <v xml:space="preserve">0219311 </v>
      </c>
      <c r="B10679" t="s">
        <v>34621</v>
      </c>
      <c r="C10679" t="s">
        <v>34641</v>
      </c>
      <c r="D10679" t="s">
        <v>34642</v>
      </c>
      <c r="E10679">
        <v>1</v>
      </c>
      <c r="F10679" s="1">
        <v>42814</v>
      </c>
      <c r="G10679" t="s">
        <v>32614</v>
      </c>
      <c r="H10679" t="s">
        <v>34641</v>
      </c>
    </row>
    <row r="10680" spans="1:8">
      <c r="A10680" t="str">
        <f>"0219299 "</f>
        <v xml:space="preserve">0219299 </v>
      </c>
      <c r="B10680" t="s">
        <v>34621</v>
      </c>
      <c r="C10680" t="s">
        <v>34643</v>
      </c>
      <c r="D10680" t="s">
        <v>34644</v>
      </c>
      <c r="E10680" t="s">
        <v>16</v>
      </c>
      <c r="F10680" s="1">
        <v>42814</v>
      </c>
      <c r="G10680" t="s">
        <v>32614</v>
      </c>
      <c r="H10680" t="s">
        <v>34643</v>
      </c>
    </row>
    <row r="10681" spans="1:8">
      <c r="A10681" t="str">
        <f>"0219332 "</f>
        <v xml:space="preserve">0219332 </v>
      </c>
      <c r="B10681" t="s">
        <v>34621</v>
      </c>
      <c r="C10681" t="s">
        <v>34645</v>
      </c>
      <c r="D10681" t="s">
        <v>34646</v>
      </c>
      <c r="E10681" t="s">
        <v>16</v>
      </c>
      <c r="F10681" s="1">
        <v>42814</v>
      </c>
      <c r="G10681" t="s">
        <v>32614</v>
      </c>
      <c r="H10681" t="s">
        <v>34645</v>
      </c>
    </row>
    <row r="10682" spans="1:8">
      <c r="A10682" t="str">
        <f>"0219314 "</f>
        <v xml:space="preserve">0219314 </v>
      </c>
      <c r="B10682" t="s">
        <v>34621</v>
      </c>
      <c r="C10682" t="s">
        <v>34647</v>
      </c>
      <c r="D10682" t="s">
        <v>34648</v>
      </c>
      <c r="E10682">
        <v>1</v>
      </c>
      <c r="F10682" s="1">
        <v>42814</v>
      </c>
      <c r="G10682" t="s">
        <v>32614</v>
      </c>
      <c r="H10682" t="s">
        <v>34647</v>
      </c>
    </row>
    <row r="10683" spans="1:8">
      <c r="A10683" t="str">
        <f>"0219307 "</f>
        <v xml:space="preserve">0219307 </v>
      </c>
      <c r="B10683" t="s">
        <v>34621</v>
      </c>
      <c r="C10683" t="s">
        <v>34649</v>
      </c>
      <c r="D10683" t="s">
        <v>34650</v>
      </c>
      <c r="E10683" t="s">
        <v>16</v>
      </c>
      <c r="F10683" s="1">
        <v>42814</v>
      </c>
      <c r="G10683" t="s">
        <v>32614</v>
      </c>
      <c r="H10683" t="s">
        <v>34649</v>
      </c>
    </row>
    <row r="10684" spans="1:8">
      <c r="A10684" t="str">
        <f>"0219304 "</f>
        <v xml:space="preserve">0219304 </v>
      </c>
      <c r="B10684" t="s">
        <v>34621</v>
      </c>
      <c r="C10684" t="s">
        <v>34651</v>
      </c>
      <c r="D10684" t="s">
        <v>34652</v>
      </c>
      <c r="E10684">
        <v>5</v>
      </c>
      <c r="F10684" s="1">
        <v>42814</v>
      </c>
      <c r="G10684" t="s">
        <v>32614</v>
      </c>
      <c r="H10684" t="s">
        <v>34651</v>
      </c>
    </row>
    <row r="10685" spans="1:8">
      <c r="A10685" t="str">
        <f>"0219317 "</f>
        <v xml:space="preserve">0219317 </v>
      </c>
      <c r="B10685" t="s">
        <v>34621</v>
      </c>
      <c r="C10685" t="s">
        <v>34653</v>
      </c>
      <c r="D10685" t="s">
        <v>34654</v>
      </c>
      <c r="E10685" t="s">
        <v>16</v>
      </c>
      <c r="F10685" s="1">
        <v>42814</v>
      </c>
      <c r="G10685" t="s">
        <v>32614</v>
      </c>
      <c r="H10685" t="s">
        <v>34653</v>
      </c>
    </row>
    <row r="10686" spans="1:8">
      <c r="A10686" t="str">
        <f>"0219309 "</f>
        <v xml:space="preserve">0219309 </v>
      </c>
      <c r="B10686" t="s">
        <v>34621</v>
      </c>
      <c r="C10686" t="s">
        <v>34655</v>
      </c>
      <c r="D10686" t="s">
        <v>34656</v>
      </c>
      <c r="E10686">
        <v>1</v>
      </c>
      <c r="F10686" s="1">
        <v>42814</v>
      </c>
      <c r="G10686" t="s">
        <v>32614</v>
      </c>
      <c r="H10686" t="s">
        <v>34655</v>
      </c>
    </row>
    <row r="10687" spans="1:8">
      <c r="A10687" t="str">
        <f>"0219336 "</f>
        <v xml:space="preserve">0219336 </v>
      </c>
      <c r="B10687" t="s">
        <v>34621</v>
      </c>
      <c r="C10687" t="s">
        <v>34657</v>
      </c>
      <c r="D10687" t="s">
        <v>34658</v>
      </c>
      <c r="E10687" t="s">
        <v>16</v>
      </c>
      <c r="F10687" s="1">
        <v>42814</v>
      </c>
      <c r="G10687" t="s">
        <v>32614</v>
      </c>
      <c r="H10687" t="s">
        <v>34657</v>
      </c>
    </row>
    <row r="10688" spans="1:8">
      <c r="A10688" t="str">
        <f>"0219302 "</f>
        <v xml:space="preserve">0219302 </v>
      </c>
      <c r="B10688" t="s">
        <v>34621</v>
      </c>
      <c r="C10688" t="s">
        <v>34659</v>
      </c>
      <c r="D10688" t="s">
        <v>34660</v>
      </c>
      <c r="E10688">
        <v>5</v>
      </c>
      <c r="F10688" s="1">
        <v>42814</v>
      </c>
      <c r="G10688" t="s">
        <v>32614</v>
      </c>
      <c r="H10688" t="s">
        <v>34659</v>
      </c>
    </row>
    <row r="10689" spans="1:8">
      <c r="A10689" t="str">
        <f>"0219301 "</f>
        <v xml:space="preserve">0219301 </v>
      </c>
      <c r="B10689" t="s">
        <v>34621</v>
      </c>
      <c r="C10689" t="s">
        <v>34661</v>
      </c>
      <c r="D10689" t="s">
        <v>34662</v>
      </c>
      <c r="E10689" t="s">
        <v>16</v>
      </c>
      <c r="F10689" s="1">
        <v>42814</v>
      </c>
      <c r="G10689" t="s">
        <v>32614</v>
      </c>
      <c r="H10689" t="s">
        <v>34661</v>
      </c>
    </row>
    <row r="10690" spans="1:8">
      <c r="A10690" t="str">
        <f>"0219312 "</f>
        <v xml:space="preserve">0219312 </v>
      </c>
      <c r="B10690" t="s">
        <v>34621</v>
      </c>
      <c r="C10690" t="s">
        <v>34663</v>
      </c>
      <c r="D10690" t="s">
        <v>34664</v>
      </c>
      <c r="E10690" t="s">
        <v>16</v>
      </c>
      <c r="F10690" s="1">
        <v>42814</v>
      </c>
      <c r="G10690" t="s">
        <v>32614</v>
      </c>
      <c r="H10690" t="s">
        <v>34663</v>
      </c>
    </row>
    <row r="10691" spans="1:8">
      <c r="A10691" t="str">
        <f>"0219305 "</f>
        <v xml:space="preserve">0219305 </v>
      </c>
      <c r="B10691" t="s">
        <v>34621</v>
      </c>
      <c r="C10691" t="s">
        <v>34665</v>
      </c>
      <c r="D10691" t="s">
        <v>34666</v>
      </c>
      <c r="E10691">
        <v>5</v>
      </c>
      <c r="F10691" s="1">
        <v>42814</v>
      </c>
      <c r="G10691" t="s">
        <v>32614</v>
      </c>
      <c r="H10691" t="s">
        <v>34665</v>
      </c>
    </row>
    <row r="10692" spans="1:8">
      <c r="A10692" t="str">
        <f>"0219310 "</f>
        <v xml:space="preserve">0219310 </v>
      </c>
      <c r="B10692" t="s">
        <v>34621</v>
      </c>
      <c r="C10692" t="s">
        <v>34667</v>
      </c>
      <c r="D10692" t="s">
        <v>34668</v>
      </c>
      <c r="E10692" t="s">
        <v>16</v>
      </c>
      <c r="F10692" s="1">
        <v>42814</v>
      </c>
      <c r="G10692" t="s">
        <v>32614</v>
      </c>
      <c r="H10692" t="s">
        <v>34667</v>
      </c>
    </row>
    <row r="10693" spans="1:8">
      <c r="A10693" t="str">
        <f>"0219333 "</f>
        <v xml:space="preserve">0219333 </v>
      </c>
      <c r="B10693" t="s">
        <v>34621</v>
      </c>
      <c r="C10693" t="s">
        <v>34669</v>
      </c>
      <c r="D10693" t="s">
        <v>34670</v>
      </c>
      <c r="E10693">
        <v>4</v>
      </c>
      <c r="F10693" s="1">
        <v>42814</v>
      </c>
      <c r="G10693" t="s">
        <v>32614</v>
      </c>
      <c r="H10693" t="s">
        <v>34669</v>
      </c>
    </row>
    <row r="10694" spans="1:8">
      <c r="A10694" t="str">
        <f>"0219318 "</f>
        <v xml:space="preserve">0219318 </v>
      </c>
      <c r="B10694" t="s">
        <v>34621</v>
      </c>
      <c r="C10694" t="s">
        <v>34671</v>
      </c>
      <c r="D10694" t="s">
        <v>34672</v>
      </c>
      <c r="E10694">
        <v>2</v>
      </c>
      <c r="F10694" s="1">
        <v>42814</v>
      </c>
      <c r="G10694" t="s">
        <v>32614</v>
      </c>
      <c r="H10694" t="s">
        <v>34671</v>
      </c>
    </row>
    <row r="10695" spans="1:8">
      <c r="A10695" t="str">
        <f>"0219315 "</f>
        <v xml:space="preserve">0219315 </v>
      </c>
      <c r="B10695" t="s">
        <v>34621</v>
      </c>
      <c r="C10695" t="s">
        <v>34673</v>
      </c>
      <c r="D10695" t="s">
        <v>34674</v>
      </c>
      <c r="E10695" t="s">
        <v>16</v>
      </c>
      <c r="F10695" s="1">
        <v>42814</v>
      </c>
      <c r="G10695" t="s">
        <v>32614</v>
      </c>
      <c r="H10695" t="s">
        <v>34673</v>
      </c>
    </row>
    <row r="10696" spans="1:8">
      <c r="A10696" t="str">
        <f>"0219308 "</f>
        <v xml:space="preserve">0219308 </v>
      </c>
      <c r="B10696" t="s">
        <v>34621</v>
      </c>
      <c r="C10696" t="s">
        <v>34675</v>
      </c>
      <c r="D10696" t="s">
        <v>34676</v>
      </c>
      <c r="E10696" t="s">
        <v>16</v>
      </c>
      <c r="F10696" s="1">
        <v>42814</v>
      </c>
      <c r="G10696" t="s">
        <v>32614</v>
      </c>
      <c r="H10696" t="s">
        <v>34675</v>
      </c>
    </row>
    <row r="10697" spans="1:8">
      <c r="A10697" t="str">
        <f>"0219316 "</f>
        <v xml:space="preserve">0219316 </v>
      </c>
      <c r="B10697" t="s">
        <v>34621</v>
      </c>
      <c r="C10697" t="s">
        <v>34677</v>
      </c>
      <c r="D10697" t="s">
        <v>34678</v>
      </c>
      <c r="E10697" t="s">
        <v>16</v>
      </c>
      <c r="F10697" s="1">
        <v>42814</v>
      </c>
      <c r="G10697" t="s">
        <v>32614</v>
      </c>
      <c r="H10697" t="s">
        <v>34677</v>
      </c>
    </row>
    <row r="10698" spans="1:8">
      <c r="A10698" t="str">
        <f>"0231256 "</f>
        <v xml:space="preserve">0231256 </v>
      </c>
      <c r="B10698" t="s">
        <v>34621</v>
      </c>
      <c r="C10698" t="s">
        <v>34679</v>
      </c>
      <c r="D10698" t="s">
        <v>34680</v>
      </c>
      <c r="E10698" t="s">
        <v>16</v>
      </c>
      <c r="F10698" s="1">
        <v>42814</v>
      </c>
      <c r="G10698" t="s">
        <v>32614</v>
      </c>
      <c r="H10698" t="s">
        <v>34679</v>
      </c>
    </row>
    <row r="10699" spans="1:8">
      <c r="A10699" t="str">
        <f>"0231251 "</f>
        <v xml:space="preserve">0231251 </v>
      </c>
      <c r="B10699" t="s">
        <v>34621</v>
      </c>
      <c r="C10699" t="s">
        <v>34681</v>
      </c>
      <c r="D10699" t="s">
        <v>34682</v>
      </c>
      <c r="E10699">
        <v>4</v>
      </c>
      <c r="F10699" t="s">
        <v>34683</v>
      </c>
      <c r="G10699" t="s">
        <v>32614</v>
      </c>
      <c r="H10699" t="s">
        <v>34681</v>
      </c>
    </row>
    <row r="10700" spans="1:8">
      <c r="A10700" t="str">
        <f>"0219323 "</f>
        <v xml:space="preserve">0219323 </v>
      </c>
      <c r="B10700" t="s">
        <v>34621</v>
      </c>
      <c r="C10700" t="s">
        <v>34684</v>
      </c>
      <c r="D10700" t="s">
        <v>34685</v>
      </c>
      <c r="E10700">
        <v>2</v>
      </c>
      <c r="F10700" t="s">
        <v>33224</v>
      </c>
      <c r="G10700" t="s">
        <v>32614</v>
      </c>
      <c r="H10700" t="s">
        <v>34684</v>
      </c>
    </row>
    <row r="10701" spans="1:8">
      <c r="A10701" t="str">
        <f>"0231252 "</f>
        <v xml:space="preserve">0231252 </v>
      </c>
      <c r="B10701" t="s">
        <v>34621</v>
      </c>
      <c r="C10701" t="s">
        <v>34686</v>
      </c>
      <c r="D10701" t="s">
        <v>34687</v>
      </c>
      <c r="E10701">
        <v>4</v>
      </c>
      <c r="F10701" t="s">
        <v>34683</v>
      </c>
      <c r="G10701" t="s">
        <v>32614</v>
      </c>
      <c r="H10701" t="s">
        <v>34686</v>
      </c>
    </row>
    <row r="10702" spans="1:8">
      <c r="A10702" t="str">
        <f>"0219325 "</f>
        <v xml:space="preserve">0219325 </v>
      </c>
      <c r="B10702" t="s">
        <v>34621</v>
      </c>
      <c r="C10702" t="s">
        <v>34688</v>
      </c>
      <c r="D10702" t="s">
        <v>34689</v>
      </c>
      <c r="E10702">
        <v>4</v>
      </c>
      <c r="F10702" t="s">
        <v>34683</v>
      </c>
      <c r="G10702" t="s">
        <v>32614</v>
      </c>
      <c r="H10702" t="s">
        <v>34688</v>
      </c>
    </row>
    <row r="10703" spans="1:8">
      <c r="A10703" t="str">
        <f>"0219322 "</f>
        <v xml:space="preserve">0219322 </v>
      </c>
      <c r="B10703" t="s">
        <v>34621</v>
      </c>
      <c r="C10703" t="s">
        <v>34690</v>
      </c>
      <c r="D10703" t="s">
        <v>34691</v>
      </c>
      <c r="E10703">
        <v>5</v>
      </c>
      <c r="F10703" t="s">
        <v>5018</v>
      </c>
      <c r="G10703" t="s">
        <v>32614</v>
      </c>
      <c r="H10703" t="s">
        <v>34690</v>
      </c>
    </row>
    <row r="10704" spans="1:8">
      <c r="A10704" t="str">
        <f>"0241165 "</f>
        <v xml:space="preserve">0241165 </v>
      </c>
      <c r="B10704" t="s">
        <v>34621</v>
      </c>
      <c r="C10704" t="s">
        <v>34692</v>
      </c>
      <c r="D10704" t="s">
        <v>34693</v>
      </c>
      <c r="E10704" t="s">
        <v>16</v>
      </c>
      <c r="F10704" t="s">
        <v>34694</v>
      </c>
      <c r="G10704" t="s">
        <v>32614</v>
      </c>
      <c r="H10704" t="s">
        <v>34692</v>
      </c>
    </row>
    <row r="10705" spans="1:8">
      <c r="A10705" t="str">
        <f>"0241163 "</f>
        <v xml:space="preserve">0241163 </v>
      </c>
      <c r="B10705" t="s">
        <v>34621</v>
      </c>
      <c r="C10705" t="s">
        <v>34695</v>
      </c>
      <c r="D10705" t="s">
        <v>34696</v>
      </c>
      <c r="E10705">
        <v>4</v>
      </c>
      <c r="F10705" t="s">
        <v>34697</v>
      </c>
      <c r="G10705" t="s">
        <v>32614</v>
      </c>
      <c r="H10705" t="s">
        <v>34695</v>
      </c>
    </row>
    <row r="10706" spans="1:8">
      <c r="A10706" t="str">
        <f>"0219328 "</f>
        <v xml:space="preserve">0219328 </v>
      </c>
      <c r="B10706" t="s">
        <v>34621</v>
      </c>
      <c r="C10706" t="s">
        <v>34698</v>
      </c>
      <c r="D10706" t="s">
        <v>34699</v>
      </c>
      <c r="E10706">
        <v>1</v>
      </c>
      <c r="F10706" t="s">
        <v>33224</v>
      </c>
      <c r="G10706" t="s">
        <v>32614</v>
      </c>
      <c r="H10706" t="s">
        <v>34698</v>
      </c>
    </row>
    <row r="10707" spans="1:8">
      <c r="A10707" t="str">
        <f>"0241166 "</f>
        <v xml:space="preserve">0241166 </v>
      </c>
      <c r="B10707" t="s">
        <v>34621</v>
      </c>
      <c r="C10707" t="s">
        <v>34700</v>
      </c>
      <c r="D10707" t="s">
        <v>34701</v>
      </c>
      <c r="E10707" t="s">
        <v>16</v>
      </c>
      <c r="F10707" t="s">
        <v>34697</v>
      </c>
      <c r="G10707" t="s">
        <v>32614</v>
      </c>
      <c r="H10707" t="s">
        <v>34700</v>
      </c>
    </row>
    <row r="10708" spans="1:8">
      <c r="A10708" t="str">
        <f>"0231253 "</f>
        <v xml:space="preserve">0231253 </v>
      </c>
      <c r="B10708" t="s">
        <v>34621</v>
      </c>
      <c r="C10708" t="s">
        <v>34702</v>
      </c>
      <c r="D10708" t="s">
        <v>34703</v>
      </c>
      <c r="E10708" t="s">
        <v>16</v>
      </c>
      <c r="F10708" t="s">
        <v>33224</v>
      </c>
      <c r="G10708" t="s">
        <v>32614</v>
      </c>
      <c r="H10708" t="s">
        <v>34702</v>
      </c>
    </row>
    <row r="10709" spans="1:8">
      <c r="A10709" t="str">
        <f>"0219329 "</f>
        <v xml:space="preserve">0219329 </v>
      </c>
      <c r="B10709" t="s">
        <v>34621</v>
      </c>
      <c r="C10709" t="s">
        <v>34704</v>
      </c>
      <c r="D10709" t="s">
        <v>34705</v>
      </c>
      <c r="E10709">
        <v>4</v>
      </c>
      <c r="F10709" t="s">
        <v>34683</v>
      </c>
      <c r="G10709" t="s">
        <v>32614</v>
      </c>
      <c r="H10709" t="s">
        <v>34704</v>
      </c>
    </row>
    <row r="10710" spans="1:8">
      <c r="A10710" t="str">
        <f>"0219324 "</f>
        <v xml:space="preserve">0219324 </v>
      </c>
      <c r="B10710" t="s">
        <v>34621</v>
      </c>
      <c r="C10710" t="s">
        <v>34706</v>
      </c>
      <c r="D10710" t="s">
        <v>34707</v>
      </c>
      <c r="E10710">
        <v>4</v>
      </c>
      <c r="F10710" t="s">
        <v>34683</v>
      </c>
      <c r="G10710" t="s">
        <v>32614</v>
      </c>
      <c r="H10710" t="s">
        <v>34706</v>
      </c>
    </row>
    <row r="10711" spans="1:8">
      <c r="A10711" t="str">
        <f>"0219331 "</f>
        <v xml:space="preserve">0219331 </v>
      </c>
      <c r="B10711" t="s">
        <v>34621</v>
      </c>
      <c r="C10711" t="s">
        <v>34708</v>
      </c>
      <c r="D10711" t="s">
        <v>34709</v>
      </c>
      <c r="E10711" t="s">
        <v>16</v>
      </c>
      <c r="F10711" t="s">
        <v>34683</v>
      </c>
      <c r="G10711" t="s">
        <v>32614</v>
      </c>
      <c r="H10711" t="s">
        <v>34708</v>
      </c>
    </row>
    <row r="10712" spans="1:8">
      <c r="A10712" t="str">
        <f>"0219339 "</f>
        <v xml:space="preserve">0219339 </v>
      </c>
      <c r="B10712" t="s">
        <v>34621</v>
      </c>
      <c r="C10712" t="s">
        <v>34710</v>
      </c>
      <c r="D10712" t="s">
        <v>34711</v>
      </c>
      <c r="E10712">
        <v>4</v>
      </c>
      <c r="F10712" t="s">
        <v>1817</v>
      </c>
      <c r="G10712" t="s">
        <v>32614</v>
      </c>
      <c r="H10712" t="s">
        <v>34710</v>
      </c>
    </row>
    <row r="10713" spans="1:8">
      <c r="A10713" t="str">
        <f>"0219338 "</f>
        <v xml:space="preserve">0219338 </v>
      </c>
      <c r="B10713" t="s">
        <v>34621</v>
      </c>
      <c r="C10713" t="s">
        <v>34712</v>
      </c>
      <c r="D10713" t="s">
        <v>34713</v>
      </c>
      <c r="E10713">
        <v>1</v>
      </c>
      <c r="F10713" t="s">
        <v>1817</v>
      </c>
      <c r="G10713" t="s">
        <v>32614</v>
      </c>
      <c r="H10713" t="s">
        <v>34712</v>
      </c>
    </row>
    <row r="10714" spans="1:8">
      <c r="A10714" t="str">
        <f>"0219296 "</f>
        <v xml:space="preserve">0219296 </v>
      </c>
      <c r="B10714" t="s">
        <v>34621</v>
      </c>
      <c r="C10714" t="s">
        <v>34714</v>
      </c>
      <c r="D10714" t="s">
        <v>34715</v>
      </c>
      <c r="E10714">
        <v>2</v>
      </c>
      <c r="F10714" t="s">
        <v>33224</v>
      </c>
      <c r="G10714" t="s">
        <v>32614</v>
      </c>
      <c r="H10714" t="s">
        <v>34714</v>
      </c>
    </row>
    <row r="10715" spans="1:8">
      <c r="A10715" t="str">
        <f>"0219297 "</f>
        <v xml:space="preserve">0219297 </v>
      </c>
      <c r="B10715" t="s">
        <v>34621</v>
      </c>
      <c r="C10715" t="s">
        <v>34716</v>
      </c>
      <c r="D10715" t="s">
        <v>34717</v>
      </c>
      <c r="E10715">
        <v>4</v>
      </c>
      <c r="F10715" t="s">
        <v>33224</v>
      </c>
      <c r="G10715" t="s">
        <v>32614</v>
      </c>
      <c r="H10715" t="s">
        <v>34716</v>
      </c>
    </row>
    <row r="10716" spans="1:8">
      <c r="A10716" t="str">
        <f>"0231254 "</f>
        <v xml:space="preserve">0231254 </v>
      </c>
      <c r="B10716" t="s">
        <v>34621</v>
      </c>
      <c r="C10716" t="s">
        <v>34718</v>
      </c>
      <c r="D10716" t="s">
        <v>34719</v>
      </c>
      <c r="E10716" t="s">
        <v>16</v>
      </c>
      <c r="F10716" t="s">
        <v>33224</v>
      </c>
      <c r="G10716" t="s">
        <v>32614</v>
      </c>
      <c r="H10716" t="s">
        <v>34718</v>
      </c>
    </row>
    <row r="10717" spans="1:8">
      <c r="A10717" t="str">
        <f>"0219291 "</f>
        <v xml:space="preserve">0219291 </v>
      </c>
      <c r="B10717" t="s">
        <v>34621</v>
      </c>
      <c r="C10717" t="s">
        <v>34720</v>
      </c>
      <c r="D10717" t="s">
        <v>34721</v>
      </c>
      <c r="E10717" t="s">
        <v>16</v>
      </c>
      <c r="F10717" t="s">
        <v>34683</v>
      </c>
      <c r="G10717" t="s">
        <v>32614</v>
      </c>
      <c r="H10717" t="s">
        <v>34720</v>
      </c>
    </row>
    <row r="10718" spans="1:8">
      <c r="A10718" t="str">
        <f>"0219295 "</f>
        <v xml:space="preserve">0219295 </v>
      </c>
      <c r="B10718" t="s">
        <v>34621</v>
      </c>
      <c r="C10718" t="s">
        <v>34722</v>
      </c>
      <c r="D10718" t="s">
        <v>34723</v>
      </c>
      <c r="E10718">
        <v>4</v>
      </c>
      <c r="F10718" t="s">
        <v>33224</v>
      </c>
      <c r="G10718" t="s">
        <v>32614</v>
      </c>
      <c r="H10718" t="s">
        <v>34722</v>
      </c>
    </row>
    <row r="10719" spans="1:8">
      <c r="A10719" t="str">
        <f>"0219294 "</f>
        <v xml:space="preserve">0219294 </v>
      </c>
      <c r="B10719" t="s">
        <v>34621</v>
      </c>
      <c r="C10719" t="s">
        <v>34724</v>
      </c>
      <c r="D10719" t="s">
        <v>34725</v>
      </c>
      <c r="E10719" t="s">
        <v>16</v>
      </c>
      <c r="F10719" t="s">
        <v>33224</v>
      </c>
      <c r="G10719" t="s">
        <v>32614</v>
      </c>
      <c r="H10719" t="s">
        <v>34724</v>
      </c>
    </row>
    <row r="10720" spans="1:8">
      <c r="A10720" t="str">
        <f>"0231298 "</f>
        <v xml:space="preserve">0231298 </v>
      </c>
      <c r="B10720" t="s">
        <v>34621</v>
      </c>
      <c r="C10720" t="s">
        <v>34726</v>
      </c>
      <c r="D10720" t="s">
        <v>34727</v>
      </c>
      <c r="E10720" t="s">
        <v>16</v>
      </c>
      <c r="F10720" t="s">
        <v>33224</v>
      </c>
      <c r="G10720" t="s">
        <v>32614</v>
      </c>
      <c r="H10720" t="s">
        <v>34726</v>
      </c>
    </row>
    <row r="10721" spans="1:8">
      <c r="A10721" t="str">
        <f>"0218807 "</f>
        <v xml:space="preserve">0218807 </v>
      </c>
      <c r="B10721" t="s">
        <v>34728</v>
      </c>
      <c r="C10721">
        <v>30330</v>
      </c>
      <c r="D10721" t="s">
        <v>34729</v>
      </c>
      <c r="E10721" t="s">
        <v>16</v>
      </c>
      <c r="F10721" t="s">
        <v>19831</v>
      </c>
      <c r="G10721" t="s">
        <v>34730</v>
      </c>
      <c r="H10721">
        <v>30330</v>
      </c>
    </row>
    <row r="10722" spans="1:8">
      <c r="A10722" t="str">
        <f>"0218808 "</f>
        <v xml:space="preserve">0218808 </v>
      </c>
      <c r="B10722" t="s">
        <v>34728</v>
      </c>
      <c r="C10722">
        <v>30360</v>
      </c>
      <c r="D10722" t="s">
        <v>34731</v>
      </c>
      <c r="E10722" t="s">
        <v>16</v>
      </c>
      <c r="F10722" t="s">
        <v>19831</v>
      </c>
      <c r="G10722" t="s">
        <v>34730</v>
      </c>
      <c r="H10722">
        <v>30360</v>
      </c>
    </row>
    <row r="10723" spans="1:8">
      <c r="A10723" t="str">
        <f>"0218809 "</f>
        <v xml:space="preserve">0218809 </v>
      </c>
      <c r="B10723" t="s">
        <v>34728</v>
      </c>
      <c r="C10723">
        <v>30380</v>
      </c>
      <c r="D10723" t="s">
        <v>34732</v>
      </c>
      <c r="E10723" t="s">
        <v>16</v>
      </c>
      <c r="F10723" t="s">
        <v>19831</v>
      </c>
      <c r="G10723" t="s">
        <v>34730</v>
      </c>
      <c r="H10723">
        <v>30380</v>
      </c>
    </row>
    <row r="10724" spans="1:8">
      <c r="A10724" t="str">
        <f>"0218810 "</f>
        <v xml:space="preserve">0218810 </v>
      </c>
      <c r="B10724" t="s">
        <v>34728</v>
      </c>
      <c r="C10724">
        <v>30400</v>
      </c>
      <c r="D10724" t="s">
        <v>34733</v>
      </c>
      <c r="E10724" t="s">
        <v>16</v>
      </c>
      <c r="F10724" t="s">
        <v>19831</v>
      </c>
      <c r="G10724" t="s">
        <v>34730</v>
      </c>
      <c r="H10724">
        <v>30400</v>
      </c>
    </row>
    <row r="10725" spans="1:8">
      <c r="A10725" t="str">
        <f>"0218811 "</f>
        <v xml:space="preserve">0218811 </v>
      </c>
      <c r="B10725" t="s">
        <v>34728</v>
      </c>
      <c r="C10725">
        <v>30430</v>
      </c>
      <c r="D10725" t="s">
        <v>34734</v>
      </c>
      <c r="E10725" t="s">
        <v>16</v>
      </c>
      <c r="F10725" t="s">
        <v>4999</v>
      </c>
      <c r="G10725" t="s">
        <v>34730</v>
      </c>
      <c r="H10725">
        <v>30430</v>
      </c>
    </row>
    <row r="10726" spans="1:8">
      <c r="A10726" t="str">
        <f>"0218812 "</f>
        <v xml:space="preserve">0218812 </v>
      </c>
      <c r="B10726" t="s">
        <v>34728</v>
      </c>
      <c r="C10726">
        <v>30450</v>
      </c>
      <c r="D10726" t="s">
        <v>34735</v>
      </c>
      <c r="E10726" t="s">
        <v>16</v>
      </c>
      <c r="F10726" t="s">
        <v>4999</v>
      </c>
      <c r="G10726" t="s">
        <v>34730</v>
      </c>
      <c r="H10726">
        <v>30450</v>
      </c>
    </row>
    <row r="10727" spans="1:8">
      <c r="A10727" t="str">
        <f>"0218814 "</f>
        <v xml:space="preserve">0218814 </v>
      </c>
      <c r="B10727" t="s">
        <v>34728</v>
      </c>
      <c r="C10727">
        <v>30500</v>
      </c>
      <c r="D10727" t="s">
        <v>34736</v>
      </c>
      <c r="E10727" t="s">
        <v>16</v>
      </c>
      <c r="F10727" t="s">
        <v>67</v>
      </c>
      <c r="G10727" t="s">
        <v>34730</v>
      </c>
      <c r="H10727">
        <v>30500</v>
      </c>
    </row>
    <row r="10728" spans="1:8">
      <c r="A10728" t="str">
        <f>"0218816 "</f>
        <v xml:space="preserve">0218816 </v>
      </c>
      <c r="B10728" t="s">
        <v>34728</v>
      </c>
      <c r="C10728">
        <v>30550</v>
      </c>
      <c r="D10728" t="s">
        <v>34737</v>
      </c>
      <c r="E10728" t="s">
        <v>16</v>
      </c>
      <c r="F10728" t="s">
        <v>640</v>
      </c>
      <c r="G10728" t="s">
        <v>34730</v>
      </c>
      <c r="H10728">
        <v>30550</v>
      </c>
    </row>
    <row r="10729" spans="1:8">
      <c r="A10729" t="str">
        <f>"0218817 "</f>
        <v xml:space="preserve">0218817 </v>
      </c>
      <c r="B10729" t="s">
        <v>34728</v>
      </c>
      <c r="C10729">
        <v>30580</v>
      </c>
      <c r="D10729" t="s">
        <v>34738</v>
      </c>
      <c r="E10729" t="s">
        <v>16</v>
      </c>
      <c r="F10729" t="s">
        <v>640</v>
      </c>
      <c r="G10729" t="s">
        <v>34730</v>
      </c>
      <c r="H10729">
        <v>30580</v>
      </c>
    </row>
    <row r="10730" spans="1:8">
      <c r="A10730" t="str">
        <f>"0218818 "</f>
        <v xml:space="preserve">0218818 </v>
      </c>
      <c r="B10730" t="s">
        <v>34728</v>
      </c>
      <c r="C10730">
        <v>30600</v>
      </c>
      <c r="D10730" t="s">
        <v>34739</v>
      </c>
      <c r="E10730" t="s">
        <v>16</v>
      </c>
      <c r="F10730" t="s">
        <v>640</v>
      </c>
      <c r="G10730" t="s">
        <v>34730</v>
      </c>
      <c r="H10730">
        <v>30600</v>
      </c>
    </row>
    <row r="10731" spans="1:8">
      <c r="A10731" t="str">
        <f>"0218819 "</f>
        <v xml:space="preserve">0218819 </v>
      </c>
      <c r="B10731" t="s">
        <v>34728</v>
      </c>
      <c r="C10731">
        <v>40330</v>
      </c>
      <c r="D10731" t="s">
        <v>34740</v>
      </c>
      <c r="E10731" t="s">
        <v>16</v>
      </c>
      <c r="F10731" s="1">
        <v>43095</v>
      </c>
      <c r="G10731" t="s">
        <v>34730</v>
      </c>
      <c r="H10731">
        <v>40330</v>
      </c>
    </row>
    <row r="10732" spans="1:8">
      <c r="A10732" t="str">
        <f>"0218820 "</f>
        <v xml:space="preserve">0218820 </v>
      </c>
      <c r="B10732" t="s">
        <v>34728</v>
      </c>
      <c r="C10732">
        <v>40360</v>
      </c>
      <c r="D10732" t="s">
        <v>34741</v>
      </c>
      <c r="E10732" t="s">
        <v>16</v>
      </c>
      <c r="F10732" s="1">
        <v>43095</v>
      </c>
      <c r="G10732" t="s">
        <v>34730</v>
      </c>
      <c r="H10732">
        <v>40360</v>
      </c>
    </row>
    <row r="10733" spans="1:8">
      <c r="A10733" t="str">
        <f>"0218821 "</f>
        <v xml:space="preserve">0218821 </v>
      </c>
      <c r="B10733" t="s">
        <v>34728</v>
      </c>
      <c r="C10733">
        <v>40380</v>
      </c>
      <c r="D10733" t="s">
        <v>34742</v>
      </c>
      <c r="E10733" t="s">
        <v>16</v>
      </c>
      <c r="F10733" s="1">
        <v>43095</v>
      </c>
      <c r="G10733" t="s">
        <v>34730</v>
      </c>
      <c r="H10733">
        <v>40380</v>
      </c>
    </row>
    <row r="10734" spans="1:8">
      <c r="A10734" t="str">
        <f>"0218822 "</f>
        <v xml:space="preserve">0218822 </v>
      </c>
      <c r="B10734" t="s">
        <v>34728</v>
      </c>
      <c r="C10734">
        <v>40400</v>
      </c>
      <c r="D10734" t="s">
        <v>34743</v>
      </c>
      <c r="E10734" t="s">
        <v>16</v>
      </c>
      <c r="F10734" t="s">
        <v>32698</v>
      </c>
      <c r="G10734" t="s">
        <v>34730</v>
      </c>
      <c r="H10734">
        <v>40400</v>
      </c>
    </row>
    <row r="10735" spans="1:8">
      <c r="A10735" t="str">
        <f>"0218823 "</f>
        <v xml:space="preserve">0218823 </v>
      </c>
      <c r="B10735" t="s">
        <v>34728</v>
      </c>
      <c r="C10735">
        <v>40430</v>
      </c>
      <c r="D10735" t="s">
        <v>34744</v>
      </c>
      <c r="E10735" t="s">
        <v>16</v>
      </c>
      <c r="F10735" t="s">
        <v>651</v>
      </c>
      <c r="G10735" t="s">
        <v>34730</v>
      </c>
      <c r="H10735">
        <v>40430</v>
      </c>
    </row>
    <row r="10736" spans="1:8">
      <c r="A10736" t="str">
        <f>"0218824 "</f>
        <v xml:space="preserve">0218824 </v>
      </c>
      <c r="B10736" t="s">
        <v>34728</v>
      </c>
      <c r="C10736">
        <v>40450</v>
      </c>
      <c r="D10736" t="s">
        <v>34745</v>
      </c>
      <c r="E10736" t="s">
        <v>16</v>
      </c>
      <c r="F10736" t="s">
        <v>651</v>
      </c>
      <c r="G10736" t="s">
        <v>34730</v>
      </c>
      <c r="H10736">
        <v>40450</v>
      </c>
    </row>
    <row r="10737" spans="1:8">
      <c r="A10737" t="str">
        <f>"0218825 "</f>
        <v xml:space="preserve">0218825 </v>
      </c>
      <c r="B10737" t="s">
        <v>34728</v>
      </c>
      <c r="C10737">
        <v>40480</v>
      </c>
      <c r="D10737" t="s">
        <v>34746</v>
      </c>
      <c r="E10737" t="s">
        <v>16</v>
      </c>
      <c r="F10737" t="s">
        <v>19881</v>
      </c>
      <c r="G10737" t="s">
        <v>34730</v>
      </c>
      <c r="H10737">
        <v>40480</v>
      </c>
    </row>
    <row r="10738" spans="1:8">
      <c r="A10738" t="str">
        <f>"0218826 "</f>
        <v xml:space="preserve">0218826 </v>
      </c>
      <c r="B10738" t="s">
        <v>34728</v>
      </c>
      <c r="C10738">
        <v>40500</v>
      </c>
      <c r="D10738" t="s">
        <v>34747</v>
      </c>
      <c r="E10738" t="s">
        <v>16</v>
      </c>
      <c r="F10738" t="s">
        <v>34580</v>
      </c>
      <c r="G10738" t="s">
        <v>34730</v>
      </c>
      <c r="H10738">
        <v>40500</v>
      </c>
    </row>
    <row r="10739" spans="1:8">
      <c r="A10739" t="str">
        <f>"0218827 "</f>
        <v xml:space="preserve">0218827 </v>
      </c>
      <c r="B10739" t="s">
        <v>34728</v>
      </c>
      <c r="C10739">
        <v>40530</v>
      </c>
      <c r="D10739" t="s">
        <v>34748</v>
      </c>
      <c r="E10739" t="s">
        <v>16</v>
      </c>
      <c r="F10739" t="s">
        <v>32971</v>
      </c>
      <c r="G10739" t="s">
        <v>34730</v>
      </c>
      <c r="H10739">
        <v>40530</v>
      </c>
    </row>
    <row r="10740" spans="1:8">
      <c r="A10740" t="str">
        <f>"0218828 "</f>
        <v xml:space="preserve">0218828 </v>
      </c>
      <c r="B10740" t="s">
        <v>34728</v>
      </c>
      <c r="C10740">
        <v>40550</v>
      </c>
      <c r="D10740" t="s">
        <v>34749</v>
      </c>
      <c r="E10740" t="s">
        <v>16</v>
      </c>
      <c r="F10740" t="s">
        <v>32971</v>
      </c>
      <c r="G10740" t="s">
        <v>34730</v>
      </c>
      <c r="H10740">
        <v>40550</v>
      </c>
    </row>
    <row r="10741" spans="1:8">
      <c r="A10741" t="str">
        <f>"0218829 "</f>
        <v xml:space="preserve">0218829 </v>
      </c>
      <c r="B10741" t="s">
        <v>34728</v>
      </c>
      <c r="C10741">
        <v>40580</v>
      </c>
      <c r="D10741" t="s">
        <v>34750</v>
      </c>
      <c r="E10741" t="s">
        <v>16</v>
      </c>
      <c r="F10741" t="s">
        <v>33790</v>
      </c>
      <c r="G10741" t="s">
        <v>34730</v>
      </c>
      <c r="H10741">
        <v>40580</v>
      </c>
    </row>
    <row r="10742" spans="1:8">
      <c r="A10742" t="str">
        <f>"0218830 "</f>
        <v xml:space="preserve">0218830 </v>
      </c>
      <c r="B10742" t="s">
        <v>34728</v>
      </c>
      <c r="C10742">
        <v>40600</v>
      </c>
      <c r="D10742" t="s">
        <v>34751</v>
      </c>
      <c r="E10742" t="s">
        <v>16</v>
      </c>
      <c r="F10742" t="s">
        <v>32978</v>
      </c>
      <c r="G10742" t="s">
        <v>34730</v>
      </c>
      <c r="H10742">
        <v>40600</v>
      </c>
    </row>
    <row r="10743" spans="1:8">
      <c r="A10743" t="str">
        <f>"0269063 "</f>
        <v xml:space="preserve">0269063 </v>
      </c>
      <c r="B10743" t="s">
        <v>34752</v>
      </c>
      <c r="C10743">
        <v>9253</v>
      </c>
      <c r="D10743" t="s">
        <v>34753</v>
      </c>
      <c r="E10743" t="s">
        <v>16</v>
      </c>
      <c r="F10743" s="1">
        <v>43005</v>
      </c>
      <c r="G10743" t="s">
        <v>32614</v>
      </c>
      <c r="H10743">
        <v>9253</v>
      </c>
    </row>
    <row r="10744" spans="1:8">
      <c r="A10744" t="str">
        <f>"0269064 "</f>
        <v xml:space="preserve">0269064 </v>
      </c>
      <c r="B10744" t="s">
        <v>34752</v>
      </c>
      <c r="C10744">
        <v>9260</v>
      </c>
      <c r="D10744" t="s">
        <v>34754</v>
      </c>
      <c r="E10744" t="s">
        <v>16</v>
      </c>
      <c r="F10744" t="s">
        <v>34755</v>
      </c>
      <c r="G10744" t="s">
        <v>32614</v>
      </c>
      <c r="H10744">
        <v>9260</v>
      </c>
    </row>
    <row r="10745" spans="1:8">
      <c r="A10745" t="str">
        <f>"0269065 "</f>
        <v xml:space="preserve">0269065 </v>
      </c>
      <c r="B10745" t="s">
        <v>34752</v>
      </c>
      <c r="C10745">
        <v>9277</v>
      </c>
      <c r="D10745" t="s">
        <v>34756</v>
      </c>
      <c r="E10745" t="s">
        <v>16</v>
      </c>
      <c r="F10745" t="s">
        <v>19834</v>
      </c>
      <c r="G10745" t="s">
        <v>32614</v>
      </c>
      <c r="H10745">
        <v>9277</v>
      </c>
    </row>
    <row r="10746" spans="1:8">
      <c r="A10746" t="str">
        <f>"0218831 "</f>
        <v xml:space="preserve">0218831 </v>
      </c>
      <c r="B10746" t="s">
        <v>34752</v>
      </c>
      <c r="C10746">
        <v>9414</v>
      </c>
      <c r="D10746" t="s">
        <v>34757</v>
      </c>
      <c r="E10746" t="s">
        <v>16</v>
      </c>
      <c r="F10746" t="s">
        <v>32119</v>
      </c>
      <c r="G10746" t="s">
        <v>32614</v>
      </c>
      <c r="H10746">
        <v>9414</v>
      </c>
    </row>
    <row r="10747" spans="1:8">
      <c r="A10747" t="str">
        <f>"0218833 "</f>
        <v xml:space="preserve">0218833 </v>
      </c>
      <c r="B10747" t="s">
        <v>34752</v>
      </c>
      <c r="C10747">
        <v>9438</v>
      </c>
      <c r="D10747" t="s">
        <v>34758</v>
      </c>
      <c r="E10747" t="s">
        <v>16</v>
      </c>
      <c r="F10747" t="s">
        <v>669</v>
      </c>
      <c r="G10747" t="s">
        <v>32614</v>
      </c>
      <c r="H10747">
        <v>9438</v>
      </c>
    </row>
    <row r="10748" spans="1:8">
      <c r="A10748" t="str">
        <f>"0218837 "</f>
        <v xml:space="preserve">0218837 </v>
      </c>
      <c r="B10748" t="s">
        <v>34752</v>
      </c>
      <c r="C10748" t="s">
        <v>34759</v>
      </c>
      <c r="D10748" t="s">
        <v>34760</v>
      </c>
      <c r="E10748" t="s">
        <v>16</v>
      </c>
      <c r="F10748" t="s">
        <v>34683</v>
      </c>
      <c r="G10748" t="s">
        <v>32614</v>
      </c>
      <c r="H10748" t="s">
        <v>34759</v>
      </c>
    </row>
    <row r="10749" spans="1:8">
      <c r="A10749" t="str">
        <f>"0218838 "</f>
        <v xml:space="preserve">0218838 </v>
      </c>
      <c r="B10749" t="s">
        <v>34752</v>
      </c>
      <c r="C10749" t="s">
        <v>34761</v>
      </c>
      <c r="D10749" t="s">
        <v>34762</v>
      </c>
      <c r="E10749" t="s">
        <v>16</v>
      </c>
      <c r="F10749" t="s">
        <v>660</v>
      </c>
      <c r="G10749" t="s">
        <v>32614</v>
      </c>
      <c r="H10749" t="s">
        <v>34761</v>
      </c>
    </row>
    <row r="10750" spans="1:8">
      <c r="A10750" t="str">
        <f>"0218839 "</f>
        <v xml:space="preserve">0218839 </v>
      </c>
      <c r="B10750" t="s">
        <v>34752</v>
      </c>
      <c r="C10750" t="s">
        <v>34763</v>
      </c>
      <c r="D10750" t="s">
        <v>34764</v>
      </c>
      <c r="E10750" t="s">
        <v>16</v>
      </c>
      <c r="F10750" t="s">
        <v>67</v>
      </c>
      <c r="G10750" t="s">
        <v>32614</v>
      </c>
      <c r="H10750" t="s">
        <v>34763</v>
      </c>
    </row>
    <row r="10751" spans="1:8">
      <c r="A10751" t="str">
        <f>"0218872 "</f>
        <v xml:space="preserve">0218872 </v>
      </c>
      <c r="B10751" t="s">
        <v>34752</v>
      </c>
      <c r="C10751" t="s">
        <v>34765</v>
      </c>
      <c r="D10751" t="s">
        <v>34766</v>
      </c>
      <c r="E10751" t="s">
        <v>16</v>
      </c>
      <c r="F10751" t="s">
        <v>32913</v>
      </c>
      <c r="G10751" t="s">
        <v>32614</v>
      </c>
      <c r="H10751" t="s">
        <v>34765</v>
      </c>
    </row>
    <row r="10752" spans="1:8">
      <c r="A10752" t="str">
        <f>"0218873 "</f>
        <v xml:space="preserve">0218873 </v>
      </c>
      <c r="B10752" t="s">
        <v>34752</v>
      </c>
      <c r="C10752" t="s">
        <v>34767</v>
      </c>
      <c r="D10752" t="s">
        <v>34768</v>
      </c>
      <c r="E10752" t="s">
        <v>16</v>
      </c>
      <c r="F10752" t="s">
        <v>32913</v>
      </c>
      <c r="G10752" t="s">
        <v>32614</v>
      </c>
      <c r="H10752" t="s">
        <v>34767</v>
      </c>
    </row>
    <row r="10753" spans="1:8">
      <c r="A10753" t="str">
        <f>"0218874 "</f>
        <v xml:space="preserve">0218874 </v>
      </c>
      <c r="B10753" t="s">
        <v>34752</v>
      </c>
      <c r="C10753" t="s">
        <v>34769</v>
      </c>
      <c r="D10753" t="s">
        <v>34770</v>
      </c>
      <c r="E10753" t="s">
        <v>16</v>
      </c>
      <c r="F10753" t="s">
        <v>32913</v>
      </c>
      <c r="G10753" t="s">
        <v>32614</v>
      </c>
      <c r="H10753" t="s">
        <v>34769</v>
      </c>
    </row>
    <row r="10754" spans="1:8">
      <c r="A10754" t="str">
        <f>"0218875 "</f>
        <v xml:space="preserve">0218875 </v>
      </c>
      <c r="B10754" t="s">
        <v>34752</v>
      </c>
      <c r="C10754" t="s">
        <v>34771</v>
      </c>
      <c r="D10754" t="s">
        <v>34772</v>
      </c>
      <c r="E10754" t="s">
        <v>16</v>
      </c>
      <c r="F10754" t="s">
        <v>32913</v>
      </c>
      <c r="G10754" t="s">
        <v>32614</v>
      </c>
      <c r="H10754" t="s">
        <v>34771</v>
      </c>
    </row>
    <row r="10755" spans="1:8">
      <c r="A10755" t="str">
        <f>"0218876 "</f>
        <v xml:space="preserve">0218876 </v>
      </c>
      <c r="B10755" t="s">
        <v>34752</v>
      </c>
      <c r="C10755" t="s">
        <v>34773</v>
      </c>
      <c r="D10755" t="s">
        <v>34774</v>
      </c>
      <c r="E10755" t="s">
        <v>16</v>
      </c>
      <c r="F10755" t="s">
        <v>33516</v>
      </c>
      <c r="G10755" t="s">
        <v>32614</v>
      </c>
      <c r="H10755" t="s">
        <v>34773</v>
      </c>
    </row>
    <row r="10756" spans="1:8">
      <c r="A10756" t="str">
        <f>"0218877 "</f>
        <v xml:space="preserve">0218877 </v>
      </c>
      <c r="B10756" t="s">
        <v>34752</v>
      </c>
      <c r="C10756" t="s">
        <v>34775</v>
      </c>
      <c r="D10756" t="s">
        <v>34776</v>
      </c>
      <c r="E10756" t="s">
        <v>16</v>
      </c>
      <c r="F10756" t="s">
        <v>33516</v>
      </c>
      <c r="G10756" t="s">
        <v>32614</v>
      </c>
      <c r="H10756" t="s">
        <v>34775</v>
      </c>
    </row>
    <row r="10757" spans="1:8">
      <c r="A10757" t="str">
        <f>"0218878 "</f>
        <v xml:space="preserve">0218878 </v>
      </c>
      <c r="B10757" t="s">
        <v>34752</v>
      </c>
      <c r="C10757" t="s">
        <v>34777</v>
      </c>
      <c r="D10757" t="s">
        <v>34778</v>
      </c>
      <c r="E10757">
        <v>2</v>
      </c>
      <c r="F10757" t="s">
        <v>19834</v>
      </c>
      <c r="G10757" t="s">
        <v>32614</v>
      </c>
      <c r="H10757" t="s">
        <v>34777</v>
      </c>
    </row>
    <row r="10758" spans="1:8">
      <c r="A10758" t="str">
        <f>"0218879 "</f>
        <v xml:space="preserve">0218879 </v>
      </c>
      <c r="B10758" t="s">
        <v>34752</v>
      </c>
      <c r="C10758" t="s">
        <v>34779</v>
      </c>
      <c r="D10758" t="s">
        <v>34780</v>
      </c>
      <c r="E10758">
        <v>1</v>
      </c>
      <c r="F10758" t="s">
        <v>19834</v>
      </c>
      <c r="G10758" t="s">
        <v>32614</v>
      </c>
      <c r="H10758" t="s">
        <v>34779</v>
      </c>
    </row>
    <row r="10759" spans="1:8">
      <c r="A10759" t="str">
        <f>"0218880 "</f>
        <v xml:space="preserve">0218880 </v>
      </c>
      <c r="B10759" t="s">
        <v>34752</v>
      </c>
      <c r="C10759" t="s">
        <v>34781</v>
      </c>
      <c r="D10759" t="s">
        <v>34782</v>
      </c>
      <c r="E10759" t="s">
        <v>16</v>
      </c>
      <c r="F10759" t="s">
        <v>34783</v>
      </c>
      <c r="G10759" t="s">
        <v>32614</v>
      </c>
      <c r="H10759" t="s">
        <v>34781</v>
      </c>
    </row>
    <row r="10760" spans="1:8">
      <c r="A10760" t="str">
        <f>"0218881 "</f>
        <v xml:space="preserve">0218881 </v>
      </c>
      <c r="B10760" t="s">
        <v>34752</v>
      </c>
      <c r="C10760" t="s">
        <v>34784</v>
      </c>
      <c r="D10760" t="s">
        <v>34785</v>
      </c>
      <c r="E10760" t="s">
        <v>16</v>
      </c>
      <c r="F10760" t="s">
        <v>34783</v>
      </c>
      <c r="G10760" t="s">
        <v>32614</v>
      </c>
      <c r="H10760" t="s">
        <v>34784</v>
      </c>
    </row>
    <row r="10761" spans="1:8">
      <c r="A10761" t="str">
        <f>"0218882 "</f>
        <v xml:space="preserve">0218882 </v>
      </c>
      <c r="B10761" t="s">
        <v>34752</v>
      </c>
      <c r="C10761" t="s">
        <v>34786</v>
      </c>
      <c r="D10761" t="s">
        <v>34787</v>
      </c>
      <c r="E10761" t="s">
        <v>16</v>
      </c>
      <c r="F10761" t="s">
        <v>5382</v>
      </c>
      <c r="G10761" t="s">
        <v>32614</v>
      </c>
      <c r="H10761" t="s">
        <v>34786</v>
      </c>
    </row>
    <row r="10762" spans="1:8">
      <c r="A10762" t="str">
        <f>"0218883 "</f>
        <v xml:space="preserve">0218883 </v>
      </c>
      <c r="B10762" t="s">
        <v>34752</v>
      </c>
      <c r="C10762" t="s">
        <v>34788</v>
      </c>
      <c r="D10762" t="s">
        <v>34789</v>
      </c>
      <c r="E10762" t="s">
        <v>16</v>
      </c>
      <c r="F10762" t="s">
        <v>5382</v>
      </c>
      <c r="G10762" t="s">
        <v>32614</v>
      </c>
      <c r="H10762" t="s">
        <v>34788</v>
      </c>
    </row>
    <row r="10763" spans="1:8">
      <c r="A10763" t="str">
        <f>"0218884 "</f>
        <v xml:space="preserve">0218884 </v>
      </c>
      <c r="B10763" t="s">
        <v>34752</v>
      </c>
      <c r="C10763" t="s">
        <v>34790</v>
      </c>
      <c r="D10763" t="s">
        <v>34791</v>
      </c>
      <c r="E10763" t="s">
        <v>16</v>
      </c>
      <c r="F10763" t="s">
        <v>28279</v>
      </c>
      <c r="G10763" t="s">
        <v>32614</v>
      </c>
      <c r="H10763" t="s">
        <v>34790</v>
      </c>
    </row>
    <row r="10764" spans="1:8">
      <c r="A10764" t="str">
        <f>"0218885 "</f>
        <v xml:space="preserve">0218885 </v>
      </c>
      <c r="B10764" t="s">
        <v>34752</v>
      </c>
      <c r="C10764" t="s">
        <v>34792</v>
      </c>
      <c r="D10764" t="s">
        <v>34793</v>
      </c>
      <c r="E10764" t="s">
        <v>16</v>
      </c>
      <c r="F10764" t="s">
        <v>28266</v>
      </c>
      <c r="G10764" t="s">
        <v>32614</v>
      </c>
      <c r="H10764" t="s">
        <v>34792</v>
      </c>
    </row>
    <row r="10765" spans="1:8">
      <c r="A10765" t="str">
        <f>"0218843 "</f>
        <v xml:space="preserve">0218843 </v>
      </c>
      <c r="B10765" t="s">
        <v>34752</v>
      </c>
      <c r="C10765" t="s">
        <v>34794</v>
      </c>
      <c r="D10765" t="s">
        <v>34795</v>
      </c>
      <c r="E10765" t="s">
        <v>16</v>
      </c>
      <c r="F10765" t="s">
        <v>34796</v>
      </c>
      <c r="G10765" t="s">
        <v>34797</v>
      </c>
      <c r="H10765" t="s">
        <v>34794</v>
      </c>
    </row>
    <row r="10766" spans="1:8">
      <c r="A10766" t="str">
        <f>"0218844 "</f>
        <v xml:space="preserve">0218844 </v>
      </c>
      <c r="B10766" t="s">
        <v>34752</v>
      </c>
      <c r="C10766" t="s">
        <v>34798</v>
      </c>
      <c r="D10766" t="s">
        <v>34799</v>
      </c>
      <c r="E10766" t="s">
        <v>16</v>
      </c>
      <c r="F10766" t="s">
        <v>34800</v>
      </c>
      <c r="G10766" t="s">
        <v>34797</v>
      </c>
      <c r="H10766" t="s">
        <v>34798</v>
      </c>
    </row>
    <row r="10767" spans="1:8">
      <c r="A10767" t="str">
        <f>"0220031 "</f>
        <v xml:space="preserve">0220031 </v>
      </c>
      <c r="B10767" t="s">
        <v>34752</v>
      </c>
      <c r="C10767" t="s">
        <v>34801</v>
      </c>
      <c r="D10767" t="s">
        <v>34802</v>
      </c>
      <c r="E10767" t="s">
        <v>16</v>
      </c>
      <c r="F10767" t="s">
        <v>5336</v>
      </c>
      <c r="G10767" t="s">
        <v>34797</v>
      </c>
      <c r="H10767" t="s">
        <v>34801</v>
      </c>
    </row>
    <row r="10768" spans="1:8">
      <c r="A10768" t="str">
        <f>"0218845 "</f>
        <v xml:space="preserve">0218845 </v>
      </c>
      <c r="B10768" t="s">
        <v>34752</v>
      </c>
      <c r="C10768" t="s">
        <v>34803</v>
      </c>
      <c r="D10768" t="s">
        <v>34804</v>
      </c>
      <c r="E10768" t="s">
        <v>16</v>
      </c>
      <c r="F10768" t="s">
        <v>32870</v>
      </c>
      <c r="G10768" t="s">
        <v>32614</v>
      </c>
      <c r="H10768" t="s">
        <v>34803</v>
      </c>
    </row>
    <row r="10769" spans="1:8">
      <c r="A10769" t="str">
        <f>"0218846 "</f>
        <v xml:space="preserve">0218846 </v>
      </c>
      <c r="B10769" t="s">
        <v>34752</v>
      </c>
      <c r="C10769" t="s">
        <v>34805</v>
      </c>
      <c r="D10769" t="s">
        <v>34806</v>
      </c>
      <c r="E10769" t="s">
        <v>16</v>
      </c>
      <c r="F10769" t="s">
        <v>32870</v>
      </c>
      <c r="G10769" t="s">
        <v>32614</v>
      </c>
      <c r="H10769" t="s">
        <v>34805</v>
      </c>
    </row>
    <row r="10770" spans="1:8">
      <c r="A10770" t="str">
        <f>"0218847 "</f>
        <v xml:space="preserve">0218847 </v>
      </c>
      <c r="B10770" t="s">
        <v>34752</v>
      </c>
      <c r="C10770" t="s">
        <v>34807</v>
      </c>
      <c r="D10770" t="s">
        <v>34808</v>
      </c>
      <c r="E10770" t="s">
        <v>16</v>
      </c>
      <c r="F10770" t="s">
        <v>32870</v>
      </c>
      <c r="G10770" t="s">
        <v>32614</v>
      </c>
      <c r="H10770" t="s">
        <v>34807</v>
      </c>
    </row>
    <row r="10771" spans="1:8">
      <c r="A10771" t="str">
        <f>"0218848 "</f>
        <v xml:space="preserve">0218848 </v>
      </c>
      <c r="B10771" t="s">
        <v>34752</v>
      </c>
      <c r="C10771" t="s">
        <v>34809</v>
      </c>
      <c r="D10771" t="s">
        <v>34810</v>
      </c>
      <c r="E10771" t="s">
        <v>16</v>
      </c>
      <c r="F10771" t="s">
        <v>32870</v>
      </c>
      <c r="G10771" t="s">
        <v>32614</v>
      </c>
      <c r="H10771" t="s">
        <v>34809</v>
      </c>
    </row>
    <row r="10772" spans="1:8">
      <c r="A10772" t="str">
        <f>"0218849 "</f>
        <v xml:space="preserve">0218849 </v>
      </c>
      <c r="B10772" t="s">
        <v>34752</v>
      </c>
      <c r="C10772" t="s">
        <v>34811</v>
      </c>
      <c r="D10772" t="s">
        <v>34812</v>
      </c>
      <c r="E10772" t="s">
        <v>16</v>
      </c>
      <c r="F10772" t="s">
        <v>34813</v>
      </c>
      <c r="G10772" t="s">
        <v>32614</v>
      </c>
      <c r="H10772" t="s">
        <v>34811</v>
      </c>
    </row>
    <row r="10773" spans="1:8">
      <c r="A10773" t="str">
        <f>"0218850 "</f>
        <v xml:space="preserve">0218850 </v>
      </c>
      <c r="B10773" t="s">
        <v>34752</v>
      </c>
      <c r="C10773" t="s">
        <v>34814</v>
      </c>
      <c r="D10773" t="s">
        <v>34815</v>
      </c>
      <c r="E10773" t="s">
        <v>16</v>
      </c>
      <c r="F10773" t="s">
        <v>34813</v>
      </c>
      <c r="G10773" t="s">
        <v>32614</v>
      </c>
      <c r="H10773" t="s">
        <v>34814</v>
      </c>
    </row>
    <row r="10774" spans="1:8">
      <c r="A10774" t="str">
        <f>"0218851 "</f>
        <v xml:space="preserve">0218851 </v>
      </c>
      <c r="B10774" t="s">
        <v>34752</v>
      </c>
      <c r="C10774" t="s">
        <v>34816</v>
      </c>
      <c r="D10774" t="s">
        <v>34817</v>
      </c>
      <c r="E10774" t="s">
        <v>16</v>
      </c>
      <c r="F10774" t="s">
        <v>33812</v>
      </c>
      <c r="G10774" t="s">
        <v>32614</v>
      </c>
      <c r="H10774" t="s">
        <v>34816</v>
      </c>
    </row>
    <row r="10775" spans="1:8">
      <c r="A10775" t="str">
        <f>"0218852 "</f>
        <v xml:space="preserve">0218852 </v>
      </c>
      <c r="B10775" t="s">
        <v>34752</v>
      </c>
      <c r="C10775" t="s">
        <v>34818</v>
      </c>
      <c r="D10775" t="s">
        <v>34819</v>
      </c>
      <c r="E10775" t="s">
        <v>16</v>
      </c>
      <c r="F10775" t="s">
        <v>33812</v>
      </c>
      <c r="G10775" t="s">
        <v>32614</v>
      </c>
      <c r="H10775" t="s">
        <v>34818</v>
      </c>
    </row>
    <row r="10776" spans="1:8">
      <c r="A10776" t="str">
        <f>"0218853 "</f>
        <v xml:space="preserve">0218853 </v>
      </c>
      <c r="B10776" t="s">
        <v>34752</v>
      </c>
      <c r="C10776" t="s">
        <v>34820</v>
      </c>
      <c r="D10776" t="s">
        <v>34821</v>
      </c>
      <c r="E10776" t="s">
        <v>16</v>
      </c>
      <c r="F10776" t="s">
        <v>34822</v>
      </c>
      <c r="G10776" t="s">
        <v>32614</v>
      </c>
      <c r="H10776" t="s">
        <v>34820</v>
      </c>
    </row>
    <row r="10777" spans="1:8">
      <c r="A10777" t="str">
        <f>"0218854 "</f>
        <v xml:space="preserve">0218854 </v>
      </c>
      <c r="B10777" t="s">
        <v>34752</v>
      </c>
      <c r="C10777" t="s">
        <v>34823</v>
      </c>
      <c r="D10777" t="s">
        <v>34824</v>
      </c>
      <c r="E10777" t="s">
        <v>16</v>
      </c>
      <c r="F10777" t="s">
        <v>34822</v>
      </c>
      <c r="G10777" t="s">
        <v>32614</v>
      </c>
      <c r="H10777" t="s">
        <v>34823</v>
      </c>
    </row>
    <row r="10778" spans="1:8">
      <c r="A10778" t="str">
        <f>"0218855 "</f>
        <v xml:space="preserve">0218855 </v>
      </c>
      <c r="B10778" t="s">
        <v>34752</v>
      </c>
      <c r="C10778" t="s">
        <v>34825</v>
      </c>
      <c r="D10778" t="s">
        <v>34826</v>
      </c>
      <c r="E10778" t="s">
        <v>16</v>
      </c>
      <c r="F10778" t="s">
        <v>19759</v>
      </c>
      <c r="G10778" t="s">
        <v>32614</v>
      </c>
      <c r="H10778" t="s">
        <v>34825</v>
      </c>
    </row>
    <row r="10779" spans="1:8">
      <c r="A10779" t="str">
        <f>"0218856 "</f>
        <v xml:space="preserve">0218856 </v>
      </c>
      <c r="B10779" t="s">
        <v>34752</v>
      </c>
      <c r="C10779" t="s">
        <v>34827</v>
      </c>
      <c r="D10779" t="s">
        <v>34828</v>
      </c>
      <c r="E10779" t="s">
        <v>16</v>
      </c>
      <c r="F10779" t="s">
        <v>19759</v>
      </c>
      <c r="G10779" t="s">
        <v>32614</v>
      </c>
      <c r="H10779" t="s">
        <v>34827</v>
      </c>
    </row>
    <row r="10780" spans="1:8">
      <c r="A10780" t="str">
        <f>"0218857 "</f>
        <v xml:space="preserve">0218857 </v>
      </c>
      <c r="B10780" t="s">
        <v>34752</v>
      </c>
      <c r="C10780" t="s">
        <v>34829</v>
      </c>
      <c r="D10780" t="s">
        <v>34830</v>
      </c>
      <c r="E10780" t="s">
        <v>16</v>
      </c>
      <c r="F10780" t="s">
        <v>34831</v>
      </c>
      <c r="G10780" t="s">
        <v>32614</v>
      </c>
      <c r="H10780" t="s">
        <v>34829</v>
      </c>
    </row>
    <row r="10781" spans="1:8">
      <c r="A10781" t="str">
        <f>"0218858 "</f>
        <v xml:space="preserve">0218858 </v>
      </c>
      <c r="B10781" t="s">
        <v>34752</v>
      </c>
      <c r="C10781" t="s">
        <v>34832</v>
      </c>
      <c r="D10781" t="s">
        <v>34833</v>
      </c>
      <c r="E10781" t="s">
        <v>16</v>
      </c>
      <c r="F10781" t="s">
        <v>34834</v>
      </c>
      <c r="G10781" t="s">
        <v>32614</v>
      </c>
      <c r="H10781" t="s">
        <v>34832</v>
      </c>
    </row>
    <row r="10782" spans="1:8">
      <c r="A10782" t="str">
        <f>"0218840 "</f>
        <v xml:space="preserve">0218840 </v>
      </c>
      <c r="B10782" t="s">
        <v>34752</v>
      </c>
      <c r="C10782" t="s">
        <v>34835</v>
      </c>
      <c r="D10782" t="s">
        <v>34836</v>
      </c>
      <c r="E10782" t="s">
        <v>16</v>
      </c>
      <c r="F10782" t="s">
        <v>33642</v>
      </c>
      <c r="G10782" t="s">
        <v>32614</v>
      </c>
      <c r="H10782" t="s">
        <v>34835</v>
      </c>
    </row>
    <row r="10783" spans="1:8">
      <c r="A10783" t="str">
        <f>"0218841 "</f>
        <v xml:space="preserve">0218841 </v>
      </c>
      <c r="B10783" t="s">
        <v>34752</v>
      </c>
      <c r="C10783" t="s">
        <v>34837</v>
      </c>
      <c r="D10783" t="s">
        <v>34838</v>
      </c>
      <c r="E10783" t="s">
        <v>16</v>
      </c>
      <c r="F10783" t="s">
        <v>33764</v>
      </c>
      <c r="G10783" t="s">
        <v>32614</v>
      </c>
      <c r="H10783" t="s">
        <v>34837</v>
      </c>
    </row>
    <row r="10784" spans="1:8">
      <c r="A10784" t="str">
        <f>"0218842 "</f>
        <v xml:space="preserve">0218842 </v>
      </c>
      <c r="B10784" t="s">
        <v>34752</v>
      </c>
      <c r="C10784" t="s">
        <v>34839</v>
      </c>
      <c r="D10784" t="s">
        <v>34840</v>
      </c>
      <c r="E10784" t="s">
        <v>16</v>
      </c>
      <c r="F10784" t="s">
        <v>34841</v>
      </c>
      <c r="G10784" t="s">
        <v>32614</v>
      </c>
      <c r="H10784" t="s">
        <v>34839</v>
      </c>
    </row>
    <row r="10785" spans="1:9">
      <c r="A10785" t="str">
        <f>"0218859 "</f>
        <v xml:space="preserve">0218859 </v>
      </c>
      <c r="B10785" t="s">
        <v>34752</v>
      </c>
      <c r="C10785" t="s">
        <v>34842</v>
      </c>
      <c r="D10785" t="s">
        <v>34843</v>
      </c>
      <c r="E10785" t="s">
        <v>16</v>
      </c>
      <c r="F10785" t="s">
        <v>34844</v>
      </c>
      <c r="G10785" t="s">
        <v>32614</v>
      </c>
      <c r="H10785" t="s">
        <v>34842</v>
      </c>
    </row>
    <row r="10786" spans="1:9">
      <c r="A10786" t="str">
        <f>"0218860 "</f>
        <v xml:space="preserve">0218860 </v>
      </c>
      <c r="B10786" t="s">
        <v>34752</v>
      </c>
      <c r="C10786" t="s">
        <v>34845</v>
      </c>
      <c r="D10786" t="s">
        <v>34846</v>
      </c>
      <c r="E10786" t="s">
        <v>16</v>
      </c>
      <c r="F10786" t="s">
        <v>34844</v>
      </c>
      <c r="G10786" t="s">
        <v>32614</v>
      </c>
      <c r="H10786" t="s">
        <v>34845</v>
      </c>
    </row>
    <row r="10787" spans="1:9">
      <c r="A10787" t="str">
        <f>"0218861 "</f>
        <v xml:space="preserve">0218861 </v>
      </c>
      <c r="B10787" t="s">
        <v>34752</v>
      </c>
      <c r="C10787" t="s">
        <v>34847</v>
      </c>
      <c r="D10787" t="s">
        <v>34848</v>
      </c>
      <c r="E10787" t="s">
        <v>16</v>
      </c>
      <c r="F10787" t="s">
        <v>34844</v>
      </c>
      <c r="G10787" t="s">
        <v>32614</v>
      </c>
      <c r="H10787" t="s">
        <v>34847</v>
      </c>
    </row>
    <row r="10788" spans="1:9">
      <c r="A10788" t="str">
        <f>"0218862 "</f>
        <v xml:space="preserve">0218862 </v>
      </c>
      <c r="B10788" t="s">
        <v>34752</v>
      </c>
      <c r="C10788" t="s">
        <v>34849</v>
      </c>
      <c r="D10788" t="s">
        <v>34850</v>
      </c>
      <c r="E10788" t="s">
        <v>16</v>
      </c>
      <c r="F10788" t="s">
        <v>34851</v>
      </c>
      <c r="G10788" t="s">
        <v>32614</v>
      </c>
      <c r="H10788" t="s">
        <v>34849</v>
      </c>
    </row>
    <row r="10789" spans="1:9">
      <c r="A10789" t="str">
        <f>"0218863 "</f>
        <v xml:space="preserve">0218863 </v>
      </c>
      <c r="B10789" t="s">
        <v>34752</v>
      </c>
      <c r="C10789" t="s">
        <v>34852</v>
      </c>
      <c r="D10789" t="s">
        <v>34853</v>
      </c>
      <c r="E10789" t="s">
        <v>16</v>
      </c>
      <c r="F10789" t="s">
        <v>34851</v>
      </c>
      <c r="G10789" t="s">
        <v>32614</v>
      </c>
      <c r="H10789" t="s">
        <v>34852</v>
      </c>
    </row>
    <row r="10790" spans="1:9">
      <c r="A10790" t="str">
        <f>"0218864 "</f>
        <v xml:space="preserve">0218864 </v>
      </c>
      <c r="B10790" t="s">
        <v>34752</v>
      </c>
      <c r="C10790" t="s">
        <v>34854</v>
      </c>
      <c r="D10790" t="s">
        <v>34855</v>
      </c>
      <c r="E10790" t="s">
        <v>16</v>
      </c>
      <c r="F10790" t="s">
        <v>34851</v>
      </c>
      <c r="G10790" t="s">
        <v>32614</v>
      </c>
      <c r="H10790" t="s">
        <v>34854</v>
      </c>
    </row>
    <row r="10791" spans="1:9">
      <c r="A10791" t="str">
        <f>"0218865 "</f>
        <v xml:space="preserve">0218865 </v>
      </c>
      <c r="B10791" t="s">
        <v>34752</v>
      </c>
      <c r="C10791" t="s">
        <v>34856</v>
      </c>
      <c r="D10791" t="s">
        <v>34857</v>
      </c>
      <c r="E10791" t="s">
        <v>16</v>
      </c>
      <c r="F10791" t="s">
        <v>34858</v>
      </c>
      <c r="G10791" t="s">
        <v>32614</v>
      </c>
      <c r="H10791" t="s">
        <v>34856</v>
      </c>
    </row>
    <row r="10792" spans="1:9">
      <c r="A10792" t="str">
        <f>"0218866 "</f>
        <v xml:space="preserve">0218866 </v>
      </c>
      <c r="B10792" t="s">
        <v>34752</v>
      </c>
      <c r="C10792" t="s">
        <v>34859</v>
      </c>
      <c r="D10792" t="s">
        <v>34860</v>
      </c>
      <c r="E10792" t="s">
        <v>16</v>
      </c>
      <c r="F10792" t="s">
        <v>34858</v>
      </c>
      <c r="G10792" t="s">
        <v>32614</v>
      </c>
      <c r="H10792" t="s">
        <v>34859</v>
      </c>
    </row>
    <row r="10793" spans="1:9">
      <c r="A10793" t="str">
        <f>"0218867 "</f>
        <v xml:space="preserve">0218867 </v>
      </c>
      <c r="B10793" t="s">
        <v>34752</v>
      </c>
      <c r="C10793" t="s">
        <v>34861</v>
      </c>
      <c r="D10793" t="s">
        <v>34862</v>
      </c>
      <c r="E10793" t="s">
        <v>16</v>
      </c>
      <c r="F10793" t="s">
        <v>34694</v>
      </c>
      <c r="G10793" t="s">
        <v>32614</v>
      </c>
      <c r="H10793" t="s">
        <v>34861</v>
      </c>
    </row>
    <row r="10794" spans="1:9">
      <c r="A10794" t="str">
        <f>"0218868 "</f>
        <v xml:space="preserve">0218868 </v>
      </c>
      <c r="B10794" t="s">
        <v>34752</v>
      </c>
      <c r="C10794" t="s">
        <v>34863</v>
      </c>
      <c r="D10794" t="s">
        <v>34864</v>
      </c>
      <c r="E10794" t="s">
        <v>16</v>
      </c>
      <c r="F10794" t="s">
        <v>34694</v>
      </c>
      <c r="G10794" t="s">
        <v>32614</v>
      </c>
      <c r="H10794" t="s">
        <v>34863</v>
      </c>
    </row>
    <row r="10795" spans="1:9">
      <c r="A10795" t="str">
        <f>"0218869 "</f>
        <v xml:space="preserve">0218869 </v>
      </c>
      <c r="B10795" t="s">
        <v>34752</v>
      </c>
      <c r="C10795" t="s">
        <v>34865</v>
      </c>
      <c r="D10795" t="s">
        <v>34866</v>
      </c>
      <c r="E10795" t="s">
        <v>16</v>
      </c>
      <c r="F10795" t="s">
        <v>33824</v>
      </c>
      <c r="G10795" t="s">
        <v>32614</v>
      </c>
      <c r="H10795" t="s">
        <v>34865</v>
      </c>
    </row>
    <row r="10796" spans="1:9">
      <c r="A10796" t="str">
        <f>"0218870 "</f>
        <v xml:space="preserve">0218870 </v>
      </c>
      <c r="B10796" t="s">
        <v>34752</v>
      </c>
      <c r="C10796" t="s">
        <v>34867</v>
      </c>
      <c r="D10796" t="s">
        <v>34868</v>
      </c>
      <c r="E10796" t="s">
        <v>16</v>
      </c>
      <c r="F10796" t="s">
        <v>34869</v>
      </c>
      <c r="G10796" t="s">
        <v>32614</v>
      </c>
      <c r="H10796" t="s">
        <v>34867</v>
      </c>
    </row>
    <row r="10797" spans="1:9">
      <c r="A10797" t="str">
        <f>"0218871 "</f>
        <v xml:space="preserve">0218871 </v>
      </c>
      <c r="B10797" t="s">
        <v>34752</v>
      </c>
      <c r="C10797" t="s">
        <v>34870</v>
      </c>
      <c r="D10797" t="s">
        <v>34871</v>
      </c>
      <c r="E10797" t="s">
        <v>16</v>
      </c>
      <c r="F10797" t="s">
        <v>10278</v>
      </c>
      <c r="G10797" t="s">
        <v>32614</v>
      </c>
      <c r="H10797" t="s">
        <v>34870</v>
      </c>
    </row>
    <row r="10798" spans="1:9">
      <c r="A10798" t="str">
        <f>"0212408 "</f>
        <v xml:space="preserve">0212408 </v>
      </c>
      <c r="B10798" t="s">
        <v>34872</v>
      </c>
      <c r="C10798" t="s">
        <v>34873</v>
      </c>
      <c r="D10798" t="s">
        <v>34874</v>
      </c>
      <c r="E10798">
        <v>4</v>
      </c>
      <c r="F10798" t="s">
        <v>5382</v>
      </c>
      <c r="G10798" t="s">
        <v>706</v>
      </c>
      <c r="H10798" t="s">
        <v>34873</v>
      </c>
      <c r="I10798" t="s">
        <v>34875</v>
      </c>
    </row>
    <row r="10799" spans="1:9">
      <c r="A10799" t="str">
        <f>"0212409 "</f>
        <v xml:space="preserve">0212409 </v>
      </c>
      <c r="B10799" t="s">
        <v>34872</v>
      </c>
      <c r="C10799" t="s">
        <v>34876</v>
      </c>
      <c r="D10799" t="s">
        <v>34877</v>
      </c>
      <c r="E10799">
        <v>4</v>
      </c>
      <c r="F10799" t="s">
        <v>5382</v>
      </c>
      <c r="G10799" t="s">
        <v>706</v>
      </c>
      <c r="H10799" t="s">
        <v>34876</v>
      </c>
      <c r="I10799" t="s">
        <v>34875</v>
      </c>
    </row>
    <row r="10800" spans="1:9">
      <c r="A10800" t="str">
        <f>"0212410 "</f>
        <v xml:space="preserve">0212410 </v>
      </c>
      <c r="B10800" t="s">
        <v>34872</v>
      </c>
      <c r="C10800" t="s">
        <v>34878</v>
      </c>
      <c r="D10800" t="s">
        <v>34879</v>
      </c>
      <c r="E10800" t="s">
        <v>16</v>
      </c>
      <c r="F10800" t="s">
        <v>34880</v>
      </c>
      <c r="G10800" t="s">
        <v>706</v>
      </c>
      <c r="H10800" t="s">
        <v>34878</v>
      </c>
      <c r="I10800" t="s">
        <v>34875</v>
      </c>
    </row>
    <row r="10801" spans="1:9">
      <c r="A10801" t="str">
        <f>"0212411 "</f>
        <v xml:space="preserve">0212411 </v>
      </c>
      <c r="B10801" t="s">
        <v>34872</v>
      </c>
      <c r="C10801" t="s">
        <v>34881</v>
      </c>
      <c r="D10801" t="s">
        <v>34882</v>
      </c>
      <c r="E10801">
        <v>4</v>
      </c>
      <c r="F10801" t="s">
        <v>34883</v>
      </c>
      <c r="G10801" t="s">
        <v>706</v>
      </c>
      <c r="H10801" t="s">
        <v>34881</v>
      </c>
      <c r="I10801" t="s">
        <v>34875</v>
      </c>
    </row>
    <row r="10802" spans="1:9">
      <c r="A10802" t="str">
        <f>"0212727 "</f>
        <v xml:space="preserve">0212727 </v>
      </c>
      <c r="B10802" t="s">
        <v>34872</v>
      </c>
      <c r="C10802" t="s">
        <v>34884</v>
      </c>
      <c r="D10802" t="s">
        <v>34885</v>
      </c>
      <c r="E10802">
        <v>5</v>
      </c>
      <c r="F10802" t="s">
        <v>34886</v>
      </c>
      <c r="G10802" t="s">
        <v>706</v>
      </c>
      <c r="H10802" t="s">
        <v>34884</v>
      </c>
      <c r="I10802" t="s">
        <v>34887</v>
      </c>
    </row>
    <row r="10803" spans="1:9">
      <c r="A10803" t="str">
        <f>"0212412 "</f>
        <v xml:space="preserve">0212412 </v>
      </c>
      <c r="B10803" t="s">
        <v>34872</v>
      </c>
      <c r="C10803" t="s">
        <v>34888</v>
      </c>
      <c r="D10803" t="s">
        <v>34885</v>
      </c>
      <c r="E10803">
        <v>4</v>
      </c>
      <c r="F10803" t="s">
        <v>21926</v>
      </c>
      <c r="G10803" t="s">
        <v>706</v>
      </c>
      <c r="H10803" t="s">
        <v>34888</v>
      </c>
      <c r="I10803" t="s">
        <v>34875</v>
      </c>
    </row>
    <row r="10804" spans="1:9">
      <c r="A10804" t="str">
        <f>"0212413 "</f>
        <v xml:space="preserve">0212413 </v>
      </c>
      <c r="B10804" t="s">
        <v>34872</v>
      </c>
      <c r="C10804" t="s">
        <v>34889</v>
      </c>
      <c r="D10804" t="s">
        <v>34890</v>
      </c>
      <c r="E10804">
        <v>5</v>
      </c>
      <c r="F10804" t="s">
        <v>34891</v>
      </c>
      <c r="G10804" t="s">
        <v>706</v>
      </c>
      <c r="H10804" t="s">
        <v>34889</v>
      </c>
      <c r="I10804" t="s">
        <v>34875</v>
      </c>
    </row>
    <row r="10805" spans="1:9">
      <c r="A10805" t="str">
        <f>"0212414 "</f>
        <v xml:space="preserve">0212414 </v>
      </c>
      <c r="B10805" t="s">
        <v>34872</v>
      </c>
      <c r="C10805" t="s">
        <v>34892</v>
      </c>
      <c r="D10805" t="s">
        <v>34893</v>
      </c>
      <c r="E10805">
        <v>5</v>
      </c>
      <c r="F10805" t="s">
        <v>1545</v>
      </c>
      <c r="G10805" t="s">
        <v>706</v>
      </c>
      <c r="H10805" t="s">
        <v>34892</v>
      </c>
      <c r="I10805" t="s">
        <v>34875</v>
      </c>
    </row>
    <row r="10806" spans="1:9">
      <c r="A10806" t="str">
        <f>"0212730 "</f>
        <v xml:space="preserve">0212730 </v>
      </c>
      <c r="B10806" t="s">
        <v>34872</v>
      </c>
      <c r="C10806" t="s">
        <v>34894</v>
      </c>
      <c r="D10806" t="s">
        <v>34895</v>
      </c>
      <c r="E10806">
        <v>5</v>
      </c>
      <c r="F10806" t="s">
        <v>27534</v>
      </c>
      <c r="G10806" t="s">
        <v>706</v>
      </c>
      <c r="H10806" t="s">
        <v>34894</v>
      </c>
      <c r="I10806" t="s">
        <v>34887</v>
      </c>
    </row>
    <row r="10807" spans="1:9">
      <c r="A10807" t="str">
        <f>"0212731 "</f>
        <v xml:space="preserve">0212731 </v>
      </c>
      <c r="B10807" t="s">
        <v>34872</v>
      </c>
      <c r="C10807" t="s">
        <v>34896</v>
      </c>
      <c r="D10807" t="s">
        <v>34897</v>
      </c>
      <c r="E10807">
        <v>5</v>
      </c>
      <c r="F10807" t="s">
        <v>34898</v>
      </c>
      <c r="G10807" t="s">
        <v>706</v>
      </c>
      <c r="H10807" t="s">
        <v>34896</v>
      </c>
      <c r="I10807" t="s">
        <v>34887</v>
      </c>
    </row>
    <row r="10808" spans="1:9">
      <c r="A10808" t="str">
        <f>"0212732 "</f>
        <v xml:space="preserve">0212732 </v>
      </c>
      <c r="B10808" t="s">
        <v>34872</v>
      </c>
      <c r="C10808" t="s">
        <v>34899</v>
      </c>
      <c r="D10808" t="s">
        <v>34900</v>
      </c>
      <c r="E10808">
        <v>5</v>
      </c>
      <c r="F10808" t="s">
        <v>34901</v>
      </c>
      <c r="G10808" t="s">
        <v>706</v>
      </c>
      <c r="H10808" t="s">
        <v>34899</v>
      </c>
      <c r="I10808" t="s">
        <v>34887</v>
      </c>
    </row>
    <row r="10809" spans="1:9">
      <c r="A10809" t="str">
        <f>"0212420 "</f>
        <v xml:space="preserve">0212420 </v>
      </c>
      <c r="B10809" t="s">
        <v>34872</v>
      </c>
      <c r="C10809" t="s">
        <v>34902</v>
      </c>
      <c r="D10809" t="s">
        <v>34903</v>
      </c>
      <c r="E10809">
        <v>1</v>
      </c>
      <c r="F10809" t="s">
        <v>34904</v>
      </c>
      <c r="G10809" t="s">
        <v>706</v>
      </c>
      <c r="H10809" t="s">
        <v>34902</v>
      </c>
      <c r="I10809" t="s">
        <v>34875</v>
      </c>
    </row>
    <row r="10810" spans="1:9">
      <c r="A10810" t="str">
        <f>"0212681 "</f>
        <v xml:space="preserve">0212681 </v>
      </c>
      <c r="B10810" t="s">
        <v>34872</v>
      </c>
      <c r="C10810" t="s">
        <v>34905</v>
      </c>
      <c r="D10810" t="s">
        <v>34906</v>
      </c>
      <c r="E10810">
        <v>3</v>
      </c>
      <c r="F10810" t="s">
        <v>34907</v>
      </c>
      <c r="G10810" t="s">
        <v>706</v>
      </c>
      <c r="H10810" t="s">
        <v>34905</v>
      </c>
      <c r="I10810" t="s">
        <v>34908</v>
      </c>
    </row>
    <row r="10811" spans="1:9">
      <c r="A10811" t="str">
        <f>"0212682 "</f>
        <v xml:space="preserve">0212682 </v>
      </c>
      <c r="B10811" t="s">
        <v>34872</v>
      </c>
      <c r="C10811" t="s">
        <v>34909</v>
      </c>
      <c r="D10811" t="s">
        <v>34910</v>
      </c>
      <c r="E10811">
        <v>2</v>
      </c>
      <c r="F10811" t="s">
        <v>780</v>
      </c>
      <c r="G10811" t="s">
        <v>706</v>
      </c>
      <c r="H10811" t="s">
        <v>34909</v>
      </c>
      <c r="I10811" t="s">
        <v>34911</v>
      </c>
    </row>
    <row r="10812" spans="1:9">
      <c r="A10812" t="str">
        <f>"0212683 "</f>
        <v xml:space="preserve">0212683 </v>
      </c>
      <c r="B10812" t="s">
        <v>34872</v>
      </c>
      <c r="C10812" t="s">
        <v>34912</v>
      </c>
      <c r="D10812" t="s">
        <v>34913</v>
      </c>
      <c r="E10812">
        <v>2</v>
      </c>
      <c r="F10812" t="s">
        <v>22019</v>
      </c>
      <c r="G10812" t="s">
        <v>706</v>
      </c>
      <c r="H10812" t="s">
        <v>34912</v>
      </c>
      <c r="I10812" t="s">
        <v>34911</v>
      </c>
    </row>
    <row r="10813" spans="1:9">
      <c r="A10813" t="str">
        <f>"0212684 "</f>
        <v xml:space="preserve">0212684 </v>
      </c>
      <c r="B10813" t="s">
        <v>34872</v>
      </c>
      <c r="C10813" t="s">
        <v>34914</v>
      </c>
      <c r="D10813" t="s">
        <v>34915</v>
      </c>
      <c r="E10813">
        <v>4</v>
      </c>
      <c r="F10813" t="s">
        <v>34916</v>
      </c>
      <c r="G10813" t="s">
        <v>706</v>
      </c>
      <c r="H10813" t="s">
        <v>34914</v>
      </c>
      <c r="I10813" t="s">
        <v>34911</v>
      </c>
    </row>
    <row r="10814" spans="1:9">
      <c r="A10814" t="str">
        <f>"0212685 "</f>
        <v xml:space="preserve">0212685 </v>
      </c>
      <c r="B10814" t="s">
        <v>34872</v>
      </c>
      <c r="C10814" t="s">
        <v>34917</v>
      </c>
      <c r="D10814" t="s">
        <v>34918</v>
      </c>
      <c r="E10814">
        <v>3</v>
      </c>
      <c r="F10814" t="s">
        <v>34919</v>
      </c>
      <c r="G10814" t="s">
        <v>706</v>
      </c>
      <c r="H10814" t="s">
        <v>34917</v>
      </c>
      <c r="I10814" t="s">
        <v>34911</v>
      </c>
    </row>
    <row r="10815" spans="1:9">
      <c r="A10815" t="str">
        <f>"0212686 "</f>
        <v xml:space="preserve">0212686 </v>
      </c>
      <c r="B10815" t="s">
        <v>34872</v>
      </c>
      <c r="C10815" t="s">
        <v>34920</v>
      </c>
      <c r="D10815" t="s">
        <v>34921</v>
      </c>
      <c r="E10815">
        <v>4</v>
      </c>
      <c r="F10815" t="s">
        <v>34919</v>
      </c>
      <c r="G10815" t="s">
        <v>706</v>
      </c>
      <c r="H10815" t="s">
        <v>34920</v>
      </c>
      <c r="I10815" t="s">
        <v>34911</v>
      </c>
    </row>
    <row r="10816" spans="1:9">
      <c r="A10816" t="str">
        <f>"0212687 "</f>
        <v xml:space="preserve">0212687 </v>
      </c>
      <c r="B10816" t="s">
        <v>34872</v>
      </c>
      <c r="C10816" t="s">
        <v>34922</v>
      </c>
      <c r="D10816" t="s">
        <v>34923</v>
      </c>
      <c r="E10816">
        <v>4</v>
      </c>
      <c r="F10816" t="s">
        <v>34924</v>
      </c>
      <c r="G10816" t="s">
        <v>706</v>
      </c>
      <c r="H10816" t="s">
        <v>34922</v>
      </c>
      <c r="I10816" t="s">
        <v>34911</v>
      </c>
    </row>
    <row r="10817" spans="1:9">
      <c r="A10817" t="str">
        <f>"0212688 "</f>
        <v xml:space="preserve">0212688 </v>
      </c>
      <c r="B10817" t="s">
        <v>34872</v>
      </c>
      <c r="C10817" t="s">
        <v>34925</v>
      </c>
      <c r="D10817" t="s">
        <v>34926</v>
      </c>
      <c r="E10817">
        <v>4</v>
      </c>
      <c r="F10817" t="s">
        <v>34924</v>
      </c>
      <c r="G10817" t="s">
        <v>706</v>
      </c>
      <c r="H10817" t="s">
        <v>34925</v>
      </c>
      <c r="I10817" t="s">
        <v>34911</v>
      </c>
    </row>
    <row r="10818" spans="1:9">
      <c r="A10818" t="str">
        <f>"0212689 "</f>
        <v xml:space="preserve">0212689 </v>
      </c>
      <c r="B10818" t="s">
        <v>34872</v>
      </c>
      <c r="C10818" t="s">
        <v>34927</v>
      </c>
      <c r="D10818" t="s">
        <v>34928</v>
      </c>
      <c r="E10818">
        <v>4</v>
      </c>
      <c r="F10818" t="s">
        <v>31300</v>
      </c>
      <c r="G10818" t="s">
        <v>706</v>
      </c>
      <c r="H10818" t="s">
        <v>34927</v>
      </c>
      <c r="I10818" t="s">
        <v>34911</v>
      </c>
    </row>
    <row r="10819" spans="1:9">
      <c r="A10819" t="str">
        <f>"0212690 "</f>
        <v xml:space="preserve">0212690 </v>
      </c>
      <c r="B10819" t="s">
        <v>34872</v>
      </c>
      <c r="C10819" t="s">
        <v>34929</v>
      </c>
      <c r="D10819" t="s">
        <v>34930</v>
      </c>
      <c r="E10819">
        <v>2</v>
      </c>
      <c r="F10819" t="s">
        <v>31300</v>
      </c>
      <c r="G10819" t="s">
        <v>706</v>
      </c>
      <c r="H10819" t="s">
        <v>34929</v>
      </c>
      <c r="I10819" t="s">
        <v>34911</v>
      </c>
    </row>
    <row r="10820" spans="1:9">
      <c r="A10820" t="str">
        <f>"0212691 "</f>
        <v xml:space="preserve">0212691 </v>
      </c>
      <c r="B10820" t="s">
        <v>34872</v>
      </c>
      <c r="C10820" t="s">
        <v>34931</v>
      </c>
      <c r="D10820" t="s">
        <v>34932</v>
      </c>
      <c r="E10820">
        <v>2</v>
      </c>
      <c r="F10820" t="s">
        <v>34933</v>
      </c>
      <c r="G10820" t="s">
        <v>706</v>
      </c>
      <c r="H10820" t="s">
        <v>34931</v>
      </c>
      <c r="I10820" t="s">
        <v>34911</v>
      </c>
    </row>
    <row r="10821" spans="1:9">
      <c r="A10821" t="str">
        <f>"0212692 "</f>
        <v xml:space="preserve">0212692 </v>
      </c>
      <c r="B10821" t="s">
        <v>34872</v>
      </c>
      <c r="C10821" t="s">
        <v>34934</v>
      </c>
      <c r="D10821" t="s">
        <v>34935</v>
      </c>
      <c r="E10821">
        <v>4</v>
      </c>
      <c r="F10821" t="s">
        <v>34936</v>
      </c>
      <c r="G10821" t="s">
        <v>706</v>
      </c>
      <c r="H10821" t="s">
        <v>34934</v>
      </c>
      <c r="I10821" t="s">
        <v>34911</v>
      </c>
    </row>
    <row r="10822" spans="1:9">
      <c r="A10822" t="str">
        <f>"0212693 "</f>
        <v xml:space="preserve">0212693 </v>
      </c>
      <c r="B10822" t="s">
        <v>34872</v>
      </c>
      <c r="C10822" t="s">
        <v>34937</v>
      </c>
      <c r="D10822" t="s">
        <v>34938</v>
      </c>
      <c r="E10822">
        <v>1</v>
      </c>
      <c r="F10822" t="s">
        <v>34939</v>
      </c>
      <c r="G10822" t="s">
        <v>706</v>
      </c>
      <c r="H10822" t="s">
        <v>34937</v>
      </c>
      <c r="I10822" t="s">
        <v>34911</v>
      </c>
    </row>
    <row r="10823" spans="1:9">
      <c r="A10823" t="str">
        <f>"0212694 "</f>
        <v xml:space="preserve">0212694 </v>
      </c>
      <c r="B10823" t="s">
        <v>34872</v>
      </c>
      <c r="C10823" t="s">
        <v>34940</v>
      </c>
      <c r="D10823" t="s">
        <v>34941</v>
      </c>
      <c r="E10823">
        <v>1</v>
      </c>
      <c r="F10823" t="s">
        <v>34942</v>
      </c>
      <c r="G10823" t="s">
        <v>706</v>
      </c>
      <c r="H10823" t="s">
        <v>34940</v>
      </c>
      <c r="I10823" t="s">
        <v>34911</v>
      </c>
    </row>
    <row r="10824" spans="1:9">
      <c r="A10824" t="str">
        <f>"0212696 "</f>
        <v xml:space="preserve">0212696 </v>
      </c>
      <c r="B10824" t="s">
        <v>34872</v>
      </c>
      <c r="C10824" t="s">
        <v>34943</v>
      </c>
      <c r="D10824" t="s">
        <v>34944</v>
      </c>
      <c r="E10824">
        <v>2</v>
      </c>
      <c r="F10824" t="s">
        <v>34945</v>
      </c>
      <c r="G10824" t="s">
        <v>706</v>
      </c>
      <c r="H10824" t="s">
        <v>34943</v>
      </c>
      <c r="I10824" t="s">
        <v>34946</v>
      </c>
    </row>
    <row r="10825" spans="1:9">
      <c r="A10825" t="str">
        <f>"0212697 "</f>
        <v xml:space="preserve">0212697 </v>
      </c>
      <c r="B10825" t="s">
        <v>34872</v>
      </c>
      <c r="C10825" t="s">
        <v>34947</v>
      </c>
      <c r="D10825" t="s">
        <v>34948</v>
      </c>
      <c r="E10825">
        <v>2</v>
      </c>
      <c r="F10825" t="s">
        <v>1063</v>
      </c>
      <c r="G10825" t="s">
        <v>706</v>
      </c>
      <c r="H10825" t="s">
        <v>34947</v>
      </c>
      <c r="I10825" t="s">
        <v>34946</v>
      </c>
    </row>
    <row r="10826" spans="1:9">
      <c r="A10826" t="str">
        <f>"0212698 "</f>
        <v xml:space="preserve">0212698 </v>
      </c>
      <c r="B10826" t="s">
        <v>34872</v>
      </c>
      <c r="C10826" t="s">
        <v>34949</v>
      </c>
      <c r="D10826" t="s">
        <v>34950</v>
      </c>
      <c r="E10826">
        <v>2</v>
      </c>
      <c r="F10826" t="s">
        <v>1187</v>
      </c>
      <c r="G10826" t="s">
        <v>706</v>
      </c>
      <c r="H10826" t="s">
        <v>34949</v>
      </c>
      <c r="I10826" t="s">
        <v>34946</v>
      </c>
    </row>
    <row r="10827" spans="1:9">
      <c r="A10827" t="str">
        <f>"0212701 "</f>
        <v xml:space="preserve">0212701 </v>
      </c>
      <c r="B10827" t="s">
        <v>34872</v>
      </c>
      <c r="C10827" t="s">
        <v>34951</v>
      </c>
      <c r="D10827" t="s">
        <v>34952</v>
      </c>
      <c r="E10827">
        <v>2</v>
      </c>
      <c r="F10827" t="s">
        <v>34953</v>
      </c>
      <c r="G10827" t="s">
        <v>706</v>
      </c>
      <c r="H10827" t="s">
        <v>34951</v>
      </c>
      <c r="I10827" t="s">
        <v>34946</v>
      </c>
    </row>
    <row r="10828" spans="1:9">
      <c r="A10828" t="str">
        <f>"0212702 "</f>
        <v xml:space="preserve">0212702 </v>
      </c>
      <c r="B10828" t="s">
        <v>34872</v>
      </c>
      <c r="C10828" t="s">
        <v>34954</v>
      </c>
      <c r="D10828" t="s">
        <v>34955</v>
      </c>
      <c r="E10828" t="s">
        <v>16</v>
      </c>
      <c r="F10828" t="s">
        <v>34953</v>
      </c>
      <c r="G10828" t="s">
        <v>706</v>
      </c>
      <c r="H10828" t="s">
        <v>34954</v>
      </c>
      <c r="I10828" t="s">
        <v>34956</v>
      </c>
    </row>
    <row r="10829" spans="1:9">
      <c r="A10829" t="str">
        <f>"0212703 "</f>
        <v xml:space="preserve">0212703 </v>
      </c>
      <c r="B10829" t="s">
        <v>34872</v>
      </c>
      <c r="C10829" t="s">
        <v>34957</v>
      </c>
      <c r="D10829" t="s">
        <v>34958</v>
      </c>
      <c r="E10829">
        <v>2</v>
      </c>
      <c r="F10829" t="s">
        <v>313</v>
      </c>
      <c r="G10829" t="s">
        <v>706</v>
      </c>
      <c r="H10829" t="s">
        <v>34957</v>
      </c>
      <c r="I10829" t="s">
        <v>34946</v>
      </c>
    </row>
    <row r="10830" spans="1:9">
      <c r="A10830" t="str">
        <f>"0212704 "</f>
        <v xml:space="preserve">0212704 </v>
      </c>
      <c r="B10830" t="s">
        <v>34872</v>
      </c>
      <c r="C10830" t="s">
        <v>34959</v>
      </c>
      <c r="D10830" t="s">
        <v>34960</v>
      </c>
      <c r="E10830">
        <v>1</v>
      </c>
      <c r="F10830" t="s">
        <v>34961</v>
      </c>
      <c r="G10830" t="s">
        <v>706</v>
      </c>
      <c r="H10830" t="s">
        <v>34959</v>
      </c>
      <c r="I10830" t="s">
        <v>34946</v>
      </c>
    </row>
    <row r="10831" spans="1:9">
      <c r="A10831" t="str">
        <f>"0212705 "</f>
        <v xml:space="preserve">0212705 </v>
      </c>
      <c r="B10831" t="s">
        <v>34872</v>
      </c>
      <c r="C10831" t="s">
        <v>34962</v>
      </c>
      <c r="D10831" t="s">
        <v>34963</v>
      </c>
      <c r="E10831">
        <v>2</v>
      </c>
      <c r="F10831" t="s">
        <v>34964</v>
      </c>
      <c r="G10831" t="s">
        <v>706</v>
      </c>
      <c r="H10831" t="s">
        <v>34962</v>
      </c>
      <c r="I10831" t="s">
        <v>34946</v>
      </c>
    </row>
    <row r="10832" spans="1:9">
      <c r="A10832" t="str">
        <f>"0212706 "</f>
        <v xml:space="preserve">0212706 </v>
      </c>
      <c r="B10832" t="s">
        <v>34872</v>
      </c>
      <c r="C10832" t="s">
        <v>34965</v>
      </c>
      <c r="D10832" t="s">
        <v>34966</v>
      </c>
      <c r="E10832">
        <v>2</v>
      </c>
      <c r="F10832" t="s">
        <v>34967</v>
      </c>
      <c r="G10832" t="s">
        <v>706</v>
      </c>
      <c r="H10832" t="s">
        <v>34965</v>
      </c>
      <c r="I10832" t="s">
        <v>34946</v>
      </c>
    </row>
    <row r="10833" spans="1:9">
      <c r="A10833" t="str">
        <f>"0197868 "</f>
        <v xml:space="preserve">0197868 </v>
      </c>
      <c r="B10833" t="s">
        <v>34968</v>
      </c>
      <c r="C10833" t="s">
        <v>34969</v>
      </c>
      <c r="D10833" t="s">
        <v>34970</v>
      </c>
      <c r="E10833">
        <v>2</v>
      </c>
      <c r="F10833" t="s">
        <v>34971</v>
      </c>
      <c r="G10833" t="s">
        <v>34972</v>
      </c>
      <c r="H10833" t="s">
        <v>34969</v>
      </c>
      <c r="I10833" t="s">
        <v>34973</v>
      </c>
    </row>
    <row r="10834" spans="1:9">
      <c r="A10834" t="str">
        <f>"0197869 "</f>
        <v xml:space="preserve">0197869 </v>
      </c>
      <c r="B10834" t="s">
        <v>34968</v>
      </c>
      <c r="C10834" t="s">
        <v>34974</v>
      </c>
      <c r="D10834" t="s">
        <v>34975</v>
      </c>
      <c r="E10834">
        <v>2</v>
      </c>
      <c r="F10834" t="s">
        <v>34976</v>
      </c>
      <c r="G10834" t="s">
        <v>34972</v>
      </c>
      <c r="H10834" t="s">
        <v>34974</v>
      </c>
      <c r="I10834" t="s">
        <v>34977</v>
      </c>
    </row>
    <row r="10835" spans="1:9">
      <c r="A10835" t="str">
        <f>"0197870 "</f>
        <v xml:space="preserve">0197870 </v>
      </c>
      <c r="B10835" t="s">
        <v>34968</v>
      </c>
      <c r="C10835" t="s">
        <v>34978</v>
      </c>
      <c r="D10835" t="s">
        <v>34979</v>
      </c>
      <c r="E10835">
        <v>1</v>
      </c>
      <c r="F10835" t="s">
        <v>34980</v>
      </c>
      <c r="G10835" t="s">
        <v>34972</v>
      </c>
      <c r="H10835" t="s">
        <v>34978</v>
      </c>
      <c r="I10835" t="s">
        <v>34981</v>
      </c>
    </row>
    <row r="10836" spans="1:9">
      <c r="A10836" t="str">
        <f>"0197871 "</f>
        <v xml:space="preserve">0197871 </v>
      </c>
      <c r="B10836" t="s">
        <v>34968</v>
      </c>
      <c r="C10836" t="s">
        <v>34982</v>
      </c>
      <c r="D10836" t="s">
        <v>34983</v>
      </c>
      <c r="E10836">
        <v>2</v>
      </c>
      <c r="F10836" t="s">
        <v>34984</v>
      </c>
      <c r="G10836" t="s">
        <v>34972</v>
      </c>
      <c r="H10836" t="s">
        <v>34982</v>
      </c>
      <c r="I10836" t="s">
        <v>34985</v>
      </c>
    </row>
    <row r="10837" spans="1:9">
      <c r="A10837" t="str">
        <f>"0197872 "</f>
        <v xml:space="preserve">0197872 </v>
      </c>
      <c r="B10837" t="s">
        <v>34968</v>
      </c>
      <c r="C10837" t="s">
        <v>34986</v>
      </c>
      <c r="D10837" t="s">
        <v>34987</v>
      </c>
      <c r="E10837">
        <v>4</v>
      </c>
      <c r="F10837" t="s">
        <v>34988</v>
      </c>
      <c r="G10837" t="s">
        <v>34972</v>
      </c>
      <c r="H10837" t="s">
        <v>34986</v>
      </c>
      <c r="I10837" t="s">
        <v>34989</v>
      </c>
    </row>
    <row r="10838" spans="1:9">
      <c r="A10838" t="str">
        <f>"0197873 "</f>
        <v xml:space="preserve">0197873 </v>
      </c>
      <c r="B10838" t="s">
        <v>34968</v>
      </c>
      <c r="C10838" t="s">
        <v>34990</v>
      </c>
      <c r="D10838" t="s">
        <v>34991</v>
      </c>
      <c r="E10838">
        <v>3</v>
      </c>
      <c r="F10838" t="s">
        <v>34992</v>
      </c>
      <c r="G10838" t="s">
        <v>34972</v>
      </c>
      <c r="H10838" t="s">
        <v>34990</v>
      </c>
      <c r="I10838" t="s">
        <v>34993</v>
      </c>
    </row>
    <row r="10839" spans="1:9">
      <c r="A10839" t="str">
        <f>"0197874 "</f>
        <v xml:space="preserve">0197874 </v>
      </c>
      <c r="B10839" t="s">
        <v>34968</v>
      </c>
      <c r="C10839" t="s">
        <v>34994</v>
      </c>
      <c r="D10839" t="s">
        <v>34995</v>
      </c>
      <c r="E10839">
        <v>4</v>
      </c>
      <c r="F10839" t="s">
        <v>34996</v>
      </c>
      <c r="G10839" t="s">
        <v>34972</v>
      </c>
      <c r="H10839" t="s">
        <v>34994</v>
      </c>
      <c r="I10839" t="s">
        <v>34997</v>
      </c>
    </row>
    <row r="10840" spans="1:9">
      <c r="A10840" t="str">
        <f>"0197875 "</f>
        <v xml:space="preserve">0197875 </v>
      </c>
      <c r="B10840" t="s">
        <v>34968</v>
      </c>
      <c r="C10840" t="s">
        <v>34998</v>
      </c>
      <c r="D10840" t="s">
        <v>34999</v>
      </c>
      <c r="E10840" t="s">
        <v>16</v>
      </c>
      <c r="F10840" t="s">
        <v>35000</v>
      </c>
      <c r="G10840" t="s">
        <v>34972</v>
      </c>
      <c r="H10840" t="s">
        <v>34998</v>
      </c>
      <c r="I10840" t="s">
        <v>35001</v>
      </c>
    </row>
    <row r="10841" spans="1:9">
      <c r="A10841" t="str">
        <f>"0197876 "</f>
        <v xml:space="preserve">0197876 </v>
      </c>
      <c r="B10841" t="s">
        <v>34968</v>
      </c>
      <c r="C10841" t="s">
        <v>35002</v>
      </c>
      <c r="D10841" t="s">
        <v>35003</v>
      </c>
      <c r="E10841">
        <v>1</v>
      </c>
      <c r="F10841" t="s">
        <v>35004</v>
      </c>
      <c r="G10841" t="s">
        <v>34972</v>
      </c>
      <c r="H10841" t="s">
        <v>35002</v>
      </c>
      <c r="I10841" t="s">
        <v>35005</v>
      </c>
    </row>
    <row r="10842" spans="1:9">
      <c r="A10842" t="str">
        <f>"0161317 "</f>
        <v xml:space="preserve">0161317 </v>
      </c>
      <c r="B10842" t="s">
        <v>34968</v>
      </c>
      <c r="C10842" t="s">
        <v>35006</v>
      </c>
      <c r="D10842" t="s">
        <v>35007</v>
      </c>
      <c r="E10842">
        <v>1</v>
      </c>
      <c r="F10842" t="s">
        <v>32464</v>
      </c>
      <c r="G10842" t="s">
        <v>34972</v>
      </c>
      <c r="H10842" t="s">
        <v>35006</v>
      </c>
      <c r="I10842" t="s">
        <v>35008</v>
      </c>
    </row>
    <row r="10843" spans="1:9">
      <c r="A10843" t="str">
        <f>"0161318 "</f>
        <v xml:space="preserve">0161318 </v>
      </c>
      <c r="B10843" t="s">
        <v>34968</v>
      </c>
      <c r="C10843" t="s">
        <v>35009</v>
      </c>
      <c r="D10843" t="s">
        <v>35010</v>
      </c>
      <c r="E10843">
        <v>1</v>
      </c>
      <c r="F10843" t="s">
        <v>31153</v>
      </c>
      <c r="G10843" t="s">
        <v>34972</v>
      </c>
      <c r="H10843" t="s">
        <v>35009</v>
      </c>
      <c r="I10843" t="s">
        <v>35011</v>
      </c>
    </row>
    <row r="10844" spans="1:9">
      <c r="A10844" t="str">
        <f>"0161320 "</f>
        <v xml:space="preserve">0161320 </v>
      </c>
      <c r="B10844" t="s">
        <v>34968</v>
      </c>
      <c r="C10844" t="s">
        <v>35012</v>
      </c>
      <c r="D10844" t="s">
        <v>35013</v>
      </c>
      <c r="E10844">
        <v>1</v>
      </c>
      <c r="F10844" t="s">
        <v>35014</v>
      </c>
      <c r="G10844" t="s">
        <v>34972</v>
      </c>
      <c r="H10844" t="s">
        <v>35012</v>
      </c>
      <c r="I10844" t="s">
        <v>35015</v>
      </c>
    </row>
    <row r="10845" spans="1:9">
      <c r="A10845" t="str">
        <f>"0161322 "</f>
        <v xml:space="preserve">0161322 </v>
      </c>
      <c r="B10845" t="s">
        <v>34968</v>
      </c>
      <c r="C10845" t="s">
        <v>35016</v>
      </c>
      <c r="D10845" t="s">
        <v>35017</v>
      </c>
      <c r="E10845">
        <v>1</v>
      </c>
      <c r="F10845" t="s">
        <v>35018</v>
      </c>
      <c r="G10845" t="s">
        <v>34972</v>
      </c>
      <c r="H10845" t="s">
        <v>35016</v>
      </c>
      <c r="I10845" t="s">
        <v>35019</v>
      </c>
    </row>
    <row r="10846" spans="1:9">
      <c r="A10846" t="str">
        <f>"0161323 "</f>
        <v xml:space="preserve">0161323 </v>
      </c>
      <c r="B10846" t="s">
        <v>34968</v>
      </c>
      <c r="C10846" t="s">
        <v>35020</v>
      </c>
      <c r="D10846" t="s">
        <v>35021</v>
      </c>
      <c r="E10846">
        <v>1</v>
      </c>
      <c r="F10846" t="s">
        <v>35022</v>
      </c>
      <c r="G10846" t="s">
        <v>34972</v>
      </c>
      <c r="H10846" t="s">
        <v>35020</v>
      </c>
      <c r="I10846" t="s">
        <v>35023</v>
      </c>
    </row>
    <row r="10847" spans="1:9">
      <c r="A10847" t="str">
        <f>"0161324 "</f>
        <v xml:space="preserve">0161324 </v>
      </c>
      <c r="B10847" t="s">
        <v>34968</v>
      </c>
      <c r="C10847" t="s">
        <v>35024</v>
      </c>
      <c r="D10847" t="s">
        <v>35025</v>
      </c>
      <c r="E10847">
        <v>2</v>
      </c>
      <c r="F10847" t="s">
        <v>35026</v>
      </c>
      <c r="G10847" t="s">
        <v>34972</v>
      </c>
      <c r="H10847" t="s">
        <v>35024</v>
      </c>
      <c r="I10847" t="s">
        <v>35027</v>
      </c>
    </row>
    <row r="10848" spans="1:9">
      <c r="A10848" t="str">
        <f>"0161325 "</f>
        <v xml:space="preserve">0161325 </v>
      </c>
      <c r="B10848" t="s">
        <v>34968</v>
      </c>
      <c r="C10848" t="s">
        <v>35028</v>
      </c>
      <c r="D10848" t="s">
        <v>35029</v>
      </c>
      <c r="E10848">
        <v>2</v>
      </c>
      <c r="F10848" t="s">
        <v>35030</v>
      </c>
      <c r="G10848" t="s">
        <v>34972</v>
      </c>
      <c r="H10848" t="s">
        <v>35028</v>
      </c>
      <c r="I10848" t="s">
        <v>35031</v>
      </c>
    </row>
    <row r="10849" spans="1:9">
      <c r="A10849" t="str">
        <f>"0161326 "</f>
        <v xml:space="preserve">0161326 </v>
      </c>
      <c r="B10849" t="s">
        <v>34968</v>
      </c>
      <c r="C10849" t="s">
        <v>35032</v>
      </c>
      <c r="D10849" t="s">
        <v>35033</v>
      </c>
      <c r="E10849">
        <v>2</v>
      </c>
      <c r="F10849" t="s">
        <v>12399</v>
      </c>
      <c r="G10849" t="s">
        <v>34972</v>
      </c>
      <c r="H10849" t="s">
        <v>35032</v>
      </c>
      <c r="I10849" t="s">
        <v>35031</v>
      </c>
    </row>
    <row r="10850" spans="1:9">
      <c r="A10850" t="str">
        <f>"0161327 "</f>
        <v xml:space="preserve">0161327 </v>
      </c>
      <c r="B10850" t="s">
        <v>34968</v>
      </c>
      <c r="C10850" t="s">
        <v>35034</v>
      </c>
      <c r="D10850" t="s">
        <v>35035</v>
      </c>
      <c r="E10850">
        <v>2</v>
      </c>
      <c r="F10850" t="s">
        <v>35036</v>
      </c>
      <c r="G10850" t="s">
        <v>34972</v>
      </c>
      <c r="H10850" t="s">
        <v>35034</v>
      </c>
      <c r="I10850" t="s">
        <v>35037</v>
      </c>
    </row>
    <row r="10851" spans="1:9">
      <c r="A10851" t="str">
        <f>"0161328 "</f>
        <v xml:space="preserve">0161328 </v>
      </c>
      <c r="B10851" t="s">
        <v>34968</v>
      </c>
      <c r="C10851" t="s">
        <v>35038</v>
      </c>
      <c r="D10851" t="s">
        <v>35039</v>
      </c>
      <c r="E10851">
        <v>2</v>
      </c>
      <c r="F10851" t="s">
        <v>17382</v>
      </c>
      <c r="G10851" t="s">
        <v>34972</v>
      </c>
      <c r="H10851" t="s">
        <v>35038</v>
      </c>
      <c r="I10851" t="s">
        <v>35037</v>
      </c>
    </row>
    <row r="10852" spans="1:9">
      <c r="A10852" t="str">
        <f>"0161329 "</f>
        <v xml:space="preserve">0161329 </v>
      </c>
      <c r="B10852" t="s">
        <v>34968</v>
      </c>
      <c r="C10852" t="s">
        <v>35040</v>
      </c>
      <c r="D10852" t="s">
        <v>35041</v>
      </c>
      <c r="E10852">
        <v>2</v>
      </c>
      <c r="F10852" t="s">
        <v>35042</v>
      </c>
      <c r="G10852" t="s">
        <v>34972</v>
      </c>
      <c r="H10852" t="s">
        <v>35040</v>
      </c>
      <c r="I10852" t="s">
        <v>35043</v>
      </c>
    </row>
    <row r="10853" spans="1:9">
      <c r="A10853" t="str">
        <f>"0161330 "</f>
        <v xml:space="preserve">0161330 </v>
      </c>
      <c r="B10853" t="s">
        <v>34968</v>
      </c>
      <c r="C10853" t="s">
        <v>35044</v>
      </c>
      <c r="D10853" t="s">
        <v>35045</v>
      </c>
      <c r="E10853">
        <v>2</v>
      </c>
      <c r="F10853" t="s">
        <v>35046</v>
      </c>
      <c r="G10853" t="s">
        <v>34972</v>
      </c>
      <c r="H10853" t="s">
        <v>35044</v>
      </c>
      <c r="I10853" t="s">
        <v>35047</v>
      </c>
    </row>
    <row r="10854" spans="1:9">
      <c r="A10854" t="str">
        <f>"0161331 "</f>
        <v xml:space="preserve">0161331 </v>
      </c>
      <c r="B10854" t="s">
        <v>34968</v>
      </c>
      <c r="C10854" t="s">
        <v>35048</v>
      </c>
      <c r="D10854" t="s">
        <v>35049</v>
      </c>
      <c r="E10854">
        <v>2</v>
      </c>
      <c r="F10854" t="s">
        <v>7394</v>
      </c>
      <c r="G10854" t="s">
        <v>34972</v>
      </c>
      <c r="H10854" t="s">
        <v>35048</v>
      </c>
      <c r="I10854" t="s">
        <v>35047</v>
      </c>
    </row>
    <row r="10855" spans="1:9">
      <c r="A10855" t="str">
        <f>"0161335 "</f>
        <v xml:space="preserve">0161335 </v>
      </c>
      <c r="B10855" t="s">
        <v>34968</v>
      </c>
      <c r="C10855" t="s">
        <v>35050</v>
      </c>
      <c r="D10855" t="s">
        <v>35051</v>
      </c>
      <c r="E10855">
        <v>1</v>
      </c>
      <c r="F10855" t="s">
        <v>35052</v>
      </c>
      <c r="G10855" t="s">
        <v>34972</v>
      </c>
      <c r="H10855" t="s">
        <v>35050</v>
      </c>
      <c r="I10855" t="s">
        <v>35053</v>
      </c>
    </row>
    <row r="10856" spans="1:9">
      <c r="A10856" t="str">
        <f>"0161336 "</f>
        <v xml:space="preserve">0161336 </v>
      </c>
      <c r="B10856" t="s">
        <v>34968</v>
      </c>
      <c r="C10856" t="s">
        <v>35054</v>
      </c>
      <c r="D10856" t="s">
        <v>35055</v>
      </c>
      <c r="E10856">
        <v>1</v>
      </c>
      <c r="F10856" t="s">
        <v>35056</v>
      </c>
      <c r="G10856" t="s">
        <v>34972</v>
      </c>
      <c r="H10856" t="s">
        <v>35054</v>
      </c>
      <c r="I10856" t="s">
        <v>35057</v>
      </c>
    </row>
    <row r="10857" spans="1:9">
      <c r="A10857" t="str">
        <f>"0161341 "</f>
        <v xml:space="preserve">0161341 </v>
      </c>
      <c r="B10857" t="s">
        <v>34968</v>
      </c>
      <c r="C10857" t="s">
        <v>35058</v>
      </c>
      <c r="D10857" t="s">
        <v>35059</v>
      </c>
      <c r="E10857">
        <v>1</v>
      </c>
      <c r="F10857" t="s">
        <v>32431</v>
      </c>
      <c r="G10857" t="s">
        <v>34972</v>
      </c>
      <c r="H10857" t="s">
        <v>35058</v>
      </c>
      <c r="I10857" t="s">
        <v>35060</v>
      </c>
    </row>
    <row r="10858" spans="1:9">
      <c r="A10858" t="str">
        <f>"0161343 "</f>
        <v xml:space="preserve">0161343 </v>
      </c>
      <c r="B10858" t="s">
        <v>34968</v>
      </c>
      <c r="C10858" t="s">
        <v>35061</v>
      </c>
      <c r="D10858" t="s">
        <v>35062</v>
      </c>
      <c r="E10858">
        <v>2</v>
      </c>
      <c r="F10858" t="s">
        <v>21654</v>
      </c>
      <c r="G10858" t="s">
        <v>34972</v>
      </c>
      <c r="H10858" t="s">
        <v>35061</v>
      </c>
      <c r="I10858" t="s">
        <v>35063</v>
      </c>
    </row>
    <row r="10859" spans="1:9">
      <c r="A10859" t="str">
        <f>"0161347 "</f>
        <v xml:space="preserve">0161347 </v>
      </c>
      <c r="B10859" t="s">
        <v>34968</v>
      </c>
      <c r="C10859" t="s">
        <v>35064</v>
      </c>
      <c r="D10859" t="s">
        <v>35065</v>
      </c>
      <c r="E10859">
        <v>2</v>
      </c>
      <c r="F10859" t="s">
        <v>35066</v>
      </c>
      <c r="G10859" t="s">
        <v>34972</v>
      </c>
      <c r="H10859" t="s">
        <v>35064</v>
      </c>
      <c r="I10859" t="s">
        <v>35063</v>
      </c>
    </row>
    <row r="10860" spans="1:9">
      <c r="A10860" t="str">
        <f>"0161348 "</f>
        <v xml:space="preserve">0161348 </v>
      </c>
      <c r="B10860" t="s">
        <v>34968</v>
      </c>
      <c r="C10860" t="s">
        <v>35067</v>
      </c>
      <c r="D10860" t="s">
        <v>35068</v>
      </c>
      <c r="E10860">
        <v>2</v>
      </c>
      <c r="F10860" t="s">
        <v>35069</v>
      </c>
      <c r="G10860" t="s">
        <v>34972</v>
      </c>
      <c r="H10860" t="s">
        <v>35067</v>
      </c>
      <c r="I10860" t="s">
        <v>35063</v>
      </c>
    </row>
    <row r="10861" spans="1:9">
      <c r="A10861" t="str">
        <f>"0161349 "</f>
        <v xml:space="preserve">0161349 </v>
      </c>
      <c r="B10861" t="s">
        <v>34968</v>
      </c>
      <c r="C10861" t="s">
        <v>35070</v>
      </c>
      <c r="D10861" t="s">
        <v>35071</v>
      </c>
      <c r="E10861">
        <v>1</v>
      </c>
      <c r="F10861" t="s">
        <v>35072</v>
      </c>
      <c r="G10861" t="s">
        <v>34972</v>
      </c>
      <c r="H10861" t="s">
        <v>35070</v>
      </c>
      <c r="I10861" t="s">
        <v>35073</v>
      </c>
    </row>
    <row r="10862" spans="1:9">
      <c r="A10862" t="str">
        <f>"0161351 "</f>
        <v xml:space="preserve">0161351 </v>
      </c>
      <c r="B10862" t="s">
        <v>34968</v>
      </c>
      <c r="C10862" t="s">
        <v>35074</v>
      </c>
      <c r="D10862" t="s">
        <v>35075</v>
      </c>
      <c r="E10862">
        <v>2</v>
      </c>
      <c r="F10862" t="s">
        <v>35076</v>
      </c>
      <c r="G10862" t="s">
        <v>34972</v>
      </c>
      <c r="H10862" t="s">
        <v>35074</v>
      </c>
      <c r="I10862" t="s">
        <v>35077</v>
      </c>
    </row>
    <row r="10863" spans="1:9">
      <c r="A10863" t="str">
        <f>"0161352 "</f>
        <v xml:space="preserve">0161352 </v>
      </c>
      <c r="B10863" t="s">
        <v>34968</v>
      </c>
      <c r="C10863" t="s">
        <v>35078</v>
      </c>
      <c r="D10863" t="s">
        <v>35079</v>
      </c>
      <c r="E10863">
        <v>1</v>
      </c>
      <c r="F10863" t="s">
        <v>35080</v>
      </c>
      <c r="G10863" t="s">
        <v>34972</v>
      </c>
      <c r="H10863" t="s">
        <v>35078</v>
      </c>
      <c r="I10863" t="s">
        <v>35077</v>
      </c>
    </row>
    <row r="10864" spans="1:9">
      <c r="A10864" t="str">
        <f>"0161354 "</f>
        <v xml:space="preserve">0161354 </v>
      </c>
      <c r="B10864" t="s">
        <v>34968</v>
      </c>
      <c r="C10864" t="s">
        <v>35081</v>
      </c>
      <c r="D10864" t="s">
        <v>35082</v>
      </c>
      <c r="E10864">
        <v>2</v>
      </c>
      <c r="F10864" t="s">
        <v>35083</v>
      </c>
      <c r="G10864" t="s">
        <v>34972</v>
      </c>
      <c r="H10864" t="s">
        <v>35081</v>
      </c>
      <c r="I10864" t="s">
        <v>35084</v>
      </c>
    </row>
    <row r="10865" spans="1:9">
      <c r="A10865" t="str">
        <f>"0161355 "</f>
        <v xml:space="preserve">0161355 </v>
      </c>
      <c r="B10865" t="s">
        <v>34968</v>
      </c>
      <c r="C10865" t="s">
        <v>35085</v>
      </c>
      <c r="D10865" t="s">
        <v>35086</v>
      </c>
      <c r="E10865">
        <v>4</v>
      </c>
      <c r="F10865" t="s">
        <v>35083</v>
      </c>
      <c r="G10865" t="s">
        <v>34972</v>
      </c>
      <c r="H10865" t="s">
        <v>35085</v>
      </c>
      <c r="I10865" t="s">
        <v>35084</v>
      </c>
    </row>
    <row r="10866" spans="1:9">
      <c r="A10866" t="str">
        <f>"0161359 "</f>
        <v xml:space="preserve">0161359 </v>
      </c>
      <c r="B10866" t="s">
        <v>34968</v>
      </c>
      <c r="C10866" t="s">
        <v>35087</v>
      </c>
      <c r="D10866" t="s">
        <v>35088</v>
      </c>
      <c r="E10866">
        <v>1</v>
      </c>
      <c r="F10866" t="s">
        <v>23856</v>
      </c>
      <c r="G10866" t="s">
        <v>34972</v>
      </c>
      <c r="H10866" t="s">
        <v>35087</v>
      </c>
      <c r="I10866" t="s">
        <v>35089</v>
      </c>
    </row>
    <row r="10867" spans="1:9">
      <c r="A10867" t="str">
        <f>"0161392 "</f>
        <v xml:space="preserve">0161392 </v>
      </c>
      <c r="B10867" t="s">
        <v>34968</v>
      </c>
      <c r="C10867" t="s">
        <v>35090</v>
      </c>
      <c r="D10867" t="s">
        <v>35091</v>
      </c>
      <c r="E10867">
        <v>2</v>
      </c>
      <c r="F10867" t="s">
        <v>35092</v>
      </c>
      <c r="G10867" t="s">
        <v>34972</v>
      </c>
      <c r="H10867" t="s">
        <v>35090</v>
      </c>
      <c r="I10867" t="s">
        <v>35093</v>
      </c>
    </row>
    <row r="10868" spans="1:9">
      <c r="A10868" t="str">
        <f>"0161361 "</f>
        <v xml:space="preserve">0161361 </v>
      </c>
      <c r="B10868" t="s">
        <v>34968</v>
      </c>
      <c r="C10868" t="s">
        <v>35094</v>
      </c>
      <c r="D10868" t="s">
        <v>35095</v>
      </c>
      <c r="E10868">
        <v>1</v>
      </c>
      <c r="F10868" t="s">
        <v>35096</v>
      </c>
      <c r="G10868" t="s">
        <v>34972</v>
      </c>
      <c r="H10868" t="s">
        <v>35094</v>
      </c>
      <c r="I10868" t="s">
        <v>35093</v>
      </c>
    </row>
    <row r="10869" spans="1:9">
      <c r="A10869" t="str">
        <f>"0161363 "</f>
        <v xml:space="preserve">0161363 </v>
      </c>
      <c r="B10869" t="s">
        <v>34968</v>
      </c>
      <c r="C10869" t="s">
        <v>35097</v>
      </c>
      <c r="D10869" t="s">
        <v>35098</v>
      </c>
      <c r="E10869">
        <v>4</v>
      </c>
      <c r="F10869" t="s">
        <v>35099</v>
      </c>
      <c r="G10869" t="s">
        <v>34972</v>
      </c>
      <c r="H10869" t="s">
        <v>35097</v>
      </c>
      <c r="I10869" t="s">
        <v>35100</v>
      </c>
    </row>
    <row r="10870" spans="1:9">
      <c r="A10870" t="str">
        <f>"0161364 "</f>
        <v xml:space="preserve">0161364 </v>
      </c>
      <c r="B10870" t="s">
        <v>34968</v>
      </c>
      <c r="C10870" t="s">
        <v>35101</v>
      </c>
      <c r="D10870" t="s">
        <v>35102</v>
      </c>
      <c r="E10870">
        <v>4</v>
      </c>
      <c r="F10870" t="s">
        <v>35103</v>
      </c>
      <c r="G10870" t="s">
        <v>34972</v>
      </c>
      <c r="H10870" t="s">
        <v>35101</v>
      </c>
      <c r="I10870" t="s">
        <v>35104</v>
      </c>
    </row>
    <row r="10871" spans="1:9">
      <c r="A10871" t="str">
        <f>"0161365 "</f>
        <v xml:space="preserve">0161365 </v>
      </c>
      <c r="B10871" t="s">
        <v>34968</v>
      </c>
      <c r="C10871" t="s">
        <v>35105</v>
      </c>
      <c r="D10871" t="s">
        <v>35106</v>
      </c>
      <c r="E10871" t="s">
        <v>16</v>
      </c>
      <c r="F10871" t="s">
        <v>742</v>
      </c>
      <c r="G10871" t="s">
        <v>34972</v>
      </c>
      <c r="H10871" t="s">
        <v>35105</v>
      </c>
      <c r="I10871" t="s">
        <v>35011</v>
      </c>
    </row>
    <row r="10872" spans="1:9">
      <c r="A10872" t="str">
        <f>"0161366 "</f>
        <v xml:space="preserve">0161366 </v>
      </c>
      <c r="B10872" t="s">
        <v>34968</v>
      </c>
      <c r="C10872" t="s">
        <v>35107</v>
      </c>
      <c r="D10872" t="s">
        <v>35108</v>
      </c>
      <c r="E10872" t="s">
        <v>16</v>
      </c>
      <c r="F10872" t="s">
        <v>35109</v>
      </c>
      <c r="G10872" t="s">
        <v>34972</v>
      </c>
      <c r="H10872" t="s">
        <v>35107</v>
      </c>
      <c r="I10872" t="s">
        <v>35110</v>
      </c>
    </row>
    <row r="10873" spans="1:9">
      <c r="A10873" t="str">
        <f>"0161367 "</f>
        <v xml:space="preserve">0161367 </v>
      </c>
      <c r="B10873" t="s">
        <v>34968</v>
      </c>
      <c r="C10873" t="s">
        <v>35111</v>
      </c>
      <c r="D10873" t="s">
        <v>35112</v>
      </c>
      <c r="E10873" t="s">
        <v>16</v>
      </c>
      <c r="F10873" t="s">
        <v>35113</v>
      </c>
      <c r="G10873" t="s">
        <v>34972</v>
      </c>
      <c r="H10873" t="s">
        <v>35111</v>
      </c>
      <c r="I10873" t="s">
        <v>35015</v>
      </c>
    </row>
    <row r="10874" spans="1:9">
      <c r="A10874" t="str">
        <f>"0161369 "</f>
        <v xml:space="preserve">0161369 </v>
      </c>
      <c r="B10874" t="s">
        <v>34968</v>
      </c>
      <c r="C10874" t="s">
        <v>35114</v>
      </c>
      <c r="D10874" t="s">
        <v>35115</v>
      </c>
      <c r="E10874" t="s">
        <v>16</v>
      </c>
      <c r="F10874" t="s">
        <v>35116</v>
      </c>
      <c r="G10874" t="s">
        <v>34972</v>
      </c>
      <c r="H10874" t="s">
        <v>35114</v>
      </c>
      <c r="I10874" t="s">
        <v>35019</v>
      </c>
    </row>
    <row r="10875" spans="1:9">
      <c r="A10875" t="str">
        <f>"0161370 "</f>
        <v xml:space="preserve">0161370 </v>
      </c>
      <c r="B10875" t="s">
        <v>34968</v>
      </c>
      <c r="C10875" t="s">
        <v>35117</v>
      </c>
      <c r="D10875" t="s">
        <v>35118</v>
      </c>
      <c r="E10875" t="s">
        <v>16</v>
      </c>
      <c r="F10875" t="s">
        <v>35119</v>
      </c>
      <c r="G10875" t="s">
        <v>34972</v>
      </c>
      <c r="H10875" t="s">
        <v>35117</v>
      </c>
      <c r="I10875" t="s">
        <v>35023</v>
      </c>
    </row>
    <row r="10876" spans="1:9">
      <c r="A10876" t="str">
        <f>"0161371 "</f>
        <v xml:space="preserve">0161371 </v>
      </c>
      <c r="B10876" t="s">
        <v>34968</v>
      </c>
      <c r="C10876" t="s">
        <v>35120</v>
      </c>
      <c r="D10876" t="s">
        <v>35121</v>
      </c>
      <c r="E10876" t="s">
        <v>16</v>
      </c>
      <c r="F10876" t="s">
        <v>35122</v>
      </c>
      <c r="G10876" t="s">
        <v>34972</v>
      </c>
      <c r="H10876" t="s">
        <v>35120</v>
      </c>
      <c r="I10876" t="s">
        <v>35027</v>
      </c>
    </row>
    <row r="10877" spans="1:9">
      <c r="A10877" t="str">
        <f>"0161372 "</f>
        <v xml:space="preserve">0161372 </v>
      </c>
      <c r="B10877" t="s">
        <v>34968</v>
      </c>
      <c r="C10877" t="s">
        <v>35123</v>
      </c>
      <c r="D10877" t="s">
        <v>35124</v>
      </c>
      <c r="E10877" t="s">
        <v>16</v>
      </c>
      <c r="F10877" t="s">
        <v>24632</v>
      </c>
      <c r="G10877" t="s">
        <v>34972</v>
      </c>
      <c r="H10877" t="s">
        <v>35123</v>
      </c>
      <c r="I10877" t="s">
        <v>35031</v>
      </c>
    </row>
    <row r="10878" spans="1:9">
      <c r="A10878" t="str">
        <f>"0161373 "</f>
        <v xml:space="preserve">0161373 </v>
      </c>
      <c r="B10878" t="s">
        <v>34968</v>
      </c>
      <c r="C10878" t="s">
        <v>35125</v>
      </c>
      <c r="D10878" t="s">
        <v>35126</v>
      </c>
      <c r="E10878" t="s">
        <v>16</v>
      </c>
      <c r="F10878" t="s">
        <v>35127</v>
      </c>
      <c r="G10878" t="s">
        <v>34972</v>
      </c>
      <c r="H10878" t="s">
        <v>35125</v>
      </c>
      <c r="I10878" t="s">
        <v>35037</v>
      </c>
    </row>
    <row r="10879" spans="1:9">
      <c r="A10879" t="str">
        <f>"0161374 "</f>
        <v xml:space="preserve">0161374 </v>
      </c>
      <c r="B10879" t="s">
        <v>34968</v>
      </c>
      <c r="C10879" t="s">
        <v>35128</v>
      </c>
      <c r="D10879" t="s">
        <v>35129</v>
      </c>
      <c r="E10879">
        <v>2</v>
      </c>
      <c r="F10879" t="s">
        <v>35130</v>
      </c>
      <c r="G10879" t="s">
        <v>34972</v>
      </c>
      <c r="H10879" t="s">
        <v>35128</v>
      </c>
      <c r="I10879" t="s">
        <v>35043</v>
      </c>
    </row>
    <row r="10880" spans="1:9">
      <c r="A10880" t="str">
        <f>"0161375 "</f>
        <v xml:space="preserve">0161375 </v>
      </c>
      <c r="B10880" t="s">
        <v>34968</v>
      </c>
      <c r="C10880" t="s">
        <v>35131</v>
      </c>
      <c r="D10880" t="s">
        <v>35132</v>
      </c>
      <c r="E10880" t="s">
        <v>16</v>
      </c>
      <c r="F10880" t="s">
        <v>35133</v>
      </c>
      <c r="G10880" t="s">
        <v>34972</v>
      </c>
      <c r="H10880" t="s">
        <v>35131</v>
      </c>
      <c r="I10880" t="s">
        <v>35047</v>
      </c>
    </row>
    <row r="10881" spans="1:9">
      <c r="A10881" t="str">
        <f>"0161376 "</f>
        <v xml:space="preserve">0161376 </v>
      </c>
      <c r="B10881" t="s">
        <v>34968</v>
      </c>
      <c r="C10881" t="s">
        <v>35134</v>
      </c>
      <c r="D10881" t="s">
        <v>35135</v>
      </c>
      <c r="E10881" t="s">
        <v>16</v>
      </c>
      <c r="F10881" t="s">
        <v>35136</v>
      </c>
      <c r="G10881" t="s">
        <v>34972</v>
      </c>
      <c r="H10881" t="s">
        <v>35134</v>
      </c>
      <c r="I10881" t="s">
        <v>35053</v>
      </c>
    </row>
    <row r="10882" spans="1:9">
      <c r="A10882" t="str">
        <f>"0161396 "</f>
        <v xml:space="preserve">0161396 </v>
      </c>
      <c r="B10882" t="s">
        <v>34968</v>
      </c>
      <c r="C10882" t="s">
        <v>35137</v>
      </c>
      <c r="D10882" t="s">
        <v>35138</v>
      </c>
      <c r="E10882">
        <v>5</v>
      </c>
      <c r="F10882" t="s">
        <v>35139</v>
      </c>
      <c r="G10882" t="s">
        <v>34972</v>
      </c>
      <c r="H10882" t="s">
        <v>35137</v>
      </c>
      <c r="I10882" t="s">
        <v>35140</v>
      </c>
    </row>
    <row r="10883" spans="1:9">
      <c r="A10883" t="str">
        <f>"0161397 "</f>
        <v xml:space="preserve">0161397 </v>
      </c>
      <c r="B10883" t="s">
        <v>34968</v>
      </c>
      <c r="C10883" t="s">
        <v>35141</v>
      </c>
      <c r="D10883" t="s">
        <v>35142</v>
      </c>
      <c r="E10883">
        <v>2</v>
      </c>
      <c r="F10883" t="s">
        <v>10687</v>
      </c>
      <c r="G10883" t="s">
        <v>34972</v>
      </c>
      <c r="H10883" t="s">
        <v>35141</v>
      </c>
      <c r="I10883" t="s">
        <v>35143</v>
      </c>
    </row>
    <row r="10884" spans="1:9">
      <c r="A10884" t="str">
        <f>"0161398 "</f>
        <v xml:space="preserve">0161398 </v>
      </c>
      <c r="B10884" t="s">
        <v>34968</v>
      </c>
      <c r="C10884" t="s">
        <v>35144</v>
      </c>
      <c r="D10884" t="s">
        <v>35145</v>
      </c>
      <c r="E10884" t="s">
        <v>16</v>
      </c>
      <c r="F10884" t="s">
        <v>24853</v>
      </c>
      <c r="G10884" t="s">
        <v>34972</v>
      </c>
      <c r="H10884" t="s">
        <v>35144</v>
      </c>
      <c r="I10884" t="s">
        <v>35146</v>
      </c>
    </row>
    <row r="10885" spans="1:9">
      <c r="A10885" t="str">
        <f>"0161399 "</f>
        <v xml:space="preserve">0161399 </v>
      </c>
      <c r="B10885" t="s">
        <v>34968</v>
      </c>
      <c r="C10885" t="s">
        <v>35147</v>
      </c>
      <c r="D10885" t="s">
        <v>35148</v>
      </c>
      <c r="E10885" t="s">
        <v>16</v>
      </c>
      <c r="F10885" t="s">
        <v>35149</v>
      </c>
      <c r="G10885" t="s">
        <v>34972</v>
      </c>
      <c r="H10885" t="s">
        <v>35147</v>
      </c>
      <c r="I10885" t="s">
        <v>35150</v>
      </c>
    </row>
    <row r="10886" spans="1:9">
      <c r="A10886" t="str">
        <f>"0161400 "</f>
        <v xml:space="preserve">0161400 </v>
      </c>
      <c r="B10886" t="s">
        <v>34968</v>
      </c>
      <c r="C10886" t="s">
        <v>35151</v>
      </c>
      <c r="D10886" t="s">
        <v>35152</v>
      </c>
      <c r="E10886" t="s">
        <v>16</v>
      </c>
      <c r="F10886" t="s">
        <v>35153</v>
      </c>
      <c r="G10886" t="s">
        <v>34972</v>
      </c>
      <c r="H10886" t="s">
        <v>35151</v>
      </c>
      <c r="I10886" t="s">
        <v>35154</v>
      </c>
    </row>
    <row r="10887" spans="1:9">
      <c r="A10887" t="str">
        <f>"0161401 "</f>
        <v xml:space="preserve">0161401 </v>
      </c>
      <c r="B10887" t="s">
        <v>34968</v>
      </c>
      <c r="C10887" t="s">
        <v>35155</v>
      </c>
      <c r="D10887" t="s">
        <v>35156</v>
      </c>
      <c r="E10887" t="s">
        <v>16</v>
      </c>
      <c r="F10887" t="s">
        <v>523</v>
      </c>
      <c r="G10887" t="s">
        <v>34972</v>
      </c>
      <c r="H10887" t="s">
        <v>35155</v>
      </c>
      <c r="I10887" t="s">
        <v>35157</v>
      </c>
    </row>
    <row r="10888" spans="1:9">
      <c r="A10888" t="str">
        <f>"0161402 "</f>
        <v xml:space="preserve">0161402 </v>
      </c>
      <c r="B10888" t="s">
        <v>34968</v>
      </c>
      <c r="C10888" t="s">
        <v>35158</v>
      </c>
      <c r="D10888" t="s">
        <v>35159</v>
      </c>
      <c r="E10888" t="s">
        <v>16</v>
      </c>
      <c r="F10888" t="s">
        <v>35160</v>
      </c>
      <c r="G10888" t="s">
        <v>34972</v>
      </c>
      <c r="H10888" t="s">
        <v>35158</v>
      </c>
      <c r="I10888" t="s">
        <v>35161</v>
      </c>
    </row>
    <row r="10889" spans="1:9">
      <c r="A10889" t="str">
        <f>"0161404 "</f>
        <v xml:space="preserve">0161404 </v>
      </c>
      <c r="B10889" t="s">
        <v>34968</v>
      </c>
      <c r="C10889" t="s">
        <v>35162</v>
      </c>
      <c r="D10889" t="s">
        <v>35163</v>
      </c>
      <c r="E10889" t="s">
        <v>16</v>
      </c>
      <c r="F10889" t="s">
        <v>35164</v>
      </c>
      <c r="G10889" t="s">
        <v>34972</v>
      </c>
      <c r="H10889" t="s">
        <v>35162</v>
      </c>
      <c r="I10889" t="s">
        <v>35165</v>
      </c>
    </row>
    <row r="10890" spans="1:9">
      <c r="A10890" t="str">
        <f>"0161405 "</f>
        <v xml:space="preserve">0161405 </v>
      </c>
      <c r="B10890" t="s">
        <v>34968</v>
      </c>
      <c r="C10890" t="s">
        <v>35166</v>
      </c>
      <c r="D10890" t="s">
        <v>35167</v>
      </c>
      <c r="E10890">
        <v>3</v>
      </c>
      <c r="F10890" t="s">
        <v>35168</v>
      </c>
      <c r="G10890" t="s">
        <v>34972</v>
      </c>
      <c r="H10890" t="s">
        <v>35166</v>
      </c>
      <c r="I10890" t="s">
        <v>35169</v>
      </c>
    </row>
    <row r="10891" spans="1:9">
      <c r="A10891" t="str">
        <f>"0161381 "</f>
        <v xml:space="preserve">0161381 </v>
      </c>
      <c r="B10891" t="s">
        <v>34968</v>
      </c>
      <c r="C10891" t="s">
        <v>35170</v>
      </c>
      <c r="D10891" t="s">
        <v>35171</v>
      </c>
      <c r="E10891">
        <v>2</v>
      </c>
      <c r="F10891" t="s">
        <v>35172</v>
      </c>
      <c r="G10891" t="s">
        <v>34972</v>
      </c>
      <c r="H10891" t="s">
        <v>35170</v>
      </c>
      <c r="I10891" t="s">
        <v>35011</v>
      </c>
    </row>
    <row r="10892" spans="1:9">
      <c r="A10892" t="str">
        <f>"0161382 "</f>
        <v xml:space="preserve">0161382 </v>
      </c>
      <c r="B10892" t="s">
        <v>34968</v>
      </c>
      <c r="C10892" t="s">
        <v>35173</v>
      </c>
      <c r="D10892" t="s">
        <v>35174</v>
      </c>
      <c r="E10892">
        <v>2</v>
      </c>
      <c r="F10892" t="s">
        <v>35172</v>
      </c>
      <c r="G10892" t="s">
        <v>34972</v>
      </c>
      <c r="H10892" t="s">
        <v>35173</v>
      </c>
      <c r="I10892" t="s">
        <v>35015</v>
      </c>
    </row>
    <row r="10893" spans="1:9">
      <c r="A10893" t="str">
        <f>"0161384 "</f>
        <v xml:space="preserve">0161384 </v>
      </c>
      <c r="B10893" t="s">
        <v>34968</v>
      </c>
      <c r="C10893" t="s">
        <v>35175</v>
      </c>
      <c r="D10893" t="s">
        <v>35176</v>
      </c>
      <c r="E10893">
        <v>2</v>
      </c>
      <c r="F10893" t="s">
        <v>25024</v>
      </c>
      <c r="G10893" t="s">
        <v>34972</v>
      </c>
      <c r="H10893" t="s">
        <v>35175</v>
      </c>
      <c r="I10893" t="s">
        <v>35019</v>
      </c>
    </row>
    <row r="10894" spans="1:9">
      <c r="A10894" t="str">
        <f>"0161385 "</f>
        <v xml:space="preserve">0161385 </v>
      </c>
      <c r="B10894" t="s">
        <v>34968</v>
      </c>
      <c r="C10894" t="s">
        <v>35177</v>
      </c>
      <c r="D10894" t="s">
        <v>35178</v>
      </c>
      <c r="E10894">
        <v>2</v>
      </c>
      <c r="F10894" t="s">
        <v>24048</v>
      </c>
      <c r="G10894" t="s">
        <v>34972</v>
      </c>
      <c r="H10894" t="s">
        <v>35177</v>
      </c>
      <c r="I10894" t="s">
        <v>35023</v>
      </c>
    </row>
    <row r="10895" spans="1:9">
      <c r="A10895" t="str">
        <f>"0161386 "</f>
        <v xml:space="preserve">0161386 </v>
      </c>
      <c r="B10895" t="s">
        <v>34968</v>
      </c>
      <c r="C10895" t="s">
        <v>35179</v>
      </c>
      <c r="D10895" t="s">
        <v>35180</v>
      </c>
      <c r="E10895">
        <v>2</v>
      </c>
      <c r="F10895" t="s">
        <v>35181</v>
      </c>
      <c r="G10895" t="s">
        <v>34972</v>
      </c>
      <c r="H10895" t="s">
        <v>35179</v>
      </c>
      <c r="I10895" t="s">
        <v>35027</v>
      </c>
    </row>
    <row r="10896" spans="1:9">
      <c r="A10896" t="str">
        <f>"0161387 "</f>
        <v xml:space="preserve">0161387 </v>
      </c>
      <c r="B10896" t="s">
        <v>34968</v>
      </c>
      <c r="C10896" t="s">
        <v>35182</v>
      </c>
      <c r="D10896" t="s">
        <v>35183</v>
      </c>
      <c r="E10896">
        <v>1</v>
      </c>
      <c r="F10896" t="s">
        <v>35184</v>
      </c>
      <c r="G10896" t="s">
        <v>34972</v>
      </c>
      <c r="H10896" t="s">
        <v>35182</v>
      </c>
      <c r="I10896" t="s">
        <v>35031</v>
      </c>
    </row>
    <row r="10897" spans="1:9">
      <c r="A10897" t="str">
        <f>"0161388 "</f>
        <v xml:space="preserve">0161388 </v>
      </c>
      <c r="B10897" t="s">
        <v>34968</v>
      </c>
      <c r="C10897" t="s">
        <v>35185</v>
      </c>
      <c r="D10897" t="s">
        <v>35186</v>
      </c>
      <c r="E10897">
        <v>1</v>
      </c>
      <c r="F10897" t="s">
        <v>35187</v>
      </c>
      <c r="G10897" t="s">
        <v>34972</v>
      </c>
      <c r="H10897" t="s">
        <v>35185</v>
      </c>
      <c r="I10897" t="s">
        <v>35037</v>
      </c>
    </row>
    <row r="10898" spans="1:9">
      <c r="A10898" t="str">
        <f>"0161269 "</f>
        <v xml:space="preserve">0161269 </v>
      </c>
      <c r="B10898" t="s">
        <v>34968</v>
      </c>
      <c r="C10898" t="s">
        <v>35188</v>
      </c>
      <c r="D10898" t="s">
        <v>35189</v>
      </c>
      <c r="E10898">
        <v>2</v>
      </c>
      <c r="F10898" t="s">
        <v>35190</v>
      </c>
      <c r="G10898" t="s">
        <v>34972</v>
      </c>
      <c r="H10898" t="s">
        <v>35188</v>
      </c>
      <c r="I10898" t="s">
        <v>35191</v>
      </c>
    </row>
    <row r="10899" spans="1:9">
      <c r="A10899" t="str">
        <f>"0161271 "</f>
        <v xml:space="preserve">0161271 </v>
      </c>
      <c r="B10899" t="s">
        <v>34968</v>
      </c>
      <c r="C10899" t="s">
        <v>35192</v>
      </c>
      <c r="D10899" t="s">
        <v>35193</v>
      </c>
      <c r="E10899">
        <v>2</v>
      </c>
      <c r="F10899" t="s">
        <v>34992</v>
      </c>
      <c r="G10899" t="s">
        <v>34972</v>
      </c>
      <c r="H10899" t="s">
        <v>35192</v>
      </c>
      <c r="I10899" t="s">
        <v>35194</v>
      </c>
    </row>
    <row r="10900" spans="1:9">
      <c r="A10900" t="str">
        <f>"0161275 "</f>
        <v xml:space="preserve">0161275 </v>
      </c>
      <c r="B10900" t="s">
        <v>34968</v>
      </c>
      <c r="C10900" t="s">
        <v>35195</v>
      </c>
      <c r="D10900" t="s">
        <v>35196</v>
      </c>
      <c r="E10900">
        <v>1</v>
      </c>
      <c r="F10900" t="s">
        <v>35197</v>
      </c>
      <c r="G10900" t="s">
        <v>34972</v>
      </c>
      <c r="H10900" t="s">
        <v>35195</v>
      </c>
      <c r="I10900" t="s">
        <v>35198</v>
      </c>
    </row>
    <row r="10901" spans="1:9">
      <c r="A10901" t="str">
        <f>"0161278 "</f>
        <v xml:space="preserve">0161278 </v>
      </c>
      <c r="B10901" t="s">
        <v>34968</v>
      </c>
      <c r="C10901" t="s">
        <v>35199</v>
      </c>
      <c r="D10901" t="s">
        <v>35200</v>
      </c>
      <c r="E10901">
        <v>1</v>
      </c>
      <c r="F10901" t="s">
        <v>6435</v>
      </c>
      <c r="G10901" t="s">
        <v>34972</v>
      </c>
      <c r="H10901" t="s">
        <v>35199</v>
      </c>
      <c r="I10901" t="s">
        <v>35201</v>
      </c>
    </row>
    <row r="10902" spans="1:9">
      <c r="A10902" t="str">
        <f>"0197943 "</f>
        <v xml:space="preserve">0197943 </v>
      </c>
      <c r="B10902" t="s">
        <v>34968</v>
      </c>
      <c r="C10902" t="s">
        <v>35202</v>
      </c>
      <c r="D10902" t="s">
        <v>35203</v>
      </c>
      <c r="E10902">
        <v>1</v>
      </c>
      <c r="F10902" t="s">
        <v>35204</v>
      </c>
      <c r="G10902" t="s">
        <v>34972</v>
      </c>
      <c r="H10902" t="s">
        <v>35202</v>
      </c>
      <c r="I10902" t="s">
        <v>35205</v>
      </c>
    </row>
    <row r="10903" spans="1:9">
      <c r="A10903" t="str">
        <f>"0161279 "</f>
        <v xml:space="preserve">0161279 </v>
      </c>
      <c r="B10903" t="s">
        <v>34968</v>
      </c>
      <c r="C10903" t="s">
        <v>35206</v>
      </c>
      <c r="D10903" t="s">
        <v>35207</v>
      </c>
      <c r="E10903">
        <v>2</v>
      </c>
      <c r="F10903" t="s">
        <v>35204</v>
      </c>
      <c r="G10903" t="s">
        <v>34972</v>
      </c>
      <c r="H10903" t="s">
        <v>35206</v>
      </c>
      <c r="I10903" t="s">
        <v>35208</v>
      </c>
    </row>
    <row r="10904" spans="1:9">
      <c r="A10904" t="str">
        <f>"0161282 "</f>
        <v xml:space="preserve">0161282 </v>
      </c>
      <c r="B10904" t="s">
        <v>34968</v>
      </c>
      <c r="C10904" t="s">
        <v>35209</v>
      </c>
      <c r="D10904" t="s">
        <v>35210</v>
      </c>
      <c r="E10904">
        <v>2</v>
      </c>
      <c r="F10904" t="s">
        <v>27524</v>
      </c>
      <c r="G10904" t="s">
        <v>34972</v>
      </c>
      <c r="H10904" t="s">
        <v>35209</v>
      </c>
      <c r="I10904" t="s">
        <v>35211</v>
      </c>
    </row>
    <row r="10905" spans="1:9">
      <c r="A10905" t="str">
        <f>"0161283 "</f>
        <v xml:space="preserve">0161283 </v>
      </c>
      <c r="B10905" t="s">
        <v>34968</v>
      </c>
      <c r="C10905" t="s">
        <v>35212</v>
      </c>
      <c r="D10905" t="s">
        <v>35213</v>
      </c>
      <c r="E10905">
        <v>1</v>
      </c>
      <c r="F10905" t="s">
        <v>35214</v>
      </c>
      <c r="G10905" t="s">
        <v>34972</v>
      </c>
      <c r="H10905" t="s">
        <v>35212</v>
      </c>
      <c r="I10905" t="s">
        <v>35215</v>
      </c>
    </row>
    <row r="10906" spans="1:9">
      <c r="A10906" t="str">
        <f>"0161286 "</f>
        <v xml:space="preserve">0161286 </v>
      </c>
      <c r="B10906" t="s">
        <v>34968</v>
      </c>
      <c r="C10906" t="s">
        <v>35216</v>
      </c>
      <c r="D10906" t="s">
        <v>35217</v>
      </c>
      <c r="E10906">
        <v>2</v>
      </c>
      <c r="F10906" t="s">
        <v>35218</v>
      </c>
      <c r="G10906" t="s">
        <v>34972</v>
      </c>
      <c r="H10906" t="s">
        <v>35216</v>
      </c>
      <c r="I10906" t="s">
        <v>35219</v>
      </c>
    </row>
    <row r="10907" spans="1:9">
      <c r="A10907" t="str">
        <f>"0161289 "</f>
        <v xml:space="preserve">0161289 </v>
      </c>
      <c r="B10907" t="s">
        <v>34968</v>
      </c>
      <c r="C10907" t="s">
        <v>35220</v>
      </c>
      <c r="D10907" t="s">
        <v>35221</v>
      </c>
      <c r="E10907">
        <v>2</v>
      </c>
      <c r="F10907" t="s">
        <v>35222</v>
      </c>
      <c r="G10907" t="s">
        <v>34972</v>
      </c>
      <c r="H10907" t="s">
        <v>35220</v>
      </c>
      <c r="I10907" t="s">
        <v>35223</v>
      </c>
    </row>
    <row r="10908" spans="1:9">
      <c r="A10908" t="str">
        <f>"0161293 "</f>
        <v xml:space="preserve">0161293 </v>
      </c>
      <c r="B10908" t="s">
        <v>34968</v>
      </c>
      <c r="C10908" t="s">
        <v>35224</v>
      </c>
      <c r="D10908" t="s">
        <v>35225</v>
      </c>
      <c r="E10908">
        <v>2</v>
      </c>
      <c r="F10908" t="s">
        <v>35226</v>
      </c>
      <c r="G10908" t="s">
        <v>34972</v>
      </c>
      <c r="H10908" t="s">
        <v>35224</v>
      </c>
      <c r="I10908" t="s">
        <v>35227</v>
      </c>
    </row>
    <row r="10909" spans="1:9">
      <c r="A10909" t="str">
        <f>"0161294 "</f>
        <v xml:space="preserve">0161294 </v>
      </c>
      <c r="B10909" t="s">
        <v>34968</v>
      </c>
      <c r="C10909" t="s">
        <v>35228</v>
      </c>
      <c r="D10909" t="s">
        <v>35229</v>
      </c>
      <c r="E10909">
        <v>1</v>
      </c>
      <c r="F10909" t="s">
        <v>35226</v>
      </c>
      <c r="G10909" t="s">
        <v>34972</v>
      </c>
      <c r="H10909" t="s">
        <v>35228</v>
      </c>
      <c r="I10909" t="s">
        <v>35230</v>
      </c>
    </row>
    <row r="10910" spans="1:9">
      <c r="A10910" t="str">
        <f>"0161296 "</f>
        <v xml:space="preserve">0161296 </v>
      </c>
      <c r="B10910" t="s">
        <v>34968</v>
      </c>
      <c r="C10910" t="s">
        <v>35231</v>
      </c>
      <c r="D10910" t="s">
        <v>35232</v>
      </c>
      <c r="E10910">
        <v>2</v>
      </c>
      <c r="F10910" t="s">
        <v>35233</v>
      </c>
      <c r="G10910" t="s">
        <v>34972</v>
      </c>
      <c r="H10910" t="s">
        <v>35231</v>
      </c>
      <c r="I10910" t="s">
        <v>35234</v>
      </c>
    </row>
    <row r="10911" spans="1:9">
      <c r="A10911" t="str">
        <f>"0161297 "</f>
        <v xml:space="preserve">0161297 </v>
      </c>
      <c r="B10911" t="s">
        <v>34968</v>
      </c>
      <c r="C10911" t="s">
        <v>35235</v>
      </c>
      <c r="D10911" t="s">
        <v>35236</v>
      </c>
      <c r="E10911">
        <v>2</v>
      </c>
      <c r="F10911" t="s">
        <v>35237</v>
      </c>
      <c r="G10911" t="s">
        <v>34972</v>
      </c>
      <c r="H10911" t="s">
        <v>35235</v>
      </c>
      <c r="I10911" t="s">
        <v>35238</v>
      </c>
    </row>
    <row r="10912" spans="1:9">
      <c r="A10912" t="str">
        <f>"0161302 "</f>
        <v xml:space="preserve">0161302 </v>
      </c>
      <c r="B10912" t="s">
        <v>34968</v>
      </c>
      <c r="C10912" t="s">
        <v>35239</v>
      </c>
      <c r="D10912" t="s">
        <v>35240</v>
      </c>
      <c r="E10912">
        <v>1</v>
      </c>
      <c r="F10912" t="s">
        <v>35241</v>
      </c>
      <c r="G10912" t="s">
        <v>34972</v>
      </c>
      <c r="H10912" t="s">
        <v>35239</v>
      </c>
      <c r="I10912" t="s">
        <v>35242</v>
      </c>
    </row>
    <row r="10913" spans="1:9">
      <c r="A10913" t="str">
        <f>"0161298 "</f>
        <v xml:space="preserve">0161298 </v>
      </c>
      <c r="B10913" t="s">
        <v>34968</v>
      </c>
      <c r="C10913" t="s">
        <v>35243</v>
      </c>
      <c r="D10913" t="s">
        <v>35244</v>
      </c>
      <c r="E10913">
        <v>1</v>
      </c>
      <c r="F10913" t="s">
        <v>35241</v>
      </c>
      <c r="G10913" t="s">
        <v>34972</v>
      </c>
      <c r="H10913" t="s">
        <v>35243</v>
      </c>
      <c r="I10913" t="s">
        <v>35245</v>
      </c>
    </row>
    <row r="10914" spans="1:9">
      <c r="A10914" t="str">
        <f>"0161304 "</f>
        <v xml:space="preserve">0161304 </v>
      </c>
      <c r="B10914" t="s">
        <v>34968</v>
      </c>
      <c r="C10914" t="s">
        <v>35246</v>
      </c>
      <c r="D10914" t="s">
        <v>35247</v>
      </c>
      <c r="E10914">
        <v>2</v>
      </c>
      <c r="F10914" t="s">
        <v>35248</v>
      </c>
      <c r="G10914" t="s">
        <v>34972</v>
      </c>
      <c r="H10914" t="s">
        <v>35246</v>
      </c>
      <c r="I10914" t="s">
        <v>35249</v>
      </c>
    </row>
    <row r="10915" spans="1:9">
      <c r="A10915" t="str">
        <f>"0161305 "</f>
        <v xml:space="preserve">0161305 </v>
      </c>
      <c r="B10915" t="s">
        <v>34968</v>
      </c>
      <c r="C10915" t="s">
        <v>35250</v>
      </c>
      <c r="D10915" t="s">
        <v>35251</v>
      </c>
      <c r="E10915">
        <v>1</v>
      </c>
      <c r="F10915" t="s">
        <v>35252</v>
      </c>
      <c r="G10915" t="s">
        <v>34972</v>
      </c>
      <c r="H10915" t="s">
        <v>35250</v>
      </c>
      <c r="I10915" t="s">
        <v>35253</v>
      </c>
    </row>
    <row r="10916" spans="1:9">
      <c r="A10916" t="str">
        <f>"0161314 "</f>
        <v xml:space="preserve">0161314 </v>
      </c>
      <c r="B10916" t="s">
        <v>34968</v>
      </c>
      <c r="C10916" t="s">
        <v>35254</v>
      </c>
      <c r="D10916" t="s">
        <v>35255</v>
      </c>
      <c r="E10916">
        <v>1</v>
      </c>
      <c r="F10916" t="s">
        <v>35256</v>
      </c>
      <c r="G10916" t="s">
        <v>34972</v>
      </c>
      <c r="H10916" t="s">
        <v>35254</v>
      </c>
      <c r="I10916" t="s">
        <v>35257</v>
      </c>
    </row>
    <row r="10917" spans="1:9">
      <c r="A10917" t="str">
        <f>"0161378 "</f>
        <v xml:space="preserve">0161378 </v>
      </c>
      <c r="B10917" t="s">
        <v>34968</v>
      </c>
      <c r="C10917" t="s">
        <v>35258</v>
      </c>
      <c r="D10917" t="s">
        <v>35259</v>
      </c>
      <c r="E10917" t="s">
        <v>16</v>
      </c>
      <c r="F10917" t="s">
        <v>35260</v>
      </c>
      <c r="G10917" t="s">
        <v>34972</v>
      </c>
      <c r="H10917" t="s">
        <v>35258</v>
      </c>
      <c r="I10917" t="s">
        <v>35261</v>
      </c>
    </row>
    <row r="10918" spans="1:9">
      <c r="A10918" t="str">
        <f>"0161379 "</f>
        <v xml:space="preserve">0161379 </v>
      </c>
      <c r="B10918" t="s">
        <v>34968</v>
      </c>
      <c r="C10918" t="s">
        <v>35262</v>
      </c>
      <c r="D10918" t="s">
        <v>35263</v>
      </c>
      <c r="E10918" t="s">
        <v>16</v>
      </c>
      <c r="F10918" t="s">
        <v>35264</v>
      </c>
      <c r="G10918" t="s">
        <v>34972</v>
      </c>
      <c r="H10918" t="s">
        <v>35262</v>
      </c>
      <c r="I10918" t="s">
        <v>35265</v>
      </c>
    </row>
    <row r="10919" spans="1:9">
      <c r="A10919" t="str">
        <f>"0161380 "</f>
        <v xml:space="preserve">0161380 </v>
      </c>
      <c r="B10919" t="s">
        <v>34968</v>
      </c>
      <c r="C10919" t="s">
        <v>35266</v>
      </c>
      <c r="D10919" t="s">
        <v>35267</v>
      </c>
      <c r="E10919" t="s">
        <v>16</v>
      </c>
      <c r="F10919" t="s">
        <v>35268</v>
      </c>
      <c r="G10919" t="s">
        <v>34972</v>
      </c>
      <c r="H10919" t="s">
        <v>35266</v>
      </c>
      <c r="I10919" t="s">
        <v>35269</v>
      </c>
    </row>
    <row r="10920" spans="1:9">
      <c r="A10920" t="str">
        <f>"0232767 "</f>
        <v xml:space="preserve">0232767 </v>
      </c>
      <c r="B10920" t="s">
        <v>35270</v>
      </c>
      <c r="C10920">
        <v>81330</v>
      </c>
      <c r="D10920" t="s">
        <v>35271</v>
      </c>
      <c r="E10920" t="s">
        <v>16</v>
      </c>
      <c r="F10920" t="s">
        <v>35272</v>
      </c>
      <c r="G10920" t="s">
        <v>34797</v>
      </c>
      <c r="H10920">
        <v>81330</v>
      </c>
    </row>
    <row r="10921" spans="1:9">
      <c r="A10921" t="str">
        <f>"0232769 "</f>
        <v xml:space="preserve">0232769 </v>
      </c>
      <c r="B10921" t="s">
        <v>35270</v>
      </c>
      <c r="C10921">
        <v>81380</v>
      </c>
      <c r="D10921" t="s">
        <v>35273</v>
      </c>
      <c r="E10921" t="s">
        <v>16</v>
      </c>
      <c r="F10921" t="s">
        <v>35274</v>
      </c>
      <c r="G10921" t="s">
        <v>34797</v>
      </c>
      <c r="H10921">
        <v>81380</v>
      </c>
    </row>
    <row r="10922" spans="1:9">
      <c r="A10922" t="str">
        <f>"0232770 "</f>
        <v xml:space="preserve">0232770 </v>
      </c>
      <c r="B10922" t="s">
        <v>35270</v>
      </c>
      <c r="C10922">
        <v>81400</v>
      </c>
      <c r="D10922" t="s">
        <v>35275</v>
      </c>
      <c r="E10922" t="s">
        <v>16</v>
      </c>
      <c r="F10922" t="s">
        <v>19868</v>
      </c>
      <c r="G10922" t="s">
        <v>34797</v>
      </c>
      <c r="H10922">
        <v>81400</v>
      </c>
    </row>
    <row r="10923" spans="1:9">
      <c r="A10923" t="str">
        <f>"0232771 "</f>
        <v xml:space="preserve">0232771 </v>
      </c>
      <c r="B10923" t="s">
        <v>35270</v>
      </c>
      <c r="C10923">
        <v>81430</v>
      </c>
      <c r="D10923" t="s">
        <v>35276</v>
      </c>
      <c r="E10923" t="s">
        <v>16</v>
      </c>
      <c r="F10923" t="s">
        <v>33987</v>
      </c>
      <c r="G10923" t="s">
        <v>34797</v>
      </c>
      <c r="H10923">
        <v>81430</v>
      </c>
    </row>
    <row r="10924" spans="1:9">
      <c r="A10924" t="str">
        <f>"0232772 "</f>
        <v xml:space="preserve">0232772 </v>
      </c>
      <c r="B10924" t="s">
        <v>35270</v>
      </c>
      <c r="C10924">
        <v>81450</v>
      </c>
      <c r="D10924" t="s">
        <v>35277</v>
      </c>
      <c r="E10924" t="s">
        <v>16</v>
      </c>
      <c r="F10924" t="s">
        <v>35278</v>
      </c>
      <c r="G10924" t="s">
        <v>34797</v>
      </c>
      <c r="H10924">
        <v>81450</v>
      </c>
    </row>
    <row r="10925" spans="1:9">
      <c r="A10925" t="str">
        <f>"0232774 "</f>
        <v xml:space="preserve">0232774 </v>
      </c>
      <c r="B10925" t="s">
        <v>35270</v>
      </c>
      <c r="C10925">
        <v>81480</v>
      </c>
      <c r="D10925" t="s">
        <v>35279</v>
      </c>
      <c r="E10925" t="s">
        <v>16</v>
      </c>
      <c r="F10925" t="s">
        <v>35278</v>
      </c>
      <c r="G10925" t="s">
        <v>34797</v>
      </c>
      <c r="H10925">
        <v>81480</v>
      </c>
    </row>
    <row r="10926" spans="1:9">
      <c r="A10926" t="str">
        <f>"0232775 "</f>
        <v xml:space="preserve">0232775 </v>
      </c>
      <c r="B10926" t="s">
        <v>35270</v>
      </c>
      <c r="C10926">
        <v>81500</v>
      </c>
      <c r="D10926" t="s">
        <v>35280</v>
      </c>
      <c r="E10926" t="s">
        <v>16</v>
      </c>
      <c r="F10926" t="s">
        <v>35278</v>
      </c>
      <c r="G10926" t="s">
        <v>34797</v>
      </c>
      <c r="H10926">
        <v>81500</v>
      </c>
    </row>
    <row r="10927" spans="1:9">
      <c r="A10927" t="str">
        <f>"0232773 "</f>
        <v xml:space="preserve">0232773 </v>
      </c>
      <c r="B10927" t="s">
        <v>35270</v>
      </c>
      <c r="C10927">
        <v>81530</v>
      </c>
      <c r="D10927" t="s">
        <v>35281</v>
      </c>
      <c r="E10927" t="s">
        <v>16</v>
      </c>
      <c r="F10927" t="s">
        <v>35282</v>
      </c>
      <c r="G10927" t="s">
        <v>34797</v>
      </c>
      <c r="H10927">
        <v>81530</v>
      </c>
    </row>
    <row r="10928" spans="1:9">
      <c r="A10928" t="str">
        <f>"0232776 "</f>
        <v xml:space="preserve">0232776 </v>
      </c>
      <c r="B10928" t="s">
        <v>35270</v>
      </c>
      <c r="C10928">
        <v>81550</v>
      </c>
      <c r="D10928" t="s">
        <v>35283</v>
      </c>
      <c r="E10928" t="s">
        <v>16</v>
      </c>
      <c r="F10928" t="s">
        <v>35282</v>
      </c>
      <c r="G10928" t="s">
        <v>34797</v>
      </c>
      <c r="H10928">
        <v>81550</v>
      </c>
    </row>
    <row r="10929" spans="1:8">
      <c r="A10929" t="str">
        <f>"0232777 "</f>
        <v xml:space="preserve">0232777 </v>
      </c>
      <c r="B10929" t="s">
        <v>35270</v>
      </c>
      <c r="C10929">
        <v>81580</v>
      </c>
      <c r="D10929" t="s">
        <v>35284</v>
      </c>
      <c r="E10929" t="s">
        <v>16</v>
      </c>
      <c r="F10929" t="s">
        <v>35282</v>
      </c>
      <c r="G10929" t="s">
        <v>34797</v>
      </c>
      <c r="H10929">
        <v>81580</v>
      </c>
    </row>
    <row r="10930" spans="1:8">
      <c r="A10930" t="str">
        <f>"0232665 "</f>
        <v xml:space="preserve">0232665 </v>
      </c>
      <c r="B10930" t="s">
        <v>35270</v>
      </c>
      <c r="C10930" t="s">
        <v>35285</v>
      </c>
      <c r="D10930" t="s">
        <v>35286</v>
      </c>
      <c r="E10930" t="s">
        <v>16</v>
      </c>
      <c r="F10930" t="s">
        <v>35287</v>
      </c>
      <c r="G10930" t="s">
        <v>34797</v>
      </c>
      <c r="H10930" t="s">
        <v>35285</v>
      </c>
    </row>
    <row r="10931" spans="1:8">
      <c r="A10931" t="str">
        <f>"0231605 "</f>
        <v xml:space="preserve">0231605 </v>
      </c>
      <c r="B10931" t="s">
        <v>35270</v>
      </c>
      <c r="C10931" t="s">
        <v>35288</v>
      </c>
      <c r="D10931" t="s">
        <v>35289</v>
      </c>
      <c r="E10931" t="s">
        <v>16</v>
      </c>
      <c r="F10931" t="s">
        <v>35290</v>
      </c>
      <c r="G10931" t="s">
        <v>34797</v>
      </c>
      <c r="H10931" t="s">
        <v>35288</v>
      </c>
    </row>
    <row r="10932" spans="1:8">
      <c r="A10932" t="str">
        <f>"0232778 "</f>
        <v xml:space="preserve">0232778 </v>
      </c>
      <c r="B10932" t="s">
        <v>35270</v>
      </c>
      <c r="C10932">
        <v>81700</v>
      </c>
      <c r="D10932" t="s">
        <v>35291</v>
      </c>
      <c r="E10932" t="s">
        <v>16</v>
      </c>
      <c r="F10932" t="s">
        <v>35290</v>
      </c>
      <c r="G10932" t="s">
        <v>34797</v>
      </c>
      <c r="H10932">
        <v>81700</v>
      </c>
    </row>
    <row r="10933" spans="1:8">
      <c r="A10933" t="str">
        <f>"0231236 "</f>
        <v xml:space="preserve">0231236 </v>
      </c>
      <c r="B10933" t="s">
        <v>35270</v>
      </c>
      <c r="C10933">
        <v>82330</v>
      </c>
      <c r="D10933" t="s">
        <v>35292</v>
      </c>
      <c r="E10933" t="s">
        <v>16</v>
      </c>
      <c r="F10933" t="s">
        <v>35293</v>
      </c>
      <c r="G10933" t="s">
        <v>34797</v>
      </c>
      <c r="H10933">
        <v>82330</v>
      </c>
    </row>
    <row r="10934" spans="1:8">
      <c r="A10934" t="str">
        <f>"0231237 "</f>
        <v xml:space="preserve">0231237 </v>
      </c>
      <c r="B10934" t="s">
        <v>35270</v>
      </c>
      <c r="C10934">
        <v>82360</v>
      </c>
      <c r="D10934" t="s">
        <v>35294</v>
      </c>
      <c r="E10934" t="s">
        <v>16</v>
      </c>
      <c r="F10934" t="s">
        <v>35293</v>
      </c>
      <c r="G10934" t="s">
        <v>34797</v>
      </c>
      <c r="H10934">
        <v>82360</v>
      </c>
    </row>
    <row r="10935" spans="1:8">
      <c r="A10935" t="str">
        <f>"0231238 "</f>
        <v xml:space="preserve">0231238 </v>
      </c>
      <c r="B10935" t="s">
        <v>35270</v>
      </c>
      <c r="C10935">
        <v>82380</v>
      </c>
      <c r="D10935" t="s">
        <v>35295</v>
      </c>
      <c r="E10935" t="s">
        <v>16</v>
      </c>
      <c r="F10935" t="s">
        <v>35293</v>
      </c>
      <c r="G10935" t="s">
        <v>34797</v>
      </c>
      <c r="H10935">
        <v>82380</v>
      </c>
    </row>
    <row r="10936" spans="1:8">
      <c r="A10936" t="str">
        <f>"0231239 "</f>
        <v xml:space="preserve">0231239 </v>
      </c>
      <c r="B10936" t="s">
        <v>35270</v>
      </c>
      <c r="C10936">
        <v>82400</v>
      </c>
      <c r="D10936" t="s">
        <v>35296</v>
      </c>
      <c r="E10936" t="s">
        <v>16</v>
      </c>
      <c r="F10936" t="s">
        <v>35293</v>
      </c>
      <c r="G10936" t="s">
        <v>34797</v>
      </c>
      <c r="H10936">
        <v>82400</v>
      </c>
    </row>
    <row r="10937" spans="1:8">
      <c r="A10937" t="str">
        <f>"0231240 "</f>
        <v xml:space="preserve">0231240 </v>
      </c>
      <c r="B10937" t="s">
        <v>35270</v>
      </c>
      <c r="C10937">
        <v>82430</v>
      </c>
      <c r="D10937" t="s">
        <v>35297</v>
      </c>
      <c r="E10937" t="s">
        <v>16</v>
      </c>
      <c r="F10937" t="s">
        <v>34451</v>
      </c>
      <c r="G10937" t="s">
        <v>34797</v>
      </c>
      <c r="H10937">
        <v>82430</v>
      </c>
    </row>
    <row r="10938" spans="1:8">
      <c r="A10938" t="str">
        <f>"0231241 "</f>
        <v xml:space="preserve">0231241 </v>
      </c>
      <c r="B10938" t="s">
        <v>35270</v>
      </c>
      <c r="C10938">
        <v>82450</v>
      </c>
      <c r="D10938" t="s">
        <v>35298</v>
      </c>
      <c r="E10938" t="s">
        <v>16</v>
      </c>
      <c r="F10938" t="s">
        <v>34451</v>
      </c>
      <c r="G10938" t="s">
        <v>34797</v>
      </c>
      <c r="H10938">
        <v>82450</v>
      </c>
    </row>
    <row r="10939" spans="1:8">
      <c r="A10939" t="str">
        <f>"0231242 "</f>
        <v xml:space="preserve">0231242 </v>
      </c>
      <c r="B10939" t="s">
        <v>35270</v>
      </c>
      <c r="C10939">
        <v>82480</v>
      </c>
      <c r="D10939" t="s">
        <v>35299</v>
      </c>
      <c r="E10939" t="s">
        <v>16</v>
      </c>
      <c r="F10939" t="s">
        <v>35300</v>
      </c>
      <c r="G10939" t="s">
        <v>34797</v>
      </c>
      <c r="H10939">
        <v>82480</v>
      </c>
    </row>
    <row r="10940" spans="1:8">
      <c r="A10940" t="str">
        <f>"0231243 "</f>
        <v xml:space="preserve">0231243 </v>
      </c>
      <c r="B10940" t="s">
        <v>35270</v>
      </c>
      <c r="C10940">
        <v>82500</v>
      </c>
      <c r="D10940" t="s">
        <v>35301</v>
      </c>
      <c r="E10940" t="s">
        <v>16</v>
      </c>
      <c r="F10940" t="s">
        <v>35300</v>
      </c>
      <c r="G10940" t="s">
        <v>34797</v>
      </c>
      <c r="H10940">
        <v>82500</v>
      </c>
    </row>
    <row r="10941" spans="1:8">
      <c r="A10941" t="str">
        <f>"0231244 "</f>
        <v xml:space="preserve">0231244 </v>
      </c>
      <c r="B10941" t="s">
        <v>35270</v>
      </c>
      <c r="C10941">
        <v>82530</v>
      </c>
      <c r="D10941" t="s">
        <v>35302</v>
      </c>
      <c r="E10941" t="s">
        <v>16</v>
      </c>
      <c r="F10941" t="s">
        <v>35303</v>
      </c>
      <c r="G10941" t="s">
        <v>34797</v>
      </c>
      <c r="H10941">
        <v>82530</v>
      </c>
    </row>
    <row r="10942" spans="1:8">
      <c r="A10942" t="str">
        <f>"0231245 "</f>
        <v xml:space="preserve">0231245 </v>
      </c>
      <c r="B10942" t="s">
        <v>35270</v>
      </c>
      <c r="C10942">
        <v>82550</v>
      </c>
      <c r="D10942" t="s">
        <v>35304</v>
      </c>
      <c r="E10942" t="s">
        <v>16</v>
      </c>
      <c r="F10942" t="s">
        <v>19868</v>
      </c>
      <c r="G10942" t="s">
        <v>34797</v>
      </c>
      <c r="H10942">
        <v>82550</v>
      </c>
    </row>
    <row r="10943" spans="1:8">
      <c r="A10943" t="str">
        <f>"0231246 "</f>
        <v xml:space="preserve">0231246 </v>
      </c>
      <c r="B10943" t="s">
        <v>35270</v>
      </c>
      <c r="C10943">
        <v>82580</v>
      </c>
      <c r="D10943" t="s">
        <v>35305</v>
      </c>
      <c r="E10943" t="s">
        <v>16</v>
      </c>
      <c r="F10943" t="s">
        <v>690</v>
      </c>
      <c r="G10943" t="s">
        <v>34797</v>
      </c>
      <c r="H10943">
        <v>82580</v>
      </c>
    </row>
    <row r="10944" spans="1:8">
      <c r="A10944" t="str">
        <f>"0231247 "</f>
        <v xml:space="preserve">0231247 </v>
      </c>
      <c r="B10944" t="s">
        <v>35270</v>
      </c>
      <c r="C10944">
        <v>82600</v>
      </c>
      <c r="D10944" t="s">
        <v>35306</v>
      </c>
      <c r="E10944" t="s">
        <v>16</v>
      </c>
      <c r="F10944" t="s">
        <v>690</v>
      </c>
      <c r="G10944" t="s">
        <v>34797</v>
      </c>
      <c r="H10944">
        <v>82600</v>
      </c>
    </row>
    <row r="10945" spans="1:8">
      <c r="A10945" t="str">
        <f>"0231248 "</f>
        <v xml:space="preserve">0231248 </v>
      </c>
      <c r="B10945" t="s">
        <v>35270</v>
      </c>
      <c r="C10945">
        <v>82650</v>
      </c>
      <c r="D10945" t="s">
        <v>35307</v>
      </c>
      <c r="E10945" t="s">
        <v>16</v>
      </c>
      <c r="F10945" t="s">
        <v>34318</v>
      </c>
      <c r="G10945" t="s">
        <v>34797</v>
      </c>
      <c r="H10945">
        <v>82650</v>
      </c>
    </row>
    <row r="10946" spans="1:8">
      <c r="A10946" t="str">
        <f>"0231249 "</f>
        <v xml:space="preserve">0231249 </v>
      </c>
      <c r="B10946" t="s">
        <v>35270</v>
      </c>
      <c r="C10946">
        <v>82700</v>
      </c>
      <c r="D10946" t="s">
        <v>35308</v>
      </c>
      <c r="E10946" t="s">
        <v>16</v>
      </c>
      <c r="F10946" t="s">
        <v>34318</v>
      </c>
      <c r="G10946" t="s">
        <v>34797</v>
      </c>
      <c r="H10946">
        <v>82700</v>
      </c>
    </row>
    <row r="10947" spans="1:8">
      <c r="A10947" t="str">
        <f>"0232708 "</f>
        <v xml:space="preserve">0232708 </v>
      </c>
      <c r="B10947" t="s">
        <v>35270</v>
      </c>
      <c r="C10947">
        <v>83500</v>
      </c>
      <c r="D10947" t="s">
        <v>35309</v>
      </c>
      <c r="E10947" t="s">
        <v>16</v>
      </c>
      <c r="F10947" t="s">
        <v>33224</v>
      </c>
      <c r="G10947" t="s">
        <v>34797</v>
      </c>
      <c r="H10947">
        <v>83500</v>
      </c>
    </row>
    <row r="10948" spans="1:8">
      <c r="A10948" t="str">
        <f>"0232709 "</f>
        <v xml:space="preserve">0232709 </v>
      </c>
      <c r="B10948" t="s">
        <v>35270</v>
      </c>
      <c r="C10948">
        <v>83600</v>
      </c>
      <c r="D10948" t="s">
        <v>35310</v>
      </c>
      <c r="E10948" t="s">
        <v>16</v>
      </c>
      <c r="F10948" t="s">
        <v>6605</v>
      </c>
      <c r="G10948" t="s">
        <v>34797</v>
      </c>
      <c r="H10948">
        <v>83600</v>
      </c>
    </row>
    <row r="10949" spans="1:8">
      <c r="A10949" t="str">
        <f>"0232710 "</f>
        <v xml:space="preserve">0232710 </v>
      </c>
      <c r="B10949" t="s">
        <v>35270</v>
      </c>
      <c r="C10949">
        <v>83700</v>
      </c>
      <c r="D10949" t="s">
        <v>35311</v>
      </c>
      <c r="E10949" t="s">
        <v>16</v>
      </c>
      <c r="F10949" t="s">
        <v>19834</v>
      </c>
      <c r="G10949" t="s">
        <v>34797</v>
      </c>
      <c r="H10949">
        <v>83700</v>
      </c>
    </row>
    <row r="10950" spans="1:8">
      <c r="A10950" t="str">
        <f>"0218751 "</f>
        <v xml:space="preserve">0218751 </v>
      </c>
      <c r="B10950" t="s">
        <v>35270</v>
      </c>
      <c r="C10950" t="s">
        <v>35312</v>
      </c>
      <c r="D10950" t="s">
        <v>35313</v>
      </c>
      <c r="E10950" t="s">
        <v>16</v>
      </c>
      <c r="F10950" t="s">
        <v>35300</v>
      </c>
      <c r="G10950" t="s">
        <v>34797</v>
      </c>
      <c r="H10950" t="s">
        <v>35312</v>
      </c>
    </row>
    <row r="10951" spans="1:8">
      <c r="A10951" t="str">
        <f>"0218752 "</f>
        <v xml:space="preserve">0218752 </v>
      </c>
      <c r="B10951" t="s">
        <v>35270</v>
      </c>
      <c r="C10951" t="s">
        <v>35314</v>
      </c>
      <c r="D10951" t="s">
        <v>35315</v>
      </c>
      <c r="E10951" t="s">
        <v>16</v>
      </c>
      <c r="F10951" t="s">
        <v>35316</v>
      </c>
      <c r="G10951" t="s">
        <v>34797</v>
      </c>
      <c r="H10951" t="s">
        <v>35314</v>
      </c>
    </row>
    <row r="10952" spans="1:8">
      <c r="A10952" t="str">
        <f>"0218754 "</f>
        <v xml:space="preserve">0218754 </v>
      </c>
      <c r="B10952" t="s">
        <v>35270</v>
      </c>
      <c r="C10952" t="s">
        <v>35317</v>
      </c>
      <c r="D10952" t="s">
        <v>35318</v>
      </c>
      <c r="E10952" t="s">
        <v>16</v>
      </c>
      <c r="F10952" t="s">
        <v>35319</v>
      </c>
      <c r="G10952" t="s">
        <v>34797</v>
      </c>
      <c r="H10952" t="s">
        <v>35317</v>
      </c>
    </row>
    <row r="10953" spans="1:8">
      <c r="A10953" t="str">
        <f>"0218755 "</f>
        <v xml:space="preserve">0218755 </v>
      </c>
      <c r="B10953" t="s">
        <v>35270</v>
      </c>
      <c r="C10953" t="s">
        <v>35320</v>
      </c>
      <c r="D10953" t="s">
        <v>35321</v>
      </c>
      <c r="E10953" t="s">
        <v>16</v>
      </c>
      <c r="F10953" t="s">
        <v>35319</v>
      </c>
      <c r="G10953" t="s">
        <v>34797</v>
      </c>
      <c r="H10953" t="s">
        <v>35320</v>
      </c>
    </row>
    <row r="10954" spans="1:8">
      <c r="A10954" t="str">
        <f>"0218756 "</f>
        <v xml:space="preserve">0218756 </v>
      </c>
      <c r="B10954" t="s">
        <v>35270</v>
      </c>
      <c r="C10954" t="s">
        <v>35322</v>
      </c>
      <c r="D10954" t="s">
        <v>35323</v>
      </c>
      <c r="E10954" t="s">
        <v>16</v>
      </c>
      <c r="F10954" t="s">
        <v>5382</v>
      </c>
      <c r="G10954" t="s">
        <v>34797</v>
      </c>
      <c r="H10954" t="s">
        <v>35322</v>
      </c>
    </row>
    <row r="10955" spans="1:8">
      <c r="A10955" t="str">
        <f>"0218757 "</f>
        <v xml:space="preserve">0218757 </v>
      </c>
      <c r="B10955" t="s">
        <v>35270</v>
      </c>
      <c r="C10955" t="s">
        <v>35324</v>
      </c>
      <c r="D10955" t="s">
        <v>35325</v>
      </c>
      <c r="E10955" t="s">
        <v>16</v>
      </c>
      <c r="F10955" t="s">
        <v>5382</v>
      </c>
      <c r="G10955" t="s">
        <v>34797</v>
      </c>
      <c r="H10955" t="s">
        <v>35324</v>
      </c>
    </row>
    <row r="10956" spans="1:8">
      <c r="A10956" t="str">
        <f>"0218758 "</f>
        <v xml:space="preserve">0218758 </v>
      </c>
      <c r="B10956" t="s">
        <v>35270</v>
      </c>
      <c r="C10956" t="s">
        <v>35326</v>
      </c>
      <c r="D10956" t="s">
        <v>35327</v>
      </c>
      <c r="E10956" t="s">
        <v>16</v>
      </c>
      <c r="F10956" t="s">
        <v>35328</v>
      </c>
      <c r="G10956" t="s">
        <v>34797</v>
      </c>
      <c r="H10956" t="s">
        <v>35326</v>
      </c>
    </row>
    <row r="10957" spans="1:8">
      <c r="A10957" t="str">
        <f>"0218759 "</f>
        <v xml:space="preserve">0218759 </v>
      </c>
      <c r="B10957" t="s">
        <v>35270</v>
      </c>
      <c r="C10957" t="s">
        <v>35329</v>
      </c>
      <c r="D10957" t="s">
        <v>35330</v>
      </c>
      <c r="E10957" t="s">
        <v>16</v>
      </c>
      <c r="F10957" t="s">
        <v>35328</v>
      </c>
      <c r="G10957" t="s">
        <v>34797</v>
      </c>
      <c r="H10957" t="s">
        <v>35329</v>
      </c>
    </row>
    <row r="10958" spans="1:8">
      <c r="A10958" t="str">
        <f>"0218760 "</f>
        <v xml:space="preserve">0218760 </v>
      </c>
      <c r="B10958" t="s">
        <v>35270</v>
      </c>
      <c r="C10958" t="s">
        <v>35331</v>
      </c>
      <c r="D10958" t="s">
        <v>35332</v>
      </c>
      <c r="E10958" t="s">
        <v>16</v>
      </c>
      <c r="F10958" t="s">
        <v>3329</v>
      </c>
      <c r="G10958" t="s">
        <v>34797</v>
      </c>
      <c r="H10958" t="s">
        <v>35331</v>
      </c>
    </row>
    <row r="10959" spans="1:8">
      <c r="A10959" t="str">
        <f>"0218761 "</f>
        <v xml:space="preserve">0218761 </v>
      </c>
      <c r="B10959" t="s">
        <v>35270</v>
      </c>
      <c r="C10959" t="s">
        <v>35333</v>
      </c>
      <c r="D10959" t="s">
        <v>35334</v>
      </c>
      <c r="E10959">
        <v>4</v>
      </c>
      <c r="F10959" t="s">
        <v>3329</v>
      </c>
      <c r="G10959" t="s">
        <v>34797</v>
      </c>
      <c r="H10959" t="s">
        <v>35333</v>
      </c>
    </row>
    <row r="10960" spans="1:8">
      <c r="A10960" t="str">
        <f>"0218762 "</f>
        <v xml:space="preserve">0218762 </v>
      </c>
      <c r="B10960" t="s">
        <v>35270</v>
      </c>
      <c r="C10960" t="s">
        <v>35335</v>
      </c>
      <c r="D10960" t="s">
        <v>35336</v>
      </c>
      <c r="E10960" t="s">
        <v>16</v>
      </c>
      <c r="F10960" t="s">
        <v>35337</v>
      </c>
      <c r="G10960" t="s">
        <v>34797</v>
      </c>
      <c r="H10960" t="s">
        <v>35335</v>
      </c>
    </row>
    <row r="10961" spans="1:8">
      <c r="A10961" t="str">
        <f>"0218763 "</f>
        <v xml:space="preserve">0218763 </v>
      </c>
      <c r="B10961" t="s">
        <v>35270</v>
      </c>
      <c r="C10961" t="s">
        <v>35338</v>
      </c>
      <c r="D10961" t="s">
        <v>35339</v>
      </c>
      <c r="E10961" t="s">
        <v>16</v>
      </c>
      <c r="F10961" t="s">
        <v>35337</v>
      </c>
      <c r="G10961" t="s">
        <v>34797</v>
      </c>
      <c r="H10961" t="s">
        <v>35338</v>
      </c>
    </row>
    <row r="10962" spans="1:8">
      <c r="A10962" t="str">
        <f>"0218764 "</f>
        <v xml:space="preserve">0218764 </v>
      </c>
      <c r="B10962" t="s">
        <v>35270</v>
      </c>
      <c r="C10962" t="s">
        <v>35340</v>
      </c>
      <c r="D10962" t="s">
        <v>35341</v>
      </c>
      <c r="E10962" t="s">
        <v>16</v>
      </c>
      <c r="F10962" t="s">
        <v>32997</v>
      </c>
      <c r="G10962" t="s">
        <v>34797</v>
      </c>
      <c r="H10962" t="s">
        <v>35340</v>
      </c>
    </row>
    <row r="10963" spans="1:8">
      <c r="A10963" t="str">
        <f>"0218765 "</f>
        <v xml:space="preserve">0218765 </v>
      </c>
      <c r="B10963" t="s">
        <v>35270</v>
      </c>
      <c r="C10963" t="s">
        <v>35342</v>
      </c>
      <c r="D10963" t="s">
        <v>35343</v>
      </c>
      <c r="E10963" t="s">
        <v>16</v>
      </c>
      <c r="F10963" t="s">
        <v>35344</v>
      </c>
      <c r="G10963" t="s">
        <v>34797</v>
      </c>
      <c r="H10963" t="s">
        <v>35342</v>
      </c>
    </row>
    <row r="10964" spans="1:8">
      <c r="A10964" t="str">
        <f>"0218766 "</f>
        <v xml:space="preserve">0218766 </v>
      </c>
      <c r="B10964" t="s">
        <v>35270</v>
      </c>
      <c r="C10964" t="s">
        <v>35345</v>
      </c>
      <c r="D10964" t="s">
        <v>35346</v>
      </c>
      <c r="E10964" t="s">
        <v>16</v>
      </c>
      <c r="F10964" t="s">
        <v>35347</v>
      </c>
      <c r="G10964" t="s">
        <v>34797</v>
      </c>
      <c r="H10964" t="s">
        <v>35345</v>
      </c>
    </row>
    <row r="10965" spans="1:8">
      <c r="A10965" t="str">
        <f>"0218767 "</f>
        <v xml:space="preserve">0218767 </v>
      </c>
      <c r="B10965" t="s">
        <v>35270</v>
      </c>
      <c r="C10965" t="s">
        <v>35348</v>
      </c>
      <c r="D10965" t="s">
        <v>35349</v>
      </c>
      <c r="E10965" t="s">
        <v>16</v>
      </c>
      <c r="F10965" t="s">
        <v>34755</v>
      </c>
      <c r="G10965" t="s">
        <v>34797</v>
      </c>
      <c r="H10965" t="s">
        <v>35348</v>
      </c>
    </row>
    <row r="10966" spans="1:8">
      <c r="A10966" t="str">
        <f>"0218768 "</f>
        <v xml:space="preserve">0218768 </v>
      </c>
      <c r="B10966" t="s">
        <v>35270</v>
      </c>
      <c r="C10966" t="s">
        <v>35350</v>
      </c>
      <c r="D10966" t="s">
        <v>35351</v>
      </c>
      <c r="E10966" t="s">
        <v>16</v>
      </c>
      <c r="F10966" t="s">
        <v>6605</v>
      </c>
      <c r="G10966" t="s">
        <v>34797</v>
      </c>
      <c r="H10966" t="s">
        <v>35350</v>
      </c>
    </row>
    <row r="10967" spans="1:8">
      <c r="A10967" t="str">
        <f>"0218769 "</f>
        <v xml:space="preserve">0218769 </v>
      </c>
      <c r="B10967" t="s">
        <v>35270</v>
      </c>
      <c r="C10967" t="s">
        <v>35352</v>
      </c>
      <c r="D10967" t="s">
        <v>35353</v>
      </c>
      <c r="E10967" t="s">
        <v>16</v>
      </c>
      <c r="F10967" t="s">
        <v>19281</v>
      </c>
      <c r="G10967" t="s">
        <v>34797</v>
      </c>
      <c r="H10967" t="s">
        <v>35352</v>
      </c>
    </row>
    <row r="10968" spans="1:8">
      <c r="A10968" t="str">
        <f>"0218770 "</f>
        <v xml:space="preserve">0218770 </v>
      </c>
      <c r="B10968" t="s">
        <v>35270</v>
      </c>
      <c r="C10968" t="s">
        <v>35354</v>
      </c>
      <c r="D10968" t="s">
        <v>35355</v>
      </c>
      <c r="E10968" t="s">
        <v>16</v>
      </c>
      <c r="F10968" t="s">
        <v>19281</v>
      </c>
      <c r="G10968" t="s">
        <v>34797</v>
      </c>
      <c r="H10968" t="s">
        <v>35354</v>
      </c>
    </row>
    <row r="10969" spans="1:8">
      <c r="A10969" t="str">
        <f>"0218771 "</f>
        <v xml:space="preserve">0218771 </v>
      </c>
      <c r="B10969" t="s">
        <v>35270</v>
      </c>
      <c r="C10969" t="s">
        <v>35356</v>
      </c>
      <c r="D10969" t="s">
        <v>35357</v>
      </c>
      <c r="E10969" t="s">
        <v>16</v>
      </c>
      <c r="F10969" t="s">
        <v>34127</v>
      </c>
      <c r="G10969" t="s">
        <v>34797</v>
      </c>
      <c r="H10969" t="s">
        <v>35356</v>
      </c>
    </row>
    <row r="10970" spans="1:8">
      <c r="A10970" t="str">
        <f>"0218772 "</f>
        <v xml:space="preserve">0218772 </v>
      </c>
      <c r="B10970" t="s">
        <v>35270</v>
      </c>
      <c r="C10970" t="s">
        <v>35358</v>
      </c>
      <c r="D10970" t="s">
        <v>35359</v>
      </c>
      <c r="E10970" t="s">
        <v>16</v>
      </c>
      <c r="F10970" t="s">
        <v>32971</v>
      </c>
      <c r="G10970" t="s">
        <v>34797</v>
      </c>
      <c r="H10970" t="s">
        <v>35358</v>
      </c>
    </row>
    <row r="10971" spans="1:8">
      <c r="A10971" t="str">
        <f>"0218773 "</f>
        <v xml:space="preserve">0218773 </v>
      </c>
      <c r="B10971" t="s">
        <v>35270</v>
      </c>
      <c r="C10971" t="s">
        <v>35360</v>
      </c>
      <c r="D10971" t="s">
        <v>35361</v>
      </c>
      <c r="E10971" t="s">
        <v>16</v>
      </c>
      <c r="F10971" t="s">
        <v>19834</v>
      </c>
      <c r="G10971" t="s">
        <v>34797</v>
      </c>
      <c r="H10971" t="s">
        <v>35360</v>
      </c>
    </row>
    <row r="10972" spans="1:8">
      <c r="A10972" t="str">
        <f>"0218774 "</f>
        <v xml:space="preserve">0218774 </v>
      </c>
      <c r="B10972" t="s">
        <v>35270</v>
      </c>
      <c r="C10972" t="s">
        <v>35362</v>
      </c>
      <c r="D10972" t="s">
        <v>35363</v>
      </c>
      <c r="E10972" t="s">
        <v>16</v>
      </c>
      <c r="F10972" t="s">
        <v>19805</v>
      </c>
      <c r="G10972" t="s">
        <v>34797</v>
      </c>
      <c r="H10972" t="s">
        <v>35362</v>
      </c>
    </row>
    <row r="10973" spans="1:8">
      <c r="A10973" t="str">
        <f>"0218775 "</f>
        <v xml:space="preserve">0218775 </v>
      </c>
      <c r="B10973" t="s">
        <v>35270</v>
      </c>
      <c r="C10973" t="s">
        <v>35364</v>
      </c>
      <c r="D10973" t="s">
        <v>35365</v>
      </c>
      <c r="E10973" t="s">
        <v>16</v>
      </c>
      <c r="F10973" t="s">
        <v>34408</v>
      </c>
      <c r="G10973" t="s">
        <v>34797</v>
      </c>
      <c r="H10973" t="s">
        <v>35364</v>
      </c>
    </row>
    <row r="10974" spans="1:8">
      <c r="A10974" t="str">
        <f>"0218776 "</f>
        <v xml:space="preserve">0218776 </v>
      </c>
      <c r="B10974" t="s">
        <v>35270</v>
      </c>
      <c r="C10974" t="s">
        <v>35366</v>
      </c>
      <c r="D10974" t="s">
        <v>35367</v>
      </c>
      <c r="E10974" t="s">
        <v>16</v>
      </c>
      <c r="F10974" t="s">
        <v>34408</v>
      </c>
      <c r="G10974" t="s">
        <v>34797</v>
      </c>
      <c r="H10974" t="s">
        <v>35366</v>
      </c>
    </row>
    <row r="10975" spans="1:8">
      <c r="A10975" t="str">
        <f>"0218777 "</f>
        <v xml:space="preserve">0218777 </v>
      </c>
      <c r="B10975" t="s">
        <v>35270</v>
      </c>
      <c r="C10975" t="s">
        <v>35368</v>
      </c>
      <c r="D10975" t="s">
        <v>35369</v>
      </c>
      <c r="E10975" t="s">
        <v>16</v>
      </c>
      <c r="F10975" t="s">
        <v>34783</v>
      </c>
      <c r="G10975" t="s">
        <v>34797</v>
      </c>
      <c r="H10975" t="s">
        <v>35368</v>
      </c>
    </row>
    <row r="10976" spans="1:8">
      <c r="A10976" t="str">
        <f>"0218778 "</f>
        <v xml:space="preserve">0218778 </v>
      </c>
      <c r="B10976" t="s">
        <v>35270</v>
      </c>
      <c r="C10976" t="s">
        <v>35370</v>
      </c>
      <c r="D10976" t="s">
        <v>35371</v>
      </c>
      <c r="E10976" t="s">
        <v>16</v>
      </c>
      <c r="F10976" t="s">
        <v>35372</v>
      </c>
      <c r="G10976" t="s">
        <v>34797</v>
      </c>
      <c r="H10976" t="s">
        <v>35370</v>
      </c>
    </row>
    <row r="10977" spans="1:8">
      <c r="A10977" t="str">
        <f>"0218779 "</f>
        <v xml:space="preserve">0218779 </v>
      </c>
      <c r="B10977" t="s">
        <v>35270</v>
      </c>
      <c r="C10977" t="s">
        <v>35373</v>
      </c>
      <c r="D10977" t="s">
        <v>35374</v>
      </c>
      <c r="E10977" t="s">
        <v>16</v>
      </c>
      <c r="F10977" t="s">
        <v>33815</v>
      </c>
      <c r="G10977" t="s">
        <v>34797</v>
      </c>
      <c r="H10977" t="s">
        <v>35373</v>
      </c>
    </row>
    <row r="10978" spans="1:8">
      <c r="A10978" t="str">
        <f>"0218780 "</f>
        <v xml:space="preserve">0218780 </v>
      </c>
      <c r="B10978" t="s">
        <v>35270</v>
      </c>
      <c r="C10978" t="s">
        <v>35375</v>
      </c>
      <c r="D10978" t="s">
        <v>35376</v>
      </c>
      <c r="E10978" t="s">
        <v>16</v>
      </c>
      <c r="F10978" t="s">
        <v>1660</v>
      </c>
      <c r="G10978" t="s">
        <v>34797</v>
      </c>
      <c r="H10978" t="s">
        <v>35375</v>
      </c>
    </row>
    <row r="10979" spans="1:8">
      <c r="A10979" t="str">
        <f>"0218750 "</f>
        <v xml:space="preserve">0218750 </v>
      </c>
      <c r="B10979" t="s">
        <v>35270</v>
      </c>
      <c r="C10979" t="s">
        <v>35377</v>
      </c>
      <c r="D10979" t="s">
        <v>35378</v>
      </c>
      <c r="E10979" t="s">
        <v>16</v>
      </c>
      <c r="F10979" t="s">
        <v>34451</v>
      </c>
      <c r="G10979" t="s">
        <v>34797</v>
      </c>
      <c r="H10979" t="s">
        <v>35377</v>
      </c>
    </row>
    <row r="10980" spans="1:8">
      <c r="A10980" t="str">
        <f>"0201425 "</f>
        <v xml:space="preserve">0201425 </v>
      </c>
      <c r="B10980" t="s">
        <v>35379</v>
      </c>
      <c r="C10980" t="str">
        <f>"0201425"</f>
        <v>0201425</v>
      </c>
      <c r="D10980" t="s">
        <v>35380</v>
      </c>
      <c r="E10980" t="s">
        <v>16</v>
      </c>
      <c r="F10980" t="s">
        <v>35381</v>
      </c>
      <c r="G10980" t="s">
        <v>35379</v>
      </c>
      <c r="H10980" t="str">
        <f>"0201425"</f>
        <v>0201425</v>
      </c>
    </row>
    <row r="10981" spans="1:8">
      <c r="A10981" t="str">
        <f>"0088021 "</f>
        <v xml:space="preserve">0088021 </v>
      </c>
      <c r="B10981" t="s">
        <v>35379</v>
      </c>
      <c r="C10981" t="s">
        <v>35382</v>
      </c>
      <c r="D10981" t="s">
        <v>35383</v>
      </c>
      <c r="E10981" t="s">
        <v>16</v>
      </c>
      <c r="F10981" t="s">
        <v>35384</v>
      </c>
      <c r="G10981" t="s">
        <v>35379</v>
      </c>
      <c r="H10981" t="s">
        <v>35382</v>
      </c>
    </row>
    <row r="10982" spans="1:8">
      <c r="A10982" t="str">
        <f>"0088022 "</f>
        <v xml:space="preserve">0088022 </v>
      </c>
      <c r="B10982" t="s">
        <v>35379</v>
      </c>
      <c r="C10982" t="s">
        <v>35385</v>
      </c>
      <c r="D10982" t="s">
        <v>35386</v>
      </c>
      <c r="E10982" t="s">
        <v>16</v>
      </c>
      <c r="F10982" t="s">
        <v>10604</v>
      </c>
      <c r="G10982" t="s">
        <v>35379</v>
      </c>
      <c r="H10982" t="s">
        <v>35385</v>
      </c>
    </row>
    <row r="10983" spans="1:8">
      <c r="A10983" t="str">
        <f>"0088020 "</f>
        <v xml:space="preserve">0088020 </v>
      </c>
      <c r="B10983" t="s">
        <v>35379</v>
      </c>
      <c r="C10983" t="s">
        <v>35387</v>
      </c>
      <c r="D10983" t="s">
        <v>35388</v>
      </c>
      <c r="E10983">
        <v>4</v>
      </c>
      <c r="F10983" t="s">
        <v>35389</v>
      </c>
      <c r="G10983" t="s">
        <v>35379</v>
      </c>
      <c r="H10983" t="s">
        <v>35387</v>
      </c>
    </row>
    <row r="10984" spans="1:8">
      <c r="A10984" t="str">
        <f>"0088025 "</f>
        <v xml:space="preserve">0088025 </v>
      </c>
      <c r="B10984" t="s">
        <v>35379</v>
      </c>
      <c r="C10984" t="str">
        <f>"430130005"</f>
        <v>430130005</v>
      </c>
      <c r="D10984" t="s">
        <v>35390</v>
      </c>
      <c r="E10984" t="s">
        <v>16</v>
      </c>
      <c r="F10984" t="s">
        <v>35391</v>
      </c>
      <c r="G10984" t="s">
        <v>35379</v>
      </c>
      <c r="H10984" t="str">
        <f>"430130005"</f>
        <v>430130005</v>
      </c>
    </row>
    <row r="10985" spans="1:8">
      <c r="A10985" t="str">
        <f>"0088026 "</f>
        <v xml:space="preserve">0088026 </v>
      </c>
      <c r="B10985" t="s">
        <v>35379</v>
      </c>
      <c r="C10985" t="str">
        <f>"430130006"</f>
        <v>430130006</v>
      </c>
      <c r="D10985" t="s">
        <v>35392</v>
      </c>
      <c r="E10985" t="s">
        <v>16</v>
      </c>
      <c r="F10985" t="s">
        <v>35393</v>
      </c>
      <c r="G10985" t="s">
        <v>35379</v>
      </c>
      <c r="H10985" t="str">
        <f>"430130006"</f>
        <v>430130006</v>
      </c>
    </row>
    <row r="10986" spans="1:8">
      <c r="A10986" t="str">
        <f>"0163665 "</f>
        <v xml:space="preserve">0163665 </v>
      </c>
      <c r="B10986" t="s">
        <v>35379</v>
      </c>
      <c r="C10986" t="str">
        <f>"430130011"</f>
        <v>430130011</v>
      </c>
      <c r="D10986" t="s">
        <v>35394</v>
      </c>
      <c r="E10986" t="s">
        <v>16</v>
      </c>
      <c r="F10986" t="s">
        <v>35395</v>
      </c>
      <c r="G10986" t="s">
        <v>35379</v>
      </c>
      <c r="H10986" t="str">
        <f>"430130011"</f>
        <v>430130011</v>
      </c>
    </row>
    <row r="10987" spans="1:8">
      <c r="A10987" t="str">
        <f>"0163666 "</f>
        <v xml:space="preserve">0163666 </v>
      </c>
      <c r="B10987" t="s">
        <v>35379</v>
      </c>
      <c r="C10987" t="str">
        <f>"430130012"</f>
        <v>430130012</v>
      </c>
      <c r="D10987" t="s">
        <v>35396</v>
      </c>
      <c r="E10987" t="s">
        <v>16</v>
      </c>
      <c r="F10987" t="s">
        <v>35397</v>
      </c>
      <c r="G10987" t="s">
        <v>35379</v>
      </c>
      <c r="H10987" t="str">
        <f>"430130012"</f>
        <v>430130012</v>
      </c>
    </row>
    <row r="10988" spans="1:8">
      <c r="A10988" t="str">
        <f>"0088039 "</f>
        <v xml:space="preserve">0088039 </v>
      </c>
      <c r="B10988" t="s">
        <v>35379</v>
      </c>
      <c r="C10988" t="str">
        <f>"430206026"</f>
        <v>430206026</v>
      </c>
      <c r="D10988" t="s">
        <v>35398</v>
      </c>
      <c r="E10988" t="s">
        <v>16</v>
      </c>
      <c r="F10988" t="s">
        <v>35399</v>
      </c>
      <c r="G10988" t="s">
        <v>35379</v>
      </c>
      <c r="H10988" t="str">
        <f>"430206026"</f>
        <v>430206026</v>
      </c>
    </row>
    <row r="10989" spans="1:8">
      <c r="A10989" t="str">
        <f>"0088040 "</f>
        <v xml:space="preserve">0088040 </v>
      </c>
      <c r="B10989" t="s">
        <v>35379</v>
      </c>
      <c r="C10989" t="str">
        <f>"430206027"</f>
        <v>430206027</v>
      </c>
      <c r="D10989" t="s">
        <v>35400</v>
      </c>
      <c r="E10989">
        <v>4</v>
      </c>
      <c r="F10989" t="s">
        <v>35401</v>
      </c>
      <c r="G10989" t="s">
        <v>35379</v>
      </c>
      <c r="H10989" t="str">
        <f>"430206027"</f>
        <v>430206027</v>
      </c>
    </row>
    <row r="10990" spans="1:8">
      <c r="A10990" t="str">
        <f>"0088033 "</f>
        <v xml:space="preserve">0088033 </v>
      </c>
      <c r="B10990" t="s">
        <v>35379</v>
      </c>
      <c r="C10990" t="str">
        <f>"430206030"</f>
        <v>430206030</v>
      </c>
      <c r="D10990" t="s">
        <v>35402</v>
      </c>
      <c r="E10990" t="s">
        <v>16</v>
      </c>
      <c r="F10990" t="s">
        <v>35403</v>
      </c>
      <c r="G10990" t="s">
        <v>35379</v>
      </c>
      <c r="H10990" t="str">
        <f>"430206030"</f>
        <v>430206030</v>
      </c>
    </row>
    <row r="10991" spans="1:8">
      <c r="A10991" t="str">
        <f>"0088034 "</f>
        <v xml:space="preserve">0088034 </v>
      </c>
      <c r="B10991" t="s">
        <v>35379</v>
      </c>
      <c r="C10991" t="str">
        <f>"430206031"</f>
        <v>430206031</v>
      </c>
      <c r="D10991" t="s">
        <v>35404</v>
      </c>
      <c r="E10991">
        <v>3</v>
      </c>
      <c r="F10991" t="s">
        <v>25800</v>
      </c>
      <c r="G10991" t="s">
        <v>35379</v>
      </c>
      <c r="H10991" t="str">
        <f>"430206031"</f>
        <v>430206031</v>
      </c>
    </row>
    <row r="10992" spans="1:8">
      <c r="A10992" t="str">
        <f>"0241226 "</f>
        <v xml:space="preserve">0241226 </v>
      </c>
      <c r="B10992" t="s">
        <v>35379</v>
      </c>
      <c r="C10992" t="str">
        <f>"430206037"</f>
        <v>430206037</v>
      </c>
      <c r="D10992" t="s">
        <v>35405</v>
      </c>
      <c r="E10992" t="s">
        <v>16</v>
      </c>
      <c r="F10992" t="s">
        <v>35406</v>
      </c>
      <c r="G10992" t="s">
        <v>35379</v>
      </c>
      <c r="H10992" t="str">
        <f>"430206037"</f>
        <v>430206037</v>
      </c>
    </row>
    <row r="10993" spans="1:8">
      <c r="A10993" t="str">
        <f>"0241227 "</f>
        <v xml:space="preserve">0241227 </v>
      </c>
      <c r="B10993" t="s">
        <v>35379</v>
      </c>
      <c r="C10993" t="str">
        <f>"430206038"</f>
        <v>430206038</v>
      </c>
      <c r="D10993" t="s">
        <v>35407</v>
      </c>
      <c r="E10993">
        <v>4</v>
      </c>
      <c r="F10993" t="s">
        <v>35408</v>
      </c>
      <c r="G10993" t="s">
        <v>35379</v>
      </c>
      <c r="H10993" t="str">
        <f>"430206038"</f>
        <v>430206038</v>
      </c>
    </row>
    <row r="10994" spans="1:8">
      <c r="A10994" t="str">
        <f>"0088114 "</f>
        <v xml:space="preserve">0088114 </v>
      </c>
      <c r="B10994" t="s">
        <v>35379</v>
      </c>
      <c r="C10994" t="str">
        <f>"430206043"</f>
        <v>430206043</v>
      </c>
      <c r="D10994" t="s">
        <v>35409</v>
      </c>
      <c r="E10994" t="s">
        <v>16</v>
      </c>
      <c r="F10994" t="s">
        <v>35410</v>
      </c>
      <c r="G10994" t="s">
        <v>35379</v>
      </c>
      <c r="H10994" t="str">
        <f>"430206043"</f>
        <v>430206043</v>
      </c>
    </row>
    <row r="10995" spans="1:8">
      <c r="A10995" t="str">
        <f>"0088042 "</f>
        <v xml:space="preserve">0088042 </v>
      </c>
      <c r="B10995" t="s">
        <v>35379</v>
      </c>
      <c r="C10995" t="str">
        <f>"430206058"</f>
        <v>430206058</v>
      </c>
      <c r="D10995" t="s">
        <v>35411</v>
      </c>
      <c r="E10995">
        <v>2</v>
      </c>
      <c r="F10995" t="s">
        <v>29533</v>
      </c>
      <c r="G10995" t="s">
        <v>35379</v>
      </c>
      <c r="H10995" t="str">
        <f>"430206058"</f>
        <v>430206058</v>
      </c>
    </row>
    <row r="10996" spans="1:8">
      <c r="A10996" t="str">
        <f>"0088043 "</f>
        <v xml:space="preserve">0088043 </v>
      </c>
      <c r="B10996" t="s">
        <v>35379</v>
      </c>
      <c r="C10996" t="str">
        <f>"430206059"</f>
        <v>430206059</v>
      </c>
      <c r="D10996" t="s">
        <v>35412</v>
      </c>
      <c r="E10996">
        <v>4</v>
      </c>
      <c r="F10996" t="s">
        <v>35413</v>
      </c>
      <c r="G10996" t="s">
        <v>35379</v>
      </c>
      <c r="H10996" t="str">
        <f>"430206059"</f>
        <v>430206059</v>
      </c>
    </row>
    <row r="10997" spans="1:8">
      <c r="A10997" t="str">
        <f>"0088032 "</f>
        <v xml:space="preserve">0088032 </v>
      </c>
      <c r="B10997" t="s">
        <v>35379</v>
      </c>
      <c r="C10997" t="str">
        <f>"430207017"</f>
        <v>430207017</v>
      </c>
      <c r="D10997" t="s">
        <v>35414</v>
      </c>
      <c r="E10997" t="s">
        <v>16</v>
      </c>
      <c r="F10997" t="s">
        <v>35415</v>
      </c>
      <c r="G10997" t="s">
        <v>35379</v>
      </c>
      <c r="H10997" t="str">
        <f>"430207017"</f>
        <v>430207017</v>
      </c>
    </row>
    <row r="10998" spans="1:8">
      <c r="A10998" t="str">
        <f>"0219578 "</f>
        <v xml:space="preserve">0219578 </v>
      </c>
      <c r="B10998" t="s">
        <v>35416</v>
      </c>
      <c r="C10998" t="s">
        <v>35417</v>
      </c>
      <c r="D10998" t="s">
        <v>35418</v>
      </c>
      <c r="E10998">
        <v>1</v>
      </c>
      <c r="F10998" t="s">
        <v>35419</v>
      </c>
      <c r="G10998" t="s">
        <v>32614</v>
      </c>
      <c r="H10998" t="s">
        <v>35417</v>
      </c>
    </row>
    <row r="10999" spans="1:8">
      <c r="A10999" t="str">
        <f>"0219577 "</f>
        <v xml:space="preserve">0219577 </v>
      </c>
      <c r="B10999" t="s">
        <v>35416</v>
      </c>
      <c r="C10999" t="s">
        <v>35420</v>
      </c>
      <c r="D10999" t="s">
        <v>35421</v>
      </c>
      <c r="E10999" t="s">
        <v>16</v>
      </c>
      <c r="F10999" t="s">
        <v>35422</v>
      </c>
      <c r="G10999" t="s">
        <v>32614</v>
      </c>
      <c r="H10999" t="s">
        <v>35420</v>
      </c>
    </row>
    <row r="11000" spans="1:8">
      <c r="A11000" t="str">
        <f>"0219576 "</f>
        <v xml:space="preserve">0219576 </v>
      </c>
      <c r="B11000" t="s">
        <v>35416</v>
      </c>
      <c r="C11000" t="s">
        <v>35423</v>
      </c>
      <c r="D11000" t="s">
        <v>35424</v>
      </c>
      <c r="E11000">
        <v>1</v>
      </c>
      <c r="F11000" t="s">
        <v>28239</v>
      </c>
      <c r="G11000" t="s">
        <v>32614</v>
      </c>
      <c r="H11000" t="s">
        <v>35423</v>
      </c>
    </row>
    <row r="11001" spans="1:8">
      <c r="A11001" t="str">
        <f>"0219575 "</f>
        <v xml:space="preserve">0219575 </v>
      </c>
      <c r="B11001" t="s">
        <v>35416</v>
      </c>
      <c r="C11001" t="s">
        <v>35425</v>
      </c>
      <c r="D11001" t="s">
        <v>35426</v>
      </c>
      <c r="E11001" t="s">
        <v>16</v>
      </c>
      <c r="F11001" t="s">
        <v>35427</v>
      </c>
      <c r="G11001" t="s">
        <v>32614</v>
      </c>
      <c r="H11001" t="s">
        <v>35425</v>
      </c>
    </row>
    <row r="11002" spans="1:8">
      <c r="A11002" t="str">
        <f>"0219551 "</f>
        <v xml:space="preserve">0219551 </v>
      </c>
      <c r="B11002" t="s">
        <v>35416</v>
      </c>
      <c r="C11002" t="s">
        <v>35428</v>
      </c>
      <c r="D11002" t="s">
        <v>35429</v>
      </c>
      <c r="E11002" t="s">
        <v>16</v>
      </c>
      <c r="F11002" t="s">
        <v>35430</v>
      </c>
      <c r="G11002" t="s">
        <v>32853</v>
      </c>
      <c r="H11002" t="s">
        <v>35428</v>
      </c>
    </row>
    <row r="11003" spans="1:8">
      <c r="A11003" t="str">
        <f>"0257622 "</f>
        <v xml:space="preserve">0257622 </v>
      </c>
      <c r="B11003" t="s">
        <v>35416</v>
      </c>
      <c r="C11003" t="s">
        <v>35431</v>
      </c>
      <c r="D11003" t="s">
        <v>35432</v>
      </c>
      <c r="E11003" t="s">
        <v>16</v>
      </c>
      <c r="F11003" t="s">
        <v>19709</v>
      </c>
      <c r="G11003" t="s">
        <v>32853</v>
      </c>
      <c r="H11003" t="s">
        <v>35431</v>
      </c>
    </row>
    <row r="11004" spans="1:8">
      <c r="A11004" t="str">
        <f>"0219287 "</f>
        <v xml:space="preserve">0219287 </v>
      </c>
      <c r="B11004" t="s">
        <v>35416</v>
      </c>
      <c r="C11004" t="s">
        <v>35433</v>
      </c>
      <c r="D11004" t="s">
        <v>35434</v>
      </c>
      <c r="E11004" t="s">
        <v>16</v>
      </c>
      <c r="F11004" t="s">
        <v>35435</v>
      </c>
      <c r="G11004" t="s">
        <v>32614</v>
      </c>
      <c r="H11004" t="s">
        <v>35433</v>
      </c>
    </row>
    <row r="11005" spans="1:8">
      <c r="A11005" t="str">
        <f>"0219288 "</f>
        <v xml:space="preserve">0219288 </v>
      </c>
      <c r="B11005" t="s">
        <v>35416</v>
      </c>
      <c r="C11005" t="s">
        <v>35436</v>
      </c>
      <c r="D11005" t="s">
        <v>35437</v>
      </c>
      <c r="E11005" t="s">
        <v>16</v>
      </c>
      <c r="F11005" t="s">
        <v>35438</v>
      </c>
      <c r="G11005" t="s">
        <v>32614</v>
      </c>
      <c r="H11005" t="s">
        <v>35436</v>
      </c>
    </row>
    <row r="11006" spans="1:8">
      <c r="A11006" t="str">
        <f>"0219285 "</f>
        <v xml:space="preserve">0219285 </v>
      </c>
      <c r="B11006" t="s">
        <v>35416</v>
      </c>
      <c r="C11006" t="s">
        <v>35439</v>
      </c>
      <c r="D11006" t="s">
        <v>35440</v>
      </c>
      <c r="E11006">
        <v>3</v>
      </c>
      <c r="F11006" t="s">
        <v>35076</v>
      </c>
      <c r="G11006" t="s">
        <v>32614</v>
      </c>
      <c r="H11006" t="s">
        <v>35439</v>
      </c>
    </row>
    <row r="11007" spans="1:8">
      <c r="A11007" t="str">
        <f>"0219286 "</f>
        <v xml:space="preserve">0219286 </v>
      </c>
      <c r="B11007" t="s">
        <v>35416</v>
      </c>
      <c r="C11007" t="s">
        <v>35441</v>
      </c>
      <c r="D11007" t="s">
        <v>35442</v>
      </c>
      <c r="E11007" t="s">
        <v>16</v>
      </c>
      <c r="F11007" t="s">
        <v>35076</v>
      </c>
      <c r="G11007" t="s">
        <v>32614</v>
      </c>
      <c r="H11007" t="s">
        <v>35441</v>
      </c>
    </row>
    <row r="11008" spans="1:8">
      <c r="A11008" t="str">
        <f>"0219221 "</f>
        <v xml:space="preserve">0219221 </v>
      </c>
      <c r="B11008" t="s">
        <v>35416</v>
      </c>
      <c r="C11008" t="s">
        <v>35443</v>
      </c>
      <c r="D11008" t="s">
        <v>35444</v>
      </c>
      <c r="E11008" t="s">
        <v>16</v>
      </c>
      <c r="F11008" t="s">
        <v>35445</v>
      </c>
      <c r="G11008" t="s">
        <v>33832</v>
      </c>
      <c r="H11008" t="s">
        <v>35443</v>
      </c>
    </row>
    <row r="11009" spans="1:8">
      <c r="A11009" t="str">
        <f>"0219224 "</f>
        <v xml:space="preserve">0219224 </v>
      </c>
      <c r="B11009" t="s">
        <v>35416</v>
      </c>
      <c r="C11009" t="s">
        <v>35446</v>
      </c>
      <c r="D11009" t="s">
        <v>35447</v>
      </c>
      <c r="E11009">
        <v>5</v>
      </c>
      <c r="F11009" t="s">
        <v>35448</v>
      </c>
      <c r="G11009" t="s">
        <v>33832</v>
      </c>
      <c r="H11009" t="s">
        <v>35446</v>
      </c>
    </row>
    <row r="11010" spans="1:8">
      <c r="A11010" t="str">
        <f>"0219249 "</f>
        <v xml:space="preserve">0219249 </v>
      </c>
      <c r="B11010" t="s">
        <v>35416</v>
      </c>
      <c r="C11010" t="s">
        <v>35449</v>
      </c>
      <c r="D11010" t="s">
        <v>35450</v>
      </c>
      <c r="E11010">
        <v>3</v>
      </c>
      <c r="F11010" t="s">
        <v>35451</v>
      </c>
      <c r="G11010" t="s">
        <v>33832</v>
      </c>
      <c r="H11010" t="s">
        <v>35449</v>
      </c>
    </row>
    <row r="11011" spans="1:8">
      <c r="A11011" t="str">
        <f>"0219250 "</f>
        <v xml:space="preserve">0219250 </v>
      </c>
      <c r="B11011" t="s">
        <v>35416</v>
      </c>
      <c r="C11011" t="s">
        <v>35452</v>
      </c>
      <c r="D11011" t="s">
        <v>35453</v>
      </c>
      <c r="E11011" t="s">
        <v>16</v>
      </c>
      <c r="F11011" t="s">
        <v>34093</v>
      </c>
      <c r="G11011" t="s">
        <v>33832</v>
      </c>
      <c r="H11011" t="s">
        <v>35452</v>
      </c>
    </row>
    <row r="11012" spans="1:8">
      <c r="A11012" t="str">
        <f>"0219222 "</f>
        <v xml:space="preserve">0219222 </v>
      </c>
      <c r="B11012" t="s">
        <v>35416</v>
      </c>
      <c r="C11012" t="s">
        <v>35454</v>
      </c>
      <c r="D11012" t="s">
        <v>35455</v>
      </c>
      <c r="E11012" t="s">
        <v>16</v>
      </c>
      <c r="F11012" t="s">
        <v>35456</v>
      </c>
      <c r="G11012" t="s">
        <v>33832</v>
      </c>
      <c r="H11012" t="s">
        <v>35454</v>
      </c>
    </row>
    <row r="11013" spans="1:8">
      <c r="A11013" t="str">
        <f>"0219251 "</f>
        <v xml:space="preserve">0219251 </v>
      </c>
      <c r="B11013" t="s">
        <v>35416</v>
      </c>
      <c r="C11013" t="s">
        <v>35457</v>
      </c>
      <c r="D11013" t="s">
        <v>35458</v>
      </c>
      <c r="E11013" t="s">
        <v>16</v>
      </c>
      <c r="F11013" t="s">
        <v>35459</v>
      </c>
      <c r="G11013" t="s">
        <v>33832</v>
      </c>
      <c r="H11013" t="s">
        <v>35457</v>
      </c>
    </row>
    <row r="11014" spans="1:8">
      <c r="A11014" t="str">
        <f>"0219252 "</f>
        <v xml:space="preserve">0219252 </v>
      </c>
      <c r="B11014" t="s">
        <v>35416</v>
      </c>
      <c r="C11014" t="s">
        <v>35460</v>
      </c>
      <c r="D11014" t="s">
        <v>35461</v>
      </c>
      <c r="E11014" t="s">
        <v>16</v>
      </c>
      <c r="F11014" t="s">
        <v>2907</v>
      </c>
      <c r="G11014" t="s">
        <v>33832</v>
      </c>
      <c r="H11014" t="s">
        <v>35460</v>
      </c>
    </row>
    <row r="11015" spans="1:8">
      <c r="A11015" t="str">
        <f>"0219253 "</f>
        <v xml:space="preserve">0219253 </v>
      </c>
      <c r="B11015" t="s">
        <v>35416</v>
      </c>
      <c r="C11015" t="s">
        <v>35462</v>
      </c>
      <c r="D11015" t="s">
        <v>35463</v>
      </c>
      <c r="E11015">
        <v>5</v>
      </c>
      <c r="F11015" t="s">
        <v>34206</v>
      </c>
      <c r="G11015" t="s">
        <v>33832</v>
      </c>
      <c r="H11015" t="s">
        <v>35462</v>
      </c>
    </row>
    <row r="11016" spans="1:8">
      <c r="A11016" t="str">
        <f>"0249745 "</f>
        <v xml:space="preserve">0249745 </v>
      </c>
      <c r="B11016" t="s">
        <v>35416</v>
      </c>
      <c r="C11016" t="s">
        <v>35464</v>
      </c>
      <c r="D11016" t="s">
        <v>35465</v>
      </c>
      <c r="E11016" t="s">
        <v>16</v>
      </c>
      <c r="F11016" t="s">
        <v>341</v>
      </c>
      <c r="G11016" t="s">
        <v>33832</v>
      </c>
      <c r="H11016" t="s">
        <v>35464</v>
      </c>
    </row>
    <row r="11017" spans="1:8">
      <c r="A11017" t="str">
        <f>"0219589 "</f>
        <v xml:space="preserve">0219589 </v>
      </c>
      <c r="B11017" t="s">
        <v>35416</v>
      </c>
      <c r="C11017" t="s">
        <v>35466</v>
      </c>
      <c r="D11017" t="s">
        <v>35467</v>
      </c>
      <c r="E11017" t="s">
        <v>16</v>
      </c>
      <c r="F11017" t="s">
        <v>28814</v>
      </c>
      <c r="G11017" t="s">
        <v>33832</v>
      </c>
      <c r="H11017" t="s">
        <v>35466</v>
      </c>
    </row>
    <row r="11018" spans="1:8">
      <c r="A11018" t="str">
        <f>"0219590 "</f>
        <v xml:space="preserve">0219590 </v>
      </c>
      <c r="B11018" t="s">
        <v>35416</v>
      </c>
      <c r="C11018" t="s">
        <v>35468</v>
      </c>
      <c r="D11018" t="s">
        <v>35469</v>
      </c>
      <c r="E11018">
        <v>5</v>
      </c>
      <c r="F11018" t="s">
        <v>35470</v>
      </c>
      <c r="G11018" t="s">
        <v>33832</v>
      </c>
      <c r="H11018" t="s">
        <v>35468</v>
      </c>
    </row>
    <row r="11019" spans="1:8">
      <c r="A11019" t="str">
        <f>"0219380 "</f>
        <v xml:space="preserve">0219380 </v>
      </c>
      <c r="B11019" t="s">
        <v>35471</v>
      </c>
      <c r="C11019" t="s">
        <v>35472</v>
      </c>
      <c r="D11019" t="s">
        <v>35473</v>
      </c>
      <c r="E11019" t="s">
        <v>16</v>
      </c>
      <c r="F11019" t="s">
        <v>32136</v>
      </c>
      <c r="G11019" t="s">
        <v>32614</v>
      </c>
      <c r="H11019" t="s">
        <v>35472</v>
      </c>
    </row>
    <row r="11020" spans="1:8">
      <c r="A11020" t="str">
        <f>"0219381 "</f>
        <v xml:space="preserve">0219381 </v>
      </c>
      <c r="B11020" t="s">
        <v>35471</v>
      </c>
      <c r="C11020" t="s">
        <v>35474</v>
      </c>
      <c r="D11020" t="s">
        <v>35475</v>
      </c>
      <c r="E11020">
        <v>4</v>
      </c>
      <c r="F11020" t="s">
        <v>19805</v>
      </c>
      <c r="G11020" t="s">
        <v>32614</v>
      </c>
      <c r="H11020" t="s">
        <v>35474</v>
      </c>
    </row>
    <row r="11021" spans="1:8">
      <c r="A11021" t="str">
        <f>"0219387 "</f>
        <v xml:space="preserve">0219387 </v>
      </c>
      <c r="B11021" t="s">
        <v>35471</v>
      </c>
      <c r="C11021" t="s">
        <v>35476</v>
      </c>
      <c r="D11021" t="s">
        <v>35477</v>
      </c>
      <c r="E11021" t="s">
        <v>16</v>
      </c>
      <c r="F11021" t="s">
        <v>35478</v>
      </c>
      <c r="G11021" t="s">
        <v>32614</v>
      </c>
      <c r="H11021" t="s">
        <v>35476</v>
      </c>
    </row>
    <row r="11022" spans="1:8">
      <c r="A11022" t="str">
        <f>"0219388 "</f>
        <v xml:space="preserve">0219388 </v>
      </c>
      <c r="B11022" t="s">
        <v>35471</v>
      </c>
      <c r="C11022" t="s">
        <v>35479</v>
      </c>
      <c r="D11022" t="s">
        <v>35480</v>
      </c>
      <c r="E11022" t="s">
        <v>16</v>
      </c>
      <c r="F11022" t="s">
        <v>35481</v>
      </c>
      <c r="G11022" t="s">
        <v>32614</v>
      </c>
      <c r="H11022" t="s">
        <v>35479</v>
      </c>
    </row>
    <row r="11023" spans="1:8">
      <c r="A11023" t="str">
        <f>"0219386 "</f>
        <v xml:space="preserve">0219386 </v>
      </c>
      <c r="B11023" t="s">
        <v>35471</v>
      </c>
      <c r="C11023" t="s">
        <v>35482</v>
      </c>
      <c r="D11023" t="s">
        <v>35483</v>
      </c>
      <c r="E11023" t="s">
        <v>16</v>
      </c>
      <c r="F11023" t="s">
        <v>35470</v>
      </c>
      <c r="G11023" t="s">
        <v>32614</v>
      </c>
      <c r="H11023" t="s">
        <v>35482</v>
      </c>
    </row>
    <row r="11024" spans="1:8">
      <c r="A11024" t="str">
        <f>"0219382 "</f>
        <v xml:space="preserve">0219382 </v>
      </c>
      <c r="B11024" t="s">
        <v>35471</v>
      </c>
      <c r="C11024" t="s">
        <v>35484</v>
      </c>
      <c r="D11024" t="s">
        <v>35485</v>
      </c>
      <c r="E11024">
        <v>1</v>
      </c>
      <c r="F11024" t="s">
        <v>35486</v>
      </c>
      <c r="G11024" t="s">
        <v>32614</v>
      </c>
      <c r="H11024" t="s">
        <v>35484</v>
      </c>
    </row>
    <row r="11025" spans="1:8">
      <c r="A11025" t="str">
        <f>"0219385 "</f>
        <v xml:space="preserve">0219385 </v>
      </c>
      <c r="B11025" t="s">
        <v>35471</v>
      </c>
      <c r="C11025" t="s">
        <v>35487</v>
      </c>
      <c r="D11025" t="s">
        <v>35488</v>
      </c>
      <c r="E11025" t="s">
        <v>16</v>
      </c>
      <c r="F11025" t="s">
        <v>32645</v>
      </c>
      <c r="G11025" t="s">
        <v>32614</v>
      </c>
      <c r="H11025" t="s">
        <v>35487</v>
      </c>
    </row>
    <row r="11026" spans="1:8">
      <c r="A11026" t="str">
        <f>"0219973 "</f>
        <v xml:space="preserve">0219973 </v>
      </c>
      <c r="B11026" t="s">
        <v>35471</v>
      </c>
      <c r="C11026" t="s">
        <v>35489</v>
      </c>
      <c r="D11026" t="s">
        <v>35490</v>
      </c>
      <c r="E11026" t="s">
        <v>16</v>
      </c>
      <c r="F11026" t="s">
        <v>33812</v>
      </c>
      <c r="G11026" t="s">
        <v>32614</v>
      </c>
      <c r="H11026" t="s">
        <v>35489</v>
      </c>
    </row>
    <row r="11027" spans="1:8">
      <c r="A11027" t="str">
        <f>"0219370 "</f>
        <v xml:space="preserve">0219370 </v>
      </c>
      <c r="B11027" t="s">
        <v>35471</v>
      </c>
      <c r="C11027" t="s">
        <v>35491</v>
      </c>
      <c r="D11027" t="s">
        <v>35492</v>
      </c>
      <c r="E11027" t="s">
        <v>16</v>
      </c>
      <c r="F11027" t="s">
        <v>33872</v>
      </c>
      <c r="G11027" t="s">
        <v>32614</v>
      </c>
      <c r="H11027" t="s">
        <v>35491</v>
      </c>
    </row>
    <row r="11028" spans="1:8">
      <c r="A11028" t="str">
        <f>"0219371 "</f>
        <v xml:space="preserve">0219371 </v>
      </c>
      <c r="B11028" t="s">
        <v>35471</v>
      </c>
      <c r="C11028" t="s">
        <v>35493</v>
      </c>
      <c r="D11028" t="s">
        <v>35494</v>
      </c>
      <c r="E11028" t="s">
        <v>16</v>
      </c>
      <c r="F11028" t="s">
        <v>32683</v>
      </c>
      <c r="G11028" t="s">
        <v>32614</v>
      </c>
      <c r="H11028" t="s">
        <v>35493</v>
      </c>
    </row>
    <row r="11029" spans="1:8">
      <c r="A11029" t="str">
        <f>"0219391 "</f>
        <v xml:space="preserve">0219391 </v>
      </c>
      <c r="B11029" t="s">
        <v>35471</v>
      </c>
      <c r="C11029" t="s">
        <v>35495</v>
      </c>
      <c r="D11029" t="s">
        <v>35496</v>
      </c>
      <c r="E11029" t="s">
        <v>16</v>
      </c>
      <c r="F11029" t="s">
        <v>2939</v>
      </c>
      <c r="G11029" t="s">
        <v>32614</v>
      </c>
      <c r="H11029" t="s">
        <v>35495</v>
      </c>
    </row>
    <row r="11030" spans="1:8">
      <c r="A11030" t="str">
        <f>"0219392 "</f>
        <v xml:space="preserve">0219392 </v>
      </c>
      <c r="B11030" t="s">
        <v>35471</v>
      </c>
      <c r="C11030" t="s">
        <v>35497</v>
      </c>
      <c r="D11030" t="s">
        <v>35498</v>
      </c>
      <c r="E11030" t="s">
        <v>16</v>
      </c>
      <c r="F11030" t="s">
        <v>6068</v>
      </c>
      <c r="G11030" t="s">
        <v>35471</v>
      </c>
      <c r="H11030" t="s">
        <v>35497</v>
      </c>
    </row>
    <row r="11031" spans="1:8">
      <c r="A11031" t="str">
        <f>"0219390 "</f>
        <v xml:space="preserve">0219390 </v>
      </c>
      <c r="B11031" t="s">
        <v>35471</v>
      </c>
      <c r="C11031" t="s">
        <v>35499</v>
      </c>
      <c r="D11031" t="s">
        <v>35500</v>
      </c>
      <c r="E11031">
        <v>1</v>
      </c>
      <c r="F11031" t="s">
        <v>34020</v>
      </c>
      <c r="G11031" t="s">
        <v>32614</v>
      </c>
      <c r="H11031" t="s">
        <v>35499</v>
      </c>
    </row>
    <row r="11032" spans="1:8">
      <c r="A11032" t="str">
        <f>"0219369 "</f>
        <v xml:space="preserve">0219369 </v>
      </c>
      <c r="B11032" t="s">
        <v>35471</v>
      </c>
      <c r="C11032" t="s">
        <v>35501</v>
      </c>
      <c r="D11032" t="s">
        <v>35502</v>
      </c>
      <c r="E11032">
        <v>1</v>
      </c>
      <c r="F11032" t="s">
        <v>35503</v>
      </c>
      <c r="G11032" t="s">
        <v>35471</v>
      </c>
      <c r="H11032" t="s">
        <v>35501</v>
      </c>
    </row>
    <row r="11033" spans="1:8">
      <c r="A11033" t="str">
        <f>"0219368 "</f>
        <v xml:space="preserve">0219368 </v>
      </c>
      <c r="B11033" t="s">
        <v>35471</v>
      </c>
      <c r="C11033" t="s">
        <v>35504</v>
      </c>
      <c r="D11033" t="s">
        <v>35505</v>
      </c>
      <c r="E11033" t="s">
        <v>16</v>
      </c>
      <c r="F11033" t="s">
        <v>34593</v>
      </c>
      <c r="G11033" t="s">
        <v>32614</v>
      </c>
      <c r="H11033" t="s">
        <v>35504</v>
      </c>
    </row>
    <row r="11034" spans="1:8">
      <c r="A11034" t="str">
        <f>"0219389 "</f>
        <v xml:space="preserve">0219389 </v>
      </c>
      <c r="B11034" t="s">
        <v>35471</v>
      </c>
      <c r="C11034" t="s">
        <v>35506</v>
      </c>
      <c r="D11034" t="s">
        <v>35507</v>
      </c>
      <c r="E11034" t="s">
        <v>16</v>
      </c>
      <c r="F11034" t="s">
        <v>35508</v>
      </c>
      <c r="G11034" t="s">
        <v>32614</v>
      </c>
      <c r="H11034" t="s">
        <v>35506</v>
      </c>
    </row>
    <row r="11035" spans="1:8">
      <c r="A11035" t="str">
        <f>"0219393 "</f>
        <v xml:space="preserve">0219393 </v>
      </c>
      <c r="B11035" t="s">
        <v>35471</v>
      </c>
      <c r="C11035" t="s">
        <v>35509</v>
      </c>
      <c r="D11035" t="s">
        <v>35510</v>
      </c>
      <c r="E11035">
        <v>3</v>
      </c>
      <c r="F11035" t="s">
        <v>35511</v>
      </c>
      <c r="G11035" t="s">
        <v>32614</v>
      </c>
      <c r="H11035" t="s">
        <v>35509</v>
      </c>
    </row>
    <row r="11036" spans="1:8">
      <c r="A11036" t="str">
        <f>"0219363 "</f>
        <v xml:space="preserve">0219363 </v>
      </c>
      <c r="B11036" t="s">
        <v>35471</v>
      </c>
      <c r="C11036" t="s">
        <v>35512</v>
      </c>
      <c r="D11036" t="s">
        <v>35513</v>
      </c>
      <c r="E11036">
        <v>3</v>
      </c>
      <c r="F11036" t="s">
        <v>34593</v>
      </c>
      <c r="G11036" t="s">
        <v>33832</v>
      </c>
      <c r="H11036" t="s">
        <v>35512</v>
      </c>
    </row>
    <row r="11037" spans="1:8">
      <c r="A11037" t="str">
        <f>"0219362 "</f>
        <v xml:space="preserve">0219362 </v>
      </c>
      <c r="B11037" t="s">
        <v>35471</v>
      </c>
      <c r="C11037" t="s">
        <v>35514</v>
      </c>
      <c r="D11037" t="s">
        <v>35515</v>
      </c>
      <c r="E11037" t="s">
        <v>16</v>
      </c>
      <c r="F11037" t="s">
        <v>35516</v>
      </c>
      <c r="G11037" t="s">
        <v>33832</v>
      </c>
      <c r="H11037" t="s">
        <v>35514</v>
      </c>
    </row>
    <row r="11038" spans="1:8">
      <c r="A11038" t="str">
        <f>"0219365 "</f>
        <v xml:space="preserve">0219365 </v>
      </c>
      <c r="B11038" t="s">
        <v>35471</v>
      </c>
      <c r="C11038" t="s">
        <v>35517</v>
      </c>
      <c r="D11038" t="s">
        <v>35518</v>
      </c>
      <c r="E11038" t="s">
        <v>16</v>
      </c>
      <c r="F11038" t="s">
        <v>2990</v>
      </c>
      <c r="G11038" t="s">
        <v>33832</v>
      </c>
      <c r="H11038" t="s">
        <v>35517</v>
      </c>
    </row>
    <row r="11039" spans="1:8">
      <c r="A11039" t="str">
        <f>"0219366 "</f>
        <v xml:space="preserve">0219366 </v>
      </c>
      <c r="B11039" t="s">
        <v>35471</v>
      </c>
      <c r="C11039" t="s">
        <v>35519</v>
      </c>
      <c r="D11039" t="s">
        <v>35520</v>
      </c>
      <c r="E11039" t="s">
        <v>16</v>
      </c>
      <c r="F11039" t="s">
        <v>35521</v>
      </c>
      <c r="G11039" t="s">
        <v>33832</v>
      </c>
      <c r="H11039" t="s">
        <v>35519</v>
      </c>
    </row>
    <row r="11040" spans="1:8">
      <c r="A11040" t="str">
        <f>"0219394 "</f>
        <v xml:space="preserve">0219394 </v>
      </c>
      <c r="B11040" t="s">
        <v>35471</v>
      </c>
      <c r="C11040" t="s">
        <v>35522</v>
      </c>
      <c r="D11040" t="s">
        <v>35523</v>
      </c>
      <c r="E11040" t="s">
        <v>16</v>
      </c>
      <c r="F11040" t="s">
        <v>35459</v>
      </c>
      <c r="G11040" t="s">
        <v>33832</v>
      </c>
      <c r="H11040" t="s">
        <v>35522</v>
      </c>
    </row>
    <row r="11041" spans="1:8">
      <c r="A11041" t="str">
        <f>"0219364 "</f>
        <v xml:space="preserve">0219364 </v>
      </c>
      <c r="B11041" t="s">
        <v>35471</v>
      </c>
      <c r="C11041" t="s">
        <v>35524</v>
      </c>
      <c r="D11041" t="s">
        <v>35525</v>
      </c>
      <c r="E11041" t="s">
        <v>16</v>
      </c>
      <c r="F11041" t="s">
        <v>35526</v>
      </c>
      <c r="G11041" t="s">
        <v>33832</v>
      </c>
      <c r="H11041" t="s">
        <v>35524</v>
      </c>
    </row>
    <row r="11042" spans="1:8">
      <c r="A11042" t="str">
        <f>"0219395 "</f>
        <v xml:space="preserve">0219395 </v>
      </c>
      <c r="B11042" t="s">
        <v>35471</v>
      </c>
      <c r="C11042" t="s">
        <v>35527</v>
      </c>
      <c r="D11042" t="s">
        <v>35528</v>
      </c>
      <c r="E11042" t="s">
        <v>16</v>
      </c>
      <c r="F11042" t="s">
        <v>35529</v>
      </c>
      <c r="G11042" t="s">
        <v>33832</v>
      </c>
      <c r="H11042" t="s">
        <v>35527</v>
      </c>
    </row>
    <row r="11043" spans="1:8">
      <c r="A11043" t="str">
        <f>"0219396 "</f>
        <v xml:space="preserve">0219396 </v>
      </c>
      <c r="B11043" t="s">
        <v>35471</v>
      </c>
      <c r="C11043" t="s">
        <v>35530</v>
      </c>
      <c r="D11043" t="s">
        <v>35531</v>
      </c>
      <c r="E11043" t="s">
        <v>16</v>
      </c>
      <c r="F11043" t="s">
        <v>35532</v>
      </c>
      <c r="G11043" t="s">
        <v>33832</v>
      </c>
      <c r="H11043" t="s">
        <v>35530</v>
      </c>
    </row>
    <row r="11044" spans="1:8">
      <c r="A11044" t="str">
        <f>"0219397 "</f>
        <v xml:space="preserve">0219397 </v>
      </c>
      <c r="B11044" t="s">
        <v>35471</v>
      </c>
      <c r="C11044" t="s">
        <v>35533</v>
      </c>
      <c r="D11044" t="s">
        <v>35534</v>
      </c>
      <c r="E11044">
        <v>1</v>
      </c>
      <c r="F11044" t="s">
        <v>30026</v>
      </c>
      <c r="G11044" t="s">
        <v>33832</v>
      </c>
      <c r="H11044" t="s">
        <v>35533</v>
      </c>
    </row>
    <row r="11045" spans="1:8">
      <c r="A11045" t="str">
        <f>"0219399 "</f>
        <v xml:space="preserve">0219399 </v>
      </c>
      <c r="B11045" t="s">
        <v>35471</v>
      </c>
      <c r="C11045" t="s">
        <v>35535</v>
      </c>
      <c r="D11045" t="s">
        <v>35536</v>
      </c>
      <c r="E11045">
        <v>2</v>
      </c>
      <c r="F11045" t="s">
        <v>34025</v>
      </c>
      <c r="G11045" t="s">
        <v>33832</v>
      </c>
      <c r="H11045" t="s">
        <v>35535</v>
      </c>
    </row>
    <row r="11046" spans="1:8">
      <c r="A11046" t="str">
        <f>"0219400 "</f>
        <v xml:space="preserve">0219400 </v>
      </c>
      <c r="B11046" t="s">
        <v>35471</v>
      </c>
      <c r="C11046" t="s">
        <v>35537</v>
      </c>
      <c r="D11046" t="s">
        <v>35538</v>
      </c>
      <c r="E11046">
        <v>2</v>
      </c>
      <c r="F11046" t="s">
        <v>35539</v>
      </c>
      <c r="G11046" t="s">
        <v>33832</v>
      </c>
      <c r="H11046" t="s">
        <v>35537</v>
      </c>
    </row>
    <row r="11047" spans="1:8">
      <c r="A11047" t="str">
        <f>"0219373 "</f>
        <v xml:space="preserve">0219373 </v>
      </c>
      <c r="B11047" t="s">
        <v>35471</v>
      </c>
      <c r="C11047" t="s">
        <v>35540</v>
      </c>
      <c r="D11047" t="s">
        <v>35541</v>
      </c>
      <c r="E11047">
        <v>1</v>
      </c>
      <c r="F11047" t="s">
        <v>35542</v>
      </c>
      <c r="G11047" t="s">
        <v>33832</v>
      </c>
      <c r="H11047" t="s">
        <v>35540</v>
      </c>
    </row>
    <row r="11048" spans="1:8">
      <c r="A11048" t="str">
        <f>"0219375 "</f>
        <v xml:space="preserve">0219375 </v>
      </c>
      <c r="B11048" t="s">
        <v>35471</v>
      </c>
      <c r="C11048" t="s">
        <v>35543</v>
      </c>
      <c r="D11048" t="s">
        <v>35544</v>
      </c>
      <c r="E11048">
        <v>4</v>
      </c>
      <c r="F11048" t="s">
        <v>35545</v>
      </c>
      <c r="G11048" t="s">
        <v>33832</v>
      </c>
      <c r="H11048" t="s">
        <v>35543</v>
      </c>
    </row>
    <row r="11049" spans="1:8">
      <c r="A11049" t="str">
        <f>"0219376 "</f>
        <v xml:space="preserve">0219376 </v>
      </c>
      <c r="B11049" t="s">
        <v>35471</v>
      </c>
      <c r="C11049" t="s">
        <v>35546</v>
      </c>
      <c r="D11049" t="s">
        <v>35547</v>
      </c>
      <c r="E11049">
        <v>3</v>
      </c>
      <c r="F11049" t="s">
        <v>35548</v>
      </c>
      <c r="G11049" t="s">
        <v>33832</v>
      </c>
      <c r="H11049" t="s">
        <v>35546</v>
      </c>
    </row>
    <row r="11050" spans="1:8">
      <c r="A11050" t="str">
        <f>"0219416 "</f>
        <v xml:space="preserve">0219416 </v>
      </c>
      <c r="B11050" t="s">
        <v>35549</v>
      </c>
      <c r="C11050" t="s">
        <v>35550</v>
      </c>
      <c r="D11050" t="s">
        <v>35551</v>
      </c>
      <c r="E11050" t="s">
        <v>16</v>
      </c>
      <c r="F11050" s="3">
        <v>45323</v>
      </c>
      <c r="G11050" t="s">
        <v>32614</v>
      </c>
      <c r="H11050" t="s">
        <v>35550</v>
      </c>
    </row>
    <row r="11051" spans="1:8">
      <c r="A11051" t="str">
        <f>"0249740 "</f>
        <v xml:space="preserve">0249740 </v>
      </c>
      <c r="B11051" t="s">
        <v>35549</v>
      </c>
      <c r="C11051" t="s">
        <v>35552</v>
      </c>
      <c r="D11051" t="s">
        <v>35553</v>
      </c>
      <c r="E11051" t="s">
        <v>16</v>
      </c>
      <c r="F11051" s="3">
        <v>22402</v>
      </c>
      <c r="G11051" t="s">
        <v>32614</v>
      </c>
      <c r="H11051" t="s">
        <v>35552</v>
      </c>
    </row>
    <row r="11052" spans="1:8">
      <c r="A11052" t="str">
        <f>"0249741 "</f>
        <v xml:space="preserve">0249741 </v>
      </c>
      <c r="B11052" t="s">
        <v>35549</v>
      </c>
      <c r="C11052" t="s">
        <v>35554</v>
      </c>
      <c r="D11052" t="s">
        <v>35555</v>
      </c>
      <c r="E11052" t="s">
        <v>16</v>
      </c>
      <c r="F11052" s="3">
        <v>34090</v>
      </c>
      <c r="G11052" t="s">
        <v>32614</v>
      </c>
      <c r="H11052" t="s">
        <v>35554</v>
      </c>
    </row>
    <row r="11053" spans="1:8">
      <c r="A11053" t="str">
        <f>"0219418 "</f>
        <v xml:space="preserve">0219418 </v>
      </c>
      <c r="B11053" t="s">
        <v>35549</v>
      </c>
      <c r="C11053" t="s">
        <v>35556</v>
      </c>
      <c r="D11053" t="s">
        <v>35557</v>
      </c>
      <c r="E11053" t="s">
        <v>16</v>
      </c>
      <c r="F11053" s="3">
        <v>14642</v>
      </c>
      <c r="G11053" t="s">
        <v>32614</v>
      </c>
      <c r="H11053" t="s">
        <v>35556</v>
      </c>
    </row>
    <row r="11054" spans="1:8">
      <c r="A11054" t="str">
        <f>"0219419 "</f>
        <v xml:space="preserve">0219419 </v>
      </c>
      <c r="B11054" t="s">
        <v>35549</v>
      </c>
      <c r="C11054" t="s">
        <v>35558</v>
      </c>
      <c r="D11054" t="s">
        <v>35559</v>
      </c>
      <c r="E11054" t="s">
        <v>16</v>
      </c>
      <c r="F11054" s="3">
        <v>20486</v>
      </c>
      <c r="G11054" t="s">
        <v>32614</v>
      </c>
      <c r="H11054" t="s">
        <v>35558</v>
      </c>
    </row>
    <row r="11055" spans="1:8">
      <c r="A11055" t="str">
        <f>"0249742 "</f>
        <v xml:space="preserve">0249742 </v>
      </c>
      <c r="B11055" t="s">
        <v>35549</v>
      </c>
      <c r="C11055" t="s">
        <v>35560</v>
      </c>
      <c r="D11055" t="s">
        <v>35561</v>
      </c>
      <c r="E11055" t="s">
        <v>16</v>
      </c>
      <c r="F11055" s="3">
        <v>45809</v>
      </c>
      <c r="G11055" t="s">
        <v>32614</v>
      </c>
      <c r="H11055" t="s">
        <v>35560</v>
      </c>
    </row>
    <row r="11056" spans="1:8">
      <c r="A11056" t="str">
        <f>"0249743 "</f>
        <v xml:space="preserve">0249743 </v>
      </c>
      <c r="B11056" t="s">
        <v>35549</v>
      </c>
      <c r="C11056" t="s">
        <v>35562</v>
      </c>
      <c r="D11056" t="s">
        <v>35563</v>
      </c>
      <c r="E11056" t="s">
        <v>16</v>
      </c>
      <c r="F11056" s="3">
        <v>20972</v>
      </c>
      <c r="G11056" t="s">
        <v>32614</v>
      </c>
      <c r="H11056" t="s">
        <v>35562</v>
      </c>
    </row>
    <row r="11057" spans="1:8">
      <c r="A11057" t="str">
        <f>"0249744 "</f>
        <v xml:space="preserve">0249744 </v>
      </c>
      <c r="B11057" t="s">
        <v>35549</v>
      </c>
      <c r="C11057" t="s">
        <v>35564</v>
      </c>
      <c r="D11057" t="s">
        <v>35565</v>
      </c>
      <c r="E11057" t="s">
        <v>16</v>
      </c>
      <c r="F11057" s="3">
        <v>32660</v>
      </c>
      <c r="G11057" t="s">
        <v>32614</v>
      </c>
      <c r="H11057" t="s">
        <v>35564</v>
      </c>
    </row>
    <row r="11058" spans="1:8">
      <c r="A11058" t="str">
        <f>"0219421 "</f>
        <v xml:space="preserve">0219421 </v>
      </c>
      <c r="B11058" t="s">
        <v>35549</v>
      </c>
      <c r="C11058" t="s">
        <v>35566</v>
      </c>
      <c r="D11058" t="s">
        <v>35567</v>
      </c>
      <c r="E11058" t="s">
        <v>16</v>
      </c>
      <c r="F11058" s="3">
        <v>32174</v>
      </c>
      <c r="G11058" t="s">
        <v>32614</v>
      </c>
      <c r="H11058" t="s">
        <v>35566</v>
      </c>
    </row>
    <row r="11059" spans="1:8">
      <c r="A11059" t="str">
        <f>"0219422 "</f>
        <v xml:space="preserve">0219422 </v>
      </c>
      <c r="B11059" t="s">
        <v>35549</v>
      </c>
      <c r="C11059" t="s">
        <v>35568</v>
      </c>
      <c r="D11059" t="s">
        <v>35569</v>
      </c>
      <c r="E11059" t="s">
        <v>16</v>
      </c>
      <c r="F11059" s="3">
        <v>44256</v>
      </c>
      <c r="G11059" t="s">
        <v>32614</v>
      </c>
      <c r="H11059" t="s">
        <v>35568</v>
      </c>
    </row>
    <row r="11060" spans="1:8">
      <c r="A11060" t="str">
        <f>"0219423 "</f>
        <v xml:space="preserve">0219423 </v>
      </c>
      <c r="B11060" t="s">
        <v>35549</v>
      </c>
      <c r="C11060" t="s">
        <v>35570</v>
      </c>
      <c r="D11060" t="s">
        <v>35571</v>
      </c>
      <c r="E11060" t="s">
        <v>16</v>
      </c>
      <c r="F11060" s="3">
        <v>19419</v>
      </c>
      <c r="G11060" t="s">
        <v>32614</v>
      </c>
      <c r="H11060" t="s">
        <v>35570</v>
      </c>
    </row>
    <row r="11061" spans="1:8">
      <c r="A11061" t="str">
        <f>"0219424 "</f>
        <v xml:space="preserve">0219424 </v>
      </c>
      <c r="B11061" t="s">
        <v>35549</v>
      </c>
      <c r="C11061" t="s">
        <v>35572</v>
      </c>
      <c r="D11061" t="s">
        <v>35573</v>
      </c>
      <c r="E11061" t="s">
        <v>16</v>
      </c>
      <c r="F11061" s="3">
        <v>12145</v>
      </c>
      <c r="G11061" t="s">
        <v>32614</v>
      </c>
      <c r="H11061" t="s">
        <v>35572</v>
      </c>
    </row>
    <row r="11062" spans="1:8">
      <c r="A11062" t="str">
        <f>"0219425 "</f>
        <v xml:space="preserve">0219425 </v>
      </c>
      <c r="B11062" t="s">
        <v>35549</v>
      </c>
      <c r="C11062" t="s">
        <v>35574</v>
      </c>
      <c r="D11062" t="s">
        <v>35575</v>
      </c>
      <c r="E11062" t="s">
        <v>16</v>
      </c>
      <c r="F11062" s="3">
        <v>23833</v>
      </c>
      <c r="G11062" t="s">
        <v>32614</v>
      </c>
      <c r="H11062" t="s">
        <v>35574</v>
      </c>
    </row>
    <row r="11063" spans="1:8">
      <c r="A11063" t="str">
        <f>"0219426 "</f>
        <v xml:space="preserve">0219426 </v>
      </c>
      <c r="B11063" t="s">
        <v>35549</v>
      </c>
      <c r="C11063" t="s">
        <v>35576</v>
      </c>
      <c r="D11063" t="s">
        <v>35577</v>
      </c>
      <c r="E11063" t="s">
        <v>16</v>
      </c>
      <c r="F11063" s="3">
        <v>29677</v>
      </c>
      <c r="G11063" t="s">
        <v>32614</v>
      </c>
      <c r="H11063" t="s">
        <v>35576</v>
      </c>
    </row>
    <row r="11064" spans="1:8">
      <c r="A11064" t="str">
        <f>"0219427 "</f>
        <v xml:space="preserve">0219427 </v>
      </c>
      <c r="B11064" t="s">
        <v>35549</v>
      </c>
      <c r="C11064" t="s">
        <v>35578</v>
      </c>
      <c r="D11064" t="s">
        <v>35579</v>
      </c>
      <c r="E11064" t="s">
        <v>16</v>
      </c>
      <c r="F11064" s="3">
        <v>23833</v>
      </c>
      <c r="G11064" t="s">
        <v>32614</v>
      </c>
      <c r="H11064" t="s">
        <v>35578</v>
      </c>
    </row>
    <row r="11065" spans="1:8">
      <c r="A11065" t="str">
        <f>"0219428 "</f>
        <v xml:space="preserve">0219428 </v>
      </c>
      <c r="B11065" t="s">
        <v>35549</v>
      </c>
      <c r="C11065" t="s">
        <v>35580</v>
      </c>
      <c r="D11065" t="s">
        <v>35581</v>
      </c>
      <c r="E11065" t="s">
        <v>16</v>
      </c>
      <c r="F11065" s="3">
        <v>47239</v>
      </c>
      <c r="G11065" t="s">
        <v>32614</v>
      </c>
      <c r="H11065" t="s">
        <v>35580</v>
      </c>
    </row>
    <row r="11066" spans="1:8">
      <c r="A11066" t="str">
        <f>"0219429 "</f>
        <v xml:space="preserve">0219429 </v>
      </c>
      <c r="B11066" t="s">
        <v>35549</v>
      </c>
      <c r="C11066" t="s">
        <v>35582</v>
      </c>
      <c r="D11066" t="s">
        <v>35583</v>
      </c>
      <c r="E11066" t="s">
        <v>16</v>
      </c>
      <c r="F11066" s="3">
        <v>28246</v>
      </c>
      <c r="G11066" t="s">
        <v>32614</v>
      </c>
      <c r="H11066" t="s">
        <v>35582</v>
      </c>
    </row>
    <row r="11067" spans="1:8">
      <c r="A11067" t="str">
        <f>"0013077 "</f>
        <v xml:space="preserve">0013077 </v>
      </c>
      <c r="B11067" t="s">
        <v>35584</v>
      </c>
      <c r="C11067" t="s">
        <v>35585</v>
      </c>
      <c r="D11067" t="s">
        <v>35586</v>
      </c>
      <c r="E11067" t="s">
        <v>16</v>
      </c>
      <c r="F11067" s="3">
        <v>41426</v>
      </c>
      <c r="G11067" t="s">
        <v>35584</v>
      </c>
      <c r="H11067" t="s">
        <v>35585</v>
      </c>
    </row>
    <row r="11068" spans="1:8">
      <c r="A11068" t="str">
        <f>"0013080 "</f>
        <v xml:space="preserve">0013080 </v>
      </c>
      <c r="B11068" t="s">
        <v>35584</v>
      </c>
      <c r="C11068" t="s">
        <v>35587</v>
      </c>
      <c r="D11068" t="s">
        <v>35588</v>
      </c>
      <c r="E11068" t="s">
        <v>16</v>
      </c>
      <c r="F11068" s="3">
        <v>41426</v>
      </c>
      <c r="G11068" t="s">
        <v>35584</v>
      </c>
      <c r="H11068" t="s">
        <v>35587</v>
      </c>
    </row>
    <row r="11069" spans="1:8">
      <c r="A11069" t="str">
        <f>"0013085 "</f>
        <v xml:space="preserve">0013085 </v>
      </c>
      <c r="B11069" t="s">
        <v>35584</v>
      </c>
      <c r="C11069" t="s">
        <v>35589</v>
      </c>
      <c r="D11069" t="s">
        <v>35590</v>
      </c>
      <c r="E11069" t="s">
        <v>16</v>
      </c>
      <c r="F11069" s="3">
        <v>41426</v>
      </c>
      <c r="G11069" t="s">
        <v>35584</v>
      </c>
      <c r="H11069" t="s">
        <v>35589</v>
      </c>
    </row>
    <row r="11070" spans="1:8">
      <c r="A11070" t="str">
        <f>"0013090 "</f>
        <v xml:space="preserve">0013090 </v>
      </c>
      <c r="B11070" t="s">
        <v>35584</v>
      </c>
      <c r="C11070" t="s">
        <v>35591</v>
      </c>
      <c r="D11070" t="s">
        <v>35592</v>
      </c>
      <c r="E11070" t="s">
        <v>16</v>
      </c>
      <c r="F11070" s="3">
        <v>27181</v>
      </c>
      <c r="G11070" t="s">
        <v>35584</v>
      </c>
      <c r="H11070" t="s">
        <v>35591</v>
      </c>
    </row>
    <row r="11071" spans="1:8">
      <c r="A11071" t="str">
        <f>"0013094 "</f>
        <v xml:space="preserve">0013094 </v>
      </c>
      <c r="B11071" t="s">
        <v>35584</v>
      </c>
      <c r="C11071" t="s">
        <v>35593</v>
      </c>
      <c r="D11071" t="s">
        <v>35594</v>
      </c>
      <c r="E11071" t="s">
        <v>16</v>
      </c>
      <c r="F11071" s="3">
        <v>24289</v>
      </c>
      <c r="G11071" t="s">
        <v>35584</v>
      </c>
      <c r="H11071" t="s">
        <v>35593</v>
      </c>
    </row>
    <row r="11072" spans="1:8">
      <c r="A11072" t="str">
        <f>"0013095 "</f>
        <v xml:space="preserve">0013095 </v>
      </c>
      <c r="B11072" t="s">
        <v>35584</v>
      </c>
      <c r="C11072" t="s">
        <v>35595</v>
      </c>
      <c r="D11072" t="s">
        <v>35596</v>
      </c>
      <c r="E11072" t="s">
        <v>16</v>
      </c>
      <c r="F11072" s="3">
        <v>46966</v>
      </c>
      <c r="G11072" t="s">
        <v>35584</v>
      </c>
      <c r="H11072" t="s">
        <v>35595</v>
      </c>
    </row>
    <row r="11073" spans="1:8">
      <c r="A11073" t="str">
        <f>"0013096 "</f>
        <v xml:space="preserve">0013096 </v>
      </c>
      <c r="B11073" t="s">
        <v>35584</v>
      </c>
      <c r="C11073" t="s">
        <v>35597</v>
      </c>
      <c r="D11073" t="s">
        <v>35598</v>
      </c>
      <c r="E11073" t="s">
        <v>16</v>
      </c>
      <c r="F11073" s="3">
        <v>46966</v>
      </c>
      <c r="G11073" t="s">
        <v>35584</v>
      </c>
      <c r="H11073" t="s">
        <v>35597</v>
      </c>
    </row>
    <row r="11074" spans="1:8">
      <c r="A11074" t="str">
        <f>"0013097 "</f>
        <v xml:space="preserve">0013097 </v>
      </c>
      <c r="B11074" t="s">
        <v>35584</v>
      </c>
      <c r="C11074" t="s">
        <v>35599</v>
      </c>
      <c r="D11074" t="s">
        <v>35600</v>
      </c>
      <c r="E11074" t="s">
        <v>16</v>
      </c>
      <c r="F11074" s="3">
        <v>44075</v>
      </c>
      <c r="G11074" t="s">
        <v>35584</v>
      </c>
      <c r="H11074" t="s">
        <v>35599</v>
      </c>
    </row>
    <row r="11075" spans="1:8">
      <c r="A11075" t="str">
        <f>"0013098 "</f>
        <v xml:space="preserve">0013098 </v>
      </c>
      <c r="B11075" t="s">
        <v>35584</v>
      </c>
      <c r="C11075" t="s">
        <v>35601</v>
      </c>
      <c r="D11075" t="s">
        <v>35602</v>
      </c>
      <c r="E11075" t="s">
        <v>16</v>
      </c>
      <c r="F11075" s="3">
        <v>15615</v>
      </c>
      <c r="G11075" t="s">
        <v>35584</v>
      </c>
      <c r="H11075" t="s">
        <v>35601</v>
      </c>
    </row>
    <row r="11076" spans="1:8">
      <c r="A11076" t="str">
        <f>"0013074 "</f>
        <v xml:space="preserve">0013074 </v>
      </c>
      <c r="B11076" t="s">
        <v>35584</v>
      </c>
      <c r="C11076" t="s">
        <v>35603</v>
      </c>
      <c r="D11076" t="s">
        <v>35604</v>
      </c>
      <c r="E11076" t="s">
        <v>16</v>
      </c>
      <c r="F11076" s="3">
        <v>41426</v>
      </c>
      <c r="G11076" t="s">
        <v>35584</v>
      </c>
      <c r="H11076" t="s">
        <v>35603</v>
      </c>
    </row>
    <row r="11077" spans="1:8">
      <c r="A11077" t="str">
        <f>"0013099 "</f>
        <v xml:space="preserve">0013099 </v>
      </c>
      <c r="B11077" t="s">
        <v>35584</v>
      </c>
      <c r="C11077" t="s">
        <v>35605</v>
      </c>
      <c r="D11077" t="s">
        <v>35606</v>
      </c>
      <c r="E11077" t="s">
        <v>16</v>
      </c>
      <c r="F11077" s="3">
        <v>15615</v>
      </c>
      <c r="G11077" t="s">
        <v>35584</v>
      </c>
      <c r="H11077" t="s">
        <v>35605</v>
      </c>
    </row>
    <row r="11078" spans="1:8">
      <c r="A11078" t="str">
        <f>"0013100 "</f>
        <v xml:space="preserve">0013100 </v>
      </c>
      <c r="B11078" t="s">
        <v>35584</v>
      </c>
      <c r="C11078" t="s">
        <v>35607</v>
      </c>
      <c r="D11078" t="s">
        <v>35608</v>
      </c>
      <c r="E11078" t="s">
        <v>16</v>
      </c>
      <c r="F11078" s="1">
        <v>42805</v>
      </c>
      <c r="G11078" t="s">
        <v>35584</v>
      </c>
      <c r="H11078" t="s">
        <v>35607</v>
      </c>
    </row>
    <row r="11079" spans="1:8">
      <c r="A11079" t="str">
        <f>"0013075 "</f>
        <v xml:space="preserve">0013075 </v>
      </c>
      <c r="B11079" t="s">
        <v>35584</v>
      </c>
      <c r="C11079" t="s">
        <v>35609</v>
      </c>
      <c r="D11079" t="s">
        <v>35610</v>
      </c>
      <c r="E11079" t="s">
        <v>16</v>
      </c>
      <c r="F11079" s="3">
        <v>41426</v>
      </c>
      <c r="G11079" t="s">
        <v>35584</v>
      </c>
      <c r="H11079" t="s">
        <v>35609</v>
      </c>
    </row>
    <row r="11080" spans="1:8">
      <c r="A11080" t="str">
        <f>"0013076 "</f>
        <v xml:space="preserve">0013076 </v>
      </c>
      <c r="B11080" t="s">
        <v>35584</v>
      </c>
      <c r="C11080" t="s">
        <v>35611</v>
      </c>
      <c r="D11080" t="s">
        <v>35612</v>
      </c>
      <c r="E11080" t="s">
        <v>16</v>
      </c>
      <c r="F11080" s="3">
        <v>41426</v>
      </c>
      <c r="G11080" t="s">
        <v>35584</v>
      </c>
      <c r="H11080" t="s">
        <v>35611</v>
      </c>
    </row>
    <row r="11081" spans="1:8">
      <c r="A11081" t="str">
        <f>"0013101 "</f>
        <v xml:space="preserve">0013101 </v>
      </c>
      <c r="B11081" t="s">
        <v>35584</v>
      </c>
      <c r="C11081" t="s">
        <v>35613</v>
      </c>
      <c r="D11081" t="s">
        <v>35614</v>
      </c>
      <c r="E11081" t="s">
        <v>16</v>
      </c>
      <c r="F11081" s="3">
        <v>35004</v>
      </c>
      <c r="G11081" t="s">
        <v>35584</v>
      </c>
      <c r="H11081" t="s">
        <v>35613</v>
      </c>
    </row>
    <row r="11082" spans="1:8">
      <c r="A11082" t="str">
        <f>"0013102 "</f>
        <v xml:space="preserve">0013102 </v>
      </c>
      <c r="B11082" t="s">
        <v>35584</v>
      </c>
      <c r="C11082" t="s">
        <v>35615</v>
      </c>
      <c r="D11082" t="s">
        <v>35616</v>
      </c>
      <c r="E11082" t="s">
        <v>16</v>
      </c>
      <c r="F11082" s="3">
        <v>35004</v>
      </c>
      <c r="G11082" t="s">
        <v>35584</v>
      </c>
      <c r="H11082" t="s">
        <v>35615</v>
      </c>
    </row>
    <row r="11083" spans="1:8">
      <c r="A11083" t="str">
        <f>"0219993 "</f>
        <v xml:space="preserve">0219993 </v>
      </c>
      <c r="B11083" t="s">
        <v>35617</v>
      </c>
      <c r="C11083" t="str">
        <f>"0126 6565 015"</f>
        <v>0126 6565 015</v>
      </c>
      <c r="D11083" t="s">
        <v>35618</v>
      </c>
      <c r="E11083">
        <v>1</v>
      </c>
      <c r="F11083" s="3">
        <v>41395</v>
      </c>
      <c r="G11083" t="s">
        <v>35619</v>
      </c>
      <c r="H11083" t="str">
        <f>"0126 6565 015"</f>
        <v>0126 6565 015</v>
      </c>
    </row>
    <row r="11084" spans="1:8">
      <c r="A11084" t="str">
        <f>"0219994 "</f>
        <v xml:space="preserve">0219994 </v>
      </c>
      <c r="B11084" t="s">
        <v>35617</v>
      </c>
      <c r="C11084" t="str">
        <f>"0126 6565 017"</f>
        <v>0126 6565 017</v>
      </c>
      <c r="D11084" t="s">
        <v>35620</v>
      </c>
      <c r="E11084" t="s">
        <v>16</v>
      </c>
      <c r="F11084" s="3">
        <v>11810</v>
      </c>
      <c r="G11084" t="s">
        <v>35619</v>
      </c>
      <c r="H11084" t="str">
        <f>"0126 6565 017"</f>
        <v>0126 6565 017</v>
      </c>
    </row>
    <row r="11085" spans="1:8">
      <c r="A11085" t="str">
        <f>"0219996 "</f>
        <v xml:space="preserve">0219996 </v>
      </c>
      <c r="B11085" t="s">
        <v>35617</v>
      </c>
      <c r="C11085" t="str">
        <f>"0126 6565 026"</f>
        <v>0126 6565 026</v>
      </c>
      <c r="D11085" t="s">
        <v>35621</v>
      </c>
      <c r="E11085" t="s">
        <v>16</v>
      </c>
      <c r="F11085" s="3">
        <v>25689</v>
      </c>
      <c r="G11085" t="s">
        <v>35619</v>
      </c>
      <c r="H11085" t="str">
        <f>"0126 6565 026"</f>
        <v>0126 6565 026</v>
      </c>
    </row>
    <row r="11086" spans="1:8">
      <c r="A11086" t="str">
        <f>"0219985 "</f>
        <v xml:space="preserve">0219985 </v>
      </c>
      <c r="B11086" t="s">
        <v>35617</v>
      </c>
      <c r="C11086" t="str">
        <f>"0126 6565 043"</f>
        <v>0126 6565 043</v>
      </c>
      <c r="D11086" t="s">
        <v>35622</v>
      </c>
      <c r="E11086" t="s">
        <v>16</v>
      </c>
      <c r="F11086" s="3">
        <v>23894</v>
      </c>
      <c r="G11086" t="s">
        <v>35619</v>
      </c>
      <c r="H11086" t="str">
        <f>"0126 6565 043"</f>
        <v>0126 6565 043</v>
      </c>
    </row>
    <row r="11087" spans="1:8">
      <c r="A11087" t="str">
        <f>"0219986 "</f>
        <v xml:space="preserve">0219986 </v>
      </c>
      <c r="B11087" t="s">
        <v>35617</v>
      </c>
      <c r="C11087" t="str">
        <f>"0126 6565 050"</f>
        <v>0126 6565 050</v>
      </c>
      <c r="D11087" t="s">
        <v>35623</v>
      </c>
      <c r="E11087" t="s">
        <v>16</v>
      </c>
      <c r="F11087" s="3">
        <v>30834</v>
      </c>
      <c r="G11087" t="s">
        <v>35619</v>
      </c>
      <c r="H11087" t="str">
        <f>"0126 6565 050"</f>
        <v>0126 6565 050</v>
      </c>
    </row>
    <row r="11088" spans="1:8">
      <c r="A11088" t="str">
        <f>"0219987 "</f>
        <v xml:space="preserve">0219987 </v>
      </c>
      <c r="B11088" t="s">
        <v>35617</v>
      </c>
      <c r="C11088" t="str">
        <f>"0126 6565 060"</f>
        <v>0126 6565 060</v>
      </c>
      <c r="D11088" t="s">
        <v>35624</v>
      </c>
      <c r="E11088" t="s">
        <v>16</v>
      </c>
      <c r="F11088" s="1">
        <v>42801</v>
      </c>
      <c r="G11088" t="s">
        <v>35619</v>
      </c>
      <c r="H11088" t="str">
        <f>"0126 6565 060"</f>
        <v>0126 6565 060</v>
      </c>
    </row>
    <row r="11089" spans="1:8">
      <c r="A11089" t="str">
        <f>"0219989 "</f>
        <v xml:space="preserve">0219989 </v>
      </c>
      <c r="B11089" t="s">
        <v>35617</v>
      </c>
      <c r="C11089" t="str">
        <f>"0126 6565 080"</f>
        <v>0126 6565 080</v>
      </c>
      <c r="D11089" t="s">
        <v>35625</v>
      </c>
      <c r="E11089" t="s">
        <v>16</v>
      </c>
      <c r="F11089" s="1">
        <v>43078</v>
      </c>
      <c r="G11089" t="s">
        <v>35619</v>
      </c>
      <c r="H11089" t="str">
        <f>"0126 6565 080"</f>
        <v>0126 6565 080</v>
      </c>
    </row>
    <row r="11090" spans="1:8">
      <c r="A11090" t="str">
        <f>"0219998 "</f>
        <v xml:space="preserve">0219998 </v>
      </c>
      <c r="B11090" t="s">
        <v>35617</v>
      </c>
      <c r="C11090" t="str">
        <f>"0126 6565 100"</f>
        <v>0126 6565 100</v>
      </c>
      <c r="D11090" t="s">
        <v>35626</v>
      </c>
      <c r="E11090" t="s">
        <v>16</v>
      </c>
      <c r="F11090" s="1">
        <v>42926</v>
      </c>
      <c r="G11090" t="s">
        <v>35619</v>
      </c>
      <c r="H11090" t="str">
        <f>"0126 6565 100"</f>
        <v>0126 6565 100</v>
      </c>
    </row>
    <row r="11091" spans="1:8">
      <c r="A11091" t="str">
        <f>"0219441 "</f>
        <v xml:space="preserve">0219441 </v>
      </c>
      <c r="B11091" t="s">
        <v>35617</v>
      </c>
      <c r="C11091" t="str">
        <f>"0126 7565 010"</f>
        <v>0126 7565 010</v>
      </c>
      <c r="D11091" t="s">
        <v>35627</v>
      </c>
      <c r="E11091" t="s">
        <v>16</v>
      </c>
      <c r="F11091" s="3">
        <v>11810</v>
      </c>
      <c r="G11091" t="s">
        <v>35619</v>
      </c>
      <c r="H11091" t="str">
        <f>"0126 7565 010"</f>
        <v>0126 7565 010</v>
      </c>
    </row>
    <row r="11092" spans="1:8">
      <c r="A11092" t="str">
        <f>"0219442 "</f>
        <v xml:space="preserve">0219442 </v>
      </c>
      <c r="B11092" t="s">
        <v>35617</v>
      </c>
      <c r="C11092" t="str">
        <f>"0126 7565 013"</f>
        <v>0126 7565 013</v>
      </c>
      <c r="D11092" t="s">
        <v>35628</v>
      </c>
      <c r="E11092" t="s">
        <v>16</v>
      </c>
      <c r="F11092" s="3">
        <v>18749</v>
      </c>
      <c r="G11092" t="s">
        <v>35619</v>
      </c>
      <c r="H11092" t="str">
        <f>"0126 7565 013"</f>
        <v>0126 7565 013</v>
      </c>
    </row>
    <row r="11093" spans="1:8">
      <c r="A11093" t="str">
        <f>"0219443 "</f>
        <v xml:space="preserve">0219443 </v>
      </c>
      <c r="B11093" t="s">
        <v>35617</v>
      </c>
      <c r="C11093" t="str">
        <f>"0126 7565 015"</f>
        <v>0126 7565 015</v>
      </c>
      <c r="D11093" t="s">
        <v>35629</v>
      </c>
      <c r="E11093" t="s">
        <v>16</v>
      </c>
      <c r="F11093" s="3">
        <v>18749</v>
      </c>
      <c r="G11093" t="s">
        <v>35619</v>
      </c>
      <c r="H11093" t="str">
        <f>"0126 7565 015"</f>
        <v>0126 7565 015</v>
      </c>
    </row>
    <row r="11094" spans="1:8">
      <c r="A11094" t="str">
        <f>"0219444 "</f>
        <v xml:space="preserve">0219444 </v>
      </c>
      <c r="B11094" t="s">
        <v>35617</v>
      </c>
      <c r="C11094" t="str">
        <f>"0126 7565 017"</f>
        <v>0126 7565 017</v>
      </c>
      <c r="D11094" t="s">
        <v>35630</v>
      </c>
      <c r="E11094" t="s">
        <v>16</v>
      </c>
      <c r="F11094" s="3">
        <v>25689</v>
      </c>
      <c r="G11094" t="s">
        <v>35619</v>
      </c>
      <c r="H11094" t="str">
        <f>"0126 7565 017"</f>
        <v>0126 7565 017</v>
      </c>
    </row>
    <row r="11095" spans="1:8">
      <c r="A11095" t="str">
        <f>"0219445 "</f>
        <v xml:space="preserve">0219445 </v>
      </c>
      <c r="B11095" t="s">
        <v>35617</v>
      </c>
      <c r="C11095" t="str">
        <f>"0126 7565 021"</f>
        <v>0126 7565 021</v>
      </c>
      <c r="D11095" t="s">
        <v>35631</v>
      </c>
      <c r="E11095" t="s">
        <v>16</v>
      </c>
      <c r="F11095" s="3">
        <v>32629</v>
      </c>
      <c r="G11095" t="s">
        <v>35619</v>
      </c>
      <c r="H11095" t="str">
        <f>"0126 7565 021"</f>
        <v>0126 7565 021</v>
      </c>
    </row>
    <row r="11096" spans="1:8">
      <c r="A11096" t="str">
        <f>"0219454 "</f>
        <v xml:space="preserve">0219454 </v>
      </c>
      <c r="B11096" t="s">
        <v>35617</v>
      </c>
      <c r="C11096" t="str">
        <f>"0126 7565 026"</f>
        <v>0126 7565 026</v>
      </c>
      <c r="D11096" t="s">
        <v>35632</v>
      </c>
      <c r="E11096" t="s">
        <v>16</v>
      </c>
      <c r="F11096" s="3">
        <v>32629</v>
      </c>
      <c r="G11096" t="s">
        <v>35619</v>
      </c>
      <c r="H11096" t="str">
        <f>"0126 7565 026"</f>
        <v>0126 7565 026</v>
      </c>
    </row>
    <row r="11097" spans="1:8">
      <c r="A11097" t="str">
        <f>"0219455 "</f>
        <v xml:space="preserve">0219455 </v>
      </c>
      <c r="B11097" t="s">
        <v>35617</v>
      </c>
      <c r="C11097" t="str">
        <f>"0126 7565 032"</f>
        <v>0126 7565 032</v>
      </c>
      <c r="D11097" t="s">
        <v>35633</v>
      </c>
      <c r="E11097" t="s">
        <v>16</v>
      </c>
      <c r="F11097" s="3">
        <v>23894</v>
      </c>
      <c r="G11097" t="s">
        <v>35619</v>
      </c>
      <c r="H11097" t="str">
        <f>"0126 7565 032"</f>
        <v>0126 7565 032</v>
      </c>
    </row>
    <row r="11098" spans="1:8">
      <c r="A11098" t="str">
        <f>"0219446 "</f>
        <v xml:space="preserve">0219446 </v>
      </c>
      <c r="B11098" t="s">
        <v>35617</v>
      </c>
      <c r="C11098" t="str">
        <f>"0126 7565 037"</f>
        <v>0126 7565 037</v>
      </c>
      <c r="D11098" t="s">
        <v>35634</v>
      </c>
      <c r="E11098" t="s">
        <v>16</v>
      </c>
      <c r="F11098" s="3">
        <v>30834</v>
      </c>
      <c r="G11098" t="s">
        <v>35619</v>
      </c>
      <c r="H11098" t="str">
        <f>"0126 7565 037"</f>
        <v>0126 7565 037</v>
      </c>
    </row>
    <row r="11099" spans="1:8">
      <c r="A11099" t="str">
        <f>"0219453 "</f>
        <v xml:space="preserve">0219453 </v>
      </c>
      <c r="B11099" t="s">
        <v>35617</v>
      </c>
      <c r="C11099" t="str">
        <f>"0126 7565 043"</f>
        <v>0126 7565 043</v>
      </c>
      <c r="D11099" t="s">
        <v>35635</v>
      </c>
      <c r="E11099" t="s">
        <v>16</v>
      </c>
      <c r="F11099" s="1">
        <v>42801</v>
      </c>
      <c r="G11099" t="s">
        <v>35619</v>
      </c>
      <c r="H11099" t="str">
        <f>"0126 7565 043"</f>
        <v>0126 7565 043</v>
      </c>
    </row>
    <row r="11100" spans="1:8">
      <c r="A11100" t="str">
        <f>"0219447 "</f>
        <v xml:space="preserve">0219447 </v>
      </c>
      <c r="B11100" t="s">
        <v>35617</v>
      </c>
      <c r="C11100" t="str">
        <f>"0126 7565 050"</f>
        <v>0126 7565 050</v>
      </c>
      <c r="D11100" t="s">
        <v>35636</v>
      </c>
      <c r="E11100" t="s">
        <v>16</v>
      </c>
      <c r="F11100" s="3">
        <v>44743</v>
      </c>
      <c r="G11100" t="s">
        <v>35619</v>
      </c>
      <c r="H11100" t="str">
        <f>"0126 7565 050"</f>
        <v>0126 7565 050</v>
      </c>
    </row>
    <row r="11101" spans="1:8">
      <c r="A11101" t="str">
        <f>"0219448 "</f>
        <v xml:space="preserve">0219448 </v>
      </c>
      <c r="B11101" t="s">
        <v>35617</v>
      </c>
      <c r="C11101" t="str">
        <f>"0126 7565 060"</f>
        <v>0126 7565 060</v>
      </c>
      <c r="D11101" t="s">
        <v>35637</v>
      </c>
      <c r="E11101" t="s">
        <v>16</v>
      </c>
      <c r="F11101" s="3">
        <v>15158</v>
      </c>
      <c r="G11101" t="s">
        <v>35619</v>
      </c>
      <c r="H11101" t="str">
        <f>"0126 7565 060"</f>
        <v>0126 7565 060</v>
      </c>
    </row>
    <row r="11102" spans="1:8">
      <c r="A11102" t="str">
        <f>"0219449 "</f>
        <v xml:space="preserve">0219449 </v>
      </c>
      <c r="B11102" t="s">
        <v>35617</v>
      </c>
      <c r="C11102" t="str">
        <f>"0126 7565 070"</f>
        <v>0126 7565 070</v>
      </c>
      <c r="D11102" t="s">
        <v>35638</v>
      </c>
      <c r="E11102" t="s">
        <v>16</v>
      </c>
      <c r="F11102" s="3">
        <v>42948</v>
      </c>
      <c r="G11102" t="s">
        <v>35619</v>
      </c>
      <c r="H11102" t="str">
        <f>"0126 7565 070"</f>
        <v>0126 7565 070</v>
      </c>
    </row>
    <row r="11103" spans="1:8">
      <c r="A11103" t="str">
        <f>"0219450 "</f>
        <v xml:space="preserve">0219450 </v>
      </c>
      <c r="B11103" t="s">
        <v>35617</v>
      </c>
      <c r="C11103" t="str">
        <f>"0126 7565 080"</f>
        <v>0126 7565 080</v>
      </c>
      <c r="D11103" t="s">
        <v>35639</v>
      </c>
      <c r="E11103" t="s">
        <v>16</v>
      </c>
      <c r="F11103" s="3">
        <v>18507</v>
      </c>
      <c r="G11103" t="s">
        <v>35619</v>
      </c>
      <c r="H11103" t="str">
        <f>"0126 7565 080"</f>
        <v>0126 7565 080</v>
      </c>
    </row>
    <row r="11104" spans="1:8">
      <c r="A11104" t="str">
        <f>"0219451 "</f>
        <v xml:space="preserve">0219451 </v>
      </c>
      <c r="B11104" t="s">
        <v>35617</v>
      </c>
      <c r="C11104" t="str">
        <f>"0126 7565 090"</f>
        <v>0126 7565 090</v>
      </c>
      <c r="D11104" t="s">
        <v>35640</v>
      </c>
      <c r="E11104" t="s">
        <v>16</v>
      </c>
      <c r="F11104" s="3">
        <v>25447</v>
      </c>
      <c r="G11104" t="s">
        <v>35619</v>
      </c>
      <c r="H11104" t="str">
        <f>"0126 7565 090"</f>
        <v>0126 7565 090</v>
      </c>
    </row>
    <row r="11105" spans="1:8">
      <c r="A11105" t="str">
        <f>"0232657 "</f>
        <v xml:space="preserve">0232657 </v>
      </c>
      <c r="B11105" t="s">
        <v>35617</v>
      </c>
      <c r="C11105" t="str">
        <f>"0126 7702 013"</f>
        <v>0126 7702 013</v>
      </c>
      <c r="D11105" t="s">
        <v>35641</v>
      </c>
      <c r="E11105">
        <v>4</v>
      </c>
      <c r="F11105" s="3">
        <v>22098</v>
      </c>
      <c r="G11105" t="s">
        <v>35619</v>
      </c>
      <c r="H11105" t="str">
        <f>"0126 7702 013"</f>
        <v>0126 7702 013</v>
      </c>
    </row>
    <row r="11106" spans="1:8">
      <c r="A11106" t="str">
        <f>"0219430 "</f>
        <v xml:space="preserve">0219430 </v>
      </c>
      <c r="B11106" t="s">
        <v>35617</v>
      </c>
      <c r="C11106" t="str">
        <f>"0126 7702 017"</f>
        <v>0126 7702 017</v>
      </c>
      <c r="D11106" t="s">
        <v>35642</v>
      </c>
      <c r="E11106" t="s">
        <v>16</v>
      </c>
      <c r="F11106" s="3">
        <v>35977</v>
      </c>
      <c r="G11106" t="s">
        <v>35619</v>
      </c>
      <c r="H11106" t="str">
        <f>"0126 7702 017"</f>
        <v>0126 7702 017</v>
      </c>
    </row>
    <row r="11107" spans="1:8">
      <c r="A11107" t="str">
        <f>"0219431 "</f>
        <v xml:space="preserve">0219431 </v>
      </c>
      <c r="B11107" t="s">
        <v>35617</v>
      </c>
      <c r="C11107" t="str">
        <f>"0126 7702 021"</f>
        <v>0126 7702 021</v>
      </c>
      <c r="D11107" t="s">
        <v>35643</v>
      </c>
      <c r="E11107" t="s">
        <v>16</v>
      </c>
      <c r="F11107" s="3">
        <v>42948</v>
      </c>
      <c r="G11107" t="s">
        <v>35619</v>
      </c>
      <c r="H11107" t="str">
        <f>"0126 7702 021"</f>
        <v>0126 7702 021</v>
      </c>
    </row>
    <row r="11108" spans="1:8">
      <c r="A11108" t="str">
        <f>"0219432 "</f>
        <v xml:space="preserve">0219432 </v>
      </c>
      <c r="B11108" t="s">
        <v>35617</v>
      </c>
      <c r="C11108" t="str">
        <f>"0126 7702 026"</f>
        <v>0126 7702 026</v>
      </c>
      <c r="D11108" t="s">
        <v>35644</v>
      </c>
      <c r="E11108" t="s">
        <v>16</v>
      </c>
      <c r="F11108" s="3">
        <v>27242</v>
      </c>
      <c r="G11108" t="s">
        <v>35619</v>
      </c>
      <c r="H11108" t="str">
        <f>"0126 7702 026"</f>
        <v>0126 7702 026</v>
      </c>
    </row>
    <row r="11109" spans="1:8">
      <c r="A11109" t="str">
        <f>"0219433 "</f>
        <v xml:space="preserve">0219433 </v>
      </c>
      <c r="B11109" t="s">
        <v>35617</v>
      </c>
      <c r="C11109" t="str">
        <f>"0126 7702 032"</f>
        <v>0126 7702 032</v>
      </c>
      <c r="D11109" t="s">
        <v>35645</v>
      </c>
      <c r="E11109" t="s">
        <v>16</v>
      </c>
      <c r="F11109" s="3">
        <v>11567</v>
      </c>
      <c r="G11109" t="s">
        <v>35619</v>
      </c>
      <c r="H11109" t="str">
        <f>"0126 7702 032"</f>
        <v>0126 7702 032</v>
      </c>
    </row>
    <row r="11110" spans="1:8">
      <c r="A11110" t="str">
        <f>"0219434 "</f>
        <v xml:space="preserve">0219434 </v>
      </c>
      <c r="B11110" t="s">
        <v>35617</v>
      </c>
      <c r="C11110" t="str">
        <f>"0126 7702 037"</f>
        <v>0126 7702 037</v>
      </c>
      <c r="D11110" t="s">
        <v>35646</v>
      </c>
      <c r="E11110" t="s">
        <v>16</v>
      </c>
      <c r="F11110" s="3">
        <v>18507</v>
      </c>
      <c r="G11110" t="s">
        <v>35619</v>
      </c>
      <c r="H11110" t="str">
        <f>"0126 7702 037"</f>
        <v>0126 7702 037</v>
      </c>
    </row>
    <row r="11111" spans="1:8">
      <c r="A11111" t="str">
        <f>"0219436 "</f>
        <v xml:space="preserve">0219436 </v>
      </c>
      <c r="B11111" t="s">
        <v>35617</v>
      </c>
      <c r="C11111" t="str">
        <f>"0126 7702 050"</f>
        <v>0126 7702 050</v>
      </c>
      <c r="D11111" t="s">
        <v>35647</v>
      </c>
      <c r="E11111" t="s">
        <v>16</v>
      </c>
      <c r="F11111" s="3">
        <v>32387</v>
      </c>
      <c r="G11111" t="s">
        <v>35619</v>
      </c>
      <c r="H11111" t="str">
        <f>"0126 7702 050"</f>
        <v>0126 7702 050</v>
      </c>
    </row>
    <row r="11112" spans="1:8">
      <c r="A11112" t="str">
        <f>"0232658 "</f>
        <v xml:space="preserve">0232658 </v>
      </c>
      <c r="B11112" t="s">
        <v>35617</v>
      </c>
      <c r="C11112" t="str">
        <f>"0126 7702 060"</f>
        <v>0126 7702 060</v>
      </c>
      <c r="D11112" t="s">
        <v>35648</v>
      </c>
      <c r="E11112" t="s">
        <v>16</v>
      </c>
      <c r="F11112" s="3">
        <v>46296</v>
      </c>
      <c r="G11112" t="s">
        <v>35619</v>
      </c>
      <c r="H11112" t="str">
        <f>"0126 7702 060"</f>
        <v>0126 7702 060</v>
      </c>
    </row>
    <row r="11113" spans="1:8">
      <c r="A11113" t="str">
        <f>"0219437 "</f>
        <v xml:space="preserve">0219437 </v>
      </c>
      <c r="B11113" t="s">
        <v>35617</v>
      </c>
      <c r="C11113" t="str">
        <f>"0126 7702 070"</f>
        <v>0126 7702 070</v>
      </c>
      <c r="D11113" t="s">
        <v>35649</v>
      </c>
      <c r="E11113" t="s">
        <v>16</v>
      </c>
      <c r="F11113" s="3">
        <v>23651</v>
      </c>
      <c r="G11113" t="s">
        <v>35619</v>
      </c>
      <c r="H11113" t="str">
        <f>"0126 7702 070"</f>
        <v>0126 7702 070</v>
      </c>
    </row>
    <row r="11114" spans="1:8">
      <c r="A11114" t="str">
        <f>"0219438 "</f>
        <v xml:space="preserve">0219438 </v>
      </c>
      <c r="B11114" t="s">
        <v>35617</v>
      </c>
      <c r="C11114" t="str">
        <f>"0126 7702 080"</f>
        <v>0126 7702 080</v>
      </c>
      <c r="D11114" t="s">
        <v>35650</v>
      </c>
      <c r="E11114" t="s">
        <v>16</v>
      </c>
      <c r="F11114" s="3">
        <v>20059</v>
      </c>
      <c r="G11114" t="s">
        <v>35619</v>
      </c>
      <c r="H11114" t="str">
        <f>"0126 7702 080"</f>
        <v>0126 7702 080</v>
      </c>
    </row>
    <row r="11115" spans="1:8">
      <c r="A11115" t="str">
        <f>"0219439 "</f>
        <v xml:space="preserve">0219439 </v>
      </c>
      <c r="B11115" t="s">
        <v>35617</v>
      </c>
      <c r="C11115" t="str">
        <f>"0126 7702 090"</f>
        <v>0126 7702 090</v>
      </c>
      <c r="D11115" t="s">
        <v>35651</v>
      </c>
      <c r="E11115" t="s">
        <v>16</v>
      </c>
      <c r="F11115" s="3">
        <v>33939</v>
      </c>
      <c r="G11115" t="s">
        <v>35619</v>
      </c>
      <c r="H11115" t="str">
        <f>"0126 7702 090"</f>
        <v>0126 7702 090</v>
      </c>
    </row>
    <row r="11116" spans="1:8">
      <c r="A11116" t="str">
        <f>"0219440 "</f>
        <v xml:space="preserve">0219440 </v>
      </c>
      <c r="B11116" t="s">
        <v>35617</v>
      </c>
      <c r="C11116" t="str">
        <f>"0126 7702 100"</f>
        <v>0126 7702 100</v>
      </c>
      <c r="D11116" t="s">
        <v>35652</v>
      </c>
      <c r="E11116" t="s">
        <v>16</v>
      </c>
      <c r="F11116" t="s">
        <v>35653</v>
      </c>
      <c r="G11116" t="s">
        <v>35619</v>
      </c>
      <c r="H11116" t="str">
        <f>"0126 7702 100"</f>
        <v>0126 7702 100</v>
      </c>
    </row>
    <row r="11117" spans="1:8">
      <c r="A11117" t="str">
        <f>"0219456 "</f>
        <v xml:space="preserve">0219456 </v>
      </c>
      <c r="B11117" t="s">
        <v>35654</v>
      </c>
      <c r="C11117" t="str">
        <f>"10900012"</f>
        <v>10900012</v>
      </c>
      <c r="D11117" t="s">
        <v>35655</v>
      </c>
      <c r="E11117" t="s">
        <v>16</v>
      </c>
      <c r="F11117" s="3">
        <v>15401</v>
      </c>
      <c r="G11117" t="s">
        <v>35656</v>
      </c>
      <c r="H11117" t="str">
        <f>"10900012"</f>
        <v>10900012</v>
      </c>
    </row>
    <row r="11118" spans="1:8">
      <c r="A11118" t="str">
        <f>"0232711 "</f>
        <v xml:space="preserve">0232711 </v>
      </c>
      <c r="B11118" t="s">
        <v>35654</v>
      </c>
      <c r="C11118" t="str">
        <f>"10900013"</f>
        <v>10900013</v>
      </c>
      <c r="D11118" t="s">
        <v>35657</v>
      </c>
      <c r="E11118" t="s">
        <v>16</v>
      </c>
      <c r="F11118" s="3">
        <v>43191</v>
      </c>
      <c r="G11118" t="s">
        <v>35656</v>
      </c>
      <c r="H11118" t="str">
        <f>"10900013"</f>
        <v>10900013</v>
      </c>
    </row>
    <row r="11119" spans="1:8">
      <c r="A11119" t="str">
        <f>"0219999 "</f>
        <v xml:space="preserve">0219999 </v>
      </c>
      <c r="B11119" t="s">
        <v>35654</v>
      </c>
      <c r="C11119" t="str">
        <f>"10900014"</f>
        <v>10900014</v>
      </c>
      <c r="D11119" t="s">
        <v>35658</v>
      </c>
      <c r="E11119" t="s">
        <v>16</v>
      </c>
      <c r="F11119" s="3">
        <v>20302</v>
      </c>
      <c r="G11119" t="s">
        <v>35656</v>
      </c>
      <c r="H11119" t="str">
        <f>"10900014"</f>
        <v>10900014</v>
      </c>
    </row>
    <row r="11120" spans="1:8">
      <c r="A11120" t="str">
        <f>"0219462 "</f>
        <v xml:space="preserve">0219462 </v>
      </c>
      <c r="B11120" t="s">
        <v>35654</v>
      </c>
      <c r="C11120" t="str">
        <f>"10900015"</f>
        <v>10900015</v>
      </c>
      <c r="D11120" t="s">
        <v>35659</v>
      </c>
      <c r="E11120" t="s">
        <v>16</v>
      </c>
      <c r="F11120" s="3">
        <v>16711</v>
      </c>
      <c r="G11120" t="s">
        <v>35656</v>
      </c>
      <c r="H11120" t="str">
        <f>"10900015"</f>
        <v>10900015</v>
      </c>
    </row>
    <row r="11121" spans="1:8">
      <c r="A11121" t="str">
        <f>"0219457 "</f>
        <v xml:space="preserve">0219457 </v>
      </c>
      <c r="B11121" t="s">
        <v>35654</v>
      </c>
      <c r="C11121" t="str">
        <f>"10900016"</f>
        <v>10900016</v>
      </c>
      <c r="D11121" t="s">
        <v>35660</v>
      </c>
      <c r="E11121" t="s">
        <v>16</v>
      </c>
      <c r="F11121" s="3">
        <v>22341</v>
      </c>
      <c r="G11121" t="s">
        <v>35656</v>
      </c>
      <c r="H11121" t="str">
        <f>"10900016"</f>
        <v>10900016</v>
      </c>
    </row>
    <row r="11122" spans="1:8">
      <c r="A11122" t="str">
        <f>"0220000 "</f>
        <v xml:space="preserve">0220000 </v>
      </c>
      <c r="B11122" t="s">
        <v>35654</v>
      </c>
      <c r="C11122" t="str">
        <f>"10900017"</f>
        <v>10900017</v>
      </c>
      <c r="D11122" t="s">
        <v>35661</v>
      </c>
      <c r="E11122" t="s">
        <v>16</v>
      </c>
      <c r="F11122" s="3">
        <v>13606</v>
      </c>
      <c r="G11122" t="s">
        <v>35656</v>
      </c>
      <c r="H11122" t="str">
        <f>"10900017"</f>
        <v>10900017</v>
      </c>
    </row>
    <row r="11123" spans="1:8">
      <c r="A11123" t="str">
        <f>"0219458 "</f>
        <v xml:space="preserve">0219458 </v>
      </c>
      <c r="B11123" t="s">
        <v>35654</v>
      </c>
      <c r="C11123" t="str">
        <f>"10900018"</f>
        <v>10900018</v>
      </c>
      <c r="D11123" t="s">
        <v>35662</v>
      </c>
      <c r="E11123" t="s">
        <v>16</v>
      </c>
      <c r="F11123" s="3">
        <v>36220</v>
      </c>
      <c r="G11123" t="s">
        <v>35656</v>
      </c>
      <c r="H11123" t="str">
        <f>"10900018"</f>
        <v>10900018</v>
      </c>
    </row>
    <row r="11124" spans="1:8">
      <c r="A11124" t="str">
        <f>"0232712 "</f>
        <v xml:space="preserve">0232712 </v>
      </c>
      <c r="B11124" t="s">
        <v>35654</v>
      </c>
      <c r="C11124" t="str">
        <f>"10900019"</f>
        <v>10900019</v>
      </c>
      <c r="D11124" t="s">
        <v>35663</v>
      </c>
      <c r="E11124" t="s">
        <v>16</v>
      </c>
      <c r="F11124" s="3">
        <v>34425</v>
      </c>
      <c r="G11124" t="s">
        <v>35656</v>
      </c>
      <c r="H11124" t="str">
        <f>"10900019"</f>
        <v>10900019</v>
      </c>
    </row>
    <row r="11125" spans="1:8">
      <c r="A11125" t="str">
        <f>"0257634 "</f>
        <v xml:space="preserve">0257634 </v>
      </c>
      <c r="B11125" t="s">
        <v>35654</v>
      </c>
      <c r="C11125" t="str">
        <f>"10900021"</f>
        <v>10900021</v>
      </c>
      <c r="D11125" t="s">
        <v>35664</v>
      </c>
      <c r="E11125" t="s">
        <v>16</v>
      </c>
      <c r="F11125" s="1">
        <v>42953</v>
      </c>
      <c r="G11125" t="s">
        <v>35656</v>
      </c>
      <c r="H11125" t="str">
        <f>"10900021"</f>
        <v>10900021</v>
      </c>
    </row>
    <row r="11126" spans="1:8">
      <c r="A11126" t="str">
        <f>"0219460 "</f>
        <v xml:space="preserve">0219460 </v>
      </c>
      <c r="B11126" t="s">
        <v>35654</v>
      </c>
      <c r="C11126" t="str">
        <f>"10900022"</f>
        <v>10900022</v>
      </c>
      <c r="D11126" t="s">
        <v>35665</v>
      </c>
      <c r="E11126" t="s">
        <v>16</v>
      </c>
      <c r="F11126" s="3">
        <v>46539</v>
      </c>
      <c r="G11126" t="s">
        <v>35656</v>
      </c>
      <c r="H11126" t="str">
        <f>"10900022"</f>
        <v>10900022</v>
      </c>
    </row>
    <row r="11127" spans="1:8">
      <c r="A11127" t="str">
        <f>"0239353 "</f>
        <v xml:space="preserve">0239353 </v>
      </c>
      <c r="B11127" t="s">
        <v>35654</v>
      </c>
      <c r="C11127" t="str">
        <f>"10900023"</f>
        <v>10900023</v>
      </c>
      <c r="D11127" t="s">
        <v>35666</v>
      </c>
      <c r="E11127" t="s">
        <v>16</v>
      </c>
      <c r="F11127" s="3">
        <v>15158</v>
      </c>
      <c r="G11127" t="s">
        <v>35656</v>
      </c>
      <c r="H11127" t="str">
        <f>"10900023"</f>
        <v>10900023</v>
      </c>
    </row>
    <row r="11128" spans="1:8">
      <c r="A11128" t="str">
        <f>"0220001 "</f>
        <v xml:space="preserve">0220001 </v>
      </c>
      <c r="B11128" t="s">
        <v>35654</v>
      </c>
      <c r="C11128">
        <v>1590002</v>
      </c>
      <c r="D11128" t="s">
        <v>35667</v>
      </c>
      <c r="E11128" t="s">
        <v>16</v>
      </c>
      <c r="F11128" s="3">
        <v>44501</v>
      </c>
      <c r="G11128" t="s">
        <v>35656</v>
      </c>
      <c r="H11128">
        <v>1590002</v>
      </c>
    </row>
    <row r="11129" spans="1:8">
      <c r="A11129" t="str">
        <f>"0220002 "</f>
        <v xml:space="preserve">0220002 </v>
      </c>
      <c r="B11129" t="s">
        <v>35654</v>
      </c>
      <c r="C11129">
        <v>1590004</v>
      </c>
      <c r="D11129" t="s">
        <v>35668</v>
      </c>
      <c r="E11129" t="s">
        <v>16</v>
      </c>
      <c r="F11129" t="s">
        <v>32772</v>
      </c>
      <c r="G11129" t="s">
        <v>35656</v>
      </c>
      <c r="H11129">
        <v>1590004</v>
      </c>
    </row>
    <row r="11130" spans="1:8">
      <c r="A11130" t="str">
        <f>"0220003 "</f>
        <v xml:space="preserve">0220003 </v>
      </c>
      <c r="B11130" t="s">
        <v>35654</v>
      </c>
      <c r="C11130" t="str">
        <f>"18000000"</f>
        <v>18000000</v>
      </c>
      <c r="D11130" t="s">
        <v>35669</v>
      </c>
      <c r="E11130" t="s">
        <v>16</v>
      </c>
      <c r="F11130" s="3">
        <v>30834</v>
      </c>
      <c r="G11130" t="s">
        <v>35656</v>
      </c>
      <c r="H11130" t="str">
        <f>"18000000"</f>
        <v>18000000</v>
      </c>
    </row>
    <row r="11131" spans="1:8">
      <c r="A11131" t="str">
        <f>"0219461 "</f>
        <v xml:space="preserve">0219461 </v>
      </c>
      <c r="B11131" t="s">
        <v>35654</v>
      </c>
      <c r="C11131" t="str">
        <f>"18500147"</f>
        <v>18500147</v>
      </c>
      <c r="D11131" t="s">
        <v>35670</v>
      </c>
      <c r="E11131" t="s">
        <v>16</v>
      </c>
      <c r="F11131" t="s">
        <v>35671</v>
      </c>
      <c r="G11131" t="s">
        <v>35656</v>
      </c>
      <c r="H11131" t="str">
        <f>"18500147"</f>
        <v>18500147</v>
      </c>
    </row>
    <row r="11132" spans="1:8">
      <c r="A11132" t="str">
        <f>"0219463 "</f>
        <v xml:space="preserve">0219463 </v>
      </c>
      <c r="B11132" t="s">
        <v>35672</v>
      </c>
      <c r="C11132" t="str">
        <f>"06-10/W2"</f>
        <v>06-10/W2</v>
      </c>
      <c r="D11132" t="s">
        <v>35673</v>
      </c>
      <c r="E11132" t="s">
        <v>16</v>
      </c>
      <c r="F11132" s="3">
        <v>32174</v>
      </c>
      <c r="G11132" t="s">
        <v>35674</v>
      </c>
      <c r="H11132" t="str">
        <f>"06-10/W2"</f>
        <v>06-10/W2</v>
      </c>
    </row>
    <row r="11133" spans="1:8">
      <c r="A11133" t="str">
        <f>"0219464 "</f>
        <v xml:space="preserve">0219464 </v>
      </c>
      <c r="B11133" t="s">
        <v>35672</v>
      </c>
      <c r="C11133" t="str">
        <f>"08-12/W2"</f>
        <v>08-12/W2</v>
      </c>
      <c r="D11133" t="s">
        <v>35675</v>
      </c>
      <c r="E11133" t="s">
        <v>16</v>
      </c>
      <c r="F11133" s="3">
        <v>32174</v>
      </c>
      <c r="G11133" t="s">
        <v>35674</v>
      </c>
      <c r="H11133" t="str">
        <f>"08-12/W2"</f>
        <v>08-12/W2</v>
      </c>
    </row>
    <row r="11134" spans="1:8">
      <c r="A11134" t="str">
        <f>"0219465 "</f>
        <v xml:space="preserve">0219465 </v>
      </c>
      <c r="B11134" t="s">
        <v>35672</v>
      </c>
      <c r="C11134" t="s">
        <v>35676</v>
      </c>
      <c r="D11134" t="s">
        <v>35677</v>
      </c>
      <c r="E11134" t="s">
        <v>16</v>
      </c>
      <c r="F11134" s="3">
        <v>32174</v>
      </c>
      <c r="G11134" t="s">
        <v>35674</v>
      </c>
      <c r="H11134" t="s">
        <v>35676</v>
      </c>
    </row>
    <row r="11135" spans="1:8">
      <c r="A11135" t="str">
        <f>"0249735 "</f>
        <v xml:space="preserve">0249735 </v>
      </c>
      <c r="B11135" t="s">
        <v>35672</v>
      </c>
      <c r="C11135" t="s">
        <v>35678</v>
      </c>
      <c r="D11135" t="s">
        <v>35679</v>
      </c>
      <c r="E11135" t="s">
        <v>16</v>
      </c>
      <c r="F11135" s="3">
        <v>26816</v>
      </c>
      <c r="G11135" t="s">
        <v>35674</v>
      </c>
      <c r="H11135" t="s">
        <v>35678</v>
      </c>
    </row>
    <row r="11136" spans="1:8">
      <c r="A11136" t="str">
        <f>"0249736 "</f>
        <v xml:space="preserve">0249736 </v>
      </c>
      <c r="B11136" t="s">
        <v>35672</v>
      </c>
      <c r="C11136" t="s">
        <v>35680</v>
      </c>
      <c r="D11136" t="s">
        <v>35681</v>
      </c>
      <c r="E11136" t="s">
        <v>16</v>
      </c>
      <c r="F11136" s="1">
        <v>42862</v>
      </c>
      <c r="G11136" t="s">
        <v>35674</v>
      </c>
      <c r="H11136" t="s">
        <v>35680</v>
      </c>
    </row>
    <row r="11137" spans="1:8">
      <c r="A11137" t="str">
        <f>"0219466 "</f>
        <v xml:space="preserve">0219466 </v>
      </c>
      <c r="B11137" t="s">
        <v>35672</v>
      </c>
      <c r="C11137" t="s">
        <v>35682</v>
      </c>
      <c r="D11137" t="s">
        <v>35683</v>
      </c>
      <c r="E11137" t="s">
        <v>16</v>
      </c>
      <c r="F11137" s="1">
        <v>42858</v>
      </c>
      <c r="G11137" t="s">
        <v>35674</v>
      </c>
      <c r="H11137" t="s">
        <v>35682</v>
      </c>
    </row>
    <row r="11138" spans="1:8">
      <c r="A11138" t="str">
        <f>"0219467 "</f>
        <v xml:space="preserve">0219467 </v>
      </c>
      <c r="B11138" t="s">
        <v>35672</v>
      </c>
      <c r="C11138" t="s">
        <v>35684</v>
      </c>
      <c r="D11138" t="s">
        <v>35685</v>
      </c>
      <c r="E11138" t="s">
        <v>16</v>
      </c>
      <c r="F11138" s="1">
        <v>42858</v>
      </c>
      <c r="G11138" t="s">
        <v>35674</v>
      </c>
      <c r="H11138" t="s">
        <v>35684</v>
      </c>
    </row>
    <row r="11139" spans="1:8">
      <c r="A11139" t="str">
        <f>"0249737 "</f>
        <v xml:space="preserve">0249737 </v>
      </c>
      <c r="B11139" t="s">
        <v>35672</v>
      </c>
      <c r="C11139" t="s">
        <v>35686</v>
      </c>
      <c r="D11139" t="s">
        <v>35687</v>
      </c>
      <c r="E11139" t="s">
        <v>16</v>
      </c>
      <c r="F11139" s="3">
        <v>13697</v>
      </c>
      <c r="G11139" t="s">
        <v>35674</v>
      </c>
      <c r="H11139" t="s">
        <v>35686</v>
      </c>
    </row>
    <row r="11140" spans="1:8">
      <c r="A11140" t="str">
        <f>"0249738 "</f>
        <v xml:space="preserve">0249738 </v>
      </c>
      <c r="B11140" t="s">
        <v>35672</v>
      </c>
      <c r="C11140" t="s">
        <v>35688</v>
      </c>
      <c r="D11140" t="s">
        <v>35689</v>
      </c>
      <c r="E11140" t="s">
        <v>16</v>
      </c>
      <c r="F11140" s="3">
        <v>19541</v>
      </c>
      <c r="G11140" t="s">
        <v>35674</v>
      </c>
      <c r="H11140" t="s">
        <v>35688</v>
      </c>
    </row>
    <row r="11141" spans="1:8">
      <c r="A11141" t="str">
        <f>"0249739 "</f>
        <v xml:space="preserve">0249739 </v>
      </c>
      <c r="B11141" t="s">
        <v>35672</v>
      </c>
      <c r="C11141" t="s">
        <v>35690</v>
      </c>
      <c r="D11141" t="s">
        <v>35691</v>
      </c>
      <c r="E11141" t="s">
        <v>16</v>
      </c>
      <c r="F11141" s="3">
        <v>31229</v>
      </c>
      <c r="G11141" t="s">
        <v>35674</v>
      </c>
      <c r="H11141" t="s">
        <v>35690</v>
      </c>
    </row>
    <row r="11142" spans="1:8">
      <c r="A11142" t="str">
        <f>"0219468 "</f>
        <v xml:space="preserve">0219468 </v>
      </c>
      <c r="B11142" t="s">
        <v>35672</v>
      </c>
      <c r="C11142" t="s">
        <v>35692</v>
      </c>
      <c r="D11142" t="s">
        <v>35693</v>
      </c>
      <c r="E11142" t="s">
        <v>16</v>
      </c>
      <c r="F11142" s="3">
        <v>13575</v>
      </c>
      <c r="G11142" t="s">
        <v>35674</v>
      </c>
      <c r="H11142" t="s">
        <v>35692</v>
      </c>
    </row>
    <row r="11143" spans="1:8">
      <c r="A11143" t="str">
        <f>"0219469 "</f>
        <v xml:space="preserve">0219469 </v>
      </c>
      <c r="B11143" t="s">
        <v>35672</v>
      </c>
      <c r="C11143" t="s">
        <v>35694</v>
      </c>
      <c r="D11143" t="s">
        <v>35695</v>
      </c>
      <c r="E11143" t="s">
        <v>16</v>
      </c>
      <c r="F11143" s="3">
        <v>19419</v>
      </c>
      <c r="G11143" t="s">
        <v>35674</v>
      </c>
      <c r="H11143" t="s">
        <v>35694</v>
      </c>
    </row>
    <row r="11144" spans="1:8">
      <c r="A11144" t="str">
        <f>"0219470 "</f>
        <v xml:space="preserve">0219470 </v>
      </c>
      <c r="B11144" t="s">
        <v>35672</v>
      </c>
      <c r="C11144" t="s">
        <v>35696</v>
      </c>
      <c r="D11144" t="s">
        <v>35697</v>
      </c>
      <c r="E11144" t="s">
        <v>16</v>
      </c>
      <c r="F11144" s="3">
        <v>42826</v>
      </c>
      <c r="G11144" t="s">
        <v>35674</v>
      </c>
      <c r="H11144" t="s">
        <v>35696</v>
      </c>
    </row>
    <row r="11145" spans="1:8">
      <c r="A11145" t="str">
        <f>"0219471 "</f>
        <v xml:space="preserve">0219471 </v>
      </c>
      <c r="B11145" t="s">
        <v>35672</v>
      </c>
      <c r="C11145" t="s">
        <v>35698</v>
      </c>
      <c r="D11145" t="s">
        <v>35699</v>
      </c>
      <c r="E11145" t="s">
        <v>16</v>
      </c>
      <c r="F11145" s="3">
        <v>17989</v>
      </c>
      <c r="G11145" t="s">
        <v>35674</v>
      </c>
      <c r="H11145" t="s">
        <v>35698</v>
      </c>
    </row>
    <row r="11146" spans="1:8">
      <c r="A11146" t="str">
        <f>"0219472 "</f>
        <v xml:space="preserve">0219472 </v>
      </c>
      <c r="B11146" t="s">
        <v>35672</v>
      </c>
      <c r="C11146" t="s">
        <v>35700</v>
      </c>
      <c r="D11146" t="s">
        <v>35701</v>
      </c>
      <c r="E11146" t="s">
        <v>16</v>
      </c>
      <c r="F11146" s="3">
        <v>23833</v>
      </c>
      <c r="G11146" t="s">
        <v>35674</v>
      </c>
      <c r="H11146" t="s">
        <v>35700</v>
      </c>
    </row>
    <row r="11147" spans="1:8">
      <c r="A11147" t="str">
        <f>"0219473 "</f>
        <v xml:space="preserve">0219473 </v>
      </c>
      <c r="B11147" t="s">
        <v>35672</v>
      </c>
      <c r="C11147" t="s">
        <v>35702</v>
      </c>
      <c r="D11147" t="s">
        <v>35703</v>
      </c>
      <c r="E11147" t="s">
        <v>16</v>
      </c>
      <c r="F11147" s="3">
        <v>35521</v>
      </c>
      <c r="G11147" t="s">
        <v>35674</v>
      </c>
      <c r="H11147" t="s">
        <v>35702</v>
      </c>
    </row>
    <row r="11148" spans="1:8">
      <c r="A11148" t="str">
        <f>"0219474 "</f>
        <v xml:space="preserve">0219474 </v>
      </c>
      <c r="B11148" t="s">
        <v>35672</v>
      </c>
      <c r="C11148" t="s">
        <v>35704</v>
      </c>
      <c r="D11148" t="s">
        <v>35705</v>
      </c>
      <c r="E11148" t="s">
        <v>16</v>
      </c>
      <c r="F11148" s="3">
        <v>22402</v>
      </c>
      <c r="G11148" t="s">
        <v>35674</v>
      </c>
      <c r="H11148" t="s">
        <v>35704</v>
      </c>
    </row>
    <row r="11149" spans="1:8">
      <c r="A11149" t="str">
        <f>"0219475 "</f>
        <v xml:space="preserve">0219475 </v>
      </c>
      <c r="B11149" t="s">
        <v>35672</v>
      </c>
      <c r="C11149" t="s">
        <v>35706</v>
      </c>
      <c r="D11149" t="s">
        <v>35707</v>
      </c>
      <c r="E11149" t="s">
        <v>16</v>
      </c>
      <c r="F11149" s="3">
        <v>34090</v>
      </c>
      <c r="G11149" t="s">
        <v>35674</v>
      </c>
      <c r="H11149" t="s">
        <v>35706</v>
      </c>
    </row>
    <row r="11150" spans="1:8">
      <c r="A11150" t="str">
        <f>"0219476 "</f>
        <v xml:space="preserve">0219476 </v>
      </c>
      <c r="B11150" t="s">
        <v>35672</v>
      </c>
      <c r="C11150" t="s">
        <v>35708</v>
      </c>
      <c r="D11150" t="s">
        <v>35709</v>
      </c>
      <c r="E11150">
        <v>2</v>
      </c>
      <c r="F11150" s="3">
        <v>15128</v>
      </c>
      <c r="G11150" t="s">
        <v>35674</v>
      </c>
      <c r="H11150" t="s">
        <v>35708</v>
      </c>
    </row>
    <row r="11151" spans="1:8">
      <c r="A11151" t="str">
        <f>"0219477 "</f>
        <v xml:space="preserve">0219477 </v>
      </c>
      <c r="B11151" t="s">
        <v>35672</v>
      </c>
      <c r="C11151" t="s">
        <v>35710</v>
      </c>
      <c r="D11151" t="s">
        <v>35711</v>
      </c>
      <c r="E11151" t="s">
        <v>16</v>
      </c>
      <c r="F11151" s="1">
        <v>42984</v>
      </c>
      <c r="G11151" t="s">
        <v>35674</v>
      </c>
      <c r="H11151" t="s">
        <v>35710</v>
      </c>
    </row>
    <row r="11152" spans="1:8">
      <c r="A11152" t="str">
        <f>"0240842 "</f>
        <v xml:space="preserve">0240842 </v>
      </c>
      <c r="B11152" t="s">
        <v>35712</v>
      </c>
      <c r="C11152" t="s">
        <v>35713</v>
      </c>
      <c r="D11152" t="s">
        <v>35714</v>
      </c>
      <c r="E11152" t="s">
        <v>16</v>
      </c>
      <c r="F11152" s="3">
        <v>26816</v>
      </c>
      <c r="G11152" t="s">
        <v>33832</v>
      </c>
      <c r="H11152" t="s">
        <v>35713</v>
      </c>
    </row>
    <row r="11153" spans="1:8">
      <c r="A11153" t="str">
        <f>"0240843 "</f>
        <v xml:space="preserve">0240843 </v>
      </c>
      <c r="B11153" t="s">
        <v>35712</v>
      </c>
      <c r="C11153" t="s">
        <v>35715</v>
      </c>
      <c r="D11153" t="s">
        <v>35716</v>
      </c>
      <c r="E11153" t="s">
        <v>16</v>
      </c>
      <c r="F11153" s="3">
        <v>15615</v>
      </c>
      <c r="G11153" t="s">
        <v>33832</v>
      </c>
      <c r="H11153" t="s">
        <v>35715</v>
      </c>
    </row>
    <row r="11154" spans="1:8">
      <c r="A11154" t="str">
        <f>"0240844 "</f>
        <v xml:space="preserve">0240844 </v>
      </c>
      <c r="B11154" t="s">
        <v>35712</v>
      </c>
      <c r="C11154" t="s">
        <v>35717</v>
      </c>
      <c r="D11154" t="s">
        <v>35718</v>
      </c>
      <c r="E11154" t="s">
        <v>16</v>
      </c>
      <c r="F11154" s="1">
        <v>43022</v>
      </c>
      <c r="G11154" t="s">
        <v>33832</v>
      </c>
      <c r="H11154" t="s">
        <v>35717</v>
      </c>
    </row>
    <row r="11155" spans="1:8">
      <c r="A11155" t="str">
        <f>"0240845 "</f>
        <v xml:space="preserve">0240845 </v>
      </c>
      <c r="B11155" t="s">
        <v>35712</v>
      </c>
      <c r="C11155" t="s">
        <v>35719</v>
      </c>
      <c r="D11155" t="s">
        <v>35720</v>
      </c>
      <c r="E11155" t="s">
        <v>16</v>
      </c>
      <c r="F11155" t="s">
        <v>35721</v>
      </c>
      <c r="G11155" t="s">
        <v>33832</v>
      </c>
      <c r="H11155" t="s">
        <v>35719</v>
      </c>
    </row>
    <row r="11156" spans="1:8">
      <c r="A11156" t="str">
        <f>"0240846 "</f>
        <v xml:space="preserve">0240846 </v>
      </c>
      <c r="B11156" t="s">
        <v>35712</v>
      </c>
      <c r="C11156" t="s">
        <v>35722</v>
      </c>
      <c r="D11156" t="s">
        <v>35723</v>
      </c>
      <c r="E11156" t="s">
        <v>16</v>
      </c>
      <c r="F11156" t="s">
        <v>32925</v>
      </c>
      <c r="G11156" t="s">
        <v>33832</v>
      </c>
      <c r="H11156" t="s">
        <v>35722</v>
      </c>
    </row>
    <row r="11157" spans="1:8">
      <c r="A11157" t="str">
        <f>"0240847 "</f>
        <v xml:space="preserve">0240847 </v>
      </c>
      <c r="B11157" t="s">
        <v>35712</v>
      </c>
      <c r="C11157" t="s">
        <v>35724</v>
      </c>
      <c r="D11157" t="s">
        <v>35725</v>
      </c>
      <c r="E11157" t="s">
        <v>16</v>
      </c>
      <c r="F11157" t="s">
        <v>35726</v>
      </c>
      <c r="G11157" t="s">
        <v>33832</v>
      </c>
      <c r="H11157" t="s">
        <v>35724</v>
      </c>
    </row>
    <row r="11158" spans="1:8">
      <c r="A11158" t="str">
        <f>"0240848 "</f>
        <v xml:space="preserve">0240848 </v>
      </c>
      <c r="B11158" t="s">
        <v>35712</v>
      </c>
      <c r="C11158" t="s">
        <v>35727</v>
      </c>
      <c r="D11158" t="s">
        <v>35728</v>
      </c>
      <c r="E11158" t="s">
        <v>16</v>
      </c>
      <c r="F11158" t="s">
        <v>640</v>
      </c>
      <c r="G11158" t="s">
        <v>33832</v>
      </c>
      <c r="H11158" t="s">
        <v>35727</v>
      </c>
    </row>
    <row r="11159" spans="1:8">
      <c r="A11159" t="str">
        <f>"0240825 "</f>
        <v xml:space="preserve">0240825 </v>
      </c>
      <c r="B11159" t="s">
        <v>35712</v>
      </c>
      <c r="C11159" t="s">
        <v>35729</v>
      </c>
      <c r="D11159" t="s">
        <v>35730</v>
      </c>
      <c r="E11159" t="s">
        <v>16</v>
      </c>
      <c r="F11159" s="3">
        <v>26816</v>
      </c>
      <c r="G11159" t="s">
        <v>33832</v>
      </c>
      <c r="H11159" t="s">
        <v>35729</v>
      </c>
    </row>
    <row r="11160" spans="1:8">
      <c r="A11160" t="str">
        <f>"0240828 "</f>
        <v xml:space="preserve">0240828 </v>
      </c>
      <c r="B11160" t="s">
        <v>35712</v>
      </c>
      <c r="C11160" t="s">
        <v>35731</v>
      </c>
      <c r="D11160" t="s">
        <v>35732</v>
      </c>
      <c r="E11160" t="s">
        <v>16</v>
      </c>
      <c r="F11160" t="s">
        <v>32925</v>
      </c>
      <c r="G11160" t="s">
        <v>33832</v>
      </c>
      <c r="H11160" t="s">
        <v>35731</v>
      </c>
    </row>
    <row r="11161" spans="1:8">
      <c r="A11161" t="str">
        <f>"0240829 "</f>
        <v xml:space="preserve">0240829 </v>
      </c>
      <c r="B11161" t="s">
        <v>35712</v>
      </c>
      <c r="C11161" t="s">
        <v>35733</v>
      </c>
      <c r="D11161" t="s">
        <v>35734</v>
      </c>
      <c r="E11161" t="s">
        <v>16</v>
      </c>
      <c r="F11161" t="s">
        <v>35726</v>
      </c>
      <c r="G11161" t="s">
        <v>33832</v>
      </c>
      <c r="H11161" t="s">
        <v>35733</v>
      </c>
    </row>
    <row r="11162" spans="1:8">
      <c r="A11162" t="str">
        <f>"0240830 "</f>
        <v xml:space="preserve">0240830 </v>
      </c>
      <c r="B11162" t="s">
        <v>35712</v>
      </c>
      <c r="C11162" t="s">
        <v>35735</v>
      </c>
      <c r="D11162" t="s">
        <v>35736</v>
      </c>
      <c r="E11162" t="s">
        <v>16</v>
      </c>
      <c r="F11162" t="s">
        <v>640</v>
      </c>
      <c r="G11162" t="s">
        <v>33832</v>
      </c>
      <c r="H11162" t="s">
        <v>35735</v>
      </c>
    </row>
    <row r="11163" spans="1:8">
      <c r="A11163" t="str">
        <f>"0240831 "</f>
        <v xml:space="preserve">0240831 </v>
      </c>
      <c r="B11163" t="s">
        <v>35712</v>
      </c>
      <c r="C11163" t="s">
        <v>35737</v>
      </c>
      <c r="D11163" t="s">
        <v>35738</v>
      </c>
      <c r="E11163" t="s">
        <v>16</v>
      </c>
      <c r="F11163" t="s">
        <v>19828</v>
      </c>
      <c r="G11163" t="s">
        <v>33832</v>
      </c>
      <c r="H11163" t="s">
        <v>35737</v>
      </c>
    </row>
    <row r="11164" spans="1:8">
      <c r="A11164" t="str">
        <f>"0240832 "</f>
        <v xml:space="preserve">0240832 </v>
      </c>
      <c r="B11164" t="s">
        <v>35712</v>
      </c>
      <c r="C11164" t="s">
        <v>35739</v>
      </c>
      <c r="D11164" t="s">
        <v>35740</v>
      </c>
      <c r="E11164" t="s">
        <v>16</v>
      </c>
      <c r="F11164" t="s">
        <v>7234</v>
      </c>
      <c r="G11164" t="s">
        <v>33832</v>
      </c>
      <c r="H11164" t="s">
        <v>35739</v>
      </c>
    </row>
    <row r="11165" spans="1:8">
      <c r="A11165" t="str">
        <f>"0240834 "</f>
        <v xml:space="preserve">0240834 </v>
      </c>
      <c r="B11165" t="s">
        <v>35712</v>
      </c>
      <c r="C11165" t="s">
        <v>35741</v>
      </c>
      <c r="D11165" t="s">
        <v>35742</v>
      </c>
      <c r="E11165" t="s">
        <v>16</v>
      </c>
      <c r="F11165" t="s">
        <v>35430</v>
      </c>
      <c r="G11165" t="s">
        <v>33832</v>
      </c>
      <c r="H11165" t="s">
        <v>35741</v>
      </c>
    </row>
    <row r="11166" spans="1:8">
      <c r="A11166" t="str">
        <f>"0219505 "</f>
        <v xml:space="preserve">0219505 </v>
      </c>
      <c r="B11166" t="s">
        <v>35743</v>
      </c>
      <c r="C11166" t="s">
        <v>35744</v>
      </c>
      <c r="D11166" t="s">
        <v>35745</v>
      </c>
      <c r="E11166" t="s">
        <v>16</v>
      </c>
      <c r="F11166" s="1">
        <v>42984</v>
      </c>
      <c r="G11166" t="s">
        <v>32614</v>
      </c>
      <c r="H11166" t="s">
        <v>35744</v>
      </c>
    </row>
    <row r="11167" spans="1:8">
      <c r="A11167" t="str">
        <f>"0219506 "</f>
        <v xml:space="preserve">0219506 </v>
      </c>
      <c r="B11167" t="s">
        <v>35743</v>
      </c>
      <c r="C11167" t="s">
        <v>35746</v>
      </c>
      <c r="D11167" t="s">
        <v>35747</v>
      </c>
      <c r="E11167" t="s">
        <v>16</v>
      </c>
      <c r="F11167" s="3">
        <v>34578</v>
      </c>
      <c r="G11167" t="s">
        <v>32614</v>
      </c>
      <c r="H11167" t="s">
        <v>35746</v>
      </c>
    </row>
    <row r="11168" spans="1:8">
      <c r="A11168" t="str">
        <f>"0219507 "</f>
        <v xml:space="preserve">0219507 </v>
      </c>
      <c r="B11168" t="s">
        <v>35743</v>
      </c>
      <c r="C11168" t="s">
        <v>35748</v>
      </c>
      <c r="D11168" t="s">
        <v>35749</v>
      </c>
      <c r="E11168" t="s">
        <v>16</v>
      </c>
      <c r="F11168" t="s">
        <v>32938</v>
      </c>
      <c r="G11168" t="s">
        <v>32614</v>
      </c>
      <c r="H11168" t="s">
        <v>35748</v>
      </c>
    </row>
    <row r="11169" spans="1:8">
      <c r="A11169" t="str">
        <f>"0219509 "</f>
        <v xml:space="preserve">0219509 </v>
      </c>
      <c r="B11169" t="s">
        <v>35743</v>
      </c>
      <c r="C11169" t="s">
        <v>35750</v>
      </c>
      <c r="D11169" t="s">
        <v>35751</v>
      </c>
      <c r="E11169" t="s">
        <v>16</v>
      </c>
      <c r="F11169" t="s">
        <v>33275</v>
      </c>
      <c r="G11169" t="s">
        <v>32614</v>
      </c>
      <c r="H11169" t="s">
        <v>35750</v>
      </c>
    </row>
    <row r="11170" spans="1:8">
      <c r="A11170" t="str">
        <f>"0219478 "</f>
        <v xml:space="preserve">0219478 </v>
      </c>
      <c r="B11170" t="s">
        <v>35743</v>
      </c>
      <c r="C11170" t="s">
        <v>35752</v>
      </c>
      <c r="D11170" t="s">
        <v>35753</v>
      </c>
      <c r="E11170" t="s">
        <v>16</v>
      </c>
      <c r="F11170" t="s">
        <v>648</v>
      </c>
      <c r="G11170" t="s">
        <v>32614</v>
      </c>
      <c r="H11170" t="s">
        <v>35752</v>
      </c>
    </row>
    <row r="11171" spans="1:8">
      <c r="A11171" t="str">
        <f>"0219510 "</f>
        <v xml:space="preserve">0219510 </v>
      </c>
      <c r="B11171" t="s">
        <v>35743</v>
      </c>
      <c r="C11171" t="s">
        <v>35754</v>
      </c>
      <c r="D11171" t="s">
        <v>35755</v>
      </c>
      <c r="E11171" t="s">
        <v>16</v>
      </c>
      <c r="F11171" t="s">
        <v>660</v>
      </c>
      <c r="G11171" t="s">
        <v>32614</v>
      </c>
      <c r="H11171" t="s">
        <v>35754</v>
      </c>
    </row>
    <row r="11172" spans="1:8">
      <c r="A11172" t="str">
        <f>"0219511 "</f>
        <v xml:space="preserve">0219511 </v>
      </c>
      <c r="B11172" t="s">
        <v>35743</v>
      </c>
      <c r="C11172" t="s">
        <v>35756</v>
      </c>
      <c r="D11172" t="s">
        <v>35757</v>
      </c>
      <c r="E11172" t="s">
        <v>16</v>
      </c>
      <c r="F11172" t="s">
        <v>33658</v>
      </c>
      <c r="G11172" t="s">
        <v>32614</v>
      </c>
      <c r="H11172" t="s">
        <v>35756</v>
      </c>
    </row>
    <row r="11173" spans="1:8">
      <c r="A11173" t="str">
        <f>"0219484 "</f>
        <v xml:space="preserve">0219484 </v>
      </c>
      <c r="B11173" t="s">
        <v>35743</v>
      </c>
      <c r="C11173" t="s">
        <v>35758</v>
      </c>
      <c r="D11173" t="s">
        <v>35759</v>
      </c>
      <c r="E11173" t="s">
        <v>16</v>
      </c>
      <c r="F11173" t="s">
        <v>33525</v>
      </c>
      <c r="G11173" t="s">
        <v>32614</v>
      </c>
      <c r="H11173" t="s">
        <v>35758</v>
      </c>
    </row>
    <row r="11174" spans="1:8">
      <c r="A11174" t="str">
        <f>"0219485 "</f>
        <v xml:space="preserve">0219485 </v>
      </c>
      <c r="B11174" t="s">
        <v>35743</v>
      </c>
      <c r="C11174" t="s">
        <v>35760</v>
      </c>
      <c r="D11174" t="s">
        <v>35761</v>
      </c>
      <c r="E11174" t="s">
        <v>16</v>
      </c>
      <c r="F11174" t="s">
        <v>35762</v>
      </c>
      <c r="G11174" t="s">
        <v>32614</v>
      </c>
      <c r="H11174" t="s">
        <v>35760</v>
      </c>
    </row>
    <row r="11175" spans="1:8">
      <c r="A11175" t="str">
        <f>"0219479 "</f>
        <v xml:space="preserve">0219479 </v>
      </c>
      <c r="B11175" t="s">
        <v>35743</v>
      </c>
      <c r="C11175" t="s">
        <v>35763</v>
      </c>
      <c r="D11175" t="s">
        <v>35764</v>
      </c>
      <c r="E11175" t="s">
        <v>16</v>
      </c>
      <c r="F11175" t="s">
        <v>32624</v>
      </c>
      <c r="G11175" t="s">
        <v>32614</v>
      </c>
      <c r="H11175" t="s">
        <v>35763</v>
      </c>
    </row>
    <row r="11176" spans="1:8">
      <c r="A11176" t="str">
        <f>"0232694 "</f>
        <v xml:space="preserve">0232694 </v>
      </c>
      <c r="B11176" t="s">
        <v>35743</v>
      </c>
      <c r="C11176" t="s">
        <v>35765</v>
      </c>
      <c r="D11176" t="s">
        <v>35766</v>
      </c>
      <c r="E11176" t="s">
        <v>16</v>
      </c>
      <c r="F11176" t="s">
        <v>35767</v>
      </c>
      <c r="G11176" t="s">
        <v>32614</v>
      </c>
      <c r="H11176" t="s">
        <v>35765</v>
      </c>
    </row>
    <row r="11177" spans="1:8">
      <c r="A11177" t="str">
        <f>"0232693 "</f>
        <v xml:space="preserve">0232693 </v>
      </c>
      <c r="B11177" t="s">
        <v>35743</v>
      </c>
      <c r="C11177" t="s">
        <v>35768</v>
      </c>
      <c r="D11177" t="s">
        <v>35769</v>
      </c>
      <c r="E11177" t="s">
        <v>16</v>
      </c>
      <c r="F11177" t="s">
        <v>1839</v>
      </c>
      <c r="G11177" t="s">
        <v>32614</v>
      </c>
      <c r="H11177" t="s">
        <v>35768</v>
      </c>
    </row>
    <row r="11178" spans="1:8">
      <c r="A11178" t="str">
        <f>"0231220 "</f>
        <v xml:space="preserve">0231220 </v>
      </c>
      <c r="B11178" t="s">
        <v>35743</v>
      </c>
      <c r="C11178" t="s">
        <v>35770</v>
      </c>
      <c r="D11178" t="s">
        <v>35771</v>
      </c>
      <c r="E11178" t="s">
        <v>16</v>
      </c>
      <c r="F11178" t="s">
        <v>34420</v>
      </c>
      <c r="G11178" t="s">
        <v>32614</v>
      </c>
      <c r="H11178" t="s">
        <v>35770</v>
      </c>
    </row>
    <row r="11179" spans="1:8">
      <c r="A11179" t="str">
        <f>"0219518 "</f>
        <v xml:space="preserve">0219518 </v>
      </c>
      <c r="B11179" t="s">
        <v>35743</v>
      </c>
      <c r="C11179" t="s">
        <v>35772</v>
      </c>
      <c r="D11179" t="s">
        <v>35773</v>
      </c>
      <c r="E11179">
        <v>3</v>
      </c>
      <c r="F11179" t="s">
        <v>33878</v>
      </c>
      <c r="G11179" t="s">
        <v>32614</v>
      </c>
      <c r="H11179" t="s">
        <v>35772</v>
      </c>
    </row>
    <row r="11180" spans="1:8">
      <c r="A11180" t="str">
        <f>"0219519 "</f>
        <v xml:space="preserve">0219519 </v>
      </c>
      <c r="B11180" t="s">
        <v>35743</v>
      </c>
      <c r="C11180" t="s">
        <v>35774</v>
      </c>
      <c r="D11180" t="s">
        <v>35775</v>
      </c>
      <c r="E11180" t="s">
        <v>16</v>
      </c>
      <c r="F11180" t="s">
        <v>29740</v>
      </c>
      <c r="G11180" t="s">
        <v>32614</v>
      </c>
      <c r="H11180" t="s">
        <v>35774</v>
      </c>
    </row>
    <row r="11181" spans="1:8">
      <c r="A11181" t="str">
        <f>"0219520 "</f>
        <v xml:space="preserve">0219520 </v>
      </c>
      <c r="B11181" t="s">
        <v>35743</v>
      </c>
      <c r="C11181" t="s">
        <v>35776</v>
      </c>
      <c r="D11181" t="s">
        <v>35777</v>
      </c>
      <c r="E11181">
        <v>3</v>
      </c>
      <c r="F11181" t="s">
        <v>35778</v>
      </c>
      <c r="G11181" t="s">
        <v>32614</v>
      </c>
      <c r="H11181" t="s">
        <v>35776</v>
      </c>
    </row>
    <row r="11182" spans="1:8">
      <c r="A11182" t="str">
        <f>"0219521 "</f>
        <v xml:space="preserve">0219521 </v>
      </c>
      <c r="B11182" t="s">
        <v>35743</v>
      </c>
      <c r="C11182" t="s">
        <v>35779</v>
      </c>
      <c r="D11182" t="s">
        <v>35780</v>
      </c>
      <c r="E11182" t="s">
        <v>16</v>
      </c>
      <c r="F11182" t="s">
        <v>35781</v>
      </c>
      <c r="G11182" t="s">
        <v>32614</v>
      </c>
      <c r="H11182" t="s">
        <v>35779</v>
      </c>
    </row>
    <row r="11183" spans="1:8">
      <c r="A11183" t="str">
        <f>"0219522 "</f>
        <v xml:space="preserve">0219522 </v>
      </c>
      <c r="B11183" t="s">
        <v>35743</v>
      </c>
      <c r="C11183" t="s">
        <v>35782</v>
      </c>
      <c r="D11183" t="s">
        <v>35783</v>
      </c>
      <c r="E11183" t="s">
        <v>16</v>
      </c>
      <c r="F11183" t="s">
        <v>35529</v>
      </c>
      <c r="G11183" t="s">
        <v>32614</v>
      </c>
      <c r="H11183" t="s">
        <v>35782</v>
      </c>
    </row>
    <row r="11184" spans="1:8">
      <c r="A11184" t="str">
        <f>"0219523 "</f>
        <v xml:space="preserve">0219523 </v>
      </c>
      <c r="B11184" t="s">
        <v>35743</v>
      </c>
      <c r="C11184" t="s">
        <v>35784</v>
      </c>
      <c r="D11184" t="s">
        <v>35785</v>
      </c>
      <c r="E11184" t="s">
        <v>16</v>
      </c>
      <c r="F11184" t="s">
        <v>35786</v>
      </c>
      <c r="G11184" t="s">
        <v>32614</v>
      </c>
      <c r="H11184" t="s">
        <v>35784</v>
      </c>
    </row>
    <row r="11185" spans="1:8">
      <c r="A11185" t="str">
        <f>"0219486 "</f>
        <v xml:space="preserve">0219486 </v>
      </c>
      <c r="B11185" t="s">
        <v>35743</v>
      </c>
      <c r="C11185" t="s">
        <v>35787</v>
      </c>
      <c r="D11185" t="s">
        <v>35788</v>
      </c>
      <c r="E11185" t="s">
        <v>16</v>
      </c>
      <c r="F11185" s="1">
        <v>42984</v>
      </c>
      <c r="G11185" t="s">
        <v>32614</v>
      </c>
      <c r="H11185" t="s">
        <v>35787</v>
      </c>
    </row>
    <row r="11186" spans="1:8">
      <c r="A11186" t="str">
        <f>"0219487 "</f>
        <v xml:space="preserve">0219487 </v>
      </c>
      <c r="B11186" t="s">
        <v>35743</v>
      </c>
      <c r="C11186" t="s">
        <v>35789</v>
      </c>
      <c r="D11186" t="s">
        <v>35790</v>
      </c>
      <c r="E11186" t="s">
        <v>16</v>
      </c>
      <c r="F11186" s="3">
        <v>34578</v>
      </c>
      <c r="G11186" t="s">
        <v>32614</v>
      </c>
      <c r="H11186" t="s">
        <v>35789</v>
      </c>
    </row>
    <row r="11187" spans="1:8">
      <c r="A11187" t="str">
        <f>"0219481 "</f>
        <v xml:space="preserve">0219481 </v>
      </c>
      <c r="B11187" t="s">
        <v>35743</v>
      </c>
      <c r="C11187" t="s">
        <v>35791</v>
      </c>
      <c r="D11187" t="s">
        <v>35792</v>
      </c>
      <c r="E11187" t="s">
        <v>16</v>
      </c>
      <c r="F11187" t="s">
        <v>32938</v>
      </c>
      <c r="G11187" t="s">
        <v>32614</v>
      </c>
      <c r="H11187" t="s">
        <v>35791</v>
      </c>
    </row>
    <row r="11188" spans="1:8">
      <c r="A11188" t="str">
        <f>"0219489 "</f>
        <v xml:space="preserve">0219489 </v>
      </c>
      <c r="B11188" t="s">
        <v>35743</v>
      </c>
      <c r="C11188" t="s">
        <v>35793</v>
      </c>
      <c r="D11188" t="s">
        <v>35794</v>
      </c>
      <c r="E11188" t="s">
        <v>16</v>
      </c>
      <c r="F11188" t="s">
        <v>35795</v>
      </c>
      <c r="G11188" t="s">
        <v>32614</v>
      </c>
      <c r="H11188" t="s">
        <v>35793</v>
      </c>
    </row>
    <row r="11189" spans="1:8">
      <c r="A11189" t="str">
        <f>"0219490 "</f>
        <v xml:space="preserve">0219490 </v>
      </c>
      <c r="B11189" t="s">
        <v>35743</v>
      </c>
      <c r="C11189" t="s">
        <v>35796</v>
      </c>
      <c r="D11189" t="s">
        <v>35797</v>
      </c>
      <c r="E11189" t="s">
        <v>16</v>
      </c>
      <c r="F11189" t="s">
        <v>35798</v>
      </c>
      <c r="G11189" t="s">
        <v>32614</v>
      </c>
      <c r="H11189" t="s">
        <v>35796</v>
      </c>
    </row>
    <row r="11190" spans="1:8">
      <c r="A11190" t="str">
        <f>"0219491 "</f>
        <v xml:space="preserve">0219491 </v>
      </c>
      <c r="B11190" t="s">
        <v>35743</v>
      </c>
      <c r="C11190" t="s">
        <v>35799</v>
      </c>
      <c r="D11190" t="s">
        <v>35800</v>
      </c>
      <c r="E11190" t="s">
        <v>16</v>
      </c>
      <c r="F11190" t="s">
        <v>660</v>
      </c>
      <c r="G11190" t="s">
        <v>32614</v>
      </c>
      <c r="H11190" t="s">
        <v>35799</v>
      </c>
    </row>
    <row r="11191" spans="1:8">
      <c r="A11191" t="str">
        <f>"0219492 "</f>
        <v xml:space="preserve">0219492 </v>
      </c>
      <c r="B11191" t="s">
        <v>35743</v>
      </c>
      <c r="C11191" t="s">
        <v>35801</v>
      </c>
      <c r="D11191" t="s">
        <v>35802</v>
      </c>
      <c r="E11191" t="s">
        <v>16</v>
      </c>
      <c r="F11191" t="s">
        <v>33658</v>
      </c>
      <c r="G11191" t="s">
        <v>32614</v>
      </c>
      <c r="H11191" t="s">
        <v>35801</v>
      </c>
    </row>
    <row r="11192" spans="1:8">
      <c r="A11192" t="str">
        <f>"0219483 "</f>
        <v xml:space="preserve">0219483 </v>
      </c>
      <c r="B11192" t="s">
        <v>35743</v>
      </c>
      <c r="C11192" t="s">
        <v>35803</v>
      </c>
      <c r="D11192" t="s">
        <v>35804</v>
      </c>
      <c r="E11192" t="s">
        <v>16</v>
      </c>
      <c r="F11192" t="s">
        <v>33525</v>
      </c>
      <c r="G11192" t="s">
        <v>32614</v>
      </c>
      <c r="H11192" t="s">
        <v>35803</v>
      </c>
    </row>
    <row r="11193" spans="1:8">
      <c r="A11193" t="str">
        <f>"0219482 "</f>
        <v xml:space="preserve">0219482 </v>
      </c>
      <c r="B11193" t="s">
        <v>35743</v>
      </c>
      <c r="C11193" t="s">
        <v>35805</v>
      </c>
      <c r="D11193" t="s">
        <v>35806</v>
      </c>
      <c r="E11193" t="s">
        <v>16</v>
      </c>
      <c r="F11193" t="s">
        <v>35762</v>
      </c>
      <c r="G11193" t="s">
        <v>32614</v>
      </c>
      <c r="H11193" t="s">
        <v>35805</v>
      </c>
    </row>
    <row r="11194" spans="1:8">
      <c r="A11194" t="str">
        <f>"0219480 "</f>
        <v xml:space="preserve">0219480 </v>
      </c>
      <c r="B11194" t="s">
        <v>35743</v>
      </c>
      <c r="C11194" t="s">
        <v>35807</v>
      </c>
      <c r="D11194" t="s">
        <v>35808</v>
      </c>
      <c r="E11194" t="s">
        <v>16</v>
      </c>
      <c r="F11194" t="s">
        <v>32624</v>
      </c>
      <c r="G11194" t="s">
        <v>32614</v>
      </c>
      <c r="H11194" t="s">
        <v>35807</v>
      </c>
    </row>
    <row r="11195" spans="1:8">
      <c r="A11195" t="str">
        <f>"0232695 "</f>
        <v xml:space="preserve">0232695 </v>
      </c>
      <c r="B11195" t="s">
        <v>35743</v>
      </c>
      <c r="C11195" t="s">
        <v>35809</v>
      </c>
      <c r="D11195" t="s">
        <v>35810</v>
      </c>
      <c r="E11195" t="s">
        <v>16</v>
      </c>
      <c r="F11195" t="s">
        <v>35767</v>
      </c>
      <c r="G11195" t="s">
        <v>32614</v>
      </c>
      <c r="H11195" t="s">
        <v>35809</v>
      </c>
    </row>
    <row r="11196" spans="1:8">
      <c r="A11196" t="str">
        <f>"0232718 "</f>
        <v xml:space="preserve">0232718 </v>
      </c>
      <c r="B11196" t="s">
        <v>35743</v>
      </c>
      <c r="C11196" t="s">
        <v>35811</v>
      </c>
      <c r="D11196" t="s">
        <v>35812</v>
      </c>
      <c r="E11196" t="s">
        <v>16</v>
      </c>
      <c r="F11196" t="s">
        <v>1839</v>
      </c>
      <c r="G11196" t="s">
        <v>32614</v>
      </c>
      <c r="H11196" t="s">
        <v>35811</v>
      </c>
    </row>
    <row r="11197" spans="1:8">
      <c r="A11197" t="str">
        <f>"0232687 "</f>
        <v xml:space="preserve">0232687 </v>
      </c>
      <c r="B11197" t="s">
        <v>35743</v>
      </c>
      <c r="C11197" t="s">
        <v>35813</v>
      </c>
      <c r="D11197" t="s">
        <v>35814</v>
      </c>
      <c r="E11197" t="s">
        <v>16</v>
      </c>
      <c r="F11197" t="s">
        <v>34420</v>
      </c>
      <c r="G11197" t="s">
        <v>32614</v>
      </c>
      <c r="H11197" t="s">
        <v>35813</v>
      </c>
    </row>
    <row r="11198" spans="1:8">
      <c r="A11198" t="str">
        <f>"0219499 "</f>
        <v xml:space="preserve">0219499 </v>
      </c>
      <c r="B11198" t="s">
        <v>35743</v>
      </c>
      <c r="C11198" t="s">
        <v>35815</v>
      </c>
      <c r="D11198" t="s">
        <v>35816</v>
      </c>
      <c r="E11198" t="s">
        <v>16</v>
      </c>
      <c r="F11198" t="s">
        <v>33878</v>
      </c>
      <c r="G11198" t="s">
        <v>32614</v>
      </c>
      <c r="H11198" t="s">
        <v>35815</v>
      </c>
    </row>
    <row r="11199" spans="1:8">
      <c r="A11199" t="str">
        <f>"0219500 "</f>
        <v xml:space="preserve">0219500 </v>
      </c>
      <c r="B11199" t="s">
        <v>35743</v>
      </c>
      <c r="C11199" t="s">
        <v>35817</v>
      </c>
      <c r="D11199" t="s">
        <v>35818</v>
      </c>
      <c r="E11199" t="s">
        <v>16</v>
      </c>
      <c r="F11199" t="s">
        <v>29740</v>
      </c>
      <c r="G11199" t="s">
        <v>32614</v>
      </c>
      <c r="H11199" t="s">
        <v>35817</v>
      </c>
    </row>
    <row r="11200" spans="1:8">
      <c r="A11200" t="str">
        <f>"0219501 "</f>
        <v xml:space="preserve">0219501 </v>
      </c>
      <c r="B11200" t="s">
        <v>35743</v>
      </c>
      <c r="C11200" t="s">
        <v>35819</v>
      </c>
      <c r="D11200" t="s">
        <v>35820</v>
      </c>
      <c r="E11200" t="s">
        <v>16</v>
      </c>
      <c r="F11200" t="s">
        <v>35821</v>
      </c>
      <c r="G11200" t="s">
        <v>32614</v>
      </c>
      <c r="H11200" t="s">
        <v>35819</v>
      </c>
    </row>
    <row r="11201" spans="1:8">
      <c r="A11201" t="str">
        <f>"0219502 "</f>
        <v xml:space="preserve">0219502 </v>
      </c>
      <c r="B11201" t="s">
        <v>35743</v>
      </c>
      <c r="C11201" t="s">
        <v>35822</v>
      </c>
      <c r="D11201" t="s">
        <v>35823</v>
      </c>
      <c r="E11201" t="s">
        <v>16</v>
      </c>
      <c r="F11201" t="s">
        <v>35781</v>
      </c>
      <c r="G11201" t="s">
        <v>32614</v>
      </c>
      <c r="H11201" t="s">
        <v>35822</v>
      </c>
    </row>
    <row r="11202" spans="1:8">
      <c r="A11202" t="str">
        <f>"0219503 "</f>
        <v xml:space="preserve">0219503 </v>
      </c>
      <c r="B11202" t="s">
        <v>35743</v>
      </c>
      <c r="C11202" t="s">
        <v>35824</v>
      </c>
      <c r="D11202" t="s">
        <v>35825</v>
      </c>
      <c r="E11202" t="s">
        <v>16</v>
      </c>
      <c r="F11202" t="s">
        <v>35529</v>
      </c>
      <c r="G11202" t="s">
        <v>32614</v>
      </c>
      <c r="H11202" t="s">
        <v>35824</v>
      </c>
    </row>
    <row r="11203" spans="1:8">
      <c r="A11203" t="str">
        <f>"0219504 "</f>
        <v xml:space="preserve">0219504 </v>
      </c>
      <c r="B11203" t="s">
        <v>35743</v>
      </c>
      <c r="C11203" t="s">
        <v>35826</v>
      </c>
      <c r="D11203" t="s">
        <v>35827</v>
      </c>
      <c r="E11203" t="s">
        <v>16</v>
      </c>
      <c r="F11203" t="s">
        <v>35786</v>
      </c>
      <c r="G11203" t="s">
        <v>32614</v>
      </c>
      <c r="H11203" t="s">
        <v>35826</v>
      </c>
    </row>
    <row r="11204" spans="1:8">
      <c r="A11204" t="str">
        <f>"0249282 "</f>
        <v xml:space="preserve">0249282 </v>
      </c>
      <c r="B11204" t="s">
        <v>35828</v>
      </c>
      <c r="C11204">
        <v>11110</v>
      </c>
      <c r="D11204" t="s">
        <v>35829</v>
      </c>
      <c r="E11204">
        <v>4</v>
      </c>
      <c r="F11204" t="s">
        <v>35830</v>
      </c>
      <c r="G11204" t="s">
        <v>35831</v>
      </c>
      <c r="H11204">
        <v>11110</v>
      </c>
    </row>
    <row r="11205" spans="1:8">
      <c r="A11205" t="str">
        <f>"0249287 "</f>
        <v xml:space="preserve">0249287 </v>
      </c>
      <c r="B11205" t="s">
        <v>35828</v>
      </c>
      <c r="C11205">
        <v>11210</v>
      </c>
      <c r="D11205" t="s">
        <v>35832</v>
      </c>
      <c r="E11205">
        <v>4</v>
      </c>
      <c r="F11205" t="s">
        <v>35830</v>
      </c>
      <c r="G11205" t="s">
        <v>35831</v>
      </c>
      <c r="H11205">
        <v>11210</v>
      </c>
    </row>
    <row r="11206" spans="1:8">
      <c r="A11206" t="str">
        <f>"0249280 "</f>
        <v xml:space="preserve">0249280 </v>
      </c>
      <c r="B11206" t="s">
        <v>35828</v>
      </c>
      <c r="C11206">
        <v>11310</v>
      </c>
      <c r="D11206" t="s">
        <v>35833</v>
      </c>
      <c r="E11206" t="s">
        <v>16</v>
      </c>
      <c r="F11206" t="s">
        <v>35830</v>
      </c>
      <c r="G11206" t="s">
        <v>35831</v>
      </c>
      <c r="H11206">
        <v>11310</v>
      </c>
    </row>
    <row r="11207" spans="1:8">
      <c r="A11207" t="str">
        <f>"0249278 "</f>
        <v xml:space="preserve">0249278 </v>
      </c>
      <c r="B11207" t="s">
        <v>35828</v>
      </c>
      <c r="C11207">
        <v>11510</v>
      </c>
      <c r="D11207" t="s">
        <v>35834</v>
      </c>
      <c r="E11207" t="s">
        <v>16</v>
      </c>
      <c r="F11207" t="s">
        <v>35830</v>
      </c>
      <c r="G11207" t="s">
        <v>35831</v>
      </c>
      <c r="H11207">
        <v>11510</v>
      </c>
    </row>
    <row r="11208" spans="1:8">
      <c r="A11208" t="str">
        <f>"0219536 "</f>
        <v xml:space="preserve">0219536 </v>
      </c>
      <c r="B11208" t="s">
        <v>35828</v>
      </c>
      <c r="C11208">
        <v>15110</v>
      </c>
      <c r="D11208" t="s">
        <v>35835</v>
      </c>
      <c r="E11208">
        <v>2</v>
      </c>
      <c r="F11208" t="s">
        <v>27481</v>
      </c>
      <c r="G11208" t="s">
        <v>35831</v>
      </c>
      <c r="H11208">
        <v>15110</v>
      </c>
    </row>
    <row r="11209" spans="1:8">
      <c r="A11209" t="str">
        <f>"0219526 "</f>
        <v xml:space="preserve">0219526 </v>
      </c>
      <c r="B11209" t="s">
        <v>35828</v>
      </c>
      <c r="C11209">
        <v>15310</v>
      </c>
      <c r="D11209" t="s">
        <v>35836</v>
      </c>
      <c r="E11209">
        <v>1</v>
      </c>
      <c r="F11209" t="s">
        <v>27481</v>
      </c>
      <c r="G11209" t="s">
        <v>35831</v>
      </c>
      <c r="H11209">
        <v>15310</v>
      </c>
    </row>
    <row r="11210" spans="1:8">
      <c r="A11210" t="str">
        <f>"0219528 "</f>
        <v xml:space="preserve">0219528 </v>
      </c>
      <c r="B11210" t="s">
        <v>35828</v>
      </c>
      <c r="C11210">
        <v>15610</v>
      </c>
      <c r="D11210" t="s">
        <v>35837</v>
      </c>
      <c r="E11210">
        <v>5</v>
      </c>
      <c r="F11210" t="s">
        <v>27481</v>
      </c>
      <c r="G11210" t="s">
        <v>35831</v>
      </c>
      <c r="H11210">
        <v>15610</v>
      </c>
    </row>
    <row r="11211" spans="1:8">
      <c r="A11211" t="str">
        <f>"0249306 "</f>
        <v xml:space="preserve">0249306 </v>
      </c>
      <c r="B11211" t="s">
        <v>35828</v>
      </c>
      <c r="C11211">
        <v>17610</v>
      </c>
      <c r="D11211" t="s">
        <v>35838</v>
      </c>
      <c r="E11211">
        <v>3</v>
      </c>
      <c r="F11211" t="s">
        <v>35839</v>
      </c>
      <c r="G11211" t="s">
        <v>35831</v>
      </c>
      <c r="H11211">
        <v>17610</v>
      </c>
    </row>
    <row r="11212" spans="1:8">
      <c r="A11212" t="str">
        <f>"0251944 "</f>
        <v xml:space="preserve">0251944 </v>
      </c>
      <c r="B11212" t="s">
        <v>35828</v>
      </c>
      <c r="C11212">
        <v>18100</v>
      </c>
      <c r="D11212" t="s">
        <v>35840</v>
      </c>
      <c r="E11212" t="s">
        <v>16</v>
      </c>
      <c r="F11212" t="s">
        <v>33224</v>
      </c>
      <c r="G11212" t="s">
        <v>35831</v>
      </c>
      <c r="H11212">
        <v>18100</v>
      </c>
    </row>
    <row r="11213" spans="1:8">
      <c r="A11213" t="str">
        <f>"0251943 "</f>
        <v xml:space="preserve">0251943 </v>
      </c>
      <c r="B11213" t="s">
        <v>35828</v>
      </c>
      <c r="C11213">
        <v>18110</v>
      </c>
      <c r="D11213" t="s">
        <v>35841</v>
      </c>
      <c r="E11213" t="s">
        <v>16</v>
      </c>
      <c r="F11213" t="s">
        <v>33224</v>
      </c>
      <c r="G11213" t="s">
        <v>35831</v>
      </c>
      <c r="H11213">
        <v>18110</v>
      </c>
    </row>
    <row r="11214" spans="1:8">
      <c r="A11214" t="str">
        <f>"0251946 "</f>
        <v xml:space="preserve">0251946 </v>
      </c>
      <c r="B11214" t="s">
        <v>35828</v>
      </c>
      <c r="C11214">
        <v>19100</v>
      </c>
      <c r="D11214" t="s">
        <v>35842</v>
      </c>
      <c r="E11214" t="s">
        <v>16</v>
      </c>
      <c r="F11214" s="1">
        <v>42764</v>
      </c>
      <c r="G11214" t="s">
        <v>35831</v>
      </c>
      <c r="H11214">
        <v>19100</v>
      </c>
    </row>
    <row r="11215" spans="1:8">
      <c r="A11215" t="str">
        <f>"0251945 "</f>
        <v xml:space="preserve">0251945 </v>
      </c>
      <c r="B11215" t="s">
        <v>35828</v>
      </c>
      <c r="C11215">
        <v>19110</v>
      </c>
      <c r="D11215" t="s">
        <v>35843</v>
      </c>
      <c r="E11215">
        <v>2</v>
      </c>
      <c r="F11215" s="1">
        <v>42764</v>
      </c>
      <c r="G11215" t="s">
        <v>35831</v>
      </c>
      <c r="H11215">
        <v>19110</v>
      </c>
    </row>
    <row r="11216" spans="1:8">
      <c r="A11216" t="str">
        <f>"0219539 "</f>
        <v xml:space="preserve">0219539 </v>
      </c>
      <c r="B11216" t="s">
        <v>35844</v>
      </c>
      <c r="C11216" t="s">
        <v>35845</v>
      </c>
      <c r="D11216" t="s">
        <v>35846</v>
      </c>
      <c r="E11216" t="s">
        <v>16</v>
      </c>
      <c r="F11216" t="s">
        <v>35847</v>
      </c>
      <c r="G11216" t="s">
        <v>32614</v>
      </c>
      <c r="H11216" t="s">
        <v>35845</v>
      </c>
    </row>
    <row r="11217" spans="1:8">
      <c r="A11217" t="str">
        <f>"0219537 "</f>
        <v xml:space="preserve">0219537 </v>
      </c>
      <c r="B11217" t="s">
        <v>35844</v>
      </c>
      <c r="C11217" t="s">
        <v>35848</v>
      </c>
      <c r="D11217" t="s">
        <v>35849</v>
      </c>
      <c r="E11217" t="s">
        <v>16</v>
      </c>
      <c r="F11217" t="s">
        <v>35850</v>
      </c>
      <c r="G11217" t="s">
        <v>32614</v>
      </c>
      <c r="H11217" t="s">
        <v>35848</v>
      </c>
    </row>
    <row r="11218" spans="1:8">
      <c r="A11218" t="str">
        <f>"0219544 "</f>
        <v xml:space="preserve">0219544 </v>
      </c>
      <c r="B11218" t="s">
        <v>35844</v>
      </c>
      <c r="C11218" t="s">
        <v>35851</v>
      </c>
      <c r="D11218" t="s">
        <v>35852</v>
      </c>
      <c r="E11218" t="s">
        <v>16</v>
      </c>
      <c r="F11218" t="s">
        <v>35853</v>
      </c>
      <c r="G11218" t="s">
        <v>32614</v>
      </c>
      <c r="H11218" t="s">
        <v>35851</v>
      </c>
    </row>
    <row r="11219" spans="1:8">
      <c r="A11219" t="str">
        <f>"0219545 "</f>
        <v xml:space="preserve">0219545 </v>
      </c>
      <c r="B11219" t="s">
        <v>35844</v>
      </c>
      <c r="C11219" t="s">
        <v>35854</v>
      </c>
      <c r="D11219" t="s">
        <v>35855</v>
      </c>
      <c r="E11219" t="s">
        <v>16</v>
      </c>
      <c r="F11219" t="s">
        <v>35856</v>
      </c>
      <c r="G11219" t="s">
        <v>32614</v>
      </c>
      <c r="H11219" t="s">
        <v>35854</v>
      </c>
    </row>
    <row r="11220" spans="1:8">
      <c r="A11220" t="str">
        <f>"0219538 "</f>
        <v xml:space="preserve">0219538 </v>
      </c>
      <c r="B11220" t="s">
        <v>35844</v>
      </c>
      <c r="C11220" t="s">
        <v>35857</v>
      </c>
      <c r="D11220" t="s">
        <v>35858</v>
      </c>
      <c r="E11220" t="s">
        <v>16</v>
      </c>
      <c r="F11220" t="s">
        <v>34289</v>
      </c>
      <c r="G11220" t="s">
        <v>32614</v>
      </c>
      <c r="H11220" t="s">
        <v>35857</v>
      </c>
    </row>
    <row r="11221" spans="1:8">
      <c r="A11221" t="str">
        <f>"0219540 "</f>
        <v xml:space="preserve">0219540 </v>
      </c>
      <c r="B11221" t="s">
        <v>35844</v>
      </c>
      <c r="C11221" t="s">
        <v>35859</v>
      </c>
      <c r="D11221" t="s">
        <v>35860</v>
      </c>
      <c r="E11221" t="s">
        <v>16</v>
      </c>
      <c r="F11221" t="s">
        <v>35861</v>
      </c>
      <c r="G11221" t="s">
        <v>32614</v>
      </c>
      <c r="H11221" t="s">
        <v>35859</v>
      </c>
    </row>
    <row r="11222" spans="1:8">
      <c r="A11222" t="str">
        <f>"0219541 "</f>
        <v xml:space="preserve">0219541 </v>
      </c>
      <c r="B11222" t="s">
        <v>35844</v>
      </c>
      <c r="C11222" t="s">
        <v>35862</v>
      </c>
      <c r="D11222" t="s">
        <v>35863</v>
      </c>
      <c r="E11222" t="s">
        <v>16</v>
      </c>
      <c r="F11222" t="s">
        <v>35864</v>
      </c>
      <c r="G11222" t="s">
        <v>32614</v>
      </c>
      <c r="H11222" t="s">
        <v>35862</v>
      </c>
    </row>
    <row r="11223" spans="1:8">
      <c r="A11223" t="str">
        <f>"0219542 "</f>
        <v xml:space="preserve">0219542 </v>
      </c>
      <c r="B11223" t="s">
        <v>35844</v>
      </c>
      <c r="C11223" t="s">
        <v>35865</v>
      </c>
      <c r="D11223" t="s">
        <v>35866</v>
      </c>
      <c r="E11223" t="s">
        <v>16</v>
      </c>
      <c r="F11223" t="s">
        <v>33029</v>
      </c>
      <c r="G11223" t="s">
        <v>32614</v>
      </c>
      <c r="H11223" t="s">
        <v>35865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price (16)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Avessalom</dc:creator>
  <cp:lastModifiedBy>Avessalom</cp:lastModifiedBy>
  <dcterms:created xsi:type="dcterms:W3CDTF">2017-08-06T21:08:31Z</dcterms:created>
  <dcterms:modified xsi:type="dcterms:W3CDTF">2017-08-06T21:08:32Z</dcterms:modified>
</cp:coreProperties>
</file>