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/>
  <mc:AlternateContent xmlns:mc="http://schemas.openxmlformats.org/markup-compatibility/2006">
    <mc:Choice Requires="x15">
      <x15ac:absPath xmlns:x15ac="http://schemas.microsoft.com/office/spreadsheetml/2010/11/ac" url="/Users/painn/Downloads/"/>
    </mc:Choice>
  </mc:AlternateContent>
  <xr:revisionPtr revIDLastSave="0" documentId="8_{E053352F-B950-BE41-BA14-B1A46B6007DE}" xr6:coauthVersionLast="47" xr6:coauthVersionMax="47" xr10:uidLastSave="{00000000-0000-0000-0000-000000000000}"/>
  <bookViews>
    <workbookView xWindow="0" yWindow="760" windowWidth="30240" windowHeight="18880" xr2:uid="{2F4C47AD-5B00-7E41-A963-D7B1C97E4C1F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5" i="1" l="1"/>
  <c r="L75" i="1"/>
  <c r="K75" i="1"/>
  <c r="J75" i="1"/>
  <c r="D75" i="1"/>
  <c r="C75" i="1"/>
  <c r="B75" i="1"/>
  <c r="M74" i="1"/>
  <c r="L74" i="1"/>
  <c r="K74" i="1"/>
  <c r="J74" i="1"/>
  <c r="D74" i="1"/>
  <c r="C74" i="1"/>
  <c r="B74" i="1"/>
  <c r="M73" i="1"/>
  <c r="L73" i="1"/>
  <c r="K73" i="1"/>
  <c r="J73" i="1"/>
  <c r="D73" i="1"/>
  <c r="C73" i="1"/>
  <c r="B73" i="1"/>
  <c r="M72" i="1"/>
  <c r="L72" i="1"/>
  <c r="K72" i="1"/>
  <c r="J72" i="1"/>
  <c r="D72" i="1"/>
  <c r="C72" i="1"/>
  <c r="B72" i="1"/>
  <c r="M70" i="1"/>
  <c r="L70" i="1"/>
  <c r="K70" i="1"/>
  <c r="J70" i="1"/>
  <c r="D70" i="1"/>
  <c r="C70" i="1"/>
  <c r="B70" i="1"/>
  <c r="M69" i="1"/>
  <c r="L69" i="1"/>
  <c r="K69" i="1"/>
  <c r="J69" i="1"/>
  <c r="D69" i="1"/>
  <c r="C69" i="1"/>
  <c r="B69" i="1"/>
  <c r="M68" i="1"/>
  <c r="L68" i="1"/>
  <c r="K68" i="1"/>
  <c r="J68" i="1"/>
  <c r="D68" i="1"/>
  <c r="C68" i="1"/>
  <c r="B68" i="1"/>
  <c r="M67" i="1"/>
  <c r="L67" i="1"/>
  <c r="K67" i="1"/>
  <c r="J67" i="1"/>
  <c r="D67" i="1"/>
  <c r="C67" i="1"/>
  <c r="B67" i="1"/>
  <c r="M65" i="1"/>
  <c r="L65" i="1"/>
  <c r="K65" i="1"/>
  <c r="J65" i="1"/>
  <c r="D65" i="1"/>
  <c r="C65" i="1"/>
  <c r="B65" i="1"/>
  <c r="M64" i="1"/>
  <c r="L64" i="1"/>
  <c r="K64" i="1"/>
  <c r="J64" i="1"/>
  <c r="D64" i="1"/>
  <c r="C64" i="1"/>
  <c r="B64" i="1"/>
  <c r="M63" i="1"/>
  <c r="L63" i="1"/>
  <c r="K63" i="1"/>
  <c r="J63" i="1"/>
  <c r="D63" i="1"/>
  <c r="C63" i="1"/>
  <c r="B63" i="1"/>
  <c r="M62" i="1"/>
  <c r="L62" i="1"/>
  <c r="K62" i="1"/>
  <c r="J62" i="1"/>
  <c r="D62" i="1"/>
  <c r="C62" i="1"/>
  <c r="B62" i="1"/>
  <c r="P60" i="1"/>
  <c r="O60" i="1"/>
  <c r="M60" i="1"/>
  <c r="L60" i="1"/>
  <c r="K60" i="1"/>
  <c r="J60" i="1"/>
  <c r="H60" i="1"/>
  <c r="D60" i="1"/>
  <c r="C60" i="1"/>
  <c r="B60" i="1"/>
  <c r="P59" i="1"/>
  <c r="O59" i="1"/>
  <c r="M59" i="1"/>
  <c r="L59" i="1"/>
  <c r="K59" i="1"/>
  <c r="J59" i="1"/>
  <c r="H59" i="1"/>
  <c r="D59" i="1"/>
  <c r="C59" i="1"/>
  <c r="B59" i="1"/>
  <c r="P58" i="1"/>
  <c r="O58" i="1"/>
  <c r="M58" i="1"/>
  <c r="L58" i="1"/>
  <c r="K58" i="1"/>
  <c r="J58" i="1"/>
  <c r="H58" i="1"/>
  <c r="D58" i="1"/>
  <c r="C58" i="1"/>
  <c r="B58" i="1"/>
  <c r="P57" i="1"/>
  <c r="O57" i="1"/>
  <c r="M57" i="1"/>
  <c r="L57" i="1"/>
  <c r="K57" i="1"/>
  <c r="J57" i="1"/>
  <c r="D57" i="1"/>
  <c r="C57" i="1"/>
  <c r="B57" i="1"/>
  <c r="O55" i="1"/>
  <c r="N55" i="1"/>
  <c r="L55" i="1"/>
  <c r="K55" i="1"/>
  <c r="J55" i="1"/>
  <c r="D55" i="1"/>
  <c r="C55" i="1"/>
  <c r="B55" i="1"/>
  <c r="O54" i="1"/>
  <c r="N54" i="1"/>
  <c r="L54" i="1"/>
  <c r="K54" i="1"/>
  <c r="J54" i="1"/>
  <c r="D54" i="1"/>
  <c r="C54" i="1"/>
  <c r="B54" i="1"/>
  <c r="O53" i="1"/>
  <c r="N53" i="1"/>
  <c r="L53" i="1"/>
  <c r="K53" i="1"/>
  <c r="J53" i="1"/>
  <c r="D53" i="1"/>
  <c r="C53" i="1"/>
  <c r="B53" i="1"/>
  <c r="O52" i="1"/>
  <c r="N52" i="1"/>
  <c r="L52" i="1"/>
  <c r="K52" i="1"/>
  <c r="J52" i="1"/>
  <c r="D52" i="1"/>
  <c r="C52" i="1"/>
  <c r="B52" i="1"/>
  <c r="P50" i="1"/>
  <c r="L50" i="1"/>
  <c r="K50" i="1"/>
  <c r="D50" i="1"/>
  <c r="C50" i="1"/>
  <c r="B50" i="1"/>
  <c r="P49" i="1"/>
  <c r="L49" i="1"/>
  <c r="K49" i="1"/>
  <c r="D49" i="1"/>
  <c r="C49" i="1"/>
  <c r="B49" i="1"/>
  <c r="P48" i="1"/>
  <c r="L48" i="1"/>
  <c r="K48" i="1"/>
  <c r="D48" i="1"/>
  <c r="C48" i="1"/>
  <c r="B48" i="1"/>
  <c r="P47" i="1"/>
  <c r="L47" i="1"/>
  <c r="K47" i="1"/>
  <c r="D47" i="1"/>
  <c r="C47" i="1"/>
  <c r="B47" i="1"/>
  <c r="M45" i="1"/>
  <c r="L45" i="1"/>
  <c r="K45" i="1"/>
  <c r="J45" i="1"/>
  <c r="D45" i="1"/>
  <c r="C45" i="1"/>
  <c r="B45" i="1"/>
  <c r="M44" i="1"/>
  <c r="L44" i="1"/>
  <c r="K44" i="1"/>
  <c r="J44" i="1"/>
  <c r="D44" i="1"/>
  <c r="C44" i="1"/>
  <c r="B44" i="1"/>
  <c r="M43" i="1"/>
  <c r="L43" i="1"/>
  <c r="K43" i="1"/>
  <c r="J43" i="1"/>
  <c r="D43" i="1"/>
  <c r="C43" i="1"/>
  <c r="B43" i="1"/>
  <c r="M42" i="1"/>
  <c r="L42" i="1"/>
  <c r="K42" i="1"/>
  <c r="J42" i="1"/>
  <c r="D42" i="1"/>
  <c r="C42" i="1"/>
  <c r="B42" i="1"/>
  <c r="M40" i="1"/>
  <c r="L40" i="1"/>
  <c r="K40" i="1"/>
  <c r="D40" i="1"/>
  <c r="C40" i="1"/>
  <c r="B40" i="1"/>
  <c r="M39" i="1"/>
  <c r="L39" i="1"/>
  <c r="K39" i="1"/>
  <c r="D39" i="1"/>
  <c r="C39" i="1"/>
  <c r="B39" i="1"/>
  <c r="M38" i="1"/>
  <c r="L38" i="1"/>
  <c r="K38" i="1"/>
  <c r="D38" i="1"/>
  <c r="C38" i="1"/>
  <c r="B38" i="1"/>
  <c r="M37" i="1"/>
  <c r="L37" i="1"/>
  <c r="K37" i="1"/>
  <c r="D37" i="1"/>
  <c r="C37" i="1"/>
  <c r="B37" i="1"/>
  <c r="M35" i="1"/>
  <c r="L35" i="1"/>
  <c r="K35" i="1"/>
  <c r="J35" i="1"/>
  <c r="D35" i="1"/>
  <c r="C35" i="1"/>
  <c r="B35" i="1"/>
  <c r="M34" i="1"/>
  <c r="L34" i="1"/>
  <c r="K34" i="1"/>
  <c r="J34" i="1"/>
  <c r="D34" i="1"/>
  <c r="C34" i="1"/>
  <c r="B34" i="1"/>
  <c r="M33" i="1"/>
  <c r="L33" i="1"/>
  <c r="K33" i="1"/>
  <c r="J33" i="1"/>
  <c r="D33" i="1"/>
  <c r="C33" i="1"/>
  <c r="B33" i="1"/>
  <c r="M32" i="1"/>
  <c r="L32" i="1"/>
  <c r="K32" i="1"/>
  <c r="J32" i="1"/>
  <c r="D32" i="1"/>
  <c r="C32" i="1"/>
  <c r="B32" i="1"/>
  <c r="P30" i="1"/>
  <c r="M30" i="1"/>
  <c r="L30" i="1"/>
  <c r="K30" i="1"/>
  <c r="D30" i="1"/>
  <c r="C30" i="1"/>
  <c r="B30" i="1"/>
  <c r="P29" i="1"/>
  <c r="M29" i="1"/>
  <c r="L29" i="1"/>
  <c r="K29" i="1"/>
  <c r="D29" i="1"/>
  <c r="C29" i="1"/>
  <c r="B29" i="1"/>
  <c r="P28" i="1"/>
  <c r="M28" i="1"/>
  <c r="L28" i="1"/>
  <c r="K28" i="1"/>
  <c r="D28" i="1"/>
  <c r="C28" i="1"/>
  <c r="B28" i="1"/>
  <c r="P27" i="1"/>
  <c r="M27" i="1"/>
  <c r="L27" i="1"/>
  <c r="K27" i="1"/>
  <c r="D27" i="1"/>
  <c r="C27" i="1"/>
  <c r="B27" i="1"/>
  <c r="P25" i="1"/>
  <c r="O25" i="1"/>
  <c r="M25" i="1"/>
  <c r="L25" i="1"/>
  <c r="K25" i="1"/>
  <c r="J25" i="1"/>
  <c r="D25" i="1"/>
  <c r="C25" i="1"/>
  <c r="B25" i="1"/>
  <c r="P24" i="1"/>
  <c r="O24" i="1"/>
  <c r="M24" i="1"/>
  <c r="L24" i="1"/>
  <c r="K24" i="1"/>
  <c r="J24" i="1"/>
  <c r="D24" i="1"/>
  <c r="C24" i="1"/>
  <c r="B24" i="1"/>
  <c r="P23" i="1"/>
  <c r="O23" i="1"/>
  <c r="M23" i="1"/>
  <c r="L23" i="1"/>
  <c r="K23" i="1"/>
  <c r="J23" i="1"/>
  <c r="D23" i="1"/>
  <c r="C23" i="1"/>
  <c r="B23" i="1"/>
  <c r="P22" i="1"/>
  <c r="O22" i="1"/>
  <c r="M22" i="1"/>
  <c r="L22" i="1"/>
  <c r="K22" i="1"/>
  <c r="J22" i="1"/>
  <c r="D22" i="1"/>
  <c r="C22" i="1"/>
  <c r="B22" i="1"/>
  <c r="P20" i="1"/>
  <c r="O20" i="1"/>
  <c r="L20" i="1"/>
  <c r="K20" i="1"/>
  <c r="D20" i="1"/>
  <c r="C20" i="1"/>
  <c r="B20" i="1"/>
  <c r="P19" i="1"/>
  <c r="O19" i="1"/>
  <c r="L19" i="1"/>
  <c r="K19" i="1"/>
  <c r="D19" i="1"/>
  <c r="C19" i="1"/>
  <c r="B19" i="1"/>
  <c r="P18" i="1"/>
  <c r="O18" i="1"/>
  <c r="L18" i="1"/>
  <c r="K18" i="1"/>
  <c r="D18" i="1"/>
  <c r="C18" i="1"/>
  <c r="B18" i="1"/>
  <c r="P17" i="1"/>
  <c r="O17" i="1"/>
  <c r="L17" i="1"/>
  <c r="K17" i="1"/>
  <c r="D17" i="1"/>
  <c r="C17" i="1"/>
  <c r="B17" i="1"/>
  <c r="O15" i="1"/>
  <c r="L15" i="1"/>
  <c r="K15" i="1"/>
  <c r="J15" i="1"/>
  <c r="D15" i="1"/>
  <c r="C15" i="1"/>
  <c r="B15" i="1"/>
  <c r="O14" i="1"/>
  <c r="L14" i="1"/>
  <c r="K14" i="1"/>
  <c r="J14" i="1"/>
  <c r="D14" i="1"/>
  <c r="C14" i="1"/>
  <c r="B14" i="1"/>
  <c r="O13" i="1"/>
  <c r="L13" i="1"/>
  <c r="K13" i="1"/>
  <c r="J13" i="1"/>
  <c r="D13" i="1"/>
  <c r="C13" i="1"/>
  <c r="B13" i="1"/>
  <c r="O12" i="1"/>
  <c r="L12" i="1"/>
  <c r="K12" i="1"/>
  <c r="J12" i="1"/>
  <c r="D12" i="1"/>
  <c r="C12" i="1"/>
  <c r="B12" i="1"/>
  <c r="P10" i="1"/>
  <c r="O10" i="1"/>
  <c r="M10" i="1"/>
  <c r="L10" i="1"/>
  <c r="K10" i="1"/>
  <c r="J10" i="1"/>
  <c r="D10" i="1"/>
  <c r="C10" i="1"/>
  <c r="B10" i="1"/>
  <c r="P9" i="1"/>
  <c r="O9" i="1"/>
  <c r="M9" i="1"/>
  <c r="L9" i="1"/>
  <c r="K9" i="1"/>
  <c r="J9" i="1"/>
  <c r="D9" i="1"/>
  <c r="C9" i="1"/>
  <c r="B9" i="1"/>
  <c r="P8" i="1"/>
  <c r="O8" i="1"/>
  <c r="M8" i="1"/>
  <c r="L8" i="1"/>
  <c r="K8" i="1"/>
  <c r="J8" i="1"/>
  <c r="D8" i="1"/>
  <c r="C8" i="1"/>
  <c r="B8" i="1"/>
  <c r="P7" i="1"/>
  <c r="O7" i="1"/>
  <c r="M7" i="1"/>
  <c r="L7" i="1"/>
  <c r="K7" i="1"/>
  <c r="J7" i="1"/>
  <c r="D7" i="1"/>
  <c r="C7" i="1"/>
  <c r="B7" i="1"/>
  <c r="P5" i="1"/>
  <c r="O5" i="1"/>
  <c r="L5" i="1"/>
  <c r="K5" i="1"/>
  <c r="J5" i="1"/>
  <c r="D5" i="1"/>
  <c r="C5" i="1"/>
  <c r="B5" i="1"/>
  <c r="P4" i="1"/>
  <c r="O4" i="1"/>
  <c r="L4" i="1"/>
  <c r="K4" i="1"/>
  <c r="J4" i="1"/>
  <c r="D4" i="1"/>
  <c r="C4" i="1"/>
  <c r="B4" i="1"/>
  <c r="P3" i="1"/>
  <c r="O3" i="1"/>
  <c r="L3" i="1"/>
  <c r="K3" i="1"/>
  <c r="J3" i="1"/>
  <c r="D3" i="1"/>
  <c r="C3" i="1"/>
  <c r="B3" i="1"/>
  <c r="P2" i="1"/>
  <c r="O2" i="1"/>
  <c r="L2" i="1"/>
  <c r="K2" i="1"/>
  <c r="J2" i="1"/>
  <c r="D2" i="1"/>
  <c r="C2" i="1"/>
  <c r="B2" i="1"/>
</calcChain>
</file>

<file path=xl/sharedStrings.xml><?xml version="1.0" encoding="utf-8"?>
<sst xmlns="http://schemas.openxmlformats.org/spreadsheetml/2006/main" count="92" uniqueCount="36">
  <si>
    <t>Ngữ văn</t>
  </si>
  <si>
    <t>Toán</t>
  </si>
  <si>
    <t>Tiếng Anh</t>
  </si>
  <si>
    <t>Tiếng Pháp</t>
  </si>
  <si>
    <t>Tiếng Trung</t>
  </si>
  <si>
    <t>Tiếng Nhật</t>
  </si>
  <si>
    <t>Tiếng Đức</t>
  </si>
  <si>
    <t>Tiếng Nga</t>
  </si>
  <si>
    <t>Lịch sử</t>
  </si>
  <si>
    <t>Vật lí</t>
  </si>
  <si>
    <t>Hóa học</t>
  </si>
  <si>
    <t>Sinh học</t>
  </si>
  <si>
    <t>Địa lí</t>
  </si>
  <si>
    <t>GDKTPL</t>
  </si>
  <si>
    <t>Tin học</t>
  </si>
  <si>
    <t>CNCN</t>
  </si>
  <si>
    <t>CNNN</t>
  </si>
  <si>
    <t>A1</t>
  </si>
  <si>
    <t>MAX</t>
  </si>
  <si>
    <t>MIN</t>
  </si>
  <si>
    <t>AVG</t>
  </si>
  <si>
    <t>MED</t>
  </si>
  <si>
    <t>A2</t>
  </si>
  <si>
    <t>CA1</t>
  </si>
  <si>
    <t>CA2</t>
  </si>
  <si>
    <t>CA3</t>
  </si>
  <si>
    <t>CH</t>
  </si>
  <si>
    <t>CL</t>
  </si>
  <si>
    <t>CS</t>
  </si>
  <si>
    <t>CT</t>
  </si>
  <si>
    <t>CTin</t>
  </si>
  <si>
    <t>CV</t>
  </si>
  <si>
    <t>TĐ</t>
  </si>
  <si>
    <t>TH1</t>
  </si>
  <si>
    <t>TH2</t>
  </si>
  <si>
    <t>TH3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</si>
</sst>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ainn/Downloads/tdn-2025-2.xlsx" TargetMode="External"/><Relationship Id="rId1" Type="http://schemas.openxmlformats.org/officeDocument/2006/relationships/externalLinkPath" Target="tdn-2025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A1"/>
      <sheetName val="A2"/>
      <sheetName val="CA1"/>
      <sheetName val="CA2"/>
      <sheetName val="CA3"/>
      <sheetName val="CH"/>
      <sheetName val="CL"/>
      <sheetName val="CS"/>
      <sheetName val="CT"/>
      <sheetName val="CTin"/>
      <sheetName val="CV"/>
      <sheetName val="TĐ"/>
      <sheetName val="TH1"/>
      <sheetName val="TH2"/>
      <sheetName val="TH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8DADE-BE45-D043-8FBF-A3B460777229}">
  <dimension ref="A1:S75"/>
  <sheetViews>
    <sheetView tabSelected="1" zoomScale="75" workbookViewId="0">
      <pane ySplit="1" topLeftCell="A2" activePane="bottomLeft" state="frozen"/>
      <selection pane="bottomLeft" activeCell="E70" sqref="E70"/>
    </sheetView>
  </sheetViews>
  <sheetFormatPr baseColWidth="10" defaultRowHeight="16" x14ac:dyDescent="0.2"/>
  <sheetData>
    <row r="1" spans="1:1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9" x14ac:dyDescent="0.2">
      <c r="A2" t="s">
        <v>17</v>
      </c>
      <c r="B2">
        <f>MAX([1]!A1_[Ngữ văn])</f>
        <v>8.75</v>
      </c>
      <c r="C2">
        <f>MAX([1]!A1_[Toán])</f>
        <v>10</v>
      </c>
      <c r="D2">
        <f>MAX([1]!A1_[Tiếng Anh])</f>
        <v>9.75</v>
      </c>
      <c r="J2">
        <f>MAX([1]!A1_[Lịch sử])</f>
        <v>10</v>
      </c>
      <c r="K2">
        <f>MAX([1]!A1_[Vật lí])</f>
        <v>10</v>
      </c>
      <c r="L2">
        <f>MAX([1]!A1_[Hóa học])</f>
        <v>9.75</v>
      </c>
      <c r="O2">
        <f>MAX([1]!A1_[GDKTPL])</f>
        <v>9.75</v>
      </c>
      <c r="P2">
        <f>MAX([1]!A1_[Tin học])</f>
        <v>8</v>
      </c>
      <c r="S2" t="s">
        <v>18</v>
      </c>
    </row>
    <row r="3" spans="1:19" x14ac:dyDescent="0.2">
      <c r="B3">
        <f>MIN([1]!A1_[Ngữ văn])</f>
        <v>3.75</v>
      </c>
      <c r="C3">
        <f>MIN([1]!A1_[Toán])</f>
        <v>4.8499999999999996</v>
      </c>
      <c r="D3">
        <f>MIN([1]!A1_[Tiếng Anh])</f>
        <v>6</v>
      </c>
      <c r="J3">
        <f>MIN([1]!A1_[Lịch sử])</f>
        <v>7.5</v>
      </c>
      <c r="K3">
        <f>MIN([1]!A1_[Vật lí])</f>
        <v>5</v>
      </c>
      <c r="L3">
        <f>MIN([1]!A1_[Hóa học])</f>
        <v>6.25</v>
      </c>
      <c r="O3">
        <f>MIN([1]!A1_[GDKTPL])</f>
        <v>9.75</v>
      </c>
      <c r="P3">
        <f>MIN([1]!A1_[Tin học])</f>
        <v>8</v>
      </c>
      <c r="S3" t="s">
        <v>19</v>
      </c>
    </row>
    <row r="4" spans="1:19" x14ac:dyDescent="0.2">
      <c r="B4">
        <f>AVERAGE([1]!A1_[Ngữ văn])</f>
        <v>7.4821428571428568</v>
      </c>
      <c r="C4">
        <f>AVERAGE([1]!A1_[Toán])</f>
        <v>7.3297619047619049</v>
      </c>
      <c r="D4">
        <f>AVERAGE([1]!A1_[Tiếng Anh])</f>
        <v>7.8597560975609753</v>
      </c>
      <c r="J4">
        <f>AVERAGE([1]!A1_[Lịch sử])</f>
        <v>9.15</v>
      </c>
      <c r="K4">
        <f>AVERAGE([1]!A1_[Vật lí])</f>
        <v>7.9844827586206888</v>
      </c>
      <c r="L4">
        <f>AVERAGE([1]!A1_[Hóa học])</f>
        <v>8.3928571428571423</v>
      </c>
      <c r="O4">
        <f>AVERAGE([1]!A1_[GDKTPL])</f>
        <v>9.75</v>
      </c>
      <c r="P4">
        <f>AVERAGE([1]!A1_[Tin học])</f>
        <v>8</v>
      </c>
      <c r="S4" t="s">
        <v>20</v>
      </c>
    </row>
    <row r="5" spans="1:19" x14ac:dyDescent="0.2">
      <c r="B5">
        <f>MEDIAN([1]!A1_[Ngữ văn])</f>
        <v>7.75</v>
      </c>
      <c r="C5">
        <f>MEDIAN([1]!A1_[Toán])</f>
        <v>7.5</v>
      </c>
      <c r="D5">
        <f>MEDIAN([1]!A1_[Tiếng Anh])</f>
        <v>7.75</v>
      </c>
      <c r="J5">
        <f>MEDIAN([1]!A1_[Lịch sử])</f>
        <v>9.25</v>
      </c>
      <c r="K5">
        <f>MEDIAN([1]!A1_[Vật lí])</f>
        <v>8.5</v>
      </c>
      <c r="L5">
        <f>MEDIAN([1]!A1_[Hóa học])</f>
        <v>8.75</v>
      </c>
      <c r="O5">
        <f>MEDIAN([1]!A1_[GDKTPL])</f>
        <v>9.75</v>
      </c>
      <c r="P5">
        <f>MEDIAN([1]!A1_[Tin học])</f>
        <v>8</v>
      </c>
      <c r="S5" t="s">
        <v>21</v>
      </c>
    </row>
    <row r="7" spans="1:19" x14ac:dyDescent="0.2">
      <c r="A7" t="s">
        <v>22</v>
      </c>
      <c r="B7">
        <f>MAX([1]!A2_[Ngữ văn])</f>
        <v>8.75</v>
      </c>
      <c r="C7">
        <f>MAX([1]!A2_[Toán])</f>
        <v>9</v>
      </c>
      <c r="D7">
        <f>MAX([1]!A2_[Tiếng Anh])</f>
        <v>9.5</v>
      </c>
      <c r="J7">
        <f>MAX([1]!A2_[Lịch sử])</f>
        <v>8.75</v>
      </c>
      <c r="K7">
        <f>MAX([1]!A2_[Vật lí])</f>
        <v>8.5</v>
      </c>
      <c r="L7">
        <f>MAX([1]!A2_[Hóa học])</f>
        <v>9.5</v>
      </c>
      <c r="M7">
        <f>MAX([1]!A2_[Sinh học])</f>
        <v>9.25</v>
      </c>
      <c r="O7">
        <f>MAX([1]!A2_[GDKTPL])</f>
        <v>8.75</v>
      </c>
      <c r="P7">
        <f>MAX([1]!A2_[Tin học])</f>
        <v>8.25</v>
      </c>
      <c r="S7" t="s">
        <v>18</v>
      </c>
    </row>
    <row r="8" spans="1:19" x14ac:dyDescent="0.2">
      <c r="B8">
        <f>MIN([1]!A2_[Ngữ văn])</f>
        <v>5.75</v>
      </c>
      <c r="C8">
        <f>MIN([1]!A2_[Toán])</f>
        <v>3.5</v>
      </c>
      <c r="D8">
        <f>MIN([1]!A2_[Tiếng Anh])</f>
        <v>4.25</v>
      </c>
      <c r="J8">
        <f>MIN([1]!A2_[Lịch sử])</f>
        <v>5.75</v>
      </c>
      <c r="K8">
        <f>MIN([1]!A2_[Vật lí])</f>
        <v>5.35</v>
      </c>
      <c r="L8">
        <f>MIN([1]!A2_[Hóa học])</f>
        <v>4.2</v>
      </c>
      <c r="M8">
        <f>MIN([1]!A2_[Sinh học])</f>
        <v>6.75</v>
      </c>
      <c r="O8">
        <f>MIN([1]!A2_[GDKTPL])</f>
        <v>8.5</v>
      </c>
      <c r="P8">
        <f>MIN([1]!A2_[Tin học])</f>
        <v>8.25</v>
      </c>
      <c r="S8" t="s">
        <v>19</v>
      </c>
    </row>
    <row r="9" spans="1:19" x14ac:dyDescent="0.2">
      <c r="B9">
        <f>AVERAGE([1]!A2_[Ngữ văn])</f>
        <v>7.5514705882352944</v>
      </c>
      <c r="C9">
        <f>AVERAGE([1]!A2_[Toán])</f>
        <v>7.1073529411764698</v>
      </c>
      <c r="D9">
        <f>AVERAGE([1]!A2_[Tiếng Anh])</f>
        <v>7.7261904761904763</v>
      </c>
      <c r="J9">
        <f>AVERAGE([1]!A2_[Lịch sử])</f>
        <v>7.3</v>
      </c>
      <c r="K9">
        <f>AVERAGE([1]!A2_[Vật lí])</f>
        <v>7.3062500000000004</v>
      </c>
      <c r="L9">
        <f>AVERAGE([1]!A2_[Hóa học])</f>
        <v>7.5724999999999998</v>
      </c>
      <c r="M9">
        <f>AVERAGE([1]!A2_[Sinh học])</f>
        <v>8.125</v>
      </c>
      <c r="O9">
        <f>AVERAGE([1]!A2_[GDKTPL])</f>
        <v>8.625</v>
      </c>
      <c r="P9">
        <f>AVERAGE([1]!A2_[Tin học])</f>
        <v>8.25</v>
      </c>
      <c r="S9" t="s">
        <v>20</v>
      </c>
    </row>
    <row r="10" spans="1:19" x14ac:dyDescent="0.2">
      <c r="B10">
        <f>MEDIAN([1]!A2_[Ngữ văn])</f>
        <v>7.625</v>
      </c>
      <c r="C10">
        <f>MEDIAN([1]!A2_[Toán])</f>
        <v>7</v>
      </c>
      <c r="D10">
        <f>MEDIAN([1]!A2_[Tiếng Anh])</f>
        <v>8</v>
      </c>
      <c r="J10">
        <f>MEDIAN([1]!A2_[Lịch sử])</f>
        <v>7</v>
      </c>
      <c r="K10">
        <f>MEDIAN([1]!A2_[Vật lí])</f>
        <v>7.375</v>
      </c>
      <c r="L10">
        <f>MEDIAN([1]!A2_[Hóa học])</f>
        <v>8.125</v>
      </c>
      <c r="M10">
        <f>MEDIAN([1]!A2_[Sinh học])</f>
        <v>8.25</v>
      </c>
      <c r="O10">
        <f>MEDIAN([1]!A2_[GDKTPL])</f>
        <v>8.625</v>
      </c>
      <c r="P10">
        <f>MEDIAN([1]!A2_[Tin học])</f>
        <v>8.25</v>
      </c>
      <c r="S10" t="s">
        <v>21</v>
      </c>
    </row>
    <row r="12" spans="1:19" x14ac:dyDescent="0.2">
      <c r="A12" t="s">
        <v>23</v>
      </c>
      <c r="B12">
        <f>MAX([1]!CA1_[Ngữ văn])</f>
        <v>9</v>
      </c>
      <c r="C12">
        <f>MAX([1]!CA1_[Toán])</f>
        <v>9</v>
      </c>
      <c r="D12">
        <f>MAX([1]!CA1_[Tiếng Anh])</f>
        <v>9.75</v>
      </c>
      <c r="J12">
        <f>MAX([1]!CA1_[Lịch sử])</f>
        <v>8.75</v>
      </c>
      <c r="K12">
        <f>MAX([1]!CA1_[Vật lí])</f>
        <v>9.5</v>
      </c>
      <c r="L12">
        <f>MAX([1]!CA1_[Hóa học])</f>
        <v>9.25</v>
      </c>
      <c r="O12">
        <f>MAX([1]!CA1_[GDKTPL])</f>
        <v>9</v>
      </c>
      <c r="S12" t="s">
        <v>18</v>
      </c>
    </row>
    <row r="13" spans="1:19" x14ac:dyDescent="0.2">
      <c r="B13">
        <f>MIN([1]!CA1_[Ngữ văn])</f>
        <v>5.5</v>
      </c>
      <c r="C13">
        <f>MIN([1]!CA1_[Toán])</f>
        <v>6.25</v>
      </c>
      <c r="D13">
        <f>MIN([1]!CA1_[Tiếng Anh])</f>
        <v>8</v>
      </c>
      <c r="J13">
        <f>MIN([1]!CA1_[Lịch sử])</f>
        <v>8.75</v>
      </c>
      <c r="K13">
        <f>MIN([1]!CA1_[Vật lí])</f>
        <v>4.8499999999999996</v>
      </c>
      <c r="L13">
        <f>MIN([1]!CA1_[Hóa học])</f>
        <v>4.75</v>
      </c>
      <c r="O13">
        <f>MIN([1]!CA1_[GDKTPL])</f>
        <v>8.75</v>
      </c>
      <c r="S13" t="s">
        <v>19</v>
      </c>
    </row>
    <row r="14" spans="1:19" x14ac:dyDescent="0.2">
      <c r="B14">
        <f>AVERAGE([1]!CA1_[Ngữ văn])</f>
        <v>7.3690476190476186</v>
      </c>
      <c r="C14">
        <f>AVERAGE([1]!CA1_[Toán])</f>
        <v>7.6238095238095234</v>
      </c>
      <c r="D14">
        <f>AVERAGE([1]!CA1_[Tiếng Anh])</f>
        <v>9</v>
      </c>
      <c r="J14">
        <f>AVERAGE([1]!CA1_[Lịch sử])</f>
        <v>8.75</v>
      </c>
      <c r="K14">
        <f>AVERAGE([1]!CA1_[Vật lí])</f>
        <v>7.9961538461538462</v>
      </c>
      <c r="L14">
        <f>AVERAGE([1]!CA1_[Hóa học])</f>
        <v>7</v>
      </c>
      <c r="O14">
        <f>AVERAGE([1]!CA1_[GDKTPL])</f>
        <v>8.875</v>
      </c>
      <c r="S14" t="s">
        <v>20</v>
      </c>
    </row>
    <row r="15" spans="1:19" x14ac:dyDescent="0.2">
      <c r="B15">
        <f>MEDIAN([1]!CA1_[Ngữ văn])</f>
        <v>7.5</v>
      </c>
      <c r="C15">
        <f>MEDIAN([1]!CA1_[Toán])</f>
        <v>7.5</v>
      </c>
      <c r="D15">
        <f>MEDIAN([1]!CA1_[Tiếng Anh])</f>
        <v>9</v>
      </c>
      <c r="J15">
        <f>MEDIAN([1]!CA1_[Lịch sử])</f>
        <v>8.75</v>
      </c>
      <c r="K15">
        <f>MEDIAN([1]!CA1_[Vật lí])</f>
        <v>8.25</v>
      </c>
      <c r="L15">
        <f>MEDIAN([1]!CA1_[Hóa học])</f>
        <v>6.75</v>
      </c>
      <c r="O15">
        <f>MEDIAN([1]!CA1_[GDKTPL])</f>
        <v>8.875</v>
      </c>
      <c r="S15" t="s">
        <v>21</v>
      </c>
    </row>
    <row r="17" spans="1:19" x14ac:dyDescent="0.2">
      <c r="A17" t="s">
        <v>24</v>
      </c>
      <c r="B17">
        <f>MAX([1]!CA2_[Ngữ văn])</f>
        <v>8.75</v>
      </c>
      <c r="C17">
        <f>MAX([1]!CA2_[Toán])</f>
        <v>9</v>
      </c>
      <c r="D17">
        <f>MAX([1]!CA2_[Tiếng Anh])</f>
        <v>9.75</v>
      </c>
      <c r="K17">
        <f>MAX([1]!CA2_[Vật lí])</f>
        <v>9.5</v>
      </c>
      <c r="L17">
        <f>MAX([1]!CA2_[Hóa học])</f>
        <v>9.75</v>
      </c>
      <c r="O17">
        <f>MAX([1]!CA2_[GDKTPL])</f>
        <v>9.75</v>
      </c>
      <c r="P17">
        <f>MAX([1]!CA2_[Tin học])</f>
        <v>8.5</v>
      </c>
      <c r="S17" t="s">
        <v>18</v>
      </c>
    </row>
    <row r="18" spans="1:19" x14ac:dyDescent="0.2">
      <c r="B18">
        <f>MIN([1]!CA2_[Ngữ văn])</f>
        <v>6</v>
      </c>
      <c r="C18">
        <f>MIN([1]!CA2_[Toán])</f>
        <v>5</v>
      </c>
      <c r="D18">
        <f>MIN([1]!CA2_[Tiếng Anh])</f>
        <v>6.75</v>
      </c>
      <c r="K18">
        <f>MIN([1]!CA2_[Vật lí])</f>
        <v>5.75</v>
      </c>
      <c r="L18">
        <f>MIN([1]!CA2_[Hóa học])</f>
        <v>7.25</v>
      </c>
      <c r="O18">
        <f>MIN([1]!CA2_[GDKTPL])</f>
        <v>9</v>
      </c>
      <c r="P18">
        <f>MIN([1]!CA2_[Tin học])</f>
        <v>7.7</v>
      </c>
      <c r="S18" t="s">
        <v>19</v>
      </c>
    </row>
    <row r="19" spans="1:19" x14ac:dyDescent="0.2">
      <c r="B19">
        <f>AVERAGE([1]!CA2_[Ngữ văn])</f>
        <v>7.4655172413793105</v>
      </c>
      <c r="C19">
        <f>AVERAGE([1]!CA2_[Toán])</f>
        <v>6.886206896551724</v>
      </c>
      <c r="D19">
        <f>AVERAGE([1]!CA2_[Tiếng Anh])</f>
        <v>8.7899999999999991</v>
      </c>
      <c r="K19">
        <f>AVERAGE([1]!CA2_[Vật lí])</f>
        <v>7.602631578947368</v>
      </c>
      <c r="L19">
        <f>AVERAGE([1]!CA2_[Hóa học])</f>
        <v>8.5</v>
      </c>
      <c r="O19">
        <f>AVERAGE([1]!CA2_[GDKTPL])</f>
        <v>9.1875</v>
      </c>
      <c r="P19">
        <f>AVERAGE([1]!CA2_[Tin học])</f>
        <v>8.1</v>
      </c>
      <c r="S19" t="s">
        <v>20</v>
      </c>
    </row>
    <row r="20" spans="1:19" x14ac:dyDescent="0.2">
      <c r="B20">
        <f>MEDIAN([1]!CA2_[Ngữ văn])</f>
        <v>7.25</v>
      </c>
      <c r="C20">
        <f>MEDIAN([1]!CA2_[Toán])</f>
        <v>7</v>
      </c>
      <c r="D20">
        <f>MEDIAN([1]!CA2_[Tiếng Anh])</f>
        <v>9</v>
      </c>
      <c r="K20">
        <f>MEDIAN([1]!CA2_[Vật lí])</f>
        <v>8</v>
      </c>
      <c r="L20">
        <f>MEDIAN([1]!CA2_[Hóa học])</f>
        <v>8.5</v>
      </c>
      <c r="O20">
        <f>MEDIAN([1]!CA2_[GDKTPL])</f>
        <v>9</v>
      </c>
      <c r="P20">
        <f>MEDIAN([1]!CA2_[Tin học])</f>
        <v>8.1</v>
      </c>
      <c r="S20" t="s">
        <v>21</v>
      </c>
    </row>
    <row r="22" spans="1:19" x14ac:dyDescent="0.2">
      <c r="A22" t="s">
        <v>25</v>
      </c>
      <c r="B22">
        <f>MAX([1]!CA3_[Ngữ văn])</f>
        <v>8.75</v>
      </c>
      <c r="C22">
        <f>MAX([1]!CA3_[Toán])</f>
        <v>8</v>
      </c>
      <c r="D22">
        <f>MAX([1]!CA3_[Tiếng Anh])</f>
        <v>10</v>
      </c>
      <c r="J22">
        <f>MAX([1]!CA3_[Lịch sử])</f>
        <v>8.5</v>
      </c>
      <c r="K22">
        <f>MAX([1]!CA3_[Vật lí])</f>
        <v>10</v>
      </c>
      <c r="L22">
        <f>MAX([1]!CA3_[Hóa học])</f>
        <v>9</v>
      </c>
      <c r="M22">
        <f>MAX([1]!CA3_[Sinh học])</f>
        <v>7.5</v>
      </c>
      <c r="O22">
        <f>MAX([1]!CA3_[GDKTPL])</f>
        <v>9.25</v>
      </c>
      <c r="P22">
        <f>MAX([1]!CA3_[Tin học])</f>
        <v>9</v>
      </c>
      <c r="S22" t="s">
        <v>18</v>
      </c>
    </row>
    <row r="23" spans="1:19" x14ac:dyDescent="0.2">
      <c r="B23">
        <f>MIN([1]!CA3_[Ngữ văn])</f>
        <v>5.25</v>
      </c>
      <c r="C23">
        <f>MIN([1]!CA3_[Toán])</f>
        <v>3.1</v>
      </c>
      <c r="D23">
        <f>MIN([1]!CA3_[Tiếng Anh])</f>
        <v>8</v>
      </c>
      <c r="J23">
        <f>MIN([1]!CA3_[Lịch sử])</f>
        <v>8.5</v>
      </c>
      <c r="K23">
        <f>MIN([1]!CA3_[Vật lí])</f>
        <v>4.3499999999999996</v>
      </c>
      <c r="L23">
        <f>MIN([1]!CA3_[Hóa học])</f>
        <v>9</v>
      </c>
      <c r="M23">
        <f>MIN([1]!CA3_[Sinh học])</f>
        <v>7.5</v>
      </c>
      <c r="O23">
        <f>MIN([1]!CA3_[GDKTPL])</f>
        <v>8.5</v>
      </c>
      <c r="P23">
        <f>MIN([1]!CA3_[Tin học])</f>
        <v>9</v>
      </c>
      <c r="S23" t="s">
        <v>19</v>
      </c>
    </row>
    <row r="24" spans="1:19" x14ac:dyDescent="0.2">
      <c r="B24">
        <f>AVERAGE([1]!CA3_[Ngữ văn])</f>
        <v>7.416666666666667</v>
      </c>
      <c r="C24">
        <f>AVERAGE([1]!CA3_[Toán])</f>
        <v>6.3111111111111109</v>
      </c>
      <c r="D24">
        <f>AVERAGE([1]!CA3_[Tiếng Anh])</f>
        <v>9.1</v>
      </c>
      <c r="J24">
        <f>AVERAGE([1]!CA3_[Lịch sử])</f>
        <v>8.5</v>
      </c>
      <c r="K24">
        <f>AVERAGE([1]!CA3_[Vật lí])</f>
        <v>6.5650000000000004</v>
      </c>
      <c r="L24">
        <f>AVERAGE([1]!CA3_[Hóa học])</f>
        <v>9</v>
      </c>
      <c r="M24">
        <f>AVERAGE([1]!CA3_[Sinh học])</f>
        <v>7.5</v>
      </c>
      <c r="O24">
        <f>AVERAGE([1]!CA3_[GDKTPL])</f>
        <v>8.875</v>
      </c>
      <c r="P24">
        <f>AVERAGE([1]!CA3_[Tin học])</f>
        <v>9</v>
      </c>
      <c r="S24" t="s">
        <v>20</v>
      </c>
    </row>
    <row r="25" spans="1:19" x14ac:dyDescent="0.2">
      <c r="B25">
        <f>MEDIAN([1]!CA3_[Ngữ văn])</f>
        <v>7.5</v>
      </c>
      <c r="C25">
        <f>MEDIAN([1]!CA3_[Toán])</f>
        <v>6.25</v>
      </c>
      <c r="D25">
        <f>MEDIAN([1]!CA3_[Tiếng Anh])</f>
        <v>9.25</v>
      </c>
      <c r="J25">
        <f>MEDIAN([1]!CA3_[Lịch sử])</f>
        <v>8.5</v>
      </c>
      <c r="K25">
        <f>MEDIAN([1]!CA3_[Vật lí])</f>
        <v>6.625</v>
      </c>
      <c r="L25">
        <f>MEDIAN([1]!CA3_[Hóa học])</f>
        <v>9</v>
      </c>
      <c r="M25">
        <f>MEDIAN([1]!CA3_[Sinh học])</f>
        <v>7.5</v>
      </c>
      <c r="O25">
        <f>MEDIAN([1]!CA3_[GDKTPL])</f>
        <v>8.875</v>
      </c>
      <c r="P25">
        <f>MEDIAN([1]!CA3_[Tin học])</f>
        <v>9</v>
      </c>
      <c r="S25" t="s">
        <v>21</v>
      </c>
    </row>
    <row r="27" spans="1:19" x14ac:dyDescent="0.2">
      <c r="A27" t="s">
        <v>26</v>
      </c>
      <c r="B27">
        <f>MAX([1]!CH[Ngữ văn])</f>
        <v>8.5</v>
      </c>
      <c r="C27">
        <f>MAX([1]!CH[Toán])</f>
        <v>9.5</v>
      </c>
      <c r="D27">
        <f>MAX([1]!CH[Tiếng Anh])</f>
        <v>8</v>
      </c>
      <c r="K27">
        <f>MAX([1]!CH[Vật lí])</f>
        <v>10</v>
      </c>
      <c r="L27">
        <f>MAX([1]!CH[Hóa học])</f>
        <v>9.75</v>
      </c>
      <c r="M27">
        <f>MAX([1]!CH[Sinh học])</f>
        <v>9.25</v>
      </c>
      <c r="P27">
        <f>MAX([1]!CH[Tin học])</f>
        <v>9.25</v>
      </c>
      <c r="S27" t="s">
        <v>18</v>
      </c>
    </row>
    <row r="28" spans="1:19" x14ac:dyDescent="0.2">
      <c r="B28">
        <f>MIN([1]!CH[Ngữ văn])</f>
        <v>6.25</v>
      </c>
      <c r="C28">
        <f>MIN([1]!CH[Toán])</f>
        <v>5.5</v>
      </c>
      <c r="D28">
        <f>MIN([1]!CH[Tiếng Anh])</f>
        <v>6</v>
      </c>
      <c r="K28">
        <f>MIN([1]!CH[Vật lí])</f>
        <v>7.75</v>
      </c>
      <c r="L28">
        <f>MIN([1]!CH[Hóa học])</f>
        <v>7.5</v>
      </c>
      <c r="M28">
        <f>MIN([1]!CH[Sinh học])</f>
        <v>7.25</v>
      </c>
      <c r="P28">
        <f>MIN([1]!CH[Tin học])</f>
        <v>9.25</v>
      </c>
      <c r="S28" t="s">
        <v>19</v>
      </c>
    </row>
    <row r="29" spans="1:19" x14ac:dyDescent="0.2">
      <c r="B29">
        <f>AVERAGE([1]!CH[Ngữ văn])</f>
        <v>7.615384615384615</v>
      </c>
      <c r="C29">
        <f>AVERAGE([1]!CH[Toán])</f>
        <v>8.365384615384615</v>
      </c>
      <c r="D29">
        <f>AVERAGE([1]!CH[Tiếng Anh])</f>
        <v>7.35</v>
      </c>
      <c r="K29">
        <f>AVERAGE([1]!CH[Vật lí])</f>
        <v>9.0749999999999993</v>
      </c>
      <c r="L29">
        <f>AVERAGE([1]!CH[Hóa học])</f>
        <v>9.24</v>
      </c>
      <c r="M29">
        <f>AVERAGE([1]!CH[Sinh học])</f>
        <v>8.4499999999999993</v>
      </c>
      <c r="P29">
        <f>AVERAGE([1]!CH[Tin học])</f>
        <v>9.25</v>
      </c>
      <c r="S29" t="s">
        <v>20</v>
      </c>
    </row>
    <row r="30" spans="1:19" x14ac:dyDescent="0.2">
      <c r="B30">
        <f>MEDIAN([1]!CH[Ngữ văn])</f>
        <v>7.75</v>
      </c>
      <c r="C30">
        <f>MEDIAN([1]!CH[Toán])</f>
        <v>8.5</v>
      </c>
      <c r="D30">
        <f>MEDIAN([1]!CH[Tiếng Anh])</f>
        <v>7.75</v>
      </c>
      <c r="K30">
        <f>MEDIAN([1]!CH[Vật lí])</f>
        <v>9.125</v>
      </c>
      <c r="L30">
        <f>MEDIAN([1]!CH[Hóa học])</f>
        <v>9.5</v>
      </c>
      <c r="M30">
        <f>MEDIAN([1]!CH[Sinh học])</f>
        <v>8.625</v>
      </c>
      <c r="P30">
        <f>MEDIAN([1]!CH[Tin học])</f>
        <v>9.25</v>
      </c>
      <c r="S30" t="s">
        <v>21</v>
      </c>
    </row>
    <row r="32" spans="1:19" x14ac:dyDescent="0.2">
      <c r="A32" t="s">
        <v>27</v>
      </c>
      <c r="B32">
        <f>MAX([1]!CL[Ngữ văn])</f>
        <v>8.25</v>
      </c>
      <c r="C32">
        <f>MAX([1]!CL[Toán])</f>
        <v>9.5</v>
      </c>
      <c r="D32">
        <f>MAX([1]!CL[Tiếng Anh])</f>
        <v>9.25</v>
      </c>
      <c r="J32">
        <f>MAX([1]!CL[Lịch sử])</f>
        <v>8.75</v>
      </c>
      <c r="K32">
        <f>MAX([1]!CL[Vật lí])</f>
        <v>10</v>
      </c>
      <c r="L32">
        <f>MAX([1]!CL[Hóa học])</f>
        <v>9.25</v>
      </c>
      <c r="M32">
        <f>MAX([1]!CL[Sinh học])</f>
        <v>8.25</v>
      </c>
      <c r="S32" t="s">
        <v>18</v>
      </c>
    </row>
    <row r="33" spans="1:19" x14ac:dyDescent="0.2">
      <c r="B33">
        <f>MIN([1]!CL[Ngữ văn])</f>
        <v>5</v>
      </c>
      <c r="C33">
        <f>MIN([1]!CL[Toán])</f>
        <v>5.25</v>
      </c>
      <c r="D33">
        <f>MIN([1]!CL[Tiếng Anh])</f>
        <v>6.25</v>
      </c>
      <c r="J33">
        <f>MIN([1]!CL[Lịch sử])</f>
        <v>6.6</v>
      </c>
      <c r="K33">
        <f>MIN([1]!CL[Vật lí])</f>
        <v>6.25</v>
      </c>
      <c r="L33">
        <f>MIN([1]!CL[Hóa học])</f>
        <v>5.75</v>
      </c>
      <c r="M33">
        <f>MIN([1]!CL[Sinh học])</f>
        <v>8.25</v>
      </c>
      <c r="S33" t="s">
        <v>19</v>
      </c>
    </row>
    <row r="34" spans="1:19" x14ac:dyDescent="0.2">
      <c r="B34">
        <f>AVERAGE([1]!CL[Ngữ văn])</f>
        <v>7.1120689655172411</v>
      </c>
      <c r="C34">
        <f>AVERAGE([1]!CL[Toán])</f>
        <v>7.4517241379310342</v>
      </c>
      <c r="D34">
        <f>AVERAGE([1]!CL[Tiếng Anh])</f>
        <v>7.5</v>
      </c>
      <c r="J34">
        <f>AVERAGE([1]!CL[Lịch sử])</f>
        <v>7.6749999999999998</v>
      </c>
      <c r="K34">
        <f>AVERAGE([1]!CL[Vật lí])</f>
        <v>8.2538461538461529</v>
      </c>
      <c r="L34">
        <f>AVERAGE([1]!CL[Hóa học])</f>
        <v>7.7</v>
      </c>
      <c r="M34">
        <f>AVERAGE([1]!CL[Sinh học])</f>
        <v>8.25</v>
      </c>
      <c r="S34" t="s">
        <v>20</v>
      </c>
    </row>
    <row r="35" spans="1:19" x14ac:dyDescent="0.2">
      <c r="B35">
        <f>MEDIAN([1]!CL[Ngữ văn])</f>
        <v>7.25</v>
      </c>
      <c r="C35">
        <f>MEDIAN([1]!CL[Toán])</f>
        <v>7.25</v>
      </c>
      <c r="D35">
        <f>MEDIAN([1]!CL[Tiếng Anh])</f>
        <v>7</v>
      </c>
      <c r="J35">
        <f>MEDIAN([1]!CL[Lịch sử])</f>
        <v>7.6749999999999998</v>
      </c>
      <c r="K35">
        <f>MEDIAN([1]!CL[Vật lí])</f>
        <v>8.375</v>
      </c>
      <c r="L35">
        <f>MEDIAN([1]!CL[Hóa học])</f>
        <v>7.5</v>
      </c>
      <c r="M35">
        <f>MEDIAN([1]!CL[Sinh học])</f>
        <v>8.25</v>
      </c>
      <c r="S35" t="s">
        <v>21</v>
      </c>
    </row>
    <row r="37" spans="1:19" x14ac:dyDescent="0.2">
      <c r="A37" t="s">
        <v>28</v>
      </c>
      <c r="B37">
        <f>MAX([1]!CS[Ngữ văn])</f>
        <v>8.75</v>
      </c>
      <c r="C37">
        <f>MAX([1]!CS[Toán])</f>
        <v>10</v>
      </c>
      <c r="D37">
        <f>MAX([1]!CS[Tiếng Anh])</f>
        <v>8</v>
      </c>
      <c r="K37">
        <f>MAX([1]!CS[Vật lí])</f>
        <v>6.5</v>
      </c>
      <c r="L37">
        <f>MAX([1]!CS[Hóa học])</f>
        <v>9.25</v>
      </c>
      <c r="M37">
        <f>MAX([1]!CS[Sinh học])</f>
        <v>9.5</v>
      </c>
      <c r="S37" t="s">
        <v>18</v>
      </c>
    </row>
    <row r="38" spans="1:19" x14ac:dyDescent="0.2">
      <c r="B38">
        <f>MIN([1]!CS[Ngữ văn])</f>
        <v>6</v>
      </c>
      <c r="C38">
        <f>MIN([1]!CS[Toán])</f>
        <v>5.7</v>
      </c>
      <c r="D38">
        <f>MIN([1]!CS[Tiếng Anh])</f>
        <v>6.75</v>
      </c>
      <c r="K38">
        <f>MIN([1]!CS[Vật lí])</f>
        <v>6.5</v>
      </c>
      <c r="L38">
        <f>MIN([1]!CS[Hóa học])</f>
        <v>5.35</v>
      </c>
      <c r="M38">
        <f>MIN([1]!CS[Sinh học])</f>
        <v>6.75</v>
      </c>
      <c r="S38" t="s">
        <v>19</v>
      </c>
    </row>
    <row r="39" spans="1:19" x14ac:dyDescent="0.2">
      <c r="B39">
        <f>AVERAGE([1]!CS[Ngữ văn])</f>
        <v>7.7065217391304346</v>
      </c>
      <c r="C39">
        <f>AVERAGE([1]!CS[Toán])</f>
        <v>7.2739130434782613</v>
      </c>
      <c r="D39">
        <f>AVERAGE([1]!CS[Tiếng Anh])</f>
        <v>7.375</v>
      </c>
      <c r="K39">
        <f>AVERAGE([1]!CS[Vật lí])</f>
        <v>6.5</v>
      </c>
      <c r="L39">
        <f>AVERAGE([1]!CS[Hóa học])</f>
        <v>7.6833333333333327</v>
      </c>
      <c r="M39">
        <f>AVERAGE([1]!CS[Sinh học])</f>
        <v>8.0833333333333339</v>
      </c>
      <c r="S39" t="s">
        <v>20</v>
      </c>
    </row>
    <row r="40" spans="1:19" x14ac:dyDescent="0.2">
      <c r="B40">
        <f>MEDIAN([1]!CS[Ngữ văn])</f>
        <v>7.75</v>
      </c>
      <c r="C40">
        <f>MEDIAN([1]!CS[Toán])</f>
        <v>7</v>
      </c>
      <c r="D40">
        <f>MEDIAN([1]!CS[Tiếng Anh])</f>
        <v>7.375</v>
      </c>
      <c r="K40">
        <f>MEDIAN([1]!CS[Vật lí])</f>
        <v>6.5</v>
      </c>
      <c r="L40">
        <f>MEDIAN([1]!CS[Hóa học])</f>
        <v>7.75</v>
      </c>
      <c r="M40">
        <f>MEDIAN([1]!CS[Sinh học])</f>
        <v>8</v>
      </c>
      <c r="S40" t="s">
        <v>21</v>
      </c>
    </row>
    <row r="42" spans="1:19" x14ac:dyDescent="0.2">
      <c r="A42" t="s">
        <v>29</v>
      </c>
      <c r="B42">
        <f>MAX([1]!CT[Ngữ văn])</f>
        <v>8.75</v>
      </c>
      <c r="C42">
        <f>MAX([1]!CT[Toán])</f>
        <v>9.5</v>
      </c>
      <c r="D42">
        <f>MAX([1]!CT[Tiếng Anh])</f>
        <v>10</v>
      </c>
      <c r="J42">
        <f>MAX([1]!CT[Lịch sử])</f>
        <v>9</v>
      </c>
      <c r="K42">
        <f>MAX([1]!CT[Vật lí])</f>
        <v>9.25</v>
      </c>
      <c r="L42">
        <f>MAX([1]!CT[Hóa học])</f>
        <v>9.25</v>
      </c>
      <c r="M42">
        <f>MAX([1]!CT[Sinh học])</f>
        <v>9.25</v>
      </c>
      <c r="S42" t="s">
        <v>18</v>
      </c>
    </row>
    <row r="43" spans="1:19" x14ac:dyDescent="0.2">
      <c r="B43">
        <f>MIN([1]!CT[Ngữ văn])</f>
        <v>3.75</v>
      </c>
      <c r="C43">
        <f>MIN([1]!CT[Toán])</f>
        <v>7</v>
      </c>
      <c r="D43">
        <f>MIN([1]!CT[Tiếng Anh])</f>
        <v>5</v>
      </c>
      <c r="J43">
        <f>MIN([1]!CT[Lịch sử])</f>
        <v>9</v>
      </c>
      <c r="K43">
        <f>MIN([1]!CT[Vật lí])</f>
        <v>5.35</v>
      </c>
      <c r="L43">
        <f>MIN([1]!CT[Hóa học])</f>
        <v>5.25</v>
      </c>
      <c r="M43">
        <f>MIN([1]!CT[Sinh học])</f>
        <v>6.6</v>
      </c>
      <c r="S43" t="s">
        <v>19</v>
      </c>
    </row>
    <row r="44" spans="1:19" x14ac:dyDescent="0.2">
      <c r="B44">
        <f>AVERAGE([1]!CT[Ngữ văn])</f>
        <v>6.9736842105263159</v>
      </c>
      <c r="C44">
        <f>AVERAGE([1]!CT[Toán])</f>
        <v>8.3473684210526304</v>
      </c>
      <c r="D44">
        <f>AVERAGE([1]!CT[Tiếng Anh])</f>
        <v>7.75</v>
      </c>
      <c r="J44">
        <f>AVERAGE([1]!CT[Lịch sử])</f>
        <v>9</v>
      </c>
      <c r="K44">
        <f>AVERAGE([1]!CT[Vật lí])</f>
        <v>7.611538461538462</v>
      </c>
      <c r="L44">
        <f>AVERAGE([1]!CT[Hóa học])</f>
        <v>8.1875</v>
      </c>
      <c r="M44">
        <f>AVERAGE([1]!CT[Sinh học])</f>
        <v>8.370000000000001</v>
      </c>
      <c r="S44" t="s">
        <v>20</v>
      </c>
    </row>
    <row r="45" spans="1:19" x14ac:dyDescent="0.2">
      <c r="B45">
        <f>MEDIAN([1]!CT[Ngữ văn])</f>
        <v>7</v>
      </c>
      <c r="C45">
        <f>MEDIAN([1]!CT[Toán])</f>
        <v>8.5</v>
      </c>
      <c r="D45">
        <f>MEDIAN([1]!CT[Tiếng Anh])</f>
        <v>7.5</v>
      </c>
      <c r="J45">
        <f>MEDIAN([1]!CT[Lịch sử])</f>
        <v>9</v>
      </c>
      <c r="K45">
        <f>MEDIAN([1]!CT[Vật lí])</f>
        <v>8</v>
      </c>
      <c r="L45">
        <f>MEDIAN([1]!CT[Hóa học])</f>
        <v>9</v>
      </c>
      <c r="M45">
        <f>MEDIAN([1]!CT[Sinh học])</f>
        <v>8.5</v>
      </c>
      <c r="S45" t="s">
        <v>21</v>
      </c>
    </row>
    <row r="47" spans="1:19" x14ac:dyDescent="0.2">
      <c r="A47" t="s">
        <v>30</v>
      </c>
      <c r="B47">
        <f>MAX([1]!CTin[Ngữ văn])</f>
        <v>8.5</v>
      </c>
      <c r="C47">
        <f>MAX([1]!CTin[Toán])</f>
        <v>9.75</v>
      </c>
      <c r="D47">
        <f>MAX([1]!CTin[Tiếng Anh])</f>
        <v>9.25</v>
      </c>
      <c r="K47">
        <f>MAX([1]!CTin[Vật lí])</f>
        <v>10</v>
      </c>
      <c r="L47">
        <f>MAX([1]!CTin[Hóa học])</f>
        <v>7.75</v>
      </c>
      <c r="P47">
        <f>MAX([1]!CTin[Tin học])</f>
        <v>9.75</v>
      </c>
      <c r="S47" t="s">
        <v>18</v>
      </c>
    </row>
    <row r="48" spans="1:19" x14ac:dyDescent="0.2">
      <c r="B48">
        <f>MIN([1]!CTin[Ngữ văn])</f>
        <v>5</v>
      </c>
      <c r="C48">
        <f>MIN([1]!CTin[Toán])</f>
        <v>6</v>
      </c>
      <c r="D48">
        <f>MIN([1]!CTin[Tiếng Anh])</f>
        <v>6</v>
      </c>
      <c r="K48">
        <f>MIN([1]!CTin[Vật lí])</f>
        <v>5.75</v>
      </c>
      <c r="L48">
        <f>MIN([1]!CTin[Hóa học])</f>
        <v>7.25</v>
      </c>
      <c r="P48">
        <f>MIN([1]!CTin[Tin học])</f>
        <v>7.25</v>
      </c>
      <c r="S48" t="s">
        <v>19</v>
      </c>
    </row>
    <row r="49" spans="1:19" x14ac:dyDescent="0.2">
      <c r="B49">
        <f>AVERAGE([1]!CTin[Ngữ văn])</f>
        <v>7.2589285714285712</v>
      </c>
      <c r="C49">
        <f>AVERAGE([1]!CTin[Toán])</f>
        <v>7.9642857142857144</v>
      </c>
      <c r="D49">
        <f>AVERAGE([1]!CTin[Tiếng Anh])</f>
        <v>7.7647058823529411</v>
      </c>
      <c r="K49">
        <f>AVERAGE([1]!CTin[Vật lí])</f>
        <v>8.25</v>
      </c>
      <c r="L49">
        <f>AVERAGE([1]!CTin[Hóa học])</f>
        <v>7.5</v>
      </c>
      <c r="P49">
        <f>AVERAGE([1]!CTin[Tin học])</f>
        <v>8.75</v>
      </c>
      <c r="S49" t="s">
        <v>20</v>
      </c>
    </row>
    <row r="50" spans="1:19" x14ac:dyDescent="0.2">
      <c r="B50">
        <f>MEDIAN([1]!CTin[Ngữ văn])</f>
        <v>7.5</v>
      </c>
      <c r="C50">
        <f>MEDIAN([1]!CTin[Toán])</f>
        <v>8</v>
      </c>
      <c r="D50">
        <f>MEDIAN([1]!CTin[Tiếng Anh])</f>
        <v>7.5</v>
      </c>
      <c r="K50">
        <f>MEDIAN([1]!CTin[Vật lí])</f>
        <v>8.25</v>
      </c>
      <c r="L50">
        <f>MEDIAN([1]!CTin[Hóa học])</f>
        <v>7.5</v>
      </c>
      <c r="P50">
        <f>MEDIAN([1]!CTin[Tin học])</f>
        <v>8.75</v>
      </c>
      <c r="S50" t="s">
        <v>21</v>
      </c>
    </row>
    <row r="52" spans="1:19" x14ac:dyDescent="0.2">
      <c r="A52" t="s">
        <v>31</v>
      </c>
      <c r="B52">
        <f>MAX([1]!CV[Ngữ văn])</f>
        <v>9.5</v>
      </c>
      <c r="C52">
        <f>MAX([1]!CV[Toán])</f>
        <v>8</v>
      </c>
      <c r="D52">
        <f>MAX([1]!CV[Tiếng Anh])</f>
        <v>9</v>
      </c>
      <c r="J52">
        <f>MAX([1]!CV[Lịch sử])</f>
        <v>9.5</v>
      </c>
      <c r="K52">
        <f>MAX([1]!CV[Vật lí])</f>
        <v>8.75</v>
      </c>
      <c r="L52">
        <f>MAX([1]!CV[Hóa học])</f>
        <v>8</v>
      </c>
      <c r="N52">
        <f>MAX([1]!CV[Địa lí])</f>
        <v>9.75</v>
      </c>
      <c r="O52">
        <f>MAX([1]!CV[GDKTPL])</f>
        <v>9.75</v>
      </c>
      <c r="S52" t="s">
        <v>18</v>
      </c>
    </row>
    <row r="53" spans="1:19" x14ac:dyDescent="0.2">
      <c r="B53">
        <f>MIN([1]!CV[Ngữ văn])</f>
        <v>6.5</v>
      </c>
      <c r="C53">
        <f>MIN([1]!CV[Toán])</f>
        <v>4</v>
      </c>
      <c r="D53">
        <f>MIN([1]!CV[Tiếng Anh])</f>
        <v>5.5</v>
      </c>
      <c r="J53">
        <f>MIN([1]!CV[Lịch sử])</f>
        <v>6.75</v>
      </c>
      <c r="K53">
        <f>MIN([1]!CV[Vật lí])</f>
        <v>6.75</v>
      </c>
      <c r="L53">
        <f>MIN([1]!CV[Hóa học])</f>
        <v>6</v>
      </c>
      <c r="N53">
        <f>MIN([1]!CV[Địa lí])</f>
        <v>9.25</v>
      </c>
      <c r="O53">
        <f>MIN([1]!CV[GDKTPL])</f>
        <v>8.25</v>
      </c>
      <c r="S53" t="s">
        <v>19</v>
      </c>
    </row>
    <row r="54" spans="1:19" x14ac:dyDescent="0.2">
      <c r="B54">
        <f>AVERAGE([1]!CV[Ngữ văn])</f>
        <v>8.0403225806451619</v>
      </c>
      <c r="C54">
        <f>AVERAGE([1]!CV[Toán])</f>
        <v>6.2677419354838708</v>
      </c>
      <c r="D54">
        <f>AVERAGE([1]!CV[Tiếng Anh])</f>
        <v>7.33</v>
      </c>
      <c r="J54">
        <f>AVERAGE([1]!CV[Lịch sử])</f>
        <v>8.6458333333333339</v>
      </c>
      <c r="K54">
        <f>AVERAGE([1]!CV[Vật lí])</f>
        <v>7.9375</v>
      </c>
      <c r="L54">
        <f>AVERAGE([1]!CV[Hóa học])</f>
        <v>6.75</v>
      </c>
      <c r="N54">
        <f>AVERAGE([1]!CV[Địa lí])</f>
        <v>9.5</v>
      </c>
      <c r="O54">
        <f>AVERAGE([1]!CV[GDKTPL])</f>
        <v>8.6875</v>
      </c>
      <c r="S54" t="s">
        <v>20</v>
      </c>
    </row>
    <row r="55" spans="1:19" x14ac:dyDescent="0.2">
      <c r="B55">
        <f>MEDIAN([1]!CV[Ngữ văn])</f>
        <v>8</v>
      </c>
      <c r="C55">
        <f>MEDIAN([1]!CV[Toán])</f>
        <v>6.25</v>
      </c>
      <c r="D55">
        <f>MEDIAN([1]!CV[Tiếng Anh])</f>
        <v>7.5</v>
      </c>
      <c r="J55">
        <f>MEDIAN([1]!CV[Lịch sử])</f>
        <v>8.75</v>
      </c>
      <c r="K55">
        <f>MEDIAN([1]!CV[Vật lí])</f>
        <v>8.125</v>
      </c>
      <c r="L55">
        <f>MEDIAN([1]!CV[Hóa học])</f>
        <v>6.5</v>
      </c>
      <c r="N55">
        <f>MEDIAN([1]!CV[Địa lí])</f>
        <v>9.5</v>
      </c>
      <c r="O55">
        <f>MEDIAN([1]!CV[GDKTPL])</f>
        <v>8.75</v>
      </c>
      <c r="S55" t="s">
        <v>21</v>
      </c>
    </row>
    <row r="57" spans="1:19" x14ac:dyDescent="0.2">
      <c r="A57" t="s">
        <v>32</v>
      </c>
      <c r="B57">
        <f>MAX([1]!TĐ[Ngữ văn])</f>
        <v>8.75</v>
      </c>
      <c r="C57">
        <f>MAX([1]!TĐ[Toán])</f>
        <v>8.5</v>
      </c>
      <c r="D57">
        <f>MAX([1]!TĐ[Tiếng Anh])</f>
        <v>9.75</v>
      </c>
      <c r="J57">
        <f>MAX([1]!TĐ[Lịch sử])</f>
        <v>8</v>
      </c>
      <c r="K57">
        <f>MAX([1]!TĐ[Vật lí])</f>
        <v>9</v>
      </c>
      <c r="L57">
        <f>MAX([1]!TĐ[Hóa học])</f>
        <v>8.75</v>
      </c>
      <c r="M57">
        <f>MAX([1]!TĐ[Sinh học])</f>
        <v>7.5</v>
      </c>
      <c r="O57">
        <f>MAX([1]!TĐ[GDKTPL])</f>
        <v>8.5</v>
      </c>
      <c r="P57">
        <f>MAX([1]!TĐ[Tin học])</f>
        <v>8.5</v>
      </c>
      <c r="S57" t="s">
        <v>18</v>
      </c>
    </row>
    <row r="58" spans="1:19" x14ac:dyDescent="0.2">
      <c r="B58">
        <f>MIN([1]!TĐ[Ngữ văn])</f>
        <v>5.5</v>
      </c>
      <c r="C58">
        <f>MIN([1]!TĐ[Toán])</f>
        <v>2.5</v>
      </c>
      <c r="D58">
        <f>MIN([1]!TĐ[Tiếng Anh])</f>
        <v>4.25</v>
      </c>
      <c r="H58">
        <f>MIN([1]!TĐ[Tiếng Đức])</f>
        <v>7.25</v>
      </c>
      <c r="J58">
        <f>MIN([1]!TĐ[Lịch sử])</f>
        <v>4.25</v>
      </c>
      <c r="K58">
        <f>MIN([1]!TĐ[Vật lí])</f>
        <v>4.45</v>
      </c>
      <c r="L58">
        <f>MIN([1]!TĐ[Hóa học])</f>
        <v>3.6</v>
      </c>
      <c r="M58">
        <f>MIN([1]!TĐ[Sinh học])</f>
        <v>6</v>
      </c>
      <c r="O58">
        <f>MIN([1]!TĐ[GDKTPL])</f>
        <v>6.5</v>
      </c>
      <c r="P58">
        <f>MIN([1]!TĐ[Tin học])</f>
        <v>8.5</v>
      </c>
      <c r="S58" t="s">
        <v>19</v>
      </c>
    </row>
    <row r="59" spans="1:19" x14ac:dyDescent="0.2">
      <c r="B59">
        <f>AVERAGE([1]!TĐ[Ngữ văn])</f>
        <v>7.2142857142857144</v>
      </c>
      <c r="C59">
        <f>AVERAGE([1]!TĐ[Toán])</f>
        <v>5.8916666666666657</v>
      </c>
      <c r="D59">
        <f>AVERAGE([1]!TĐ[Tiếng Anh])</f>
        <v>7.0227272727272725</v>
      </c>
      <c r="H59">
        <f>AVERAGE([1]!TĐ[Tiếng Đức])</f>
        <v>8.1875</v>
      </c>
      <c r="J59">
        <f>AVERAGE([1]!TĐ[Lịch sử])</f>
        <v>6.705000000000001</v>
      </c>
      <c r="K59">
        <f>AVERAGE([1]!TĐ[Vật lí])</f>
        <v>7.1360000000000001</v>
      </c>
      <c r="L59">
        <f>AVERAGE([1]!TĐ[Hóa học])</f>
        <v>5.8125</v>
      </c>
      <c r="M59">
        <f>AVERAGE([1]!TĐ[Sinh học])</f>
        <v>6.75</v>
      </c>
      <c r="O59">
        <f>AVERAGE([1]!TĐ[GDKTPL])</f>
        <v>7.875</v>
      </c>
      <c r="P59">
        <f>AVERAGE([1]!TĐ[Tin học])</f>
        <v>8.5</v>
      </c>
      <c r="S59" t="s">
        <v>20</v>
      </c>
    </row>
    <row r="60" spans="1:19" x14ac:dyDescent="0.2">
      <c r="B60">
        <f>MEDIAN([1]!TĐ[Ngữ văn])</f>
        <v>7.25</v>
      </c>
      <c r="C60">
        <f>MEDIAN([1]!TĐ[Toán])</f>
        <v>5.75</v>
      </c>
      <c r="D60">
        <f>MEDIAN([1]!TĐ[Tiếng Anh])</f>
        <v>7.125</v>
      </c>
      <c r="H60">
        <f>MEDIAN([1]!TĐ[Tiếng Đức])</f>
        <v>8.25</v>
      </c>
      <c r="J60">
        <f>MEDIAN([1]!TĐ[Lịch sử])</f>
        <v>7.1749999999999998</v>
      </c>
      <c r="K60">
        <f>MEDIAN([1]!TĐ[Vật lí])</f>
        <v>7.25</v>
      </c>
      <c r="L60">
        <f>MEDIAN([1]!TĐ[Hóa học])</f>
        <v>5.75</v>
      </c>
      <c r="M60">
        <f>MEDIAN([1]!TĐ[Sinh học])</f>
        <v>6.75</v>
      </c>
      <c r="O60">
        <f>MEDIAN([1]!TĐ[GDKTPL])</f>
        <v>8.25</v>
      </c>
      <c r="P60">
        <f>MEDIAN([1]!TĐ[Tin học])</f>
        <v>8.5</v>
      </c>
      <c r="S60" t="s">
        <v>21</v>
      </c>
    </row>
    <row r="62" spans="1:19" x14ac:dyDescent="0.2">
      <c r="A62" t="s">
        <v>33</v>
      </c>
      <c r="B62">
        <f>MAX([1]!TH1_[Ngữ văn])</f>
        <v>8.25</v>
      </c>
      <c r="C62">
        <f>MAX([1]!TH1_[Toán])</f>
        <v>8.5</v>
      </c>
      <c r="D62">
        <f>MAX([1]!TH1_[Tiếng Anh])</f>
        <v>9.5</v>
      </c>
      <c r="J62">
        <f>MAX([1]!TH1_[Lịch sử])</f>
        <v>8.25</v>
      </c>
      <c r="K62">
        <f>MAX([1]!TH1_[Vật lí])</f>
        <v>9.5</v>
      </c>
      <c r="L62">
        <f>MAX([1]!TH1_[Hóa học])</f>
        <v>10</v>
      </c>
      <c r="M62">
        <f>MAX([1]!TH1_[Sinh học])</f>
        <v>7.6</v>
      </c>
      <c r="S62" t="s">
        <v>18</v>
      </c>
    </row>
    <row r="63" spans="1:19" x14ac:dyDescent="0.2">
      <c r="B63">
        <f>MIN([1]!TH1_[Ngữ văn])</f>
        <v>6</v>
      </c>
      <c r="C63">
        <f>MIN([1]!TH1_[Toán])</f>
        <v>4</v>
      </c>
      <c r="D63">
        <f>MIN([1]!TH1_[Tiếng Anh])</f>
        <v>6.75</v>
      </c>
      <c r="J63">
        <f>MIN([1]!TH1_[Lịch sử])</f>
        <v>7</v>
      </c>
      <c r="K63">
        <f>MIN([1]!TH1_[Vật lí])</f>
        <v>4.5999999999999996</v>
      </c>
      <c r="L63">
        <f>MIN([1]!TH1_[Hóa học])</f>
        <v>4.0999999999999996</v>
      </c>
      <c r="M63">
        <f>MIN([1]!TH1_[Sinh học])</f>
        <v>5</v>
      </c>
      <c r="S63" t="s">
        <v>19</v>
      </c>
    </row>
    <row r="64" spans="1:19" x14ac:dyDescent="0.2">
      <c r="B64">
        <f>AVERAGE([1]!TH1_[Ngữ văn])</f>
        <v>7.4537037037037033</v>
      </c>
      <c r="C64">
        <f>AVERAGE([1]!TH1_[Toán])</f>
        <v>6.5203703703703697</v>
      </c>
      <c r="D64">
        <f>AVERAGE([1]!TH1_[Tiếng Anh])</f>
        <v>8.2638888888888893</v>
      </c>
      <c r="J64">
        <f>AVERAGE([1]!TH1_[Lịch sử])</f>
        <v>7.75</v>
      </c>
      <c r="K64">
        <f>AVERAGE([1]!TH1_[Vật lí])</f>
        <v>7.5423076923076922</v>
      </c>
      <c r="L64">
        <f>AVERAGE([1]!TH1_[Hóa học])</f>
        <v>6.7125000000000004</v>
      </c>
      <c r="M64">
        <f>AVERAGE([1]!TH1_[Sinh học])</f>
        <v>6.1499999999999995</v>
      </c>
      <c r="S64" t="s">
        <v>20</v>
      </c>
    </row>
    <row r="65" spans="1:19" x14ac:dyDescent="0.2">
      <c r="B65">
        <f>MEDIAN([1]!TH1_[Ngữ văn])</f>
        <v>7.5</v>
      </c>
      <c r="C65">
        <f>MEDIAN([1]!TH1_[Toán])</f>
        <v>6.5</v>
      </c>
      <c r="D65">
        <f>MEDIAN([1]!TH1_[Tiếng Anh])</f>
        <v>8.375</v>
      </c>
      <c r="J65">
        <f>MEDIAN([1]!TH1_[Lịch sử])</f>
        <v>8</v>
      </c>
      <c r="K65">
        <f>MEDIAN([1]!TH1_[Vật lí])</f>
        <v>7.6</v>
      </c>
      <c r="L65">
        <f>MEDIAN([1]!TH1_[Hóa học])</f>
        <v>6.1749999999999998</v>
      </c>
      <c r="M65">
        <f>MEDIAN([1]!TH1_[Sinh học])</f>
        <v>5.85</v>
      </c>
      <c r="S65" t="s">
        <v>21</v>
      </c>
    </row>
    <row r="67" spans="1:19" x14ac:dyDescent="0.2">
      <c r="A67" t="s">
        <v>34</v>
      </c>
      <c r="B67">
        <f>MAX([1]!TH2_[Ngữ văn])</f>
        <v>8.75</v>
      </c>
      <c r="C67">
        <f>MAX([1]!TH2_[Toán])</f>
        <v>9</v>
      </c>
      <c r="D67">
        <f>MAX([1]!TH2_[Tiếng Anh])</f>
        <v>9</v>
      </c>
      <c r="J67">
        <f>MAX([1]!TH2_[Lịch sử])</f>
        <v>8.25</v>
      </c>
      <c r="K67">
        <f>MAX([1]!TH2_[Vật lí])</f>
        <v>9.75</v>
      </c>
      <c r="L67">
        <f>MAX([1]!TH2_[Hóa học])</f>
        <v>8.5</v>
      </c>
      <c r="M67">
        <f>MAX([1]!TH2_[Sinh học])</f>
        <v>8.5</v>
      </c>
      <c r="S67" t="s">
        <v>18</v>
      </c>
    </row>
    <row r="68" spans="1:19" x14ac:dyDescent="0.2">
      <c r="B68">
        <f>MIN([1]!TH2_[Ngữ văn])</f>
        <v>6</v>
      </c>
      <c r="C68">
        <f>MIN([1]!TH2_[Toán])</f>
        <v>5.0999999999999996</v>
      </c>
      <c r="D68">
        <f>MIN([1]!TH2_[Tiếng Anh])</f>
        <v>6.75</v>
      </c>
      <c r="J68">
        <f>MIN([1]!TH2_[Lịch sử])</f>
        <v>8</v>
      </c>
      <c r="K68">
        <f>MIN([1]!TH2_[Vật lí])</f>
        <v>5.6</v>
      </c>
      <c r="L68">
        <f>MIN([1]!TH2_[Hóa học])</f>
        <v>4.75</v>
      </c>
      <c r="M68">
        <f>MIN([1]!TH2_[Sinh học])</f>
        <v>6.5</v>
      </c>
      <c r="S68" t="s">
        <v>19</v>
      </c>
    </row>
    <row r="69" spans="1:19" x14ac:dyDescent="0.2">
      <c r="B69">
        <f>AVERAGE([1]!TH2_[Ngữ văn])</f>
        <v>7.7142857142857144</v>
      </c>
      <c r="C69">
        <f>AVERAGE([1]!TH2_[Toán])</f>
        <v>6.9892857142857139</v>
      </c>
      <c r="D69">
        <f>AVERAGE([1]!TH2_[Tiếng Anh])</f>
        <v>7.9305555555555554</v>
      </c>
      <c r="J69">
        <f>AVERAGE([1]!TH2_[Lịch sử])</f>
        <v>8.125</v>
      </c>
      <c r="K69">
        <f>AVERAGE([1]!TH2_[Vật lí])</f>
        <v>7.492857142857142</v>
      </c>
      <c r="L69">
        <f>AVERAGE([1]!TH2_[Hóa học])</f>
        <v>7</v>
      </c>
      <c r="M69">
        <f>AVERAGE([1]!TH2_[Sinh học])</f>
        <v>7.75</v>
      </c>
      <c r="S69" t="s">
        <v>20</v>
      </c>
    </row>
    <row r="70" spans="1:19" x14ac:dyDescent="0.2">
      <c r="B70">
        <f>MEDIAN([1]!TH2_[Ngữ văn])</f>
        <v>7.75</v>
      </c>
      <c r="C70">
        <f>MEDIAN([1]!TH2_[Toán])</f>
        <v>6.875</v>
      </c>
      <c r="D70">
        <f>MEDIAN([1]!TH2_[Tiếng Anh])</f>
        <v>8</v>
      </c>
      <c r="J70">
        <f>MEDIAN([1]!TH2_[Lịch sử])</f>
        <v>8.125</v>
      </c>
      <c r="K70">
        <f>MEDIAN([1]!TH2_[Vật lí])</f>
        <v>7.625</v>
      </c>
      <c r="L70">
        <f>MEDIAN([1]!TH2_[Hóa học])</f>
        <v>7.375</v>
      </c>
      <c r="M70">
        <f>MEDIAN([1]!TH2_[Sinh học])</f>
        <v>8.25</v>
      </c>
      <c r="S70" t="s">
        <v>21</v>
      </c>
    </row>
    <row r="72" spans="1:19" x14ac:dyDescent="0.2">
      <c r="A72" t="s">
        <v>35</v>
      </c>
      <c r="B72">
        <f>MAX([1]!TH3_[Ngữ văn])</f>
        <v>9</v>
      </c>
      <c r="C72">
        <f>MAX([1]!TH3_[Toán])</f>
        <v>9.5</v>
      </c>
      <c r="D72">
        <f>MAX([1]!TH3_[Tiếng Anh])</f>
        <v>9</v>
      </c>
      <c r="J72">
        <f>MAX([1]!TH3_[Lịch sử])</f>
        <v>9</v>
      </c>
      <c r="K72">
        <f>MAX([1]!TH3_[Vật lí])</f>
        <v>10</v>
      </c>
      <c r="L72">
        <f>MAX([1]!TH3_[Hóa học])</f>
        <v>9.75</v>
      </c>
      <c r="M72">
        <f>MAX([1]!TH3_[Sinh học])</f>
        <v>9</v>
      </c>
      <c r="S72" t="s">
        <v>18</v>
      </c>
    </row>
    <row r="73" spans="1:19" x14ac:dyDescent="0.2">
      <c r="B73">
        <f>MIN([1]!TH3_[Ngữ văn])</f>
        <v>6.25</v>
      </c>
      <c r="C73">
        <f>MIN([1]!TH3_[Toán])</f>
        <v>4.5</v>
      </c>
      <c r="D73">
        <f>MIN([1]!TH3_[Tiếng Anh])</f>
        <v>5.5</v>
      </c>
      <c r="J73">
        <f>MIN([1]!TH3_[Lịch sử])</f>
        <v>7</v>
      </c>
      <c r="K73">
        <f>MIN([1]!TH3_[Vật lí])</f>
        <v>6.85</v>
      </c>
      <c r="L73">
        <f>MIN([1]!TH3_[Hóa học])</f>
        <v>4</v>
      </c>
      <c r="M73">
        <f>MIN([1]!TH3_[Sinh học])</f>
        <v>7.5</v>
      </c>
      <c r="S73" t="s">
        <v>19</v>
      </c>
    </row>
    <row r="74" spans="1:19" x14ac:dyDescent="0.2">
      <c r="B74">
        <f>AVERAGE([1]!TH3_[Ngữ văn])</f>
        <v>7.62</v>
      </c>
      <c r="C74">
        <f>AVERAGE([1]!TH3_[Toán])</f>
        <v>7.0259999999999989</v>
      </c>
      <c r="D74">
        <f>AVERAGE([1]!TH3_[Tiếng Anh])</f>
        <v>7.6617647058823533</v>
      </c>
      <c r="J74">
        <f>AVERAGE([1]!TH3_[Lịch sử])</f>
        <v>7.65</v>
      </c>
      <c r="K74">
        <f>AVERAGE([1]!TH3_[Vật lí])</f>
        <v>8.3166666666666664</v>
      </c>
      <c r="L74">
        <f>AVERAGE([1]!TH3_[Hóa học])</f>
        <v>7.5681818181818183</v>
      </c>
      <c r="M74">
        <f>AVERAGE([1]!TH3_[Sinh học])</f>
        <v>8</v>
      </c>
      <c r="S74" t="s">
        <v>20</v>
      </c>
    </row>
    <row r="75" spans="1:19" x14ac:dyDescent="0.2">
      <c r="B75">
        <f>MEDIAN([1]!TH3_[Ngữ văn])</f>
        <v>7.75</v>
      </c>
      <c r="C75">
        <f>MEDIAN([1]!TH3_[Toán])</f>
        <v>6.85</v>
      </c>
      <c r="D75">
        <f>MEDIAN([1]!TH3_[Tiếng Anh])</f>
        <v>8</v>
      </c>
      <c r="J75">
        <f>MEDIAN([1]!TH3_[Lịch sử])</f>
        <v>7.5</v>
      </c>
      <c r="K75">
        <f>MEDIAN([1]!TH3_[Vật lí])</f>
        <v>8</v>
      </c>
      <c r="L75">
        <f>MEDIAN([1]!TH3_[Hóa học])</f>
        <v>8.5</v>
      </c>
      <c r="M75">
        <f>MEDIAN([1]!TH3_[Sinh học])</f>
        <v>7.75</v>
      </c>
      <c r="S75" t="s">
        <v>21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Nguyen (Student)</dc:creator>
  <cp:lastModifiedBy>Son Nguyen (Student)</cp:lastModifiedBy>
  <dcterms:created xsi:type="dcterms:W3CDTF">2025-09-05T15:56:55Z</dcterms:created>
  <dcterms:modified xsi:type="dcterms:W3CDTF">2025-09-05T15:57:10Z</dcterms:modified>
</cp:coreProperties>
</file>